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xuda\Desktop\lianxi\"/>
    </mc:Choice>
  </mc:AlternateContent>
  <xr:revisionPtr revIDLastSave="0" documentId="13_ncr:1_{C85E2823-4153-4CC8-8C78-088C6360B4D1}" xr6:coauthVersionLast="47" xr6:coauthVersionMax="47" xr10:uidLastSave="{00000000-0000-0000-0000-000000000000}"/>
  <bookViews>
    <workbookView xWindow="-110" yWindow="-110" windowWidth="25820" windowHeight="15620" activeTab="1" xr2:uid="{00000000-000D-0000-FFFF-FFFF00000000}"/>
  </bookViews>
  <sheets>
    <sheet name="Sheet29 (2)" sheetId="21" r:id="rId1"/>
    <sheet name="Sheet29" sheetId="20" r:id="rId2"/>
    <sheet name="Scenario Naming" sheetId="1" r:id="rId3"/>
    <sheet name="Summary" sheetId="2" r:id="rId4"/>
    <sheet name="Classification" sheetId="3" r:id="rId5"/>
    <sheet name="TAADS Result URL " sheetId="4" r:id="rId6"/>
    <sheet name="TAADS SimResult Review" sheetId="5" r:id="rId7"/>
    <sheet name="Scenarios Need Tuning" sheetId="6" r:id="rId8"/>
    <sheet name="TAADS Test Issues From AI Regre" sheetId="7" r:id="rId9"/>
    <sheet name="copy" sheetId="8" r:id="rId10"/>
    <sheet name="New Scenarios Review" sheetId="9" r:id="rId11"/>
    <sheet name="2022W01-Today" sheetId="10" r:id="rId12"/>
    <sheet name="2021W42-2021W52" sheetId="11" r:id="rId13"/>
    <sheet name="Statistical_table" sheetId="12" r:id="rId14"/>
    <sheet name="Deprecated" sheetId="13" r:id="rId15"/>
    <sheet name="Sheet1" sheetId="14" r:id="rId16"/>
    <sheet name="Vedio List" sheetId="15" r:id="rId17"/>
    <sheet name="Sheet12" sheetId="16" r:id="rId18"/>
    <sheet name="TAADS Sce List" sheetId="17" r:id="rId19"/>
    <sheet name="TAADS_feature" sheetId="18" r:id="rId20"/>
    <sheet name="Copy of 2021W42-2022W02" sheetId="19" r:id="rId21"/>
  </sheets>
  <definedNames>
    <definedName name="_xlnm._FilterDatabase" localSheetId="9" hidden="1">copy!$AD$1:$AD$911</definedName>
    <definedName name="Z_01571460_2DCB_42BD_A34A_0F0974471195_.wvu.FilterData" localSheetId="9" hidden="1">copy!$AE$1:$AE$911</definedName>
    <definedName name="Z_01571460_2DCB_42BD_A34A_0F0974471195_.wvu.FilterData" localSheetId="10" hidden="1">'New Scenarios Review'!$AE$1:$AE$681</definedName>
    <definedName name="Z_01571460_2DCB_42BD_A34A_0F0974471195_.wvu.FilterData" localSheetId="2" hidden="1">'Scenario Naming'!$AE$1:$AE$904</definedName>
    <definedName name="Z_0986B57A_A09A_4F97_BC44_A5665F7874C0_.wvu.FilterData" localSheetId="9" hidden="1">copy!$AE$1:$AE$911</definedName>
    <definedName name="Z_0986B57A_A09A_4F97_BC44_A5665F7874C0_.wvu.FilterData" localSheetId="10" hidden="1">'New Scenarios Review'!$AE$1:$AE$681</definedName>
    <definedName name="Z_0986B57A_A09A_4F97_BC44_A5665F7874C0_.wvu.FilterData" localSheetId="2" hidden="1">'Scenario Naming'!$AE$1:$AE$904</definedName>
    <definedName name="Z_13CC7FEA_71B2_4BBB_B49E_35071E5B7AB8_.wvu.FilterData" localSheetId="2" hidden="1">'Scenario Naming'!$I$1:$I$904</definedName>
    <definedName name="Z_30A25E70_968A_42D1_8004_AA7CAE7DDE4C_.wvu.FilterData" localSheetId="9" hidden="1">copy!$AC$1:$AC$911</definedName>
    <definedName name="Z_30A25E70_968A_42D1_8004_AA7CAE7DDE4C_.wvu.FilterData" localSheetId="10" hidden="1">'New Scenarios Review'!$AC$1:$AC$681</definedName>
    <definedName name="Z_30A25E70_968A_42D1_8004_AA7CAE7DDE4C_.wvu.FilterData" localSheetId="2" hidden="1">'Scenario Naming'!$AC$1:$AC$904</definedName>
    <definedName name="Z_46A08C88_F057_4E77_84DA_41349FC9CF9F_.wvu.FilterData" localSheetId="9" hidden="1">copy!$AC$1:$AC$911</definedName>
    <definedName name="Z_46A08C88_F057_4E77_84DA_41349FC9CF9F_.wvu.FilterData" localSheetId="10" hidden="1">'New Scenarios Review'!$AC$1:$AC$681</definedName>
    <definedName name="Z_46A08C88_F057_4E77_84DA_41349FC9CF9F_.wvu.FilterData" localSheetId="2" hidden="1">'Scenario Naming'!$AC$1:$AC$904</definedName>
    <definedName name="Z_70C2C3CB_9C77_45D0_92BF_083A1A89E2EC_.wvu.FilterData" localSheetId="9" hidden="1">copy!$AD$1:$AD$911</definedName>
    <definedName name="Z_70C2C3CB_9C77_45D0_92BF_083A1A89E2EC_.wvu.FilterData" localSheetId="2" hidden="1">'Scenario Naming'!$AD$1:$AD$904</definedName>
    <definedName name="Z_7D1D0CFF_A21C_4D7C_B4BE_D6CB3FEE1491_.wvu.FilterData" localSheetId="9" hidden="1">copy!$AD$1:$AD$911</definedName>
    <definedName name="Z_7D1D0CFF_A21C_4D7C_B4BE_D6CB3FEE1491_.wvu.FilterData" localSheetId="2" hidden="1">'Scenario Naming'!$AD$1:$AD$904</definedName>
    <definedName name="Z_A21C9F9C_3D66_44CB_9757_8F7DE4AF9855_.wvu.FilterData" localSheetId="2" hidden="1">'Scenario Naming'!$J$1:$J$904</definedName>
    <definedName name="Z_A3EAC07F_81BF_4BC3_9163_D7BB2B400FDD_.wvu.FilterData" localSheetId="9" hidden="1">copy!$AE$1:$AE$911</definedName>
    <definedName name="Z_A3EAC07F_81BF_4BC3_9163_D7BB2B400FDD_.wvu.FilterData" localSheetId="10" hidden="1">'New Scenarios Review'!$AE$1:$AE$681</definedName>
    <definedName name="Z_A3EAC07F_81BF_4BC3_9163_D7BB2B400FDD_.wvu.FilterData" localSheetId="2" hidden="1">'Scenario Naming'!$AE$1:$AE$904</definedName>
    <definedName name="Z_A4586E54_8C18_402A_88F5_A1D2BB888F5F_.wvu.FilterData" localSheetId="9" hidden="1">copy!$AD$1:$AD$911</definedName>
    <definedName name="Z_A4586E54_8C18_402A_88F5_A1D2BB888F5F_.wvu.FilterData" localSheetId="2" hidden="1">'Scenario Naming'!$AD$1:$AD$904</definedName>
    <definedName name="Z_B3B4BA88_7E98_4B62_A858_7C3A40640401_.wvu.FilterData" localSheetId="2" hidden="1">'Scenario Naming'!$M$1:$M$904</definedName>
    <definedName name="Z_C11143F3_5039_4616_8F54_5BB6F58E0A3F_.wvu.FilterData" localSheetId="9" hidden="1">copy!$AE$1:$AE$911</definedName>
    <definedName name="Z_C11143F3_5039_4616_8F54_5BB6F58E0A3F_.wvu.FilterData" localSheetId="10" hidden="1">'New Scenarios Review'!$AE$1:$AE$681</definedName>
    <definedName name="Z_C11143F3_5039_4616_8F54_5BB6F58E0A3F_.wvu.FilterData" localSheetId="2" hidden="1">'Scenario Naming'!$AE$1:$AE$904</definedName>
    <definedName name="Z_CA961114_8F4A_497C_BC45_660719605658_.wvu.FilterData" localSheetId="9" hidden="1">copy!$AD$1:$AD$911</definedName>
    <definedName name="Z_CA961114_8F4A_497C_BC45_660719605658_.wvu.FilterData" localSheetId="2" hidden="1">'Scenario Naming'!$AD$1:$AD$904</definedName>
    <definedName name="Z_DDA8AF42_7AE6_4886_96E5_A8B4CF0DB619_.wvu.FilterData" localSheetId="9" hidden="1">copy!$AE$1:$AE$911</definedName>
    <definedName name="Z_DDA8AF42_7AE6_4886_96E5_A8B4CF0DB619_.wvu.FilterData" localSheetId="10" hidden="1">'New Scenarios Review'!$AE$1:$AE$681</definedName>
    <definedName name="Z_DDA8AF42_7AE6_4886_96E5_A8B4CF0DB619_.wvu.FilterData" localSheetId="2" hidden="1">'Scenario Naming'!$AE$1:$AE$904</definedName>
    <definedName name="Z_E0DB8C99_D8E3_4531_BF97_BBACA0B76575_.wvu.FilterData" localSheetId="9" hidden="1">copy!$AD$1:$AD$911</definedName>
    <definedName name="Z_E0DB8C99_D8E3_4531_BF97_BBACA0B76575_.wvu.FilterData" localSheetId="2" hidden="1">'Scenario Naming'!$AD$1:$AD$904</definedName>
    <definedName name="Z_E52F6983_849E_4B78_A13A_F80E701FF56C_.wvu.FilterData" localSheetId="9" hidden="1">copy!$AE$1:$AE$911</definedName>
    <definedName name="Z_E52F6983_849E_4B78_A13A_F80E701FF56C_.wvu.FilterData" localSheetId="10" hidden="1">'New Scenarios Review'!$AE$1:$AE$681</definedName>
    <definedName name="Z_E52F6983_849E_4B78_A13A_F80E701FF56C_.wvu.FilterData" localSheetId="2" hidden="1">'Scenario Naming'!$AE$1:$AE$904</definedName>
    <definedName name="Z_E5D717CC_3596_4541_A178_946066D6A9AC_.wvu.FilterData" localSheetId="2" hidden="1">'Scenario Naming'!$K$1:$K$904</definedName>
    <definedName name="Z_EFCA6297_B413_46AC_BD28_F984983EBE61_.wvu.FilterData" localSheetId="9" hidden="1">copy!$AE$1:$AE$911</definedName>
    <definedName name="Z_EFCA6297_B413_46AC_BD28_F984983EBE61_.wvu.FilterData" localSheetId="10" hidden="1">'New Scenarios Review'!$AE$1:$AE$681</definedName>
    <definedName name="Z_EFCA6297_B413_46AC_BD28_F984983EBE61_.wvu.FilterData" localSheetId="2" hidden="1">'Scenario Naming'!$AE$1:$AE$904</definedName>
  </definedNames>
  <calcPr calcId="191029"/>
  <customWorkbookViews>
    <customWorkbookView name="Filter 1" guid="{A3EAC07F-81BF-4BC3-9163-D7BB2B400FDD}" maximized="1" windowWidth="0" windowHeight="0" activeSheetId="0"/>
    <customWorkbookView name="Filter 3" guid="{C11143F3-5039-4616-8F54-5BB6F58E0A3F}" maximized="1" windowWidth="0" windowHeight="0" activeSheetId="0"/>
    <customWorkbookView name="Filter 2" guid="{DDA8AF42-7AE6-4886-96E5-A8B4CF0DB619}" maximized="1" windowWidth="0" windowHeight="0" activeSheetId="0"/>
    <customWorkbookView name="Filter 5" guid="{0986B57A-A09A-4F97-BC44-A5665F7874C0}" maximized="1" windowWidth="0" windowHeight="0" activeSheetId="0"/>
    <customWorkbookView name="Filter 4" guid="{EFCA6297-B413-46AC-BD28-F984983EBE61}" maximized="1" windowWidth="0" windowHeight="0" activeSheetId="0"/>
    <customWorkbookView name="Filter 7" guid="{46A08C88-F057-4E77-84DA-41349FC9CF9F}" maximized="1" windowWidth="0" windowHeight="0" activeSheetId="0"/>
    <customWorkbookView name="Filter 6" guid="{E52F6983-849E-4B78-A13A-F80E701FF56C}" maximized="1" windowWidth="0" windowHeight="0" activeSheetId="0"/>
    <customWorkbookView name="Filter 9" guid="{A4586E54-8C18-402A-88F5-A1D2BB888F5F}" maximized="1" windowWidth="0" windowHeight="0" activeSheetId="0"/>
    <customWorkbookView name="Filter 10" guid="{70C2C3CB-9C77-45D0-92BF-083A1A89E2EC}" maximized="1" windowWidth="0" windowHeight="0" activeSheetId="0"/>
    <customWorkbookView name="Filter 8" guid="{7D1D0CFF-A21C-4D7C-B4BE-D6CB3FEE1491}" maximized="1" windowWidth="0" windowHeight="0" activeSheetId="0"/>
    <customWorkbookView name="Reviewer" guid="{01571460-2DCB-42BD-A34A-0F0974471195}" maximized="1" windowWidth="0" windowHeight="0" activeSheetId="0"/>
    <customWorkbookView name="Creator" guid="{30A25E70-968A-42D1-8004-AA7CAE7DDE4C}" maximized="1" windowWidth="0" windowHeight="0" activeSheetId="0"/>
    <customWorkbookView name="Filter 16" guid="{B3B4BA88-7E98-4B62-A858-7C3A40640401}" maximized="1" windowWidth="0" windowHeight="0" activeSheetId="0"/>
    <customWorkbookView name="Filter 15" guid="{E5D717CC-3596-4541-A178-946066D6A9AC}" maximized="1" windowWidth="0" windowHeight="0" activeSheetId="0"/>
    <customWorkbookView name="Filter 14" guid="{A21C9F9C-3D66-44CB-9757-8F7DE4AF9855}" maximized="1" windowWidth="0" windowHeight="0" activeSheetId="0"/>
    <customWorkbookView name="Filter 13" guid="{13CC7FEA-71B2-4BBB-B49E-35071E5B7AB8}" maximized="1" windowWidth="0" windowHeight="0" activeSheetId="0"/>
    <customWorkbookView name="Filter 12" guid="{E0DB8C99-D8E3-4531-BF97-BBACA0B76575}" maximized="1" windowWidth="0" windowHeight="0" activeSheetId="0"/>
    <customWorkbookView name="Filter 11" guid="{CA961114-8F4A-497C-BC45-660719605658}"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112" i="21" l="1"/>
  <c r="E111" i="21"/>
  <c r="E110" i="21"/>
  <c r="E109" i="21"/>
  <c r="E108" i="21"/>
  <c r="E107" i="21"/>
  <c r="E106" i="21"/>
  <c r="E105" i="21"/>
  <c r="E104" i="21"/>
  <c r="E103" i="21"/>
  <c r="E102" i="21"/>
  <c r="E101" i="21"/>
  <c r="E100" i="21"/>
  <c r="E99" i="21"/>
  <c r="E98" i="21"/>
  <c r="E97"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G67" i="21"/>
  <c r="E67" i="21"/>
  <c r="G66" i="21"/>
  <c r="E66" i="21"/>
  <c r="G65" i="21"/>
  <c r="E65" i="21"/>
  <c r="G64" i="21"/>
  <c r="E64" i="21"/>
  <c r="G63" i="21"/>
  <c r="E63" i="21"/>
  <c r="G62" i="21"/>
  <c r="E62" i="21"/>
  <c r="G61" i="21"/>
  <c r="E61" i="21"/>
  <c r="G60" i="21"/>
  <c r="E60" i="21"/>
  <c r="G59" i="21"/>
  <c r="E59" i="21"/>
  <c r="G58" i="21"/>
  <c r="E58" i="21"/>
  <c r="G57" i="21"/>
  <c r="E57" i="21"/>
  <c r="G56" i="21"/>
  <c r="E56" i="21"/>
  <c r="G55" i="21"/>
  <c r="E55" i="21"/>
  <c r="G54" i="21"/>
  <c r="E54" i="21"/>
  <c r="G53" i="21"/>
  <c r="E53" i="21"/>
  <c r="G52" i="21"/>
  <c r="E52" i="21"/>
  <c r="G51" i="21"/>
  <c r="E51" i="21"/>
  <c r="G50" i="21"/>
  <c r="E50" i="21"/>
  <c r="G49" i="21"/>
  <c r="E49" i="21"/>
  <c r="G48" i="21"/>
  <c r="E48" i="21"/>
  <c r="G47" i="21"/>
  <c r="E47" i="21"/>
  <c r="G46" i="21"/>
  <c r="E46" i="21"/>
  <c r="G45" i="21"/>
  <c r="E45" i="21"/>
  <c r="G44" i="21"/>
  <c r="E44" i="21"/>
  <c r="G43" i="21"/>
  <c r="E43" i="21"/>
  <c r="G42" i="21"/>
  <c r="E42" i="21"/>
  <c r="G41" i="21"/>
  <c r="E41" i="21"/>
  <c r="G40" i="21"/>
  <c r="E40" i="21"/>
  <c r="G39" i="21"/>
  <c r="E39" i="21"/>
  <c r="G38" i="21"/>
  <c r="E38" i="21"/>
  <c r="G37" i="21"/>
  <c r="E37" i="21"/>
  <c r="G36" i="21"/>
  <c r="E36" i="21"/>
  <c r="G35" i="21"/>
  <c r="E35" i="21"/>
  <c r="G34" i="21"/>
  <c r="E34" i="21"/>
  <c r="G33" i="21"/>
  <c r="E33" i="21"/>
  <c r="G32" i="21"/>
  <c r="E32" i="21"/>
  <c r="G31" i="21"/>
  <c r="E31" i="21"/>
  <c r="G30" i="21"/>
  <c r="E30" i="21"/>
  <c r="G29" i="21"/>
  <c r="E29" i="21"/>
  <c r="G28" i="21"/>
  <c r="E28" i="21"/>
  <c r="G27" i="21"/>
  <c r="E27" i="21"/>
  <c r="G26" i="21"/>
  <c r="E26" i="21"/>
  <c r="G25" i="21"/>
  <c r="E25" i="21"/>
  <c r="G24" i="21"/>
  <c r="E24" i="21"/>
  <c r="G23" i="21"/>
  <c r="E23" i="21"/>
  <c r="G22" i="21"/>
  <c r="E22" i="21"/>
  <c r="G21" i="21"/>
  <c r="E21" i="21"/>
  <c r="G20" i="21"/>
  <c r="E20" i="21"/>
  <c r="G19" i="21"/>
  <c r="E19" i="21"/>
  <c r="G18" i="21"/>
  <c r="E18" i="21"/>
  <c r="G17" i="21"/>
  <c r="E17" i="21"/>
  <c r="G16" i="21"/>
  <c r="E16" i="21"/>
  <c r="G15" i="21"/>
  <c r="E15" i="21"/>
  <c r="G14" i="21"/>
  <c r="E14" i="21"/>
  <c r="G13" i="21"/>
  <c r="E13" i="21"/>
  <c r="G12" i="21"/>
  <c r="E12" i="21"/>
  <c r="G11" i="21"/>
  <c r="E11" i="21"/>
  <c r="G10" i="21"/>
  <c r="E10" i="21"/>
  <c r="G9" i="21"/>
  <c r="E9" i="21"/>
  <c r="G8" i="21"/>
  <c r="E8" i="21"/>
  <c r="G7" i="21"/>
  <c r="E7" i="21"/>
  <c r="G6" i="21"/>
  <c r="E6" i="21"/>
  <c r="G5" i="21"/>
  <c r="E5" i="21"/>
  <c r="G4" i="21"/>
  <c r="E4" i="21"/>
  <c r="G3" i="21"/>
  <c r="E3" i="21"/>
  <c r="G2" i="21"/>
  <c r="E2" i="21"/>
  <c r="E1" i="21"/>
  <c r="I12" i="12"/>
  <c r="H13" i="12" s="1"/>
  <c r="H12" i="12"/>
  <c r="G12" i="12"/>
  <c r="F12" i="12"/>
  <c r="E12" i="12"/>
  <c r="D11" i="12"/>
  <c r="D10" i="12"/>
  <c r="D12" i="12" s="1"/>
  <c r="AI328" i="8"/>
  <c r="AJ328" i="8" s="1"/>
  <c r="AI327" i="8"/>
  <c r="AJ327" i="8" s="1"/>
  <c r="AI326" i="8"/>
  <c r="AJ326" i="8" s="1"/>
  <c r="AI325" i="8"/>
  <c r="AJ325" i="8" s="1"/>
  <c r="AI324" i="8"/>
  <c r="AJ324" i="8" s="1"/>
  <c r="AI323" i="8"/>
  <c r="AJ323" i="8" s="1"/>
  <c r="AI322" i="8"/>
  <c r="AJ322" i="8" s="1"/>
  <c r="AI321" i="8"/>
  <c r="AJ321" i="8" s="1"/>
  <c r="AI320" i="8"/>
  <c r="AJ320" i="8" s="1"/>
  <c r="AI319" i="8"/>
  <c r="AJ319" i="8" s="1"/>
  <c r="AI318" i="8"/>
  <c r="AJ318" i="8" s="1"/>
  <c r="AI317" i="8"/>
  <c r="AJ317" i="8" s="1"/>
  <c r="AI316" i="8"/>
  <c r="AJ316" i="8" s="1"/>
  <c r="AI315" i="8"/>
  <c r="AJ315" i="8" s="1"/>
  <c r="AI314" i="8"/>
  <c r="AJ314" i="8" s="1"/>
  <c r="AI313" i="8"/>
  <c r="AJ313" i="8" s="1"/>
  <c r="AI312" i="8"/>
  <c r="AJ312" i="8" s="1"/>
  <c r="AI311" i="8"/>
  <c r="AJ311" i="8" s="1"/>
  <c r="AI310" i="8"/>
  <c r="AJ310" i="8" s="1"/>
  <c r="AI309" i="8"/>
  <c r="AJ309" i="8" s="1"/>
  <c r="AI308" i="8"/>
  <c r="AJ308" i="8" s="1"/>
  <c r="AI307" i="8"/>
  <c r="AJ307" i="8" s="1"/>
  <c r="AI306" i="8"/>
  <c r="AJ306" i="8" s="1"/>
  <c r="AI305" i="8"/>
  <c r="AJ305" i="8" s="1"/>
  <c r="AI304" i="8"/>
  <c r="AJ304" i="8" s="1"/>
  <c r="AI303" i="8"/>
  <c r="AJ303" i="8" s="1"/>
  <c r="AI302" i="8"/>
  <c r="AJ302" i="8" s="1"/>
  <c r="AI301" i="8"/>
  <c r="AJ301" i="8" s="1"/>
  <c r="AI300" i="8"/>
  <c r="AJ300" i="8" s="1"/>
  <c r="AI299" i="8"/>
  <c r="AJ299" i="8" s="1"/>
  <c r="AI298" i="8"/>
  <c r="AJ298" i="8" s="1"/>
  <c r="AI297" i="8"/>
  <c r="AJ297" i="8" s="1"/>
  <c r="AI296" i="8"/>
  <c r="AJ296" i="8" s="1"/>
  <c r="AI295" i="8"/>
  <c r="AJ295" i="8" s="1"/>
  <c r="AI294" i="8"/>
  <c r="AJ294" i="8" s="1"/>
  <c r="AI293" i="8"/>
  <c r="AJ293" i="8" s="1"/>
  <c r="AI292" i="8"/>
  <c r="AJ292" i="8" s="1"/>
  <c r="AI291" i="8"/>
  <c r="AJ291" i="8" s="1"/>
  <c r="AI290" i="8"/>
  <c r="AJ290" i="8" s="1"/>
  <c r="AI289" i="8"/>
  <c r="AJ289" i="8" s="1"/>
  <c r="AI288" i="8"/>
  <c r="AJ288" i="8" s="1"/>
  <c r="AI287" i="8"/>
  <c r="AJ287" i="8" s="1"/>
  <c r="AI286" i="8"/>
  <c r="AJ286" i="8" s="1"/>
  <c r="AI285" i="8"/>
  <c r="AJ285" i="8" s="1"/>
  <c r="AI284" i="8"/>
  <c r="AJ284" i="8" s="1"/>
  <c r="AI283" i="8"/>
  <c r="AJ283" i="8" s="1"/>
  <c r="AI282" i="8"/>
  <c r="AJ282" i="8" s="1"/>
  <c r="AI281" i="8"/>
  <c r="AJ281" i="8" s="1"/>
  <c r="AI280" i="8"/>
  <c r="AJ280" i="8" s="1"/>
  <c r="AI279" i="8"/>
  <c r="AJ279" i="8" s="1"/>
  <c r="AI278" i="8"/>
  <c r="AJ278" i="8" s="1"/>
  <c r="AI277" i="8"/>
  <c r="AJ277" i="8" s="1"/>
  <c r="AI276" i="8"/>
  <c r="AJ276" i="8" s="1"/>
  <c r="AI275" i="8"/>
  <c r="AJ275" i="8" s="1"/>
  <c r="AI274" i="8"/>
  <c r="AJ274" i="8" s="1"/>
  <c r="AI273" i="8"/>
  <c r="AJ273" i="8" s="1"/>
  <c r="AI272" i="8"/>
  <c r="AJ272" i="8" s="1"/>
  <c r="AI271" i="8"/>
  <c r="AJ271" i="8" s="1"/>
  <c r="AI270" i="8"/>
  <c r="AJ270" i="8" s="1"/>
  <c r="AI269" i="8"/>
  <c r="AJ269" i="8" s="1"/>
  <c r="AI268" i="8"/>
  <c r="AJ268" i="8" s="1"/>
  <c r="AI267" i="8"/>
  <c r="AJ267" i="8" s="1"/>
  <c r="AI266" i="8"/>
  <c r="AJ266" i="8" s="1"/>
  <c r="AI265" i="8"/>
  <c r="AJ265" i="8" s="1"/>
  <c r="AI264" i="8"/>
  <c r="AJ264" i="8" s="1"/>
  <c r="AI263" i="8"/>
  <c r="AJ263" i="8" s="1"/>
  <c r="AI262" i="8"/>
  <c r="AJ262" i="8" s="1"/>
  <c r="AI261" i="8"/>
  <c r="AJ261" i="8" s="1"/>
  <c r="AI260" i="8"/>
  <c r="AJ260" i="8" s="1"/>
  <c r="AI259" i="8"/>
  <c r="AJ259" i="8" s="1"/>
  <c r="AI258" i="8"/>
  <c r="AJ258" i="8" s="1"/>
  <c r="AI257" i="8"/>
  <c r="AJ257" i="8" s="1"/>
  <c r="AI256" i="8"/>
  <c r="AJ256" i="8" s="1"/>
  <c r="AI255" i="8"/>
  <c r="AJ255" i="8" s="1"/>
  <c r="AI254" i="8"/>
  <c r="AJ254" i="8" s="1"/>
  <c r="AI253" i="8"/>
  <c r="AJ253" i="8" s="1"/>
  <c r="AI252" i="8"/>
  <c r="AJ252" i="8" s="1"/>
  <c r="AI251" i="8"/>
  <c r="AJ251" i="8" s="1"/>
  <c r="AI250" i="8"/>
  <c r="AJ250" i="8" s="1"/>
  <c r="AI249" i="8"/>
  <c r="AJ249" i="8" s="1"/>
  <c r="AI248" i="8"/>
  <c r="AJ248" i="8" s="1"/>
  <c r="AI247" i="8"/>
  <c r="AJ247" i="8" s="1"/>
  <c r="AI246" i="8"/>
  <c r="AJ246" i="8" s="1"/>
  <c r="AI245" i="8"/>
  <c r="AJ245" i="8" s="1"/>
  <c r="AI244" i="8"/>
  <c r="AJ244" i="8" s="1"/>
  <c r="AI243" i="8"/>
  <c r="AJ243" i="8" s="1"/>
  <c r="AI242" i="8"/>
  <c r="AJ242" i="8" s="1"/>
  <c r="AI241" i="8"/>
  <c r="AJ241" i="8" s="1"/>
  <c r="AI240" i="8"/>
  <c r="AJ240" i="8" s="1"/>
  <c r="AI239" i="8"/>
  <c r="AJ239" i="8" s="1"/>
  <c r="AI238" i="8"/>
  <c r="AJ238" i="8" s="1"/>
  <c r="AI237" i="8"/>
  <c r="AJ237" i="8" s="1"/>
  <c r="AI236" i="8"/>
  <c r="AJ236" i="8" s="1"/>
  <c r="AI235" i="8"/>
  <c r="AJ235" i="8" s="1"/>
  <c r="AI234" i="8"/>
  <c r="AJ234" i="8" s="1"/>
  <c r="AI233" i="8"/>
  <c r="AJ233" i="8" s="1"/>
  <c r="AI232" i="8"/>
  <c r="AJ232" i="8" s="1"/>
  <c r="AI231" i="8"/>
  <c r="AJ231" i="8" s="1"/>
  <c r="AI230" i="8"/>
  <c r="AJ230" i="8" s="1"/>
  <c r="AI229" i="8"/>
  <c r="AJ229" i="8" s="1"/>
  <c r="AI228" i="8"/>
  <c r="AJ228" i="8" s="1"/>
  <c r="AI227" i="8"/>
  <c r="AJ227" i="8" s="1"/>
  <c r="AI226" i="8"/>
  <c r="AJ226" i="8" s="1"/>
  <c r="AI225" i="8"/>
  <c r="AJ225" i="8" s="1"/>
  <c r="AI224" i="8"/>
  <c r="AJ224" i="8" s="1"/>
  <c r="AI223" i="8"/>
  <c r="AJ223" i="8" s="1"/>
  <c r="AI222" i="8"/>
  <c r="AJ222" i="8" s="1"/>
  <c r="AI221" i="8"/>
  <c r="AJ221" i="8" s="1"/>
  <c r="AI220" i="8"/>
  <c r="AJ220" i="8" s="1"/>
  <c r="AI219" i="8"/>
  <c r="AJ219" i="8" s="1"/>
  <c r="AI218" i="8"/>
  <c r="AJ218" i="8" s="1"/>
  <c r="AI217" i="8"/>
  <c r="AJ217" i="8" s="1"/>
  <c r="AI216" i="8"/>
  <c r="AJ216" i="8" s="1"/>
  <c r="AI215" i="8"/>
  <c r="AJ215" i="8" s="1"/>
  <c r="AI214" i="8"/>
  <c r="AJ214" i="8" s="1"/>
  <c r="AI213" i="8"/>
  <c r="AJ213" i="8" s="1"/>
  <c r="AI212" i="8"/>
  <c r="AJ212" i="8" s="1"/>
  <c r="AI211" i="8"/>
  <c r="AJ211" i="8" s="1"/>
  <c r="AI210" i="8"/>
  <c r="AJ210" i="8" s="1"/>
  <c r="AI209" i="8"/>
  <c r="AJ209" i="8" s="1"/>
  <c r="AI208" i="8"/>
  <c r="AJ208" i="8" s="1"/>
  <c r="AI207" i="8"/>
  <c r="AJ207" i="8" s="1"/>
  <c r="AI206" i="8"/>
  <c r="AJ206" i="8" s="1"/>
  <c r="AI205" i="8"/>
  <c r="AJ205" i="8" s="1"/>
  <c r="AI204" i="8"/>
  <c r="AJ204" i="8" s="1"/>
  <c r="AI203" i="8"/>
  <c r="AJ203" i="8" s="1"/>
  <c r="AI202" i="8"/>
  <c r="AJ202" i="8" s="1"/>
  <c r="AI201" i="8"/>
  <c r="AJ201" i="8" s="1"/>
  <c r="AI200" i="8"/>
  <c r="AJ200" i="8" s="1"/>
  <c r="AI199" i="8"/>
  <c r="AJ199" i="8" s="1"/>
  <c r="AI198" i="8"/>
  <c r="AJ198" i="8" s="1"/>
  <c r="AI197" i="8"/>
  <c r="AJ197" i="8" s="1"/>
  <c r="AI196" i="8"/>
  <c r="AJ196" i="8" s="1"/>
  <c r="AI195" i="8"/>
  <c r="AJ195" i="8" s="1"/>
  <c r="AI194" i="8"/>
  <c r="AJ194" i="8" s="1"/>
  <c r="AI193" i="8"/>
  <c r="AJ193" i="8" s="1"/>
  <c r="AI192" i="8"/>
  <c r="AJ192" i="8" s="1"/>
  <c r="AI191" i="8"/>
  <c r="AJ191" i="8" s="1"/>
  <c r="AI190" i="8"/>
  <c r="AJ190" i="8" s="1"/>
  <c r="AI189" i="8"/>
  <c r="AJ189" i="8" s="1"/>
  <c r="AI188" i="8"/>
  <c r="AJ188" i="8" s="1"/>
  <c r="AI187" i="8"/>
  <c r="AJ187" i="8" s="1"/>
  <c r="AI186" i="8"/>
  <c r="AJ186" i="8" s="1"/>
  <c r="AI185" i="8"/>
  <c r="AJ185" i="8" s="1"/>
  <c r="AI184" i="8"/>
  <c r="AJ184" i="8" s="1"/>
  <c r="AI183" i="8"/>
  <c r="AJ183" i="8" s="1"/>
  <c r="AI182" i="8"/>
  <c r="AJ182" i="8" s="1"/>
  <c r="AI181" i="8"/>
  <c r="AJ181" i="8" s="1"/>
  <c r="AI180" i="8"/>
  <c r="AJ180" i="8" s="1"/>
  <c r="AI179" i="8"/>
  <c r="AJ179" i="8" s="1"/>
  <c r="AI178" i="8"/>
  <c r="AJ178" i="8" s="1"/>
  <c r="AI177" i="8"/>
  <c r="AJ177" i="8" s="1"/>
  <c r="AI176" i="8"/>
  <c r="AJ176" i="8" s="1"/>
  <c r="AI175" i="8"/>
  <c r="AJ175" i="8" s="1"/>
  <c r="AI174" i="8"/>
  <c r="AJ174" i="8" s="1"/>
  <c r="AI173" i="8"/>
  <c r="AJ173" i="8" s="1"/>
  <c r="AI172" i="8"/>
  <c r="AJ172" i="8" s="1"/>
  <c r="AI171" i="8"/>
  <c r="AJ171" i="8" s="1"/>
  <c r="AI170" i="8"/>
  <c r="AJ170" i="8" s="1"/>
  <c r="AI169" i="8"/>
  <c r="AJ169" i="8" s="1"/>
  <c r="AI168" i="8"/>
  <c r="AJ168" i="8" s="1"/>
  <c r="AI167" i="8"/>
  <c r="AJ167" i="8" s="1"/>
  <c r="AI166" i="8"/>
  <c r="AJ166" i="8" s="1"/>
  <c r="AI165" i="8"/>
  <c r="AJ165" i="8" s="1"/>
  <c r="AI164" i="8"/>
  <c r="AJ164" i="8" s="1"/>
  <c r="AI163" i="8"/>
  <c r="AJ163" i="8" s="1"/>
  <c r="AI162" i="8"/>
  <c r="AJ162" i="8" s="1"/>
  <c r="AI161" i="8"/>
  <c r="AJ161" i="8" s="1"/>
  <c r="AI160" i="8"/>
  <c r="AJ160" i="8" s="1"/>
  <c r="AI159" i="8"/>
  <c r="AJ159" i="8" s="1"/>
  <c r="AI158" i="8"/>
  <c r="AJ158" i="8" s="1"/>
  <c r="AI157" i="8"/>
  <c r="AJ157" i="8" s="1"/>
  <c r="AI156" i="8"/>
  <c r="AJ156" i="8" s="1"/>
  <c r="AI155" i="8"/>
  <c r="AJ155" i="8" s="1"/>
  <c r="AI154" i="8"/>
  <c r="AJ154" i="8" s="1"/>
  <c r="AI153" i="8"/>
  <c r="AJ153" i="8" s="1"/>
  <c r="AI152" i="8"/>
  <c r="AJ152" i="8" s="1"/>
  <c r="AI151" i="8"/>
  <c r="AJ151" i="8" s="1"/>
  <c r="AI150" i="8"/>
  <c r="AJ150" i="8" s="1"/>
  <c r="AI149" i="8"/>
  <c r="AJ149" i="8" s="1"/>
  <c r="AI148" i="8"/>
  <c r="AJ148" i="8" s="1"/>
  <c r="AI147" i="8"/>
  <c r="AJ147" i="8" s="1"/>
  <c r="AI146" i="8"/>
  <c r="AJ146" i="8" s="1"/>
  <c r="AI145" i="8"/>
  <c r="AJ145" i="8" s="1"/>
  <c r="AI144" i="8"/>
  <c r="AJ144" i="8" s="1"/>
  <c r="AI143" i="8"/>
  <c r="AJ143" i="8" s="1"/>
  <c r="AI142" i="8"/>
  <c r="AJ142" i="8" s="1"/>
  <c r="AI141" i="8"/>
  <c r="AJ141" i="8" s="1"/>
  <c r="AI140" i="8"/>
  <c r="AJ140" i="8" s="1"/>
  <c r="AI139" i="8"/>
  <c r="AJ139" i="8" s="1"/>
  <c r="AI138" i="8"/>
  <c r="AJ138" i="8" s="1"/>
  <c r="AI137" i="8"/>
  <c r="AJ137" i="8" s="1"/>
  <c r="AI136" i="8"/>
  <c r="AJ136" i="8" s="1"/>
  <c r="AI135" i="8"/>
  <c r="AJ135" i="8" s="1"/>
  <c r="AI134" i="8"/>
  <c r="AJ134" i="8" s="1"/>
  <c r="AI133" i="8"/>
  <c r="AJ133" i="8" s="1"/>
  <c r="AI132" i="8"/>
  <c r="AJ132" i="8" s="1"/>
  <c r="AI131" i="8"/>
  <c r="AJ131" i="8" s="1"/>
  <c r="AI130" i="8"/>
  <c r="AJ130" i="8" s="1"/>
  <c r="AI129" i="8"/>
  <c r="AJ129" i="8" s="1"/>
  <c r="AI128" i="8"/>
  <c r="AJ128" i="8" s="1"/>
  <c r="AI127" i="8"/>
  <c r="AJ127" i="8" s="1"/>
  <c r="AI126" i="8"/>
  <c r="AJ126" i="8" s="1"/>
  <c r="AI125" i="8"/>
  <c r="AJ125" i="8" s="1"/>
  <c r="AI124" i="8"/>
  <c r="AJ124" i="8" s="1"/>
  <c r="AI123" i="8"/>
  <c r="AJ123" i="8" s="1"/>
  <c r="AI122" i="8"/>
  <c r="AJ122" i="8" s="1"/>
  <c r="AI121" i="8"/>
  <c r="AJ121" i="8" s="1"/>
  <c r="AI120" i="8"/>
  <c r="AJ120" i="8" s="1"/>
  <c r="AI119" i="8"/>
  <c r="AJ119" i="8" s="1"/>
  <c r="AI118" i="8"/>
  <c r="AJ118" i="8" s="1"/>
  <c r="AI117" i="8"/>
  <c r="AJ117" i="8" s="1"/>
  <c r="AI116" i="8"/>
  <c r="AJ116" i="8" s="1"/>
  <c r="AI115" i="8"/>
  <c r="AJ115" i="8" s="1"/>
  <c r="AI114" i="8"/>
  <c r="AJ114" i="8" s="1"/>
  <c r="AI113" i="8"/>
  <c r="AJ113" i="8" s="1"/>
  <c r="AI112" i="8"/>
  <c r="AJ112" i="8" s="1"/>
  <c r="AI111" i="8"/>
  <c r="AJ111" i="8" s="1"/>
  <c r="AI110" i="8"/>
  <c r="AJ110" i="8" s="1"/>
  <c r="AI109" i="8"/>
  <c r="AJ109" i="8" s="1"/>
  <c r="AI108" i="8"/>
  <c r="AJ108" i="8" s="1"/>
  <c r="AI107" i="8"/>
  <c r="AJ107" i="8" s="1"/>
  <c r="AI106" i="8"/>
  <c r="AJ106" i="8" s="1"/>
  <c r="AI105" i="8"/>
  <c r="AJ105" i="8" s="1"/>
  <c r="AI104" i="8"/>
  <c r="AJ104" i="8" s="1"/>
  <c r="AI103" i="8"/>
  <c r="AJ103" i="8" s="1"/>
  <c r="AI102" i="8"/>
  <c r="AJ102" i="8" s="1"/>
  <c r="AI101" i="8"/>
  <c r="AJ101" i="8" s="1"/>
  <c r="AI100" i="8"/>
  <c r="AJ100" i="8" s="1"/>
  <c r="AI99" i="8"/>
  <c r="AJ99" i="8" s="1"/>
  <c r="AI98" i="8"/>
  <c r="AJ98" i="8" s="1"/>
  <c r="AI97" i="8"/>
  <c r="AJ97" i="8" s="1"/>
  <c r="AI96" i="8"/>
  <c r="AJ96" i="8" s="1"/>
  <c r="AI95" i="8"/>
  <c r="AJ95" i="8" s="1"/>
  <c r="AI94" i="8"/>
  <c r="AJ94" i="8" s="1"/>
  <c r="AI93" i="8"/>
  <c r="AJ93" i="8" s="1"/>
  <c r="AI92" i="8"/>
  <c r="AJ92" i="8" s="1"/>
  <c r="AI91" i="8"/>
  <c r="AJ91" i="8" s="1"/>
  <c r="AI90" i="8"/>
  <c r="AJ90" i="8" s="1"/>
  <c r="AI89" i="8"/>
  <c r="AJ89" i="8" s="1"/>
  <c r="AI88" i="8"/>
  <c r="AJ88" i="8" s="1"/>
  <c r="AI87" i="8"/>
  <c r="AJ87" i="8" s="1"/>
  <c r="AI86" i="8"/>
  <c r="AJ86" i="8" s="1"/>
  <c r="AI85" i="8"/>
  <c r="AJ85" i="8" s="1"/>
  <c r="AI84" i="8"/>
  <c r="AJ84" i="8" s="1"/>
  <c r="AI83" i="8"/>
  <c r="AJ83" i="8" s="1"/>
  <c r="AI82" i="8"/>
  <c r="AJ82" i="8" s="1"/>
  <c r="AI81" i="8"/>
  <c r="AJ81" i="8" s="1"/>
  <c r="AI80" i="8"/>
  <c r="AJ80" i="8" s="1"/>
  <c r="AI79" i="8"/>
  <c r="AJ79" i="8" s="1"/>
  <c r="AI78" i="8"/>
  <c r="AJ78" i="8" s="1"/>
  <c r="AI77" i="8"/>
  <c r="AJ77" i="8" s="1"/>
  <c r="AI76" i="8"/>
  <c r="AJ76" i="8" s="1"/>
  <c r="AI75" i="8"/>
  <c r="AJ75" i="8" s="1"/>
  <c r="AI74" i="8"/>
  <c r="AJ74" i="8" s="1"/>
  <c r="AI73" i="8"/>
  <c r="AJ73" i="8" s="1"/>
  <c r="AI72" i="8"/>
  <c r="AJ72" i="8" s="1"/>
  <c r="AI71" i="8"/>
  <c r="AJ71" i="8" s="1"/>
  <c r="AI70" i="8"/>
  <c r="AJ70" i="8" s="1"/>
  <c r="AI69" i="8"/>
  <c r="AJ69" i="8" s="1"/>
  <c r="AI68" i="8"/>
  <c r="AJ68" i="8" s="1"/>
  <c r="AI67" i="8"/>
  <c r="AJ67" i="8" s="1"/>
  <c r="AI66" i="8"/>
  <c r="AJ66" i="8" s="1"/>
  <c r="AI65" i="8"/>
  <c r="AJ65" i="8" s="1"/>
  <c r="AI64" i="8"/>
  <c r="AJ64" i="8" s="1"/>
  <c r="AI63" i="8"/>
  <c r="AJ63" i="8" s="1"/>
  <c r="AI62" i="8"/>
  <c r="AJ62" i="8" s="1"/>
  <c r="AI61" i="8"/>
  <c r="AJ61" i="8" s="1"/>
  <c r="AI60" i="8"/>
  <c r="AJ60" i="8" s="1"/>
  <c r="AI59" i="8"/>
  <c r="AJ59" i="8" s="1"/>
  <c r="AI58" i="8"/>
  <c r="AJ58" i="8" s="1"/>
  <c r="AI57" i="8"/>
  <c r="AJ57" i="8" s="1"/>
  <c r="AI56" i="8"/>
  <c r="AJ56" i="8" s="1"/>
  <c r="AI55" i="8"/>
  <c r="AJ55" i="8" s="1"/>
  <c r="AI54" i="8"/>
  <c r="AJ54" i="8" s="1"/>
  <c r="AI53" i="8"/>
  <c r="AJ53" i="8" s="1"/>
  <c r="AI52" i="8"/>
  <c r="AJ52" i="8" s="1"/>
  <c r="AI51" i="8"/>
  <c r="AJ51" i="8" s="1"/>
  <c r="AI50" i="8"/>
  <c r="AJ50" i="8" s="1"/>
  <c r="AI49" i="8"/>
  <c r="AJ49" i="8" s="1"/>
  <c r="AI48" i="8"/>
  <c r="AJ48" i="8" s="1"/>
  <c r="AI47" i="8"/>
  <c r="AJ47" i="8" s="1"/>
  <c r="AI46" i="8"/>
  <c r="AJ46" i="8" s="1"/>
  <c r="AI45" i="8"/>
  <c r="AJ45" i="8" s="1"/>
  <c r="AI44" i="8"/>
  <c r="AJ44" i="8" s="1"/>
  <c r="AI43" i="8"/>
  <c r="AJ43" i="8" s="1"/>
  <c r="AI42" i="8"/>
  <c r="AJ42" i="8" s="1"/>
  <c r="AI41" i="8"/>
  <c r="AJ41" i="8" s="1"/>
  <c r="AI40" i="8"/>
  <c r="AJ40" i="8" s="1"/>
  <c r="AI39" i="8"/>
  <c r="AJ39" i="8" s="1"/>
  <c r="AI38" i="8"/>
  <c r="AJ38" i="8" s="1"/>
  <c r="AI37" i="8"/>
  <c r="AJ37" i="8" s="1"/>
  <c r="AI36" i="8"/>
  <c r="AJ36" i="8" s="1"/>
  <c r="AI35" i="8"/>
  <c r="AJ35" i="8" s="1"/>
  <c r="AI34" i="8"/>
  <c r="AJ34" i="8" s="1"/>
  <c r="AI33" i="8"/>
  <c r="AJ33" i="8" s="1"/>
  <c r="AI32" i="8"/>
  <c r="AJ32" i="8" s="1"/>
  <c r="AI31" i="8"/>
  <c r="AJ31" i="8" s="1"/>
  <c r="AI30" i="8"/>
  <c r="AJ30" i="8" s="1"/>
  <c r="AI29" i="8"/>
  <c r="AJ29" i="8" s="1"/>
  <c r="AI28" i="8"/>
  <c r="AJ28" i="8" s="1"/>
  <c r="AI27" i="8"/>
  <c r="AJ27" i="8" s="1"/>
  <c r="AI26" i="8"/>
  <c r="AJ26" i="8" s="1"/>
  <c r="AI25" i="8"/>
  <c r="AJ25" i="8" s="1"/>
  <c r="AI24" i="8"/>
  <c r="AJ24" i="8" s="1"/>
  <c r="AI23" i="8"/>
  <c r="AJ23" i="8" s="1"/>
  <c r="AI22" i="8"/>
  <c r="AJ22" i="8" s="1"/>
  <c r="AI21" i="8"/>
  <c r="AJ21" i="8" s="1"/>
  <c r="AI20" i="8"/>
  <c r="AJ20" i="8" s="1"/>
  <c r="AI19" i="8"/>
  <c r="AJ19" i="8" s="1"/>
  <c r="AI18" i="8"/>
  <c r="AJ18" i="8" s="1"/>
  <c r="AI17" i="8"/>
  <c r="AJ17" i="8" s="1"/>
  <c r="AI16" i="8"/>
  <c r="AJ16" i="8" s="1"/>
  <c r="AI15" i="8"/>
  <c r="AJ15" i="8" s="1"/>
  <c r="AI14" i="8"/>
  <c r="AJ14" i="8" s="1"/>
  <c r="AI13" i="8"/>
  <c r="AJ13" i="8" s="1"/>
  <c r="AI12" i="8"/>
  <c r="AJ12" i="8" s="1"/>
  <c r="AI11" i="8"/>
  <c r="AJ11" i="8" s="1"/>
  <c r="AI10" i="8"/>
  <c r="AJ10" i="8" s="1"/>
  <c r="AI9" i="8"/>
  <c r="AJ9" i="8" s="1"/>
  <c r="AI8" i="8"/>
  <c r="AJ8" i="8" s="1"/>
  <c r="AI7" i="8"/>
  <c r="AJ7" i="8" s="1"/>
  <c r="AI6" i="8"/>
  <c r="AJ6" i="8" s="1"/>
  <c r="AI5" i="8"/>
  <c r="AJ5" i="8" s="1"/>
  <c r="AI4" i="8"/>
  <c r="AJ4" i="8" s="1"/>
  <c r="AI3" i="8"/>
  <c r="AJ3" i="8" s="1"/>
  <c r="C212" i="3"/>
  <c r="B212" i="3"/>
  <c r="C211" i="3"/>
  <c r="B211" i="3"/>
  <c r="C210" i="3"/>
  <c r="B210" i="3"/>
  <c r="C209" i="3"/>
  <c r="B209" i="3"/>
  <c r="C208" i="3"/>
  <c r="B208" i="3"/>
  <c r="C205" i="3"/>
  <c r="B205" i="3"/>
  <c r="C204" i="3"/>
  <c r="B204" i="3"/>
  <c r="C203" i="3"/>
  <c r="B203" i="3"/>
  <c r="C200" i="3"/>
  <c r="B200" i="3"/>
  <c r="C199" i="3"/>
  <c r="B199" i="3"/>
  <c r="C196" i="3"/>
  <c r="B196" i="3"/>
  <c r="C195" i="3"/>
  <c r="B195" i="3"/>
  <c r="C194" i="3"/>
  <c r="B194" i="3"/>
  <c r="C193" i="3"/>
  <c r="B193" i="3"/>
  <c r="U192" i="3"/>
  <c r="T192" i="3"/>
  <c r="S192" i="3"/>
  <c r="R192" i="3"/>
  <c r="Q192" i="3"/>
  <c r="P192" i="3"/>
  <c r="O192" i="3"/>
  <c r="N192" i="3"/>
  <c r="M192" i="3"/>
  <c r="L192" i="3"/>
  <c r="K192" i="3"/>
  <c r="J192" i="3"/>
  <c r="I192" i="3"/>
  <c r="H192" i="3"/>
  <c r="G192" i="3"/>
  <c r="F192" i="3" s="1"/>
  <c r="C192" i="3"/>
  <c r="B192" i="3"/>
  <c r="C191" i="3"/>
  <c r="B191" i="3"/>
  <c r="C190" i="3"/>
  <c r="B190" i="3"/>
  <c r="M189" i="3" a="1"/>
  <c r="M189" i="3" s="1"/>
  <c r="N189" i="3" s="1"/>
  <c r="L189" i="3"/>
  <c r="K189" i="3"/>
  <c r="J189" i="3"/>
  <c r="I189" i="3"/>
  <c r="H189" i="3"/>
  <c r="G189" i="3"/>
  <c r="F189" i="3" s="1"/>
  <c r="C189" i="3"/>
  <c r="B189" i="3"/>
  <c r="C188" i="3"/>
  <c r="B188" i="3"/>
  <c r="L187" i="3"/>
  <c r="K187" i="3"/>
  <c r="J187" i="3"/>
  <c r="F187" i="3" s="1"/>
  <c r="I187" i="3"/>
  <c r="H187" i="3"/>
  <c r="G187" i="3"/>
  <c r="C187" i="3"/>
  <c r="B187" i="3"/>
  <c r="C186" i="3"/>
  <c r="B186" i="3"/>
  <c r="C183" i="3"/>
  <c r="B183" i="3"/>
  <c r="C182" i="3"/>
  <c r="B182" i="3"/>
  <c r="C181" i="3"/>
  <c r="B181" i="3"/>
  <c r="C180" i="3"/>
  <c r="B180" i="3"/>
  <c r="C179" i="3"/>
  <c r="B179" i="3"/>
  <c r="C178" i="3"/>
  <c r="B178" i="3"/>
  <c r="C177" i="3"/>
  <c r="B177" i="3"/>
  <c r="C176" i="3"/>
  <c r="B176" i="3"/>
  <c r="C175" i="3"/>
  <c r="B175" i="3"/>
  <c r="C174" i="3"/>
  <c r="B174" i="3"/>
  <c r="C173" i="3"/>
  <c r="B173" i="3"/>
  <c r="C172" i="3"/>
  <c r="B172" i="3"/>
  <c r="C169" i="3"/>
  <c r="B169" i="3"/>
  <c r="C168" i="3"/>
  <c r="B168" i="3"/>
  <c r="C167" i="3"/>
  <c r="B167" i="3"/>
  <c r="C166" i="3"/>
  <c r="B166" i="3"/>
  <c r="C165" i="3"/>
  <c r="B165" i="3"/>
  <c r="C164" i="3"/>
  <c r="B164" i="3"/>
  <c r="C163" i="3"/>
  <c r="B163" i="3"/>
  <c r="C162" i="3"/>
  <c r="B162" i="3"/>
  <c r="C161" i="3"/>
  <c r="B161" i="3"/>
  <c r="C160" i="3"/>
  <c r="B160" i="3"/>
  <c r="C159" i="3"/>
  <c r="B159" i="3"/>
  <c r="C158" i="3"/>
  <c r="B158" i="3"/>
  <c r="C157" i="3"/>
  <c r="B157" i="3"/>
  <c r="C156" i="3"/>
  <c r="B156" i="3"/>
  <c r="C153" i="3"/>
  <c r="B153" i="3"/>
  <c r="C152" i="3"/>
  <c r="B152" i="3"/>
  <c r="C151" i="3"/>
  <c r="B151" i="3"/>
  <c r="C150" i="3"/>
  <c r="B150" i="3"/>
  <c r="C149" i="3"/>
  <c r="B149" i="3"/>
  <c r="C148" i="3"/>
  <c r="B148" i="3"/>
  <c r="C147" i="3"/>
  <c r="B147" i="3"/>
  <c r="C146" i="3"/>
  <c r="B146" i="3"/>
  <c r="C145" i="3"/>
  <c r="B145" i="3"/>
  <c r="C144" i="3"/>
  <c r="B144" i="3"/>
  <c r="C143" i="3"/>
  <c r="B143" i="3"/>
  <c r="C142" i="3"/>
  <c r="B142" i="3"/>
  <c r="C141" i="3"/>
  <c r="B141" i="3"/>
  <c r="C140" i="3"/>
  <c r="B140" i="3"/>
  <c r="C139" i="3"/>
  <c r="B139" i="3"/>
  <c r="C138" i="3"/>
  <c r="B138" i="3"/>
  <c r="C135" i="3"/>
  <c r="B135" i="3"/>
  <c r="C134" i="3"/>
  <c r="B134" i="3"/>
  <c r="C133" i="3"/>
  <c r="B133" i="3"/>
  <c r="C132" i="3"/>
  <c r="B132" i="3"/>
  <c r="C131" i="3"/>
  <c r="B131" i="3"/>
  <c r="C130" i="3"/>
  <c r="B130" i="3"/>
  <c r="C129" i="3"/>
  <c r="B129" i="3"/>
  <c r="C128" i="3"/>
  <c r="B128" i="3"/>
  <c r="C127" i="3"/>
  <c r="B127" i="3"/>
  <c r="C126" i="3"/>
  <c r="B126" i="3"/>
  <c r="C123" i="3"/>
  <c r="B123" i="3"/>
  <c r="C122" i="3"/>
  <c r="B122" i="3"/>
  <c r="C121" i="3"/>
  <c r="B121" i="3"/>
  <c r="C120" i="3"/>
  <c r="B120" i="3"/>
  <c r="C119" i="3"/>
  <c r="B119" i="3"/>
  <c r="C118" i="3"/>
  <c r="B118" i="3"/>
  <c r="C117" i="3"/>
  <c r="B117" i="3"/>
  <c r="C116" i="3"/>
  <c r="B116" i="3"/>
  <c r="C115" i="3"/>
  <c r="B115" i="3"/>
  <c r="C114" i="3"/>
  <c r="B114" i="3"/>
  <c r="C111" i="3"/>
  <c r="B111" i="3"/>
  <c r="C110" i="3"/>
  <c r="B110" i="3"/>
  <c r="C109" i="3"/>
  <c r="B109" i="3"/>
  <c r="C108" i="3"/>
  <c r="B108" i="3"/>
  <c r="C107" i="3"/>
  <c r="B107" i="3"/>
  <c r="C106" i="3"/>
  <c r="B106" i="3"/>
  <c r="C105" i="3"/>
  <c r="B105" i="3"/>
  <c r="C104" i="3"/>
  <c r="B104" i="3"/>
  <c r="C103" i="3"/>
  <c r="B103" i="3"/>
  <c r="C102" i="3"/>
  <c r="B102" i="3"/>
  <c r="C101" i="3"/>
  <c r="B101" i="3"/>
  <c r="C100" i="3"/>
  <c r="B100" i="3"/>
  <c r="C99" i="3"/>
  <c r="B99" i="3"/>
  <c r="C98" i="3"/>
  <c r="B98" i="3"/>
  <c r="C97" i="3"/>
  <c r="B97" i="3"/>
  <c r="C96" i="3"/>
  <c r="B96" i="3"/>
  <c r="C93" i="3"/>
  <c r="B93" i="3"/>
  <c r="C92" i="3"/>
  <c r="B92" i="3"/>
  <c r="C91" i="3"/>
  <c r="B91" i="3"/>
  <c r="C87" i="3"/>
  <c r="B87" i="3"/>
  <c r="C86" i="3"/>
  <c r="B86" i="3"/>
  <c r="C85" i="3"/>
  <c r="B85" i="3"/>
  <c r="C84" i="3"/>
  <c r="B84" i="3"/>
  <c r="C83" i="3"/>
  <c r="B83" i="3"/>
  <c r="C82" i="3"/>
  <c r="B82" i="3"/>
  <c r="C81" i="3"/>
  <c r="B81" i="3"/>
  <c r="C80" i="3"/>
  <c r="B80" i="3"/>
  <c r="C79" i="3"/>
  <c r="B79" i="3"/>
  <c r="C78" i="3"/>
  <c r="B78" i="3"/>
  <c r="C77" i="3"/>
  <c r="B77" i="3"/>
  <c r="C76" i="3"/>
  <c r="B76" i="3"/>
  <c r="C75" i="3"/>
  <c r="B75" i="3"/>
  <c r="C74" i="3"/>
  <c r="B74" i="3"/>
  <c r="C73" i="3"/>
  <c r="B73" i="3"/>
  <c r="C70" i="3"/>
  <c r="B70" i="3"/>
  <c r="C69" i="3"/>
  <c r="B69" i="3"/>
  <c r="C68" i="3"/>
  <c r="B68" i="3"/>
  <c r="C67" i="3"/>
  <c r="B67" i="3"/>
  <c r="C66" i="3"/>
  <c r="B66" i="3"/>
  <c r="C65" i="3"/>
  <c r="B65" i="3"/>
  <c r="C64" i="3"/>
  <c r="B64" i="3"/>
  <c r="C61" i="3"/>
  <c r="B61" i="3"/>
  <c r="C60" i="3"/>
  <c r="B60" i="3"/>
  <c r="C59" i="3"/>
  <c r="B59" i="3"/>
  <c r="C58" i="3"/>
  <c r="B58" i="3"/>
  <c r="C57" i="3"/>
  <c r="B57" i="3"/>
  <c r="C56" i="3"/>
  <c r="B56" i="3"/>
  <c r="C55" i="3"/>
  <c r="B55" i="3"/>
  <c r="C51" i="3"/>
  <c r="B51" i="3"/>
  <c r="C50" i="3"/>
  <c r="B50" i="3"/>
  <c r="C49" i="3"/>
  <c r="B49" i="3"/>
  <c r="C48" i="3"/>
  <c r="B48" i="3"/>
  <c r="C47" i="3"/>
  <c r="B47" i="3"/>
  <c r="C46" i="3"/>
  <c r="B46" i="3"/>
  <c r="C45" i="3"/>
  <c r="B45" i="3"/>
  <c r="C44" i="3"/>
  <c r="B44" i="3"/>
  <c r="C43" i="3"/>
  <c r="B43" i="3"/>
  <c r="C40" i="3"/>
  <c r="B40" i="3"/>
  <c r="C39" i="3"/>
  <c r="B39" i="3"/>
  <c r="C38" i="3"/>
  <c r="B38" i="3"/>
  <c r="C37" i="3"/>
  <c r="B37" i="3"/>
  <c r="C36" i="3"/>
  <c r="B36" i="3"/>
  <c r="C35" i="3"/>
  <c r="B35" i="3"/>
  <c r="C34" i="3"/>
  <c r="B34" i="3"/>
  <c r="C33" i="3"/>
  <c r="B33" i="3"/>
  <c r="C30" i="3"/>
  <c r="B30" i="3"/>
  <c r="C29" i="3"/>
  <c r="B29" i="3"/>
  <c r="C28" i="3"/>
  <c r="B28" i="3"/>
  <c r="C27" i="3"/>
  <c r="B27" i="3"/>
  <c r="C26" i="3"/>
  <c r="B26" i="3"/>
  <c r="C25" i="3"/>
  <c r="B25" i="3"/>
  <c r="C24" i="3"/>
  <c r="B24" i="3"/>
  <c r="C23" i="3"/>
  <c r="B23" i="3"/>
  <c r="B15" i="3"/>
  <c r="C12" i="3"/>
  <c r="B12" i="3"/>
  <c r="C11" i="3"/>
  <c r="B11" i="3"/>
  <c r="C10" i="3"/>
  <c r="B10" i="3"/>
  <c r="C9" i="3"/>
  <c r="B9" i="3"/>
  <c r="U8" i="3"/>
  <c r="T8" i="3"/>
  <c r="S8" i="3"/>
  <c r="R8" i="3"/>
  <c r="Q8" i="3"/>
  <c r="P8" i="3"/>
  <c r="O8" i="3"/>
  <c r="N8" i="3"/>
  <c r="M8" i="3"/>
  <c r="L8" i="3"/>
  <c r="K8" i="3"/>
  <c r="J8" i="3"/>
  <c r="I8" i="3"/>
  <c r="H8" i="3"/>
  <c r="G8" i="3"/>
  <c r="F8" i="3" s="1"/>
  <c r="C8" i="3"/>
  <c r="B8" i="3"/>
  <c r="C7" i="3"/>
  <c r="B7" i="3"/>
  <c r="C6" i="3"/>
  <c r="B6" i="3"/>
  <c r="M5" i="3" a="1"/>
  <c r="M5" i="3"/>
  <c r="L5" i="3"/>
  <c r="N5" i="3" s="1"/>
  <c r="K5" i="3"/>
  <c r="J5" i="3"/>
  <c r="I5" i="3"/>
  <c r="H5" i="3"/>
  <c r="G5" i="3"/>
  <c r="F5" i="3" s="1"/>
  <c r="C5" i="3"/>
  <c r="B5" i="3"/>
  <c r="C4" i="3"/>
  <c r="B4" i="3"/>
  <c r="L3" i="3"/>
  <c r="K3" i="3"/>
  <c r="J3" i="3"/>
  <c r="I3" i="3"/>
  <c r="H3" i="3"/>
  <c r="G3" i="3"/>
  <c r="F3" i="3" s="1"/>
  <c r="C3" i="3"/>
  <c r="B3" i="3"/>
  <c r="C2" i="3"/>
  <c r="B2" i="3"/>
  <c r="H3" i="2"/>
  <c r="G3" i="2"/>
  <c r="F3" i="2"/>
  <c r="E3" i="2"/>
  <c r="D3" i="2"/>
  <c r="C3" i="2"/>
  <c r="I3" i="2" s="1"/>
  <c r="D91" i="3" l="1"/>
  <c r="D203" i="3"/>
  <c r="D64" i="3"/>
  <c r="D114" i="3"/>
  <c r="D186" i="3"/>
  <c r="D73" i="3"/>
  <c r="D138" i="3"/>
  <c r="D172" i="3"/>
  <c r="D43" i="3"/>
  <c r="D55" i="3"/>
  <c r="D2" i="3"/>
  <c r="D96" i="3"/>
  <c r="D126" i="3"/>
  <c r="D156" i="3"/>
  <c r="D23" i="3"/>
  <c r="D33" i="3"/>
  <c r="D208" i="3"/>
  <c r="C14" i="12"/>
  <c r="F13"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2" authorId="0" shapeId="0" xr:uid="{00000000-0006-0000-0000-00002F000000}">
      <text>
        <r>
          <rPr>
            <sz val="10"/>
            <color rgb="FF000000"/>
            <rFont val="Calibri"/>
            <scheme val="minor"/>
          </rPr>
          <t>6 Lane 2 Way
1 Lane 1 Way
1 Lane 2 Way
Multi-lane Dual-way
（数字依据实际情况填写）
	-Da Xu</t>
        </r>
      </text>
    </comment>
    <comment ref="M2" authorId="0" shapeId="0" xr:uid="{00000000-0006-0000-0000-00002E000000}">
      <text>
        <r>
          <rPr>
            <sz val="10"/>
            <color rgb="FF000000"/>
            <rFont val="Calibri"/>
            <scheme val="minor"/>
          </rPr>
          <t>EGO的车辆编号
	-Da Xu</t>
        </r>
      </text>
    </comment>
    <comment ref="AB15" authorId="0" shapeId="0" xr:uid="{00000000-0006-0000-0000-00002D000000}">
      <text>
        <r>
          <rPr>
            <sz val="10"/>
            <color rgb="FF000000"/>
            <rFont val="Calibri"/>
            <scheme val="minor"/>
          </rPr>
          <t>Prediction/Vehicle/Lane Change /Fast/Cut In?
	-Hepeng Wang</t>
        </r>
      </text>
    </comment>
    <comment ref="B64" authorId="0" shapeId="0" xr:uid="{00000000-0006-0000-0000-00002B000000}">
      <text>
        <r>
          <rPr>
            <sz val="10"/>
            <color rgb="FF000000"/>
            <rFont val="Calibri"/>
            <scheme val="minor"/>
          </rPr>
          <t>视频和EDS中的场景没有对应？？
	-Wang Zhiwen</t>
        </r>
      </text>
    </comment>
    <comment ref="Q64" authorId="0" shapeId="0" xr:uid="{00000000-0006-0000-0000-00002C000000}">
      <text>
        <r>
          <rPr>
            <sz val="10"/>
            <color rgb="FF000000"/>
            <rFont val="Calibri"/>
            <scheme val="minor"/>
          </rPr>
          <t>闯红灯行为，还需要用illegal形容吗
	-Wang Zhiwen</t>
        </r>
      </text>
    </comment>
    <comment ref="C65" authorId="0" shapeId="0" xr:uid="{00000000-0006-0000-0000-00002A000000}">
      <text>
        <r>
          <rPr>
            <sz val="10"/>
            <color rgb="FF000000"/>
            <rFont val="Calibri"/>
            <scheme val="minor"/>
          </rPr>
          <t>EDS中是4条lane
	-Wang Zhiwen</t>
        </r>
      </text>
    </comment>
    <comment ref="C66" authorId="0" shapeId="0" xr:uid="{00000000-0006-0000-0000-000029000000}">
      <text>
        <r>
          <rPr>
            <sz val="10"/>
            <color rgb="FF000000"/>
            <rFont val="Calibri"/>
            <scheme val="minor"/>
          </rPr>
          <t>一般EGO遇到前车突然的pullout，同时左侧还有车辆时，是不执行sidepass的，甚至nudge也不会执行。  title强调 sidepass 是否合理呢？
	-Wang Zhiwen</t>
        </r>
      </text>
    </comment>
    <comment ref="K66" authorId="0" shapeId="0" xr:uid="{00000000-0006-0000-0000-000028000000}">
      <text>
        <r>
          <rPr>
            <sz val="10"/>
            <color rgb="FF000000"/>
            <rFont val="Calibri"/>
            <scheme val="minor"/>
          </rPr>
          <t>视频中是三车道，eds中是4车道
	-Wang Zhiwen</t>
        </r>
      </text>
    </comment>
    <comment ref="N66" authorId="0" shapeId="0" xr:uid="{00000000-0006-0000-0000-000027000000}">
      <text>
        <r>
          <rPr>
            <sz val="10"/>
            <color rgb="FF000000"/>
            <rFont val="Calibri"/>
            <scheme val="minor"/>
          </rPr>
          <t>？
	-Wang Zhiwen</t>
        </r>
      </text>
    </comment>
    <comment ref="G67" authorId="0" shapeId="0" xr:uid="{00000000-0006-0000-0000-000025000000}">
      <text>
        <r>
          <rPr>
            <sz val="10"/>
            <color rgb="FF000000"/>
            <rFont val="Calibri"/>
            <scheme val="minor"/>
          </rPr>
          <t>左前侧大巴导致cutin进来的车辆刹车，此处是否要考虑？
	-Wang Zhiwen</t>
        </r>
      </text>
    </comment>
    <comment ref="V67" authorId="0" shapeId="0" xr:uid="{00000000-0006-0000-0000-000026000000}">
      <text>
        <r>
          <rPr>
            <sz val="10"/>
            <color rgb="FF000000"/>
            <rFont val="Calibri"/>
            <scheme val="minor"/>
          </rPr>
          <t>dark but light?
	-Wang Zhiwen</t>
        </r>
      </text>
    </comment>
    <comment ref="C68" authorId="0" shapeId="0" xr:uid="{00000000-0006-0000-0000-000024000000}">
      <text>
        <r>
          <rPr>
            <sz val="10"/>
            <color rgb="FF000000"/>
            <rFont val="Calibri"/>
            <scheme val="minor"/>
          </rPr>
          <t>视频中车辆是违法压实线但同时widly cutin，   EDS中是虚线。   所以 title使用illegal是不是不太合适？
	-Wang Zhiwen
修改illegal为widly
	-Lingyu Meng</t>
        </r>
      </text>
    </comment>
    <comment ref="D68" authorId="0" shapeId="0" xr:uid="{00000000-0006-0000-0000-000023000000}">
      <text>
        <r>
          <rPr>
            <sz val="10"/>
            <color rgb="FF000000"/>
            <rFont val="Calibri"/>
            <scheme val="minor"/>
          </rPr>
          <t>lanes数量好像是以EDS为依据
	-Wang Zhiwen
5-lanes修改成4-lanes
	-Lingyu Meng</t>
        </r>
      </text>
    </comment>
    <comment ref="C69" authorId="0" shapeId="0" xr:uid="{00000000-0006-0000-0000-000022000000}">
      <text>
        <r>
          <rPr>
            <sz val="10"/>
            <color rgb="FF000000"/>
            <rFont val="Calibri"/>
            <scheme val="minor"/>
          </rPr>
          <t>视频与场景中，obstacle行驶的道路都是合规不违法的，只是有些激进
	-Wang Zhiwen
去掉了illegal，填入了aggressively
	-Lingyu Meng
----
把not avoid去掉可以吗？
	-Wang Zhiwen
好的
	-Lingyu Meng</t>
        </r>
      </text>
    </comment>
    <comment ref="I69" authorId="0" shapeId="0" xr:uid="{00000000-0006-0000-0000-000021000000}">
      <text>
        <r>
          <rPr>
            <sz val="10"/>
            <color rgb="FF000000"/>
            <rFont val="Calibri"/>
            <scheme val="minor"/>
          </rPr>
          <t>视频与EDS中，ego所在位置应该是 junction
	-Wang Zhiwen
已修改为cross
	-Lingyu Meng</t>
        </r>
      </text>
    </comment>
    <comment ref="D135" authorId="0" shapeId="0" xr:uid="{00000000-0006-0000-0000-000020000000}">
      <text>
        <r>
          <rPr>
            <sz val="10"/>
            <color rgb="FF000000"/>
            <rFont val="Calibri"/>
            <scheme val="minor"/>
          </rPr>
          <t>1.视频中和EDS中，obs好像是从右一车道连续换道至EGO车道
2.second应该是2nd
	-Lingyu Meng</t>
        </r>
      </text>
    </comment>
    <comment ref="K135" authorId="0" shapeId="0" xr:uid="{00000000-0006-0000-0000-000015000000}">
      <text>
        <r>
          <rPr>
            <sz val="10"/>
            <color rgb="FF000000"/>
            <rFont val="Calibri"/>
            <scheme val="minor"/>
          </rPr>
          <t>补充道路信息
	-Lingyu Meng</t>
        </r>
      </text>
    </comment>
    <comment ref="K136" authorId="0" shapeId="0" xr:uid="{00000000-0006-0000-0000-000014000000}">
      <text>
        <r>
          <rPr>
            <sz val="10"/>
            <color rgb="FF000000"/>
            <rFont val="Calibri"/>
            <scheme val="minor"/>
          </rPr>
          <t>补充道路信息
	-Lingyu Meng</t>
        </r>
      </text>
    </comment>
    <comment ref="P136" authorId="0" shapeId="0" xr:uid="{00000000-0006-0000-0000-00001F000000}">
      <text>
        <r>
          <rPr>
            <sz val="10"/>
            <color rgb="FF000000"/>
            <rFont val="Calibri"/>
            <scheme val="minor"/>
          </rPr>
          <t>此处也可以选成cut in
	-Lingyu Meng</t>
        </r>
      </text>
    </comment>
    <comment ref="K137" authorId="0" shapeId="0" xr:uid="{00000000-0006-0000-0000-000013000000}">
      <text>
        <r>
          <rPr>
            <sz val="10"/>
            <color rgb="FF000000"/>
            <rFont val="Calibri"/>
            <scheme val="minor"/>
          </rPr>
          <t>补充道路信息
	-Lingyu Meng</t>
        </r>
      </text>
    </comment>
    <comment ref="S138" authorId="0" shapeId="0" xr:uid="{00000000-0006-0000-0000-00001E000000}">
      <text>
        <r>
          <rPr>
            <sz val="10"/>
            <color rgb="FF000000"/>
            <rFont val="Calibri"/>
            <scheme val="minor"/>
          </rPr>
          <t>feature之前说是EGO相关的，选成cut in好一些
	-Lingyu Meng</t>
        </r>
      </text>
    </comment>
    <comment ref="K139" authorId="0" shapeId="0" xr:uid="{00000000-0006-0000-0000-000012000000}">
      <text>
        <r>
          <rPr>
            <sz val="10"/>
            <color rgb="FF000000"/>
            <rFont val="Calibri"/>
            <scheme val="minor"/>
          </rPr>
          <t>补充道路信息
	-Lingyu Meng</t>
        </r>
      </text>
    </comment>
    <comment ref="K140" authorId="0" shapeId="0" xr:uid="{00000000-0006-0000-0000-000011000000}">
      <text>
        <r>
          <rPr>
            <sz val="10"/>
            <color rgb="FF000000"/>
            <rFont val="Calibri"/>
            <scheme val="minor"/>
          </rPr>
          <t>补充道路信息
	-Lingyu Meng</t>
        </r>
      </text>
    </comment>
    <comment ref="I141" authorId="0" shapeId="0" xr:uid="{00000000-0006-0000-0000-00001D000000}">
      <text>
        <r>
          <rPr>
            <sz val="10"/>
            <color rgb="FF000000"/>
            <rFont val="Calibri"/>
            <scheme val="minor"/>
          </rPr>
          <t>EDS中是T型路口
	-Lingyu Meng</t>
        </r>
      </text>
    </comment>
    <comment ref="K141" authorId="0" shapeId="0" xr:uid="{00000000-0006-0000-0000-000010000000}">
      <text>
        <r>
          <rPr>
            <sz val="10"/>
            <color rgb="FF000000"/>
            <rFont val="Calibri"/>
            <scheme val="minor"/>
          </rPr>
          <t>补充道路信息
	-Lingyu Meng</t>
        </r>
      </text>
    </comment>
    <comment ref="C142" authorId="0" shapeId="0" xr:uid="{00000000-0006-0000-0000-00001B000000}">
      <text>
        <r>
          <rPr>
            <sz val="10"/>
            <color rgb="FF000000"/>
            <rFont val="Calibri"/>
            <scheme val="minor"/>
          </rPr>
          <t>建议换成cut in
	-Lingyu Meng</t>
        </r>
      </text>
    </comment>
    <comment ref="K142" authorId="0" shapeId="0" xr:uid="{00000000-0006-0000-0000-00000F000000}">
      <text>
        <r>
          <rPr>
            <sz val="10"/>
            <color rgb="FF000000"/>
            <rFont val="Calibri"/>
            <scheme val="minor"/>
          </rPr>
          <t>补充道路信息
	-Lingyu Meng</t>
        </r>
      </text>
    </comment>
    <comment ref="P142" authorId="0" shapeId="0" xr:uid="{00000000-0006-0000-0000-00001C000000}">
      <text>
        <r>
          <rPr>
            <sz val="10"/>
            <color rgb="FF000000"/>
            <rFont val="Calibri"/>
            <scheme val="minor"/>
          </rPr>
          <t>视频中看好像不是merge，右侧黑车想连续换道驶出高速，建议换成cut in
	-Lingyu Meng
fixed
	-Wei Jin</t>
        </r>
      </text>
    </comment>
    <comment ref="C143" authorId="0" shapeId="0" xr:uid="{00000000-0006-0000-0000-000019000000}">
      <text>
        <r>
          <rPr>
            <sz val="10"/>
            <color rgb="FF000000"/>
            <rFont val="Calibri"/>
            <scheme val="minor"/>
          </rPr>
          <t>Overtake and Cut In on Solid line
	-Lingyu Meng
fixed
	-Wei Jin</t>
        </r>
      </text>
    </comment>
    <comment ref="K143" authorId="0" shapeId="0" xr:uid="{00000000-0006-0000-0000-00000E000000}">
      <text>
        <r>
          <rPr>
            <sz val="10"/>
            <color rgb="FF000000"/>
            <rFont val="Calibri"/>
            <scheme val="minor"/>
          </rPr>
          <t>补充道路信息
	-Lingyu Meng</t>
        </r>
      </text>
    </comment>
    <comment ref="P143" authorId="0" shapeId="0" xr:uid="{00000000-0006-0000-0000-00001A000000}">
      <text>
        <r>
          <rPr>
            <sz val="10"/>
            <color rgb="FF000000"/>
            <rFont val="Calibri"/>
            <scheme val="minor"/>
          </rPr>
          <t>视频中卡车由于前方路障汇入到EGO车道，建议改成merge
	-Lingyu Meng</t>
        </r>
      </text>
    </comment>
    <comment ref="C144" authorId="0" shapeId="0" xr:uid="{00000000-0006-0000-0000-000017000000}">
      <text>
        <r>
          <rPr>
            <sz val="10"/>
            <color rgb="FF000000"/>
            <rFont val="Calibri"/>
            <scheme val="minor"/>
          </rPr>
          <t>Low Priority Turn left
	-Lingyu Meng
fixed
	-Wei Jin</t>
        </r>
      </text>
    </comment>
    <comment ref="D144" authorId="0" shapeId="0" xr:uid="{00000000-0006-0000-0000-000016000000}">
      <text>
        <r>
          <rPr>
            <sz val="10"/>
            <color rgb="FF000000"/>
            <rFont val="Calibri"/>
            <scheme val="minor"/>
          </rPr>
          <t>When EGO was going straight on the main road and passing throught gap of the belt ,a car that was driving on oppsite lane and turning left into the side road
	-Lingyu Meng
fixed
	-Wei Jin</t>
        </r>
      </text>
    </comment>
    <comment ref="K144" authorId="0" shapeId="0" xr:uid="{00000000-0006-0000-0000-00000D000000}">
      <text>
        <r>
          <rPr>
            <sz val="10"/>
            <color rgb="FF000000"/>
            <rFont val="Calibri"/>
            <scheme val="minor"/>
          </rPr>
          <t>2 lane 1 way？
	-Lingyu Meng</t>
        </r>
      </text>
    </comment>
    <comment ref="P144" authorId="0" shapeId="0" xr:uid="{00000000-0006-0000-0000-000018000000}">
      <text>
        <r>
          <rPr>
            <sz val="10"/>
            <color rgb="FF000000"/>
            <rFont val="Calibri"/>
            <scheme val="minor"/>
          </rPr>
          <t>视频中obs应该是连续换道左转，建议改成left turn
	-Lingyu Meng</t>
        </r>
      </text>
    </comment>
    <comment ref="B234" authorId="0" shapeId="0" xr:uid="{00000000-0006-0000-0000-00000C000000}">
      <text>
        <r>
          <rPr>
            <sz val="10"/>
            <color rgb="FF000000"/>
            <rFont val="Calibri"/>
            <scheme val="minor"/>
          </rPr>
          <t>场景设置问题，EGO开始换道至左一车道，未触发OBS Pull Out，暂未修改
	-Lingyu Meng
场景已修改
	-Lingyu Meng</t>
        </r>
      </text>
    </comment>
    <comment ref="B244" authorId="0" shapeId="0" xr:uid="{00000000-0006-0000-0000-00000B000000}">
      <text>
        <r>
          <rPr>
            <sz val="10"/>
            <color rgb="FF000000"/>
            <rFont val="Calibri"/>
            <scheme val="minor"/>
          </rPr>
          <t>EGO轨迹与视频有差别，地图w193752更合适，暂未修改
	-Lingyu Meng
场景已修改
	-Lingyu Meng</t>
        </r>
      </text>
    </comment>
    <comment ref="B247" authorId="0" shapeId="0" xr:uid="{00000000-0006-0000-0000-000001000000}">
      <text>
        <r>
          <rPr>
            <sz val="10"/>
            <color rgb="FF000000"/>
            <rFont val="Calibri"/>
            <scheme val="minor"/>
          </rPr>
          <t>场景已修改
	-Lingyu Meng</t>
        </r>
      </text>
    </comment>
    <comment ref="D260" authorId="0" shapeId="0" xr:uid="{00000000-0006-0000-0000-00000A000000}">
      <text>
        <r>
          <rPr>
            <sz val="10"/>
            <color rgb="FF000000"/>
            <rFont val="Calibri"/>
            <scheme val="minor"/>
          </rPr>
          <t>1.车道关系与scenario不符合
2.从地图来看，地图属性不是T字路口
3.从场景来看，obs行为是左转，不是U
	-Zhiang Shen</t>
        </r>
      </text>
    </comment>
    <comment ref="I260" authorId="0" shapeId="0" xr:uid="{00000000-0006-0000-0000-000009000000}">
      <text>
        <r>
          <rPr>
            <sz val="10"/>
            <color rgb="FF000000"/>
            <rFont val="Calibri"/>
            <scheme val="minor"/>
          </rPr>
          <t>非T字路口
	-Zhiang Shen</t>
        </r>
      </text>
    </comment>
    <comment ref="D265" authorId="0" shapeId="0" xr:uid="{00000000-0006-0000-0000-000007000000}">
      <text>
        <r>
          <rPr>
            <sz val="10"/>
            <color rgb="FF000000"/>
            <rFont val="Calibri"/>
            <scheme val="minor"/>
          </rPr>
          <t>从场景来看，是cross?
	-Zhiang Shen</t>
        </r>
      </text>
    </comment>
    <comment ref="P265" authorId="0" shapeId="0" xr:uid="{00000000-0006-0000-0000-000008000000}">
      <text>
        <r>
          <rPr>
            <sz val="10"/>
            <color rgb="FF000000"/>
            <rFont val="Calibri"/>
            <scheme val="minor"/>
          </rPr>
          <t>从场景来看，是cross？
	-Zhiang Shen</t>
        </r>
      </text>
    </comment>
    <comment ref="D266" authorId="0" shapeId="0" xr:uid="{00000000-0006-0000-0000-000006000000}">
      <text>
        <r>
          <rPr>
            <sz val="10"/>
            <color rgb="FF000000"/>
            <rFont val="Calibri"/>
            <scheme val="minor"/>
          </rPr>
          <t>从场景来看，感觉左侧的一排静止车辆也比较关键，是否考虑加入描述？
	-Zhiang Shen</t>
        </r>
      </text>
    </comment>
    <comment ref="G266" authorId="0" shapeId="0" xr:uid="{00000000-0006-0000-0000-000005000000}">
      <text>
        <r>
          <rPr>
            <sz val="10"/>
            <color rgb="FF000000"/>
            <rFont val="Calibri"/>
            <scheme val="minor"/>
          </rPr>
          <t>从视频看，和左侧的静止车辆，感觉也有碰撞风险？
	-Zhiang Shen</t>
        </r>
      </text>
    </comment>
    <comment ref="D267" authorId="0" shapeId="0" xr:uid="{00000000-0006-0000-0000-000003000000}">
      <text>
        <r>
          <rPr>
            <sz val="10"/>
            <color rgb="FF000000"/>
            <rFont val="Calibri"/>
            <scheme val="minor"/>
          </rPr>
          <t>右侧车有超越的动作，是否考虑增加？
	-Zhiang Shen</t>
        </r>
      </text>
    </comment>
    <comment ref="G267" authorId="0" shapeId="0" xr:uid="{00000000-0006-0000-0000-000004000000}">
      <text>
        <r>
          <rPr>
            <sz val="10"/>
            <color rgb="FF000000"/>
            <rFont val="Calibri"/>
            <scheme val="minor"/>
          </rPr>
          <t>碰撞风险是多车？
	-Zhiang Shen</t>
        </r>
      </text>
    </comment>
    <comment ref="S269" authorId="0" shapeId="0" xr:uid="{00000000-0006-0000-0000-000002000000}">
      <text>
        <r>
          <rPr>
            <sz val="10"/>
            <color rgb="FF000000"/>
            <rFont val="Calibri"/>
            <scheme val="minor"/>
          </rPr>
          <t>会不会更考验是否及时制动？
	-Zhiang Shen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900-000001000000}">
      <text>
        <r>
          <rPr>
            <sz val="10"/>
            <color rgb="FF000000"/>
            <rFont val="Calibri"/>
            <scheme val="minor"/>
          </rPr>
          <t>date of status changed
（ fixing ---&gt; done/skip）</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A00-000001000000}">
      <text>
        <r>
          <rPr>
            <sz val="10"/>
            <color rgb="FF000000"/>
            <rFont val="Calibri"/>
            <scheme val="minor"/>
          </rPr>
          <t>date of status changed
（ fixing ---&gt; done/skip）</t>
        </r>
      </text>
    </comment>
    <comment ref="B73" authorId="0" shapeId="0" xr:uid="{00000000-0006-0000-0A00-000003000000}">
      <text>
        <r>
          <rPr>
            <sz val="10"/>
            <color rgb="FF000000"/>
            <rFont val="Calibri"/>
            <scheme val="minor"/>
          </rPr>
          <t>场景重复，已经在Scenariolist 删除，保留61029c3d5487713eb51af733
	-Hepeng Wang</t>
        </r>
      </text>
    </comment>
    <comment ref="B77" authorId="0" shapeId="0" xr:uid="{00000000-0006-0000-0A00-000002000000}">
      <text>
        <r>
          <rPr>
            <sz val="10"/>
            <color rgb="FF000000"/>
            <rFont val="Calibri"/>
            <scheme val="minor"/>
          </rPr>
          <t>新建61c1a317ecd51546a324ce94 来替换原有
	-Hepeng Wang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8" authorId="0" shapeId="0" xr:uid="{00000000-0006-0000-0C00-000001000000}">
      <text>
        <r>
          <rPr>
            <sz val="10"/>
            <color rgb="FF000000"/>
            <rFont val="Calibri"/>
            <scheme val="minor"/>
          </rPr>
          <t>ok
	-Wang Zhiwen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17" authorId="0" shapeId="0" xr:uid="{00000000-0006-0000-0D00-000003000000}">
      <text>
        <r>
          <rPr>
            <sz val="10"/>
            <color rgb="FF000000"/>
            <rFont val="Calibri"/>
            <scheme val="minor"/>
          </rPr>
          <t>@nanshuzhao@autox.ai
	-Hepeng Wang
610b7fefac1aa81391efdb44 原场景已弃用
	-Nanshu Zhao</t>
        </r>
      </text>
    </comment>
    <comment ref="D18" authorId="0" shapeId="0" xr:uid="{00000000-0006-0000-0D00-000004000000}">
      <text>
        <r>
          <rPr>
            <sz val="10"/>
            <color rgb="FF000000"/>
            <rFont val="Calibri"/>
            <scheme val="minor"/>
          </rPr>
          <t>@nanshuzhao@autox.ai
	-Hepeng Wang</t>
        </r>
      </text>
    </comment>
    <comment ref="D19" authorId="0" shapeId="0" xr:uid="{00000000-0006-0000-0D00-000002000000}">
      <text>
        <r>
          <rPr>
            <sz val="10"/>
            <color rgb="FF000000"/>
            <rFont val="Calibri"/>
            <scheme val="minor"/>
          </rPr>
          <t>@nanshuzhao@autox.ai
	-Hepeng Wang</t>
        </r>
      </text>
    </comment>
    <comment ref="D20" authorId="0" shapeId="0" xr:uid="{00000000-0006-0000-0D00-000001000000}">
      <text>
        <r>
          <rPr>
            <sz val="10"/>
            <color rgb="FF000000"/>
            <rFont val="Calibri"/>
            <scheme val="minor"/>
          </rPr>
          <t>@nanshuzhao@autox.ai
	-Hepeng Wang</t>
        </r>
      </text>
    </comment>
    <comment ref="D21" authorId="0" shapeId="0" xr:uid="{00000000-0006-0000-0D00-000006000000}">
      <text>
        <r>
          <rPr>
            <sz val="10"/>
            <color rgb="FF000000"/>
            <rFont val="Calibri"/>
            <scheme val="minor"/>
          </rPr>
          <t>@nanshuzhao@autox.ai
	-Hepeng Wang
Done
	-Hepeng Wang</t>
        </r>
      </text>
    </comment>
    <comment ref="D23" authorId="0" shapeId="0" xr:uid="{00000000-0006-0000-0D00-000005000000}">
      <text>
        <r>
          <rPr>
            <sz val="10"/>
            <color rgb="FF000000"/>
            <rFont val="Calibri"/>
            <scheme val="minor"/>
          </rPr>
          <t>@nanshuzhao@autox.ai
	-Hepeng Wang
6111e7c13b77af5bf1e3a525 原场景已删
	-Nanshu Zhao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L2" authorId="0" shapeId="0" xr:uid="{00000000-0006-0000-0F00-000001000000}">
      <text>
        <r>
          <rPr>
            <sz val="10"/>
            <color rgb="FF000000"/>
            <rFont val="Calibri"/>
            <scheme val="minor"/>
          </rPr>
          <t>date of status changed
（ fixing ---&gt; done/skip）</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1200-000001000000}">
      <text>
        <r>
          <rPr>
            <sz val="10"/>
            <color rgb="FF000000"/>
            <rFont val="Calibri"/>
            <scheme val="minor"/>
          </rPr>
          <t>date of status changed
（ fixing ---&gt; done/skip）</t>
        </r>
      </text>
    </comment>
  </commentList>
</comments>
</file>

<file path=xl/sharedStrings.xml><?xml version="1.0" encoding="utf-8"?>
<sst xmlns="http://schemas.openxmlformats.org/spreadsheetml/2006/main" count="29437" uniqueCount="6560">
  <si>
    <t>Video Crash</t>
  </si>
  <si>
    <t>Common Scenario</t>
  </si>
  <si>
    <t>Work Week</t>
  </si>
  <si>
    <t>Scenario ID</t>
  </si>
  <si>
    <t>Title</t>
  </si>
  <si>
    <t>Description</t>
  </si>
  <si>
    <t>Crash Type</t>
  </si>
  <si>
    <t>Initial Point of Impact</t>
  </si>
  <si>
    <t>Collision Risk Type</t>
  </si>
  <si>
    <t>Land Use</t>
  </si>
  <si>
    <t>Road Shape</t>
  </si>
  <si>
    <t>Road Position</t>
  </si>
  <si>
    <t>Number of Lanes</t>
  </si>
  <si>
    <t>Traffic Control Device</t>
  </si>
  <si>
    <t>EGO Type</t>
  </si>
  <si>
    <t>EGO Maneuver</t>
  </si>
  <si>
    <t>OBS Type</t>
  </si>
  <si>
    <t>OBS Maneuver</t>
  </si>
  <si>
    <t>How</t>
  </si>
  <si>
    <t>Feature</t>
  </si>
  <si>
    <t>Scenario Set</t>
  </si>
  <si>
    <t>Weather Condition</t>
  </si>
  <si>
    <t>Light Condition</t>
  </si>
  <si>
    <t>Finished in Xsim</t>
  </si>
  <si>
    <t>Vedio URL</t>
  </si>
  <si>
    <t>Index</t>
  </si>
  <si>
    <t>StartTime</t>
  </si>
  <si>
    <t>EndTime</t>
  </si>
  <si>
    <t>Note</t>
  </si>
  <si>
    <t>Creator</t>
  </si>
  <si>
    <t>Status</t>
  </si>
  <si>
    <t>Reviewer</t>
  </si>
  <si>
    <t>Reviewer Comments</t>
  </si>
  <si>
    <t>Fixer Comments</t>
  </si>
  <si>
    <t>Sim Result Reviewer</t>
  </si>
  <si>
    <t>Compare with Human Driver - Reaction Time</t>
  </si>
  <si>
    <t>Compare with Human Driver - Severity</t>
  </si>
  <si>
    <t>AI Issues</t>
  </si>
  <si>
    <t>Grading-TAADS</t>
  </si>
  <si>
    <t>Well Performed Metrics</t>
  </si>
  <si>
    <t>Need Improve Metrics</t>
  </si>
  <si>
    <t>Need New Metrics</t>
  </si>
  <si>
    <t>Need New Metric Detail</t>
  </si>
  <si>
    <t>Scenario Similarity</t>
  </si>
  <si>
    <t>Scenario Quality</t>
  </si>
  <si>
    <t>W09</t>
  </si>
  <si>
    <t>60bddf90cdbb584ec2d888ff</t>
  </si>
  <si>
    <t>Risk of Blind Spot When Turning Right</t>
  </si>
  <si>
    <t>When EGO was turning right at a crossroad, a bicycle came straight from the right-rear blind spot.</t>
  </si>
  <si>
    <t>Double Vehicle</t>
  </si>
  <si>
    <t>Right Front</t>
  </si>
  <si>
    <t>Principal Arterial</t>
  </si>
  <si>
    <t>Cross</t>
  </si>
  <si>
    <t>None</t>
  </si>
  <si>
    <t>3 Lane 1 Way</t>
  </si>
  <si>
    <t>Traffic Signal</t>
  </si>
  <si>
    <t>pacifica-cn-1</t>
  </si>
  <si>
    <t>Right Turn</t>
  </si>
  <si>
    <t>Bicycle</t>
  </si>
  <si>
    <t>Going Straight</t>
  </si>
  <si>
    <t>Aggressively</t>
  </si>
  <si>
    <t>Junction</t>
  </si>
  <si>
    <t>TAADS</t>
  </si>
  <si>
    <t>Normal</t>
  </si>
  <si>
    <t>Daylight</t>
  </si>
  <si>
    <t>Yes</t>
  </si>
  <si>
    <t>https://www.iqiyi.com/v_2bufryvc36k.html</t>
  </si>
  <si>
    <t>No.20</t>
  </si>
  <si>
    <t>4'10</t>
  </si>
  <si>
    <t>4'22</t>
  </si>
  <si>
    <t>Da Xu 徐达</t>
  </si>
  <si>
    <t>done</t>
  </si>
  <si>
    <t>Shuo Cheng</t>
  </si>
  <si>
    <t>Da Xu</t>
  </si>
  <si>
    <t>Prediction/Vehicle/Lane Change/FP,Planning/Yield/Weak</t>
  </si>
  <si>
    <t>61138bbef2f0cc29ba1134fb</t>
  </si>
  <si>
    <t>Aggressively Brake and Cut In</t>
  </si>
  <si>
    <t>When EGO was going straight on the right 2rd lane of a 4 lanes highway straight road, the right front car slow down and cut in  aggressively</t>
  </si>
  <si>
    <t>Front</t>
  </si>
  <si>
    <t>Multiple Vehicle</t>
  </si>
  <si>
    <t>Highway</t>
  </si>
  <si>
    <t>Straight</t>
  </si>
  <si>
    <t>4 Lane 1 Way</t>
  </si>
  <si>
    <t>byd-cn-1</t>
  </si>
  <si>
    <t>Car</t>
  </si>
  <si>
    <t>Cut In</t>
  </si>
  <si>
    <t>Slow Down</t>
  </si>
  <si>
    <t>Dawn or Dusk</t>
  </si>
  <si>
    <t>https://www.iqiyi.com/v_2993z2f1klc.html</t>
  </si>
  <si>
    <t>No.8</t>
  </si>
  <si>
    <t>1'36</t>
  </si>
  <si>
    <t>1'48</t>
  </si>
  <si>
    <t>611484cfb83ba061256e4efc</t>
  </si>
  <si>
    <t>The Covered Tricycle Go Straight and Run Red Light</t>
  </si>
  <si>
    <t>When EGO was going straight on the rightmost lane of 4 lanes urban cross, the tricycle which was occluded by left car going straight and run red light from left hand direction</t>
  </si>
  <si>
    <t>Left Front</t>
  </si>
  <si>
    <t>8 Lane 2 Way</t>
  </si>
  <si>
    <t>Tricycle</t>
  </si>
  <si>
    <t>Red Light</t>
  </si>
  <si>
    <t>No.12</t>
  </si>
  <si>
    <t>2'27</t>
  </si>
  <si>
    <t>2'37</t>
  </si>
  <si>
    <t>covered 改成 occluded 是不是好些</t>
  </si>
  <si>
    <t>已改</t>
  </si>
  <si>
    <t>61148aecb83ba061256e516c</t>
  </si>
  <si>
    <t>EGO Merge after U Turn</t>
  </si>
  <si>
    <t xml:space="preserve">When the car was going straight at the leftmost lane of  4 lanes urban straight road, EGO merged from the left road gap after U turn </t>
  </si>
  <si>
    <t>Gap</t>
  </si>
  <si>
    <t>U Turn</t>
  </si>
  <si>
    <t>Merge</t>
  </si>
  <si>
    <t xml:space="preserve">https://www.iqiyi.com/v_2993z2f1klc.html </t>
  </si>
  <si>
    <t xml:space="preserve">No.21 </t>
  </si>
  <si>
    <t>4'18</t>
  </si>
  <si>
    <t>4'24</t>
  </si>
  <si>
    <t>Title中的行为，如何区分ego还是actor,
这种u turn 分类到merge中是否合理：U Turn作为EGO的行为，merge作为feature</t>
  </si>
  <si>
    <t>6082ae75762aff4c9b471d0c</t>
  </si>
  <si>
    <t>Bicycle Go Straight and Run Red Light</t>
  </si>
  <si>
    <t>When EGO was going straight on the Right 2rd lane of 4 lanes urban cross, the bicycle went straight and run red light from left hand direction</t>
  </si>
  <si>
    <t>Dark but Lighted</t>
  </si>
  <si>
    <t>https://www.iqiyi.com/v_lmhkxrqwlk.html</t>
  </si>
  <si>
    <t>No.6</t>
  </si>
  <si>
    <t>1'05</t>
  </si>
  <si>
    <t>1'17</t>
  </si>
  <si>
    <t>6082aec4762aff4c9b471d21</t>
  </si>
  <si>
    <t>Low Priority Merge Aggressively</t>
  </si>
  <si>
    <t>When EGO was going straight on the leftmost lane of 2 lanes urban straight road, the car made a low priority merge aggressively from left entrance</t>
  </si>
  <si>
    <t>Minor Arterial</t>
  </si>
  <si>
    <t>Entrance</t>
  </si>
  <si>
    <t>2 Lane 1 Way</t>
  </si>
  <si>
    <t>pacifica-cn-001</t>
  </si>
  <si>
    <t>Low Priority</t>
  </si>
  <si>
    <t>No.14</t>
  </si>
  <si>
    <t>2'49</t>
  </si>
  <si>
    <t>2'03</t>
  </si>
  <si>
    <t>61137acef2f0cc29ba112d39</t>
  </si>
  <si>
    <t>Aggressively Crossing 2 Lanes to Cut In</t>
  </si>
  <si>
    <t>When EGO was going straight on the leftmost lane of a 3 lanes urban road, a car cut in aggressively by crossing 2 lanes from the leftmost lane.</t>
  </si>
  <si>
    <t>Continuous Lane Change</t>
  </si>
  <si>
    <t>1'08</t>
  </si>
  <si>
    <t>1'23</t>
  </si>
  <si>
    <t>3-lanes 和 之前的 3 lanes, 建议采用统一固定写法</t>
  </si>
  <si>
    <t>6082a657762aff4c9b471bd7</t>
  </si>
  <si>
    <t xml:space="preserve">Aggressively Crossing 2 Lanes to U Turn </t>
  </si>
  <si>
    <t>When EGO was going straight on the leftmost lane of a 2 lanes urban cross, the right rear car made a U Turn aggressively by crossing 2 lanes from the rightmost lane.</t>
  </si>
  <si>
    <t>4 Lane 2 Way</t>
  </si>
  <si>
    <t>https://www.iqiyi.com/v_fnv2jl6aqc.html</t>
  </si>
  <si>
    <t>No.2</t>
  </si>
  <si>
    <t>0'13</t>
  </si>
  <si>
    <t>0'24</t>
  </si>
  <si>
    <t>610b5febac1aa81391efd7b9</t>
  </si>
  <si>
    <t>Side Pass when Left Rear Car Approaching Quickly</t>
  </si>
  <si>
    <t>When EGO was side passing the front parked car on the rightmost lane of a 2 lanes urban straight road, the left rear car went straight and approached quickly.</t>
  </si>
  <si>
    <t>Side Pass</t>
  </si>
  <si>
    <t>Quickly</t>
  </si>
  <si>
    <t>https://www.iqiyi.com/v_2bx0gdxkbbo.html</t>
  </si>
  <si>
    <t>1'30</t>
  </si>
  <si>
    <t>1'42</t>
  </si>
  <si>
    <t>需增加字段，OBS Maneuver/Parked，需增加字段，how/quickly   how/slowly，how可进行多次使用</t>
  </si>
  <si>
    <t>61075f24ff136d618e32a870</t>
  </si>
  <si>
    <t>Cut In Slowly</t>
  </si>
  <si>
    <t>When EGO was going straight at the left 2rd lane to into the entrance of a urban cross road, a car cut in slowly from left front</t>
  </si>
  <si>
    <t>https://www.iqiyi.com/v_1u0x3rzzbjs.html</t>
  </si>
  <si>
    <t>No.25</t>
  </si>
  <si>
    <t>5'28</t>
  </si>
  <si>
    <t>5'37</t>
  </si>
  <si>
    <t xml:space="preserve"> was starting？ was  going straight ? 这个描述了没有写道路信息</t>
  </si>
  <si>
    <t>60ee98367ef735732c5e975e</t>
  </si>
  <si>
    <t>Aggressively Turn Right When EGO  Going Straight</t>
  </si>
  <si>
    <t>When EGO was going straight on the single right lane of urban road and passing through the crossroads without traffic light, a car suddenly turned right from left turn intersection.</t>
  </si>
  <si>
    <t>Branch</t>
  </si>
  <si>
    <t>2 Lane 2 Way</t>
  </si>
  <si>
    <t>byd-cn-5</t>
  </si>
  <si>
    <t>Dark</t>
  </si>
  <si>
    <t xml:space="preserve">https://www.iqiyi.com/v_g1ofle6l90.html </t>
  </si>
  <si>
    <t>1'55</t>
  </si>
  <si>
    <t>2'08</t>
  </si>
  <si>
    <t>Wei Jin 靳伟</t>
  </si>
  <si>
    <t>1.Title里写的是turn left, 描述里是turn right
2. Title 里建议把谁直行写出来 When EGO going straight
3. a car suddenly turned right to the from left turn intersection   to the什么？</t>
  </si>
  <si>
    <t>已全部修改</t>
  </si>
  <si>
    <t>60eea13f7ef735732c5e9bae</t>
  </si>
  <si>
    <t>Slowly Change Lane And Then U Turn to Opposite Road</t>
  </si>
  <si>
    <t>When EGO was going straight on the left lane of a 2-lanes urban road, a car slowly changed to right lane from left lane and then did a U Turn illegally to opposite road.</t>
  </si>
  <si>
    <t>6 Lane 2 Way</t>
  </si>
  <si>
    <t>Illegal</t>
  </si>
  <si>
    <t>No.10</t>
  </si>
  <si>
    <t>2'23</t>
  </si>
  <si>
    <t>2'36</t>
  </si>
  <si>
    <t>1. 描述里going straight at on （去掉at）
2. 描述里是2-lanes, number of lanes写的是6 lane 2 way</t>
  </si>
  <si>
    <t>1.已修改
2.描述是视频中的右侧2-lanes，number of lanes 是taads场景中的道路数量</t>
  </si>
  <si>
    <t>60eea9297ef735732c5ea066</t>
  </si>
  <si>
    <t xml:space="preserve">Unconsciously Change Lane  </t>
  </si>
  <si>
    <t>When EGO was going straight on the middle lane of a 3-lanes highway, a bus unconsciously changed to the middle lane from the rightmost lane and at the same time the leftmost lane is occupied by a moving truck.</t>
  </si>
  <si>
    <t>Express</t>
  </si>
  <si>
    <t>Bus</t>
  </si>
  <si>
    <t>Lane Change</t>
  </si>
  <si>
    <t>No.11</t>
  </si>
  <si>
    <t>2'50</t>
  </si>
  <si>
    <t>cut in 和 lane change怎么区分；距离远为LaneChange，比较激进，距离ego较近为cut in</t>
  </si>
  <si>
    <t>描述粘贴重复</t>
  </si>
  <si>
    <t>1.已修改；保留第二个描述，之前会议上的建议</t>
  </si>
  <si>
    <t>60eeb50a7ef735732c5ea6e6</t>
  </si>
  <si>
    <t>Slowly Merge in Traffic Jam</t>
  </si>
  <si>
    <t>When EGO was going straight on a 6-lanes 2-ways jam road, a car slowly merged into the  middle lane from the rightmost lane.</t>
  </si>
  <si>
    <t>Slowly</t>
  </si>
  <si>
    <t>No.19</t>
  </si>
  <si>
    <t>4'19</t>
  </si>
  <si>
    <t>4'29</t>
  </si>
  <si>
    <t>不小心删除了description中的视频链接url；</t>
  </si>
  <si>
    <t>1. 描述里说static car感觉不太合适，它不是静止的，而是缓慢移动的
2. When EGO was going straight</t>
  </si>
  <si>
    <t>1.已修改；删除 static
2.已修改；增加straight</t>
  </si>
  <si>
    <t>60efb2657ef735732c5eb41b</t>
  </si>
  <si>
    <t>Slowly Change Lane When Far from The Front Car</t>
  </si>
  <si>
    <t>When EGO was going straight on the leftmost lane of a 3-lanes urban road, a car slowly changed lane from left 2rd lane to ego's lane when ego was far from the front car.</t>
  </si>
  <si>
    <t>No.32</t>
  </si>
  <si>
    <t>6'57</t>
  </si>
  <si>
    <t>7'11</t>
  </si>
  <si>
    <t>描述里that ego was far 改成when ego was far是不是好些</t>
  </si>
  <si>
    <t>已修改</t>
  </si>
  <si>
    <t>61b8552958af30712a131fd2</t>
  </si>
  <si>
    <t>U-Turn from The Gap of Belt</t>
  </si>
  <si>
    <t>When EGO was going straight on the leftmost lane of a 3-lanes urban road and passing by a gap in the belt, a car suddenly did a U-turn to ego's lane from opposite lane.</t>
  </si>
  <si>
    <t>Curve</t>
  </si>
  <si>
    <t>No.38</t>
  </si>
  <si>
    <t>8'13</t>
  </si>
  <si>
    <t>8'23</t>
  </si>
  <si>
    <t>Road Position 是否可以增加一个Road，尽量不要空着label</t>
  </si>
  <si>
    <t>60efdde07ef735732c5ebbe3</t>
  </si>
  <si>
    <t>When EGO was going straight on the leftmost lane of a 3-lanes urban road with red traffic light, a car cut in aggressively by crossing 2 lanes from the leftmost lane.</t>
  </si>
  <si>
    <t>Right Rear</t>
  </si>
  <si>
    <t>5 Lane 2 Way</t>
  </si>
  <si>
    <t xml:space="preserve">https://www.iqiyi.com/v_1s40j847frg.html </t>
  </si>
  <si>
    <t>No.1</t>
  </si>
  <si>
    <t>0'00</t>
  </si>
  <si>
    <t>0'15</t>
  </si>
  <si>
    <t>60ffca4fdf3a195d8e1e07a4</t>
  </si>
  <si>
    <t>Suddenly Drive Into the Side Road From the Main Road</t>
  </si>
  <si>
    <t>When EGO was going straight on side road and passing by a gap in the isolation belt, a car aggressively turned left and drive into the side road through the gap.</t>
  </si>
  <si>
    <t>Side Road</t>
  </si>
  <si>
    <t>Speed Up</t>
  </si>
  <si>
    <t xml:space="preserve">https://www.iqiyi.com/v_1smrdalxvck.html </t>
  </si>
  <si>
    <t>No.16</t>
  </si>
  <si>
    <t>3'32</t>
  </si>
  <si>
    <t>3'44</t>
  </si>
  <si>
    <t>Aggressive,Speed Up靠自己主观判断；碰撞上为aggressively，没有发生碰撞为speed up</t>
  </si>
  <si>
    <t>Huajia Nie</t>
  </si>
  <si>
    <t>60ffd36ddf3a195d8e1e0c10</t>
  </si>
  <si>
    <t>Decelerated To Cut In</t>
  </si>
  <si>
    <t>When EGO was going straight on the rightmost lane of a 3-lanes urban road, a car suddenly accelerates to cut in from right 2rd lane</t>
  </si>
  <si>
    <t>No.21</t>
  </si>
  <si>
    <t>4'43</t>
  </si>
  <si>
    <t>4'54</t>
  </si>
  <si>
    <t>60ffeadbdf3a195d8e1e1456</t>
  </si>
  <si>
    <t xml:space="preserve">Aggressively Cut In When Going Straight Through the Intersection </t>
  </si>
  <si>
    <t>When the yellow light turned red, EGO was going straight through the intersection on the leftmost lane of a 3-lanes urban road, a car suddenly cut into ego's lane from the middle lane</t>
  </si>
  <si>
    <t>No.last one</t>
  </si>
  <si>
    <t>7'45</t>
  </si>
  <si>
    <t>8'01</t>
  </si>
  <si>
    <t>when之后的格式是否固定，必须加EGO was；是否可以把红绿的描述放到前面</t>
  </si>
  <si>
    <t>60e53aa47c361a3884916067</t>
  </si>
  <si>
    <t>Aggressively Merging in from Right Ramp</t>
  </si>
  <si>
    <t>When EGO was going straight on the right lane of a 2-lanes urban express road, a car aggressively merged in from the right ramp.</t>
  </si>
  <si>
    <t xml:space="preserve">https://www.iqiyi.com/v_1p6eeku8olw.html </t>
  </si>
  <si>
    <t>No.28</t>
  </si>
  <si>
    <t>6'36</t>
  </si>
  <si>
    <t>6'48</t>
  </si>
  <si>
    <t>Zhiang Shen 申志昂</t>
  </si>
  <si>
    <t>60e3d1f87f92312855390267</t>
  </si>
  <si>
    <t>Changing to EGO's Lane and Abort Soon</t>
  </si>
  <si>
    <t>When EGO was going straight on the left lane of Highway, a truck changed to EGO's lane and aborted soon.</t>
  </si>
  <si>
    <t>Noncollision</t>
  </si>
  <si>
    <t xml:space="preserve">https://www.iqiyi.com/v_28ir6fn3f9w.html </t>
  </si>
  <si>
    <t>No.33</t>
  </si>
  <si>
    <t>7'24</t>
  </si>
  <si>
    <t>60e4511ab6df5340a90948ad</t>
  </si>
  <si>
    <t>Suddenly Pulling Out and Making a U-turn</t>
  </si>
  <si>
    <t>When EGO was going straight on a 2-lanes 2-ways urban minor arterial road, a car suddenly pulled out and making a U-turn from the cycleway.</t>
  </si>
  <si>
    <t>https://www.iqiyi.com/v_1p6eeku8olw.html</t>
  </si>
  <si>
    <t>No.13</t>
  </si>
  <si>
    <t>3'00</t>
  </si>
  <si>
    <t>3'12</t>
  </si>
  <si>
    <t>60e410dab6df5340a909299e</t>
  </si>
  <si>
    <t>Continuously Changing Lanes and Cutting into EGO's lane</t>
  </si>
  <si>
    <t>When EGO was going straight on the leftmost lane of a 3-lanes urban principal arterial road, a car continuously changed lane and cut into EGO's lane from the rightmost lane.</t>
  </si>
  <si>
    <t>2'16</t>
  </si>
  <si>
    <t>2'28</t>
  </si>
  <si>
    <t>60e456dbb6df5340a9094a34</t>
  </si>
  <si>
    <t>Wildly Passing Through the Gap of Two Cars</t>
  </si>
  <si>
    <t>When EGO was going straight on the rear left of a car on a 2-lanes urban minor arterial road, another car behind ego wildly passed through the gap between the two cars.</t>
  </si>
  <si>
    <t>No.22</t>
  </si>
  <si>
    <t>5'16</t>
  </si>
  <si>
    <t>60e54be47c361a38849164f4</t>
  </si>
  <si>
    <t>Intruding into EGO's Lane from the Opposite Lane to Overtake</t>
  </si>
  <si>
    <t>When EGO was going straight on the left lane of a 4-lanes 2-ways urban principal arterial road, a fast-moving car intruded into EGO's lane from the opposite lane to overtake a series of big trucks.</t>
  </si>
  <si>
    <t>Wrong-way Driving</t>
  </si>
  <si>
    <t>Nudge</t>
  </si>
  <si>
    <t>8'00</t>
  </si>
  <si>
    <t>8'09</t>
  </si>
  <si>
    <t>OBS Maneuver里和HOW里都有Retrograde选项</t>
  </si>
  <si>
    <t>61c4134ec6f7dccb516dcf12</t>
  </si>
  <si>
    <t>Suddenly Lane Change When EGO was Changing to the Same Lane</t>
  </si>
  <si>
    <t>When EGO was changing lanes to the right on a 3-lanes urban express road, the car in front of EGO suddenly slowed down and changed to right lane to avoid traffic jam.</t>
  </si>
  <si>
    <t>https://www.iqiyi.com/v_2bvr40ahqls.html</t>
  </si>
  <si>
    <t>No.31</t>
  </si>
  <si>
    <t>6'47</t>
  </si>
  <si>
    <t>60e6676a7c361a3884917c71</t>
  </si>
  <si>
    <t>Crossing the Road from the T-junction</t>
  </si>
  <si>
    <t>When EGO was going straight on the middle lane of a 6-lanes 2-ways urban minor arterial road, and driving into a T-junction, a car crossed the road in front of EGO from right.</t>
  </si>
  <si>
    <t>T</t>
  </si>
  <si>
    <t>6'58</t>
  </si>
  <si>
    <t>611d060fdb826f2d8ee08ff4</t>
  </si>
  <si>
    <t>Cut in When EGO was Starting with the Front Car</t>
  </si>
  <si>
    <t>When EGO was starting with the front car on the leftmost lane of a 5-lanes urban principal arterial road before a intersection with traffic light, another car cut into EGO's lane from rear right.</t>
  </si>
  <si>
    <t>Starting in Traffic Lane</t>
  </si>
  <si>
    <t xml:space="preserve">https://www.iqiyi.com/v_17l6d2qrdv0.html </t>
  </si>
  <si>
    <t>4'27</t>
  </si>
  <si>
    <t>4'40</t>
  </si>
  <si>
    <t>611e3446daa420459fb222f5</t>
  </si>
  <si>
    <t>Crossing the Road through the Traffic Jam</t>
  </si>
  <si>
    <t>When EGO was going straight on the middle lane of a 3-lanes urban principal arterial road, a car suddenly crossed the road through the traffic jam to EGO's lane.</t>
  </si>
  <si>
    <t>4'55</t>
  </si>
  <si>
    <t>5'05</t>
  </si>
  <si>
    <t>60f7dbc5d0ab4e15c152b8fd</t>
  </si>
  <si>
    <t>Suddently Lane Change Before Entering a Junction</t>
  </si>
  <si>
    <t>When EGO was going straight on the middle lane of an urban road and driveing into a junction, a car suddently lane change from the leftmost to rightmost and block ego's lane, while the rightmost lane was occupied by an up coming car.</t>
  </si>
  <si>
    <t>https://www.iqiyi.com/v_uscurycmg8.html</t>
  </si>
  <si>
    <t>No.40</t>
  </si>
  <si>
    <t>8'5</t>
  </si>
  <si>
    <t>8'17</t>
  </si>
  <si>
    <t>Zhiwen Wang 王志文</t>
  </si>
  <si>
    <t>60f80431d0ab4e15c152c1d1</t>
  </si>
  <si>
    <t>Crossing an Unprojected Junction with High Speed</t>
  </si>
  <si>
    <t>When EGO was going straight through an unprojected junction, a car suddently appeared and quickly drove through the junction from left hand.</t>
  </si>
  <si>
    <t>https://www.iqiyi.com/v_2b7dt657dgg.html</t>
  </si>
  <si>
    <t>1'5</t>
  </si>
  <si>
    <t>1'18</t>
  </si>
  <si>
    <t>60f80989d0ab4e15c152c343</t>
  </si>
  <si>
    <t>When EGO was going straight on the rightmost lane of a 3-lanes urban road and close to exit of a T road, a car aggressively cut in by crossing 2 lanes from the leftmost lane.</t>
  </si>
  <si>
    <t>1'57</t>
  </si>
  <si>
    <t>2'10</t>
  </si>
  <si>
    <t>60f81624d0ab4e15c152ca83</t>
  </si>
  <si>
    <t>Slowly Uturn in a Junction</t>
  </si>
  <si>
    <t>When EGO was going straight on the left lane of a 2-lanes urban road and enterning a junction, a car slowly made a u-turn Clockwisely from righthand in front of ego.</t>
  </si>
  <si>
    <t>No.15</t>
  </si>
  <si>
    <t>3'8</t>
  </si>
  <si>
    <t>3'19</t>
  </si>
  <si>
    <t>60f81e2ad0ab4e15c152cd47</t>
  </si>
  <si>
    <t>Suddently LeftTurn from Waiting Area</t>
  </si>
  <si>
    <t>when ego was going straight on the middle lane of a 3-lanes urban road and crossing junction, a car in opposite suddently left turn from left turn in waiting area when ego entrance the junction</t>
  </si>
  <si>
    <t>Left Turn</t>
  </si>
  <si>
    <t>3'30</t>
  </si>
  <si>
    <t>Nanshu Zhao</t>
  </si>
  <si>
    <t xml:space="preserve">- 描述可加上 a car in opposite， 强调是对向车左转（optional） </t>
  </si>
  <si>
    <t>fixed</t>
  </si>
  <si>
    <t>60f8d302aa09fe54566eec0e</t>
  </si>
  <si>
    <t>Aggressively Crossing 2 Lanes to Lanechange</t>
  </si>
  <si>
    <t>when ego was going straight on the leftmost lane of a 5-lanes urban road and crossing entrance of uturn, a car aggresively lanechange by crossing 2 lanes from the right 3rd lane when another two cars beyond it on the right fourth and fifth lane.</t>
  </si>
  <si>
    <t>5 Lane 1 Way</t>
  </si>
  <si>
    <t>No.17</t>
  </si>
  <si>
    <t>3'40</t>
  </si>
  <si>
    <t>- title: aggressively (多个a)
- 描述形容建议全部使用left做参考，即left most, left 3rd, left 2nd
- Feature 应为cut in</t>
  </si>
  <si>
    <t>60f8f5b32e39434c0520b3f3</t>
  </si>
  <si>
    <t>Aggressively Crossing 1 Lanes to Lanechange</t>
  </si>
  <si>
    <t>when ego was going back to the original lane after dynamitic nudge on the left 2nd ,a car aggressively lanechange by crossing 1 lane from the right 2nd.</t>
  </si>
  <si>
    <t>No.18</t>
  </si>
  <si>
    <t>3'42</t>
  </si>
  <si>
    <t>3'52</t>
  </si>
  <si>
    <t>- title: aggressively (多个a)
- 描述形容建议全部使用left做参考
- Traffic Decive 改为none
- Feature 是否nudge更合理？</t>
  </si>
  <si>
    <t>60f96174c751762520d66192</t>
  </si>
  <si>
    <t>Aggressively Crossing 1 Lanes to CutIn</t>
  </si>
  <si>
    <t>when ego was turning right on the rightmost lane of a 3-lanes urban,a car aggresssively cut in by crossing 1 lane</t>
  </si>
  <si>
    <t>4'39</t>
  </si>
  <si>
    <t>- title: aggressively (多个a)</t>
  </si>
  <si>
    <t>60f96994c751762520d66512</t>
  </si>
  <si>
    <t>Aggressively Crossing 2 Lanes to CutIn</t>
  </si>
  <si>
    <t>when ego was right lane change on the middle of a 3-lanes urban and enter the side road in dark,a car aggressively cut in by crossing 1 lane,the road ahead can't drive, can only turn right</t>
  </si>
  <si>
    <t>Y</t>
  </si>
  <si>
    <t>No.34</t>
  </si>
  <si>
    <t>7'08</t>
  </si>
  <si>
    <t>- title: aggressively (多个a)
- Traffic Decive 改为none
- Road Shape 更像是 Y</t>
  </si>
  <si>
    <t>60f96e3fc751762520d66744</t>
  </si>
  <si>
    <t>when ego was right lane change on the middle of a 3-lanes urban,a car was going straight on the leftmost and gradually beyond ego, a bus aggressively cutin by crossing 2 lanes from the side road</t>
  </si>
  <si>
    <t>No.36</t>
  </si>
  <si>
    <t>7'17</t>
  </si>
  <si>
    <t>7'30</t>
  </si>
  <si>
    <t>?</t>
  </si>
  <si>
    <t>60e7c51f9745102151c5d975</t>
  </si>
  <si>
    <t>Suddenly harsh yield and swerved to nudge illegal tricycle</t>
  </si>
  <si>
    <t xml:space="preserve">When EGO was going straight through a junction on the middle lane of a 3-lanes urban road, a tricycle had ignored the red light to cross the road. A white car in front of EGO made a harsh brake to avoid collisions with the tricycle.  </t>
  </si>
  <si>
    <t>Lane Follow</t>
  </si>
  <si>
    <t xml:space="preserve">https://www.iqiyi.com/v_1rshytn0qmw.html </t>
  </si>
  <si>
    <t>NO.5</t>
  </si>
  <si>
    <t>0'55</t>
  </si>
  <si>
    <t>三轮车从右向左忽略红灯横穿马路，前方白车避让三轮车有急刹且急打方向盘</t>
  </si>
  <si>
    <t>Lingyu Meng 孟凌宇</t>
  </si>
  <si>
    <t>- Number of Lanes: 3 lane 1 way</t>
  </si>
  <si>
    <t>60e7dd229745102151c5e3bd</t>
  </si>
  <si>
    <t xml:space="preserve">Crossing aggressively at junction without traffic lights </t>
  </si>
  <si>
    <t>When EGO was going straight through a traffic light free junction on the left lane of a 2-lane urban road, a car was crossing the junction aggressively from the right side of EGO</t>
  </si>
  <si>
    <t>byd-cn-001</t>
  </si>
  <si>
    <t>NO.20</t>
  </si>
  <si>
    <t>4'20</t>
  </si>
  <si>
    <t>4'35</t>
  </si>
  <si>
    <t>无红绿灯路口，EGO直行，Obs速度较快从右向左横穿马路</t>
  </si>
  <si>
    <t>60e7ec819745102151c5e7b7</t>
  </si>
  <si>
    <t>Suddenly harsh yield and swerved to nudge aggressive driving tricycle</t>
  </si>
  <si>
    <t>When EGO was going straight through a junction on the left lane of a 2-lanes urban road, a car in front of the EGO made a  harsh brake to avoid collision with an aggressively driving tricycle</t>
  </si>
  <si>
    <t>NO.21</t>
  </si>
  <si>
    <t>4'46</t>
  </si>
  <si>
    <t>摩托车占用右侧车道过多，obs刹车和避让，EGO未对obs减速和避让</t>
  </si>
  <si>
    <t>视频与描述对不上，未见到三轮车，是不是标记错视频</t>
  </si>
  <si>
    <t>右侧摩托车</t>
  </si>
  <si>
    <t>60e7fe4a9745102151c5f20b</t>
  </si>
  <si>
    <t>Merge in when EGO was going straight</t>
  </si>
  <si>
    <t xml:space="preserve">When EGO was going straight on the right lane of a 3-lanes urban road, a car on the side lane was trying to merge into EGO's lane </t>
  </si>
  <si>
    <t>NO.23</t>
  </si>
  <si>
    <t>5'00</t>
  </si>
  <si>
    <t>5'10</t>
  </si>
  <si>
    <t>EGO直行，右侧有两辆车merge到EGO车道，merge低优先级低速行驶但未让行EGO
1.obs从辅路merge进EGO所在的主车道，过激，EGO feature=lane follow 还是nudge？</t>
  </si>
  <si>
    <t>60e801ca9745102151c5f36a</t>
  </si>
  <si>
    <t>Borrow lane and overtake</t>
  </si>
  <si>
    <t>When EGO was going straight on a single lane rural road without any traffic  index line and passing a parked car on the left side of the road, a vehicle moving in an opposite direction was running between EGO and the parked car</t>
  </si>
  <si>
    <t>Rural</t>
  </si>
  <si>
    <t>Borrow Lane</t>
  </si>
  <si>
    <t>Friendly</t>
  </si>
  <si>
    <t>NO.24</t>
  </si>
  <si>
    <t>5'20</t>
  </si>
  <si>
    <t>1车道，对向来车非法占用本车道行驶，无碰撞
1.EGO feature = nudge？</t>
  </si>
  <si>
    <t>- Number of Lanes: 2 lane 1 way
- 按场景来说feature lane follow 更贴近点</t>
  </si>
  <si>
    <t>60e811a29745102151c5f885</t>
  </si>
  <si>
    <t xml:space="preserve">Lane Change	by Crossing Solid Line </t>
  </si>
  <si>
    <t>When EGO was going straight on the second lane from the left of a 4-lanes urban road, the car on the left lane of EGO was changing lane by crossing a solid line in front of the traffic light</t>
  </si>
  <si>
    <t>https://www.iqiyi.com/v_bq95qmvkj0.html</t>
  </si>
  <si>
    <t>NO.3</t>
  </si>
  <si>
    <t xml:space="preserve">0'24 </t>
  </si>
  <si>
    <t>0'36</t>
  </si>
  <si>
    <t>黄昏时刻，左侧黑车在红绿灯前压实线变道，EGO紧急刹车</t>
  </si>
  <si>
    <t xml:space="preserve">
- 描述中可体现红绿灯前</t>
  </si>
  <si>
    <t>60e81bb59745102151c5fb31</t>
  </si>
  <si>
    <t xml:space="preserve"> U-Turn too aggressive at traffic light junction</t>
  </si>
  <si>
    <t>When EGO was going straight on the left lane of a 4-lanes urban road, a car on the right was trying to take a U-turn in front of the EGO  aggressively</t>
  </si>
  <si>
    <t>NO.9</t>
  </si>
  <si>
    <t>2'05</t>
  </si>
  <si>
    <t>2'17</t>
  </si>
  <si>
    <t>右侧白车突然u-turn，导致EGO来不及刹车发生碰撞</t>
  </si>
  <si>
    <t>- Number of Lanes: 6 lane 2 way
- feature 改为cut in 更合理</t>
  </si>
  <si>
    <t>60ebaf9af0f7eb451f79c1af</t>
  </si>
  <si>
    <t>Not avoid continuous change lane</t>
  </si>
  <si>
    <t>When EGO was going straight on the left lane of a 2-lanes urban road, a car was driving from the left side of  the opposite lanes to EGO’s lane continuously</t>
  </si>
  <si>
    <t>NO.10</t>
  </si>
  <si>
    <t>2'30</t>
  </si>
  <si>
    <t>白车连续换道驶入EGO车道</t>
  </si>
  <si>
    <t>- Number of Lanes: 4 lane 2 way
- feature cut in</t>
  </si>
  <si>
    <t>60ebb649f0f7eb451f79c41f</t>
  </si>
  <si>
    <t>Highway Cone Block Lane</t>
  </si>
  <si>
    <t xml:space="preserve">When EGO was going straight on the left lane of a 2-lanes highway road, there are cones in front of the EGO and  there is a truck beside EGO at the same time </t>
  </si>
  <si>
    <t>Cones</t>
  </si>
  <si>
    <t>Construction Zone</t>
  </si>
  <si>
    <t>Trailer</t>
  </si>
  <si>
    <t>High Priority</t>
  </si>
  <si>
    <t>NO.15</t>
  </si>
  <si>
    <t>3'20</t>
  </si>
  <si>
    <t>3'33</t>
  </si>
  <si>
    <t>前方路障，右前侧为卡车正常行驶，EGO加速，最后撞上路障
1.与EGO相撞的为路障，右侧卡车只是导致EGO无法换道，obs type=？
2.obs的动作how和obs maneuver如何定义？卡车为正常行驶，路障静态存在
3.EGO的feature如何定义？理想的轨迹应该为在卡车后减速，等待卡车通行后换道通行</t>
  </si>
  <si>
    <t>-Road Position: construction zone</t>
  </si>
  <si>
    <t>60ebbd0ef0f7eb451f79c7c7</t>
  </si>
  <si>
    <t xml:space="preserve">Brake Harsh Near Crosswalk </t>
  </si>
  <si>
    <t>When EGO was going straight on the left lane of a 3-lanes urban road and getting close to a crosswalk,  a car on the right lane of EGO squeezed in front of EGO and made a harsh brake to avoid collision with a pedestrian on the crosswalk.</t>
  </si>
  <si>
    <t>Crosswalk</t>
  </si>
  <si>
    <t>4'41</t>
  </si>
  <si>
    <t>行人横穿马路，obs换到ego所在车道后急刹让行行人</t>
  </si>
  <si>
    <t>-Road Shape: Straight</t>
  </si>
  <si>
    <t>61029c3d5487713eb51af733</t>
  </si>
  <si>
    <t>Merging from The Gap of Belt</t>
  </si>
  <si>
    <t>When EGO was going straight to overtakes the left-hand large vehicle and passing by a gap in the belt, a car suddenly merged into the road from the side lane.</t>
  </si>
  <si>
    <t>http://www.iqiyi.com/v_fnv2jl6aqc.html?share_sTime=144</t>
  </si>
  <si>
    <t>Hepeng Wang 王贺鹏</t>
  </si>
  <si>
    <t>- title: 无需Taads?</t>
  </si>
  <si>
    <t>60e2bc307f9231285538feaa</t>
  </si>
  <si>
    <t>Zhiwen Wang</t>
  </si>
  <si>
    <t>6103652269d91b4f11bb4a50</t>
  </si>
  <si>
    <t>Illegal U-Turn From Middle Straight Lane</t>
  </si>
  <si>
    <t>When EGO was going straight on the principal arterial and passing by a U-Turn junction, a car U-Turn from middle straight lane illegally.</t>
  </si>
  <si>
    <t>http://www.iqiyi.com/v_1u0x3rzzbjs.html?share_sTime=187</t>
  </si>
  <si>
    <t>6103785d69d91b4f11bb5276</t>
  </si>
  <si>
    <t>Changing Lanes Across 4 Lanes</t>
  </si>
  <si>
    <t>When EGO was going straight on the right 3rd lane of a 4-lanes principal arterial, a car speedup from the rightmost lane to the leftmost lane suddenly.</t>
  </si>
  <si>
    <t>http://www.iqiyi.com/v_1u0x3rzzbjs.html?share_sTime=199</t>
  </si>
  <si>
    <t>6103966269d91b4f11bb56b0</t>
  </si>
  <si>
    <t>Cutting-in From Left Lane Aggressively and Sandwich the EGO</t>
  </si>
  <si>
    <t>When EGO was going straight on the middle lane, a truck overtake and cutting-in from left lane aggressively, meanwhile a car overtake from right lanes.</t>
  </si>
  <si>
    <t>Truck</t>
  </si>
  <si>
    <t>http://www.iqiyi.com/v_1u0x3rzzbjs.html?share_sTime=223</t>
  </si>
  <si>
    <t>6103c20b69d91b4f11bb5f86</t>
  </si>
  <si>
    <t>Cross the Road From Blind Spot Suddenly</t>
  </si>
  <si>
    <t>When EGO was going straight on the right 2rd lane and passing by a gap in the belt, a car slowdown at the rightmost lane, meanwhile another car merge from the blind spot suddenly and cross the road aggressively.</t>
  </si>
  <si>
    <t>http://www.iqiyi.com/v_1u0x3rzzbjs.html?share_sTime=306</t>
  </si>
  <si>
    <t>No.23</t>
  </si>
  <si>
    <t>直接从辅路横穿马路，掉头，feature = Junction ?</t>
  </si>
  <si>
    <t>610793b6ff136d618e32adb4</t>
  </si>
  <si>
    <t>Change 3 Lanes in a Row to Get Off Highway</t>
  </si>
  <si>
    <t>When EGO was going straight on the rightmost lane of a 3-lanes highway and passing by a exit, a car slowdown at the leftmost lane and continuously lane change to get off the highway.</t>
  </si>
  <si>
    <t>Exit</t>
  </si>
  <si>
    <t>http://www.iqiyi.com/v_105jzk25f38.html?share_sTime=28</t>
  </si>
  <si>
    <t>No.3</t>
  </si>
  <si>
    <t>6107a4baff136d618e32b212</t>
  </si>
  <si>
    <t>Wildly Crossing 2 Lanes to Lane Change</t>
  </si>
  <si>
    <t>When EGO was going straight on the right 2rd lane, a car cut in wildly by crossing 2 lanes from the side lane.</t>
  </si>
  <si>
    <t>http://www.iqiyi.com/v_105jzk25f38.html?share_sTime=73</t>
  </si>
  <si>
    <t>6107ada9ff136d618e32b70a</t>
  </si>
  <si>
    <t>Aggressive Left Cutting-in When EGO Following Front Car</t>
  </si>
  <si>
    <t>When EGO was following front car at close range on the rightmost lane, a car cut in from the right 2rd lane aggressively.</t>
  </si>
  <si>
    <t>http://www.iqiyi.com/v_105jzk25f38.html?share_sTime=98</t>
  </si>
  <si>
    <t>6107cc16ff136d618e32c5ca</t>
  </si>
  <si>
    <t>Car Turn Right With a Small Radius While EGO Turn Right</t>
  </si>
  <si>
    <t>When EGO turn right on the rightmost lane, a car turn right with a small radius on the right 2rd lane.</t>
  </si>
  <si>
    <t>Rain</t>
  </si>
  <si>
    <t>http://www.iqiyi.com/v_105jzk25f38.html?share_sTime=213</t>
  </si>
  <si>
    <t>场景多个测试目标，标签以视频为准？</t>
  </si>
  <si>
    <t>610a2fc713be3a564d6fe3f5</t>
  </si>
  <si>
    <t>Quickly Going Straight inside Junction</t>
  </si>
  <si>
    <t>When EGO was turning left at a T junction, a car going straight quickly on the centerline of the lane from the right hand.</t>
  </si>
  <si>
    <t>http://www.iqiyi.com/v_105jzk25f38.html?share_sTime=252</t>
  </si>
  <si>
    <t>606f185ee490261c63fe020b</t>
  </si>
  <si>
    <t>When EGO was going straight on the rightmost lane of 4 lanes urban cross, the tricycle which was covered by left car going straight and run red light from left hand direction</t>
  </si>
  <si>
    <t>https://www.iqiyi.com/v_1yt8bhslu38.html</t>
  </si>
  <si>
    <t>No.7</t>
  </si>
  <si>
    <t>1'26</t>
  </si>
  <si>
    <t>1'39</t>
  </si>
  <si>
    <t>场景与视频不匹配，已重新修改场景</t>
  </si>
  <si>
    <t>60701b1de490261c63fe0231</t>
  </si>
  <si>
    <t>Aggressively Crossing 4 Lanes to Cut In</t>
  </si>
  <si>
    <t>When EGO was going straight on the leftmost lane of a 4 lanes urban road, a car cut in aggressively by crossing 5 lanes from the rightmost entrance lane.</t>
  </si>
  <si>
    <t>2'02</t>
  </si>
  <si>
    <t>2'12</t>
  </si>
  <si>
    <t>60702d8d6df48f1d80d422cf</t>
  </si>
  <si>
    <t>Pull Out and Cut In</t>
  </si>
  <si>
    <t>When EGO was going straight on the right 2rd lane of 4 lanes road, the right front car pulled out and cut in, the left rear car went straight and approached quickly.</t>
  </si>
  <si>
    <t>Pull Out</t>
  </si>
  <si>
    <t>2'24</t>
  </si>
  <si>
    <t>2'34</t>
  </si>
  <si>
    <t>6074269a1cf4de2efa614440</t>
  </si>
  <si>
    <t xml:space="preserve">Aggressively Crossing 2 Lanes to Left Turn </t>
  </si>
  <si>
    <t>When EGO was going straight on the leftmost lane of a 2-lanes urban cross, the right rear car made a Left Turn aggressively by crossing 2 lanes from the rightmost lane.</t>
  </si>
  <si>
    <t>https://www.iqiyi.com/v_19qcoi3tjz0.html</t>
  </si>
  <si>
    <t>7'28</t>
  </si>
  <si>
    <t>7'38</t>
  </si>
  <si>
    <t>目前定义的collision risk是跟主车有可能的碰撞风险的情况</t>
  </si>
  <si>
    <t>60743837e490261c63fe027c</t>
  </si>
  <si>
    <t>Cut In Wildly</t>
  </si>
  <si>
    <t>When EGO was going straight on the second lane of a 4-lanes urban road, a car was cutting in from left of EGO aggressively</t>
  </si>
  <si>
    <t>No.35</t>
  </si>
  <si>
    <t>7'14</t>
  </si>
  <si>
    <t>607655cae490261c63fe0327</t>
  </si>
  <si>
    <t>Cross the Road Aggressively</t>
  </si>
  <si>
    <t>When EGO was going straight on the 2nd lane of a 3-lanes urban road, a car was crossing from left to right aggressively</t>
  </si>
  <si>
    <t>https://www.iqiyi.com/v_1dz6udux11w.html</t>
  </si>
  <si>
    <t>0'12</t>
  </si>
  <si>
    <t>6076cac288a8ea7d7adc95d0</t>
  </si>
  <si>
    <t xml:space="preserve">Run a Red Light  </t>
  </si>
  <si>
    <t>When the traffic light was turning red to green，EGO started moving forward on the junction, a car ran a red light and crossing the road aggressively</t>
  </si>
  <si>
    <t>https://www.iqiyi.com/v_msxfx2099w.html</t>
  </si>
  <si>
    <t>7'34</t>
  </si>
  <si>
    <t>7'48</t>
  </si>
  <si>
    <t>1-描述中junction范围较广，体现是十字路口？cross
2-描述体现ego起步状态
3-road shape可以选none
4-obs maneuver是go straight?cross用于定义横穿马路，一般没路口的时候用
5-how可增加run red light</t>
  </si>
  <si>
    <t>1.已修改
2.已修改
3.已修改
4.已修改，btw，obs maneuver处的cross是做动词？
5.已修改</t>
  </si>
  <si>
    <t>607d2e053f24f81dd11e60f8</t>
  </si>
  <si>
    <t>Aggressively Turn Right and Cutin</t>
  </si>
  <si>
    <t xml:space="preserve">When EGO was going straight and crossing the junction, a car aggressively turn right and cut in  the lane of ego  </t>
  </si>
  <si>
    <t xml:space="preserve">https://www.iqiyi.com/v_1yt8bhslu38.html </t>
  </si>
  <si>
    <t>No.24</t>
  </si>
  <si>
    <t>4'56</t>
  </si>
  <si>
    <t>5'08</t>
  </si>
  <si>
    <t>607d786cc10514568f8fd35d</t>
  </si>
  <si>
    <t>Aggressively Turn Left</t>
  </si>
  <si>
    <t xml:space="preserve">When EGO was going straight and crossing the junction, a car aggressively turn left to the lane of ego  </t>
  </si>
  <si>
    <t>7'05</t>
  </si>
  <si>
    <t>7'18</t>
  </si>
  <si>
    <t>1-这里是junction还是gap？</t>
  </si>
  <si>
    <t>1、EDS中选的是junction</t>
  </si>
  <si>
    <t>607d7b65c10514568f8fd361</t>
  </si>
  <si>
    <t>Aggresively Borrow Lane and Occupy the Opposite Road</t>
  </si>
  <si>
    <t>When EGO was going straight on the right lane of a 2-lanes 2-ways rural road, a car aggresively borrow lane and occupy the opposite road</t>
  </si>
  <si>
    <t>4'52</t>
  </si>
  <si>
    <t>5'02</t>
  </si>
  <si>
    <t>1-描述增加道路数量，体现车道较少的情况
2-how增加retrograde体现逆行</t>
  </si>
  <si>
    <t>1 、2 fixed</t>
  </si>
  <si>
    <t>607d8d73c10514568f8fd368</t>
  </si>
  <si>
    <t>Suddently Slow Down and Stop</t>
  </si>
  <si>
    <t xml:space="preserve">When EGO was going straight to cross the junction and follow a car,the car suddently slow down and stop at crosswalk </t>
  </si>
  <si>
    <t>Rear</t>
  </si>
  <si>
    <t>No.26</t>
  </si>
  <si>
    <t>5'34</t>
  </si>
  <si>
    <t>1-how增加aggressive描述减速的程度？</t>
  </si>
  <si>
    <t>1 、fixed</t>
  </si>
  <si>
    <t>607e3e8de5a2d4278a2f7634</t>
  </si>
  <si>
    <t>Left Car Cut in When Front Car Start</t>
  </si>
  <si>
    <t>After the red light turns green, the EGO speed up slowly then left car cut in due to distance between the ego and front car increased.</t>
  </si>
  <si>
    <t>2'18</t>
  </si>
  <si>
    <t>1-描述体现ego起步的行为？
2-road shape为cross？position为entrance？</t>
  </si>
  <si>
    <t>607938ea5c28653137d3a8e5</t>
  </si>
  <si>
    <t>Turn Right From Left Lane</t>
  </si>
  <si>
    <t>When EGO was going straight on the rightmost lane, a car turn right from right 2rd lane.</t>
  </si>
  <si>
    <t>0'30</t>
  </si>
  <si>
    <t>0'42</t>
  </si>
  <si>
    <t>607d4afa652f3f66f4fbd992</t>
  </si>
  <si>
    <t xml:space="preserve">Aggressively Cut in When Fewer Lanes Ahead </t>
  </si>
  <si>
    <t>When EGO was going straight on right 2rd lane at T junction, fewer lanes ahead junction, a truck cutting-in from rightmost lane.</t>
  </si>
  <si>
    <t>4'30</t>
  </si>
  <si>
    <t>1-前面道路变少，是一个obs merge aggressive的场景？</t>
  </si>
  <si>
    <t>607d75d6652f3f66f4fbe287</t>
  </si>
  <si>
    <t>EGO Aggressive Left Turn Merge</t>
  </si>
  <si>
    <t>When EGO was turn left at T junction, a car going straight on the leftmost lane at right hand with high priority.</t>
  </si>
  <si>
    <t>6'51</t>
  </si>
  <si>
    <t>7'01</t>
  </si>
  <si>
    <t>1-描述可以体现obs的方位，right land
2-场景无法运行</t>
  </si>
  <si>
    <t>607e4426652f3f66f4fbe62c</t>
  </si>
  <si>
    <t xml:space="preserve">Turning Left to EGO's Lane When EGO Drove Through the T-junction </t>
  </si>
  <si>
    <t>When EGO was going straight on the left lane of a 4-lanes 2-ways urban minor arterial road, and driving through a T-junction, a car suddenly turned left to EGO's lane from left.</t>
  </si>
  <si>
    <t>Left Rear</t>
  </si>
  <si>
    <t>6'52</t>
  </si>
  <si>
    <t>1-场景中主车直行，obs左转</t>
  </si>
  <si>
    <t>607e67a73f24f81dd11e6132</t>
  </si>
  <si>
    <t xml:space="preserve">Suddenly Slowing Down and Stopping Because of  Traffic Light </t>
  </si>
  <si>
    <t xml:space="preserve">When EGO was going straight on the left lane of a 4-lanes 2-ways urban minor arterial road, the front car suddenly slowed down and stopped because of the traffic light. </t>
  </si>
  <si>
    <t>Stopped in Traffic Lane</t>
  </si>
  <si>
    <t>Traffic Light</t>
  </si>
  <si>
    <t>1'24</t>
  </si>
  <si>
    <t>1'37</t>
  </si>
  <si>
    <t>1-描述，the front car?
2-how 中red light是行为闯红灯
3-road shape为cross，position为entrance</t>
  </si>
  <si>
    <t>607fbc7bc10514568f8fd3c8</t>
  </si>
  <si>
    <t xml:space="preserve">Crossing the Intersection When EGO  Was Making a U-Turn </t>
  </si>
  <si>
    <t xml:space="preserve">When EGO was making a U-turn on the left lane of a 4-lanes 2-ways urban minor arterial road, a car went straight to cross the intersection from the opposite lane. </t>
  </si>
  <si>
    <t>8'25</t>
  </si>
  <si>
    <t>8'39</t>
  </si>
  <si>
    <t>1-场景无法运行</t>
  </si>
  <si>
    <t>6086b41ec10514568f8fd42c</t>
  </si>
  <si>
    <t xml:space="preserve">Crossing the Gap When EGO  Was Going Staight </t>
  </si>
  <si>
    <t>When EGO was going  straight on the right lane of a 2-lanes 2-ways urban minor arterial road, a car crossed the gap from the left.</t>
  </si>
  <si>
    <t>3'16</t>
  </si>
  <si>
    <t>3'27</t>
  </si>
  <si>
    <t>1-road shape选的gap，title和描述里用的intersection，不匹配
2-obs的行为是从gap横穿过了马路</t>
  </si>
  <si>
    <t>6087b1c8c10514568f8fd453</t>
  </si>
  <si>
    <t>Slowly U-Turn From Opposite Lane</t>
  </si>
  <si>
    <t xml:space="preserve">When EGO was going  through junction , a car slowly did a u-turn at   low priority from opposite lane </t>
  </si>
  <si>
    <t>1-从title中看不出是谁在进行uturn？
2-描述是对场景的描述，不体现碰撞信息
3-低优先级建议用low priority
4-initial collision point是发生碰撞了，不是non
5-collision risk type为视频的碰撞风险类型，这种属于两车吧？</t>
  </si>
  <si>
    <t>60893d993f24f81dd11e6243</t>
  </si>
  <si>
    <t>Slowly U-Turn  From Left 2rd Lane</t>
  </si>
  <si>
    <t>When EGO was going straight on the leftmost lane of a 4-lanes urban road and  passing by a gap in the belt, a truck slowly did a u-turn from the left 2rd lane and the left turn light was on</t>
  </si>
  <si>
    <t>3'14</t>
  </si>
  <si>
    <t>1-描述中obs from leftmost lane，是左二？
2-how可以添加illegal，用于描述从不能调头的车道调头？
3-feature是不是cut in会更符合情况？</t>
  </si>
  <si>
    <t>1.已修改
2.truck u-turn应该是合法的？fixed
3.已修改</t>
  </si>
  <si>
    <t>608a8fc63f24f81dd11e6273</t>
  </si>
  <si>
    <t>Risk of Blind Spot When Pass Through  a Gap</t>
  </si>
  <si>
    <t>When EGO was going straight on the leftmost lane of a 2-lanes urban road and  passing by a belt gap that was occupied by a black car, a white car behind the black car made a u-turn quickly</t>
  </si>
  <si>
    <t>https://www.iqiyi.com/v_hbk4n4wja8.html</t>
  </si>
  <si>
    <t>2'45</t>
  </si>
  <si>
    <t>1-对描述进行了调整，review一下是否合理</t>
  </si>
  <si>
    <t>6098cf76c10514568f8fd592</t>
  </si>
  <si>
    <t>Suddenly Slow Down</t>
  </si>
  <si>
    <t xml:space="preserve">When EGO was going straight on the leftmost lane of a 4-lanes urban road , a car  that was driving on lane boundary line where  is between the left 1rd and left 2rd lane  suddenly nudged to avoid pedestrians and then decelerated to cut into the leftmost lane </t>
  </si>
  <si>
    <t>1'01</t>
  </si>
  <si>
    <t>1'12</t>
  </si>
  <si>
    <t>1-描述的意思是减速避免行人，实际的case是先nudge避免行人，然后进入ego车道并急减速？</t>
  </si>
  <si>
    <t>1.已修改；</t>
  </si>
  <si>
    <t>W10</t>
  </si>
  <si>
    <t>609a2f6ac10514568f8fd60b</t>
  </si>
  <si>
    <t>Aggressively Brake and U Turn Illegally</t>
  </si>
  <si>
    <t>When EGO was going straight on the left most lane of a 3 lanes urban straight road, the right front car slow down and made a u turn illegally</t>
  </si>
  <si>
    <t>4'47</t>
  </si>
  <si>
    <t>Wei Jin</t>
  </si>
  <si>
    <t xml:space="preserve">1.Initial Point of Impact：Front-&gt;Right Front
</t>
  </si>
  <si>
    <t>609a3ad0c10514568f8fd61a</t>
  </si>
  <si>
    <t xml:space="preserve">Conflict with Car Quickly Passing  Cross without Traffic Light </t>
  </si>
  <si>
    <t>When EGO was going straight at the 1 lane to pass the urban cross, the right hand car went straight quickly</t>
  </si>
  <si>
    <t xml:space="preserve">https://www.iqiyi.com/v_1i727m0zp2g.html </t>
  </si>
  <si>
    <t>1'21</t>
  </si>
  <si>
    <t>1'29</t>
  </si>
  <si>
    <t>1.title：这样描述会不会更明确一点Quickly Passing  Cross without Traffic Light 
2.description：没有体现干扰车穿过junction；the right hand car有没有更官方的说法</t>
  </si>
  <si>
    <t>1-已改
2-右手方向，是我们的标准词汇</t>
  </si>
  <si>
    <t>6082a40d762aff4c9b471bb2</t>
  </si>
  <si>
    <t>Car Merge after U Turn Aggressively</t>
  </si>
  <si>
    <t>When EGO was going straight at the left most lane of 4 lanes urban straight road, the car merged after u turn aggressively from the left front gap</t>
  </si>
  <si>
    <t>0'10</t>
  </si>
  <si>
    <t>1.feature：merge-&gt;cut in会不会更好一点；ego在taads场景中没有向左merge的intent</t>
  </si>
  <si>
    <t>merge一般是多车道变少车道
cut in 一般是车道没有变化，车辆换道切入</t>
  </si>
  <si>
    <t>60ab50e7addd52296e9f7c41</t>
  </si>
  <si>
    <t>Aggressively Crossing  3 Lanes to Cut In</t>
  </si>
  <si>
    <t>When EGO was going straight on the rightmost lane of a 4-lanes urban cross entrance, a car cut in aggressively by crossing 4 lanes from the leftmost lane.</t>
  </si>
  <si>
    <t>7 Lane 2 Way</t>
  </si>
  <si>
    <t>3'05</t>
  </si>
  <si>
    <t>1.Initial Point of Impact：Front-&gt;Right Front
2.road shape: cross-&gt;straight 没有到达cross，就发生碰撞
3.road position:entrance-&gt;none 在道路中间触发换道
4.Number of Lanes:4 Lane 1 Way -&gt; 7 Lane 2 Way</t>
  </si>
  <si>
    <t>1-已改
2-路口的进入区域？</t>
  </si>
  <si>
    <t>60ab5d4aaddd52296e9f7c4a</t>
  </si>
  <si>
    <t>Cut In Aggressively</t>
  </si>
  <si>
    <t>When EGO was going straight on the rightmost lane of a 3-lanes urban straight road, the left front truck cut in aggressively.</t>
  </si>
  <si>
    <t xml:space="preserve">https://www.iqiyi.com/v_hbk4n4wja8.html </t>
  </si>
  <si>
    <t>4'51</t>
  </si>
  <si>
    <t>1.视频中看不出来在那个位置发生了碰撞，左前方应该躲避掉了
2.Number of Lanes:3 Lane 1 Way -&gt; 6 Lane 2 Way</t>
  </si>
  <si>
    <t>60ab63f17a6de41ad5b6f1eb</t>
  </si>
  <si>
    <t>Truck Side Pass  and Occupy EGO lane</t>
  </si>
  <si>
    <t>When EGO was going straight on the rightmost lane of a 2-lanes 2 way rural curve road, the opposite-way truck nudge a bicycle aggressively by occupying ego lane</t>
  </si>
  <si>
    <t>https://www.iqiyi.com/v_1i727m0zp2g.html</t>
  </si>
  <si>
    <t>3'28</t>
  </si>
  <si>
    <t>1.OBS Maneuver：side pass -&gt; nudge；side pass应该是前方有车辆静止，obs 绕过前车并回到本车道；nudge主要是避让和躲避
2.How:Retrograde;truck 在本车道直行，占用ego方向车道，Retrograde是否合适</t>
  </si>
  <si>
    <t>1-已改
2-如何体现占道nudge？新增词汇borrow lane</t>
  </si>
  <si>
    <t>60ab6b02addd52296e9f7c51</t>
  </si>
  <si>
    <t>EGO Right Turn Conflict Wih Going Straight Car</t>
  </si>
  <si>
    <t>When EGO was right turning at the urban cross with all blinked traffic light, the left hand truck went straight quickly</t>
  </si>
  <si>
    <t>1'59</t>
  </si>
  <si>
    <t>2'09</t>
  </si>
  <si>
    <t>1.description：视频中黄灯未体现出来
2.title： Many Tree T-junction</t>
  </si>
  <si>
    <t>60ac60ccaddd52296e9f7c5e</t>
  </si>
  <si>
    <t>Conflict with Sheltered Car by Tree</t>
  </si>
  <si>
    <t>When EGO was going straight at the 2-lanes 2 way urban t junction, the car sheltered by tree turn right quickly.</t>
  </si>
  <si>
    <t>2'46</t>
  </si>
  <si>
    <t>60ac69967a6de41ad5b6f201</t>
  </si>
  <si>
    <t>The Front Car Brake Heavily</t>
  </si>
  <si>
    <t>When EGO was going straight at the 2-lanes 2 way urban t junction, the front car brake heavily because another left turn car.</t>
  </si>
  <si>
    <t xml:space="preserve">https://www.iqiyi.com/v_22oj3vcj014.html </t>
  </si>
  <si>
    <t>5'22</t>
  </si>
  <si>
    <t>5'33</t>
  </si>
  <si>
    <t>60ac87627a6de41ad5b6f20a</t>
  </si>
  <si>
    <t>Right Turn and Borrow Lane Aggressively</t>
  </si>
  <si>
    <t>When EGO was going straight at the 2-lanes 2 way rural curve road, the car right turn from left front gap and borrow lane aggressively</t>
  </si>
  <si>
    <t>5'31</t>
  </si>
  <si>
    <t>5'39</t>
  </si>
  <si>
    <t>60ac928aaddd52296e9f7c6e</t>
  </si>
  <si>
    <t xml:space="preserve">Illegal Cut-In In front of the stop line
</t>
  </si>
  <si>
    <t xml:space="preserve">When EGO was slowing down and waiting for the red light at the 2-lanes 1 way urban  road，a car was cutting in from right lane of EGO  </t>
  </si>
  <si>
    <t xml:space="preserve">
1.Number of Lanes：不清楚写全部的方向的道路，还是写只发生事故的方向的道路，可以讨论一下</t>
  </si>
  <si>
    <t>6082a8a5762aff4c9b471c08</t>
  </si>
  <si>
    <t>Change Lane Continuously and Illegal Turn Left</t>
  </si>
  <si>
    <t>When EGO was going straight at the 3-lanes 1 way urban road，there is a car illegally changed lanes continuously from the rightmost of the opposite lane of the EGO</t>
  </si>
  <si>
    <t>1'09</t>
  </si>
  <si>
    <t>1'22</t>
  </si>
  <si>
    <t xml:space="preserve">
1.title不太明确，应该描述干扰车的行为</t>
  </si>
  <si>
    <t>6082a980762aff4c9b471c3e</t>
  </si>
  <si>
    <t>EGO Low priority merge at Junction</t>
  </si>
  <si>
    <t>When a truck was going straight at the 3-lanes 1 way urban road, EGO started moving at junction and changed lane from rightmost to merge into the lane of the truck.</t>
  </si>
  <si>
    <t>2'40</t>
  </si>
  <si>
    <t>2'54</t>
  </si>
  <si>
    <t>Hepeng Wang</t>
  </si>
  <si>
    <t>6082aa47762aff4c9b471c5b</t>
  </si>
  <si>
    <t xml:space="preserve">
Cross the Solid Line To Cut In</t>
  </si>
  <si>
    <t>When EGO was going straight on the leftmost lane of 4-lanes 1 way urban road, a stationary car started and crossed the solid line to cut in into the lane of EGO aggressively.</t>
  </si>
  <si>
    <t>3'09</t>
  </si>
  <si>
    <t>3'24</t>
  </si>
  <si>
    <t>6082ab38762aff4c9b471c64</t>
  </si>
  <si>
    <t>Illegal U-Turn From Right Lane</t>
  </si>
  <si>
    <t>When EGO was going straight on the left lane of 2-lanes 1 way urban road, a car make a U-turn from the right lane of the EGO aggressively</t>
  </si>
  <si>
    <t>3‘39</t>
  </si>
  <si>
    <t>3'53</t>
  </si>
  <si>
    <t>6082ab9b762aff4c9b471c8d</t>
  </si>
  <si>
    <t>Merge with Guilty</t>
  </si>
  <si>
    <t>When EGO was going straight on left lane of 4-lanes 1 way urban road, a car taked a U-turn suddenly and merged into the lane of the EGO.</t>
  </si>
  <si>
    <t>pacifica-cn-14</t>
  </si>
  <si>
    <t>4'04</t>
  </si>
  <si>
    <t>60ab615f37759734be1f5077</t>
  </si>
  <si>
    <t>Merge Aggressively in the Unprotected T-junction</t>
  </si>
  <si>
    <t>When EGO was going straight on the leftmost lane of 4-lanes 2 way urban road, two cars crossed the road centerline from the left hand and merged into the lane of the EGO</t>
  </si>
  <si>
    <t>4'00</t>
  </si>
  <si>
    <t>4'12</t>
  </si>
  <si>
    <t>60adf8014b2f8337f4d3d97f</t>
  </si>
  <si>
    <t>Cut-In from Outside Lane</t>
  </si>
  <si>
    <t>When EGO was going straight at 3-lanes 1 way highway, a car speeded up and overtaked from the  right rear of EGO, then merged into the lane of EGO with brake.</t>
  </si>
  <si>
    <t>5'50</t>
  </si>
  <si>
    <t>6'00</t>
  </si>
  <si>
    <t>60ae01534b2f8337f4d3dae4</t>
  </si>
  <si>
    <t>Cut-In from the Right Lane Passively</t>
  </si>
  <si>
    <t>When EGO was going straight on the leftmost lane of 4-lanes 1 way, the road became 3-lanes 1 way ahead, a trailer merged into 2nd lane casued a truck on the left of the trailer cut in the lane of EGO slowly</t>
  </si>
  <si>
    <t>No.30</t>
  </si>
  <si>
    <t>6'11</t>
  </si>
  <si>
    <t>6'22</t>
  </si>
  <si>
    <t>60af467295b6e259f5f7e5fa</t>
  </si>
  <si>
    <t>Aggressively Turn Left and Cut In</t>
  </si>
  <si>
    <t xml:space="preserve">When EGO was turning left from the leftmost lane at 4-lanes 1 way urban road, a car on the 2rd left lane aggressively turn left and cut in the lane of the EGO. </t>
  </si>
  <si>
    <t>http://www.iqiyi.com/v_lmhkxrqwlk.html?share_sTime=394</t>
  </si>
  <si>
    <t>no.32</t>
  </si>
  <si>
    <t>6'33</t>
  </si>
  <si>
    <t>6'45</t>
  </si>
  <si>
    <t>60af5daa95b6e259f5f7e7cd</t>
  </si>
  <si>
    <t>Slowly Cut In Then Harshbrake</t>
  </si>
  <si>
    <t xml:space="preserve">When EGO was going straight on the rightmost lane at 3-lanes 1 way rural road and , a car slowly cut in then harshbrake. </t>
  </si>
  <si>
    <t>http://www.iqiyi.com/v_lmhkxrqwlk.html?share_sTime=436</t>
  </si>
  <si>
    <t>no.35</t>
  </si>
  <si>
    <t>7'15</t>
  </si>
  <si>
    <t>7’24</t>
  </si>
  <si>
    <t>actor cutin then slowdown?</t>
  </si>
  <si>
    <t>60af811995b6e259f5f7eabc</t>
  </si>
  <si>
    <t>Going Straight Quickly inside Junction</t>
  </si>
  <si>
    <t>When EGO was turning left at a T junction, a car go straight quickly on the center line of the lane from the right hand.</t>
  </si>
  <si>
    <t>http://www.iqiyi.com/v_2bufryvc36k.html?share_sTime=98</t>
  </si>
  <si>
    <t>No.9</t>
  </si>
  <si>
    <t>1'50</t>
  </si>
  <si>
    <t>60b606b7c5dcaf206d0ec166</t>
  </si>
  <si>
    <t>Cut In With Brake</t>
  </si>
  <si>
    <t>When EGO was following a truck on the rightmost lane at 3-lanes 1 way urban road, a car speeded up and overtaked EGO from the right rear then merged into the lane of EGO with brake.</t>
  </si>
  <si>
    <t>http://www.iqiyi.com/v_2bufryvc36k.html?share_sTime=160</t>
  </si>
  <si>
    <t>60bde9627660074e2e25e043</t>
  </si>
  <si>
    <t>Aggressively Lane Change to Block Ego</t>
  </si>
  <si>
    <t>When EGO was turning left at a T-junction, a car went straight quickly from the left hand to right hand and aggressively lane change from the left lane of 2-lanes to right lane to block ego.</t>
  </si>
  <si>
    <t>http://www.iqiyi.com/v_2bufryvc36k.html?share_sTime=266</t>
  </si>
  <si>
    <t>4'26</t>
  </si>
  <si>
    <t>4'34</t>
  </si>
  <si>
    <t>Zhiang Shen</t>
  </si>
  <si>
    <t>60bdf4667660074e2e25e2cb</t>
  </si>
  <si>
    <t>Aggressively Cut In</t>
  </si>
  <si>
    <t xml:space="preserve">When EGO was going straight on the middle lane of 3-lanes 1 way urban road, a car aggressively cut in from the left  lane. </t>
  </si>
  <si>
    <t>http://www.iqiyi.com/v_2bufryvc36k.html?share_sTime=361</t>
  </si>
  <si>
    <t>6'10</t>
  </si>
  <si>
    <t>60be18a01e670b1d6e72eeee</t>
  </si>
  <si>
    <t>Cut In and Quickly Slow Down</t>
  </si>
  <si>
    <t xml:space="preserve">When EGO was going straight on the rightmost lane at 3-lanes 1 way rural road, a car cut in and quickly slowed down. </t>
  </si>
  <si>
    <t>60be1ed81e670b1d6e72eef2</t>
  </si>
  <si>
    <t xml:space="preserve">When EGO was going straight on the middle lane of 3-lanes 1 way urban road, a car aggressively cut in from the leftmost lane. </t>
  </si>
  <si>
    <t>60c9b036e5a84f01fb310818</t>
  </si>
  <si>
    <t>Rightmost Car Stop And Leftmost Lane Was Occupied</t>
  </si>
  <si>
    <t>When EGO was going straight on the rightmost lane of 2-lanes 1 way urban road, a car stop at the right lane, while the left lane was occupied by an up coming car.</t>
  </si>
  <si>
    <t>http://www.iqiyi.com/v_1c7atnuhsr4.html?share_sTime=435</t>
  </si>
  <si>
    <t>7'25</t>
  </si>
  <si>
    <t>60c9b7aee5a84f01fb3109f1</t>
  </si>
  <si>
    <t>Suddenly Cut In</t>
  </si>
  <si>
    <t xml:space="preserve">When EGO was following the front car on the midlle lane of 3-lanes urban road, another car suddenly cut in from the rightmost lane. </t>
  </si>
  <si>
    <t>http://www.iqiyi.com/v_1c7atnuhsr4.html?share_sTime=595</t>
  </si>
  <si>
    <t>No.45</t>
  </si>
  <si>
    <t>9'55</t>
  </si>
  <si>
    <t>10'5</t>
  </si>
  <si>
    <t>60d039dfd7f78b4d55e8331f</t>
  </si>
  <si>
    <t>Emergency Cutting-Out for Avoiding Rear-End Collision on the Highway</t>
  </si>
  <si>
    <t>When EGO was following the SUV on the left lane of the highway, the SUV suddenly changed lane to the middle lane for avoiding rear-end collision with stationary vehicles, meanwhile a truck was going straight at EGO's right rear .</t>
  </si>
  <si>
    <t>0'28</t>
  </si>
  <si>
    <t>60d2c3a5503b9d196c53c964</t>
  </si>
  <si>
    <t>Ego Turning Left  in Trailer's Blind Spot</t>
  </si>
  <si>
    <t>When EGO was turning left on the leftmost lane of a T-junction on the principal arterial, a trailer turning left on the right front of EGO.</t>
  </si>
  <si>
    <t>4'53</t>
  </si>
  <si>
    <t>60d31ec3503b9d196c53c999</t>
  </si>
  <si>
    <t xml:space="preserve">EGO Turning Left With  Blind Area </t>
  </si>
  <si>
    <t>When EGO was making a left turn at a T-junction with many trees, a car suddenly appeared from the right with a high speed.</t>
  </si>
  <si>
    <t>2'35</t>
  </si>
  <si>
    <t>60d3f546503b9d196c53c9a4</t>
  </si>
  <si>
    <t>Illegally Turning Right from the Straight Lane</t>
  </si>
  <si>
    <t>When EGO was turning right on the right lane of a 4-lanes 2-ways minor arterial, a car illegal turned right from the left lane.</t>
  </si>
  <si>
    <t>https://www.iqiyi.com/v_1y4efpjcbog.html</t>
  </si>
  <si>
    <t>0'56</t>
  </si>
  <si>
    <t>1'10</t>
  </si>
  <si>
    <t>60dbdd57d1ba1357bb926172</t>
  </si>
  <si>
    <t>Cutting-Out for Avoiding Rear-End Collision on the Highway</t>
  </si>
  <si>
    <t>When EGO was following the SUV on the left lane of 3-lanes 1 way, the SUV changed lane to the middle lane for avoid rear-end collision with stationary vehicles, meanwhile a truck driving at the left 2rd lane.</t>
  </si>
  <si>
    <t>60dbe2d656ce12961105a07a</t>
  </si>
  <si>
    <t xml:space="preserve">Cutting-In to Left Turn Then Brake </t>
  </si>
  <si>
    <t>When EGO was going straight on the leftmost lane of a 4-lanes 2-ways minor arterial, a car from EGO's right lane overtook and cut in to illegal turn left, then harsh brake due to the vehicles on the opposite lane.</t>
  </si>
  <si>
    <t>1'47</t>
  </si>
  <si>
    <t>2'01</t>
  </si>
  <si>
    <t>60dbfc6d56ce12961105a086</t>
  </si>
  <si>
    <t>Opposite Left Turning Vehicle Overtook Rashly in Intersection</t>
  </si>
  <si>
    <t>EGO was getting through an intersection with a green light, while vehicles on the opposite way were making unprotected left turns. The first opposite vehicle yielded to EGO and stopped at the left turn waiting area, but a second vehicle behind overtook rashly by turning with a small radius without caring about the coming EGO.</t>
  </si>
  <si>
    <t>Multi-Lane Dual-Way</t>
  </si>
  <si>
    <t>Small Radius</t>
  </si>
  <si>
    <t>0'0</t>
  </si>
  <si>
    <t>Han Shen</t>
  </si>
  <si>
    <t>1. title: Opposite Left Turning Vehicle Overtook Rashly in Intersection
2. desp: EGO was getting through an intersection with a green light, while vehicles on the opposite way were making unprotected left turns. The first opposite vehicle yielded to EGO and stopped at the left turn waiting area, but a second vehicle behind overtook rashly by turning with a small radius without caring about the coming EGO.
3. 车道描述用n-lane-dual-way</t>
  </si>
  <si>
    <t>60dc2a9e56ce12961105a092</t>
  </si>
  <si>
    <t>Bicycle Crossing Rashly From Rightmost Biking Lane</t>
  </si>
  <si>
    <t>When EGO was going straight on the leftmost lane of a 4-lanes 2-ways minor arterial and approaching a left gap, a bicycle crossing from rightmost biking lane rashly.</t>
  </si>
  <si>
    <t>https://www.iqiyi.com/v_22oj3vcj014.html</t>
  </si>
  <si>
    <t>1'32</t>
  </si>
  <si>
    <t>1'44</t>
  </si>
  <si>
    <t>1. aggressive表示主动的、挑衅的，agent的干扰行为有主观故意意图时用比较好。如果agent的干扰行为不带有主观色彩，可以用rashly冒失地
2. desp中没有对道路类型及车道情况做精确描述：dual carriageway, 2 lanes + 1 bike lane
3. bicycle的行为应该是crossing</t>
  </si>
  <si>
    <t>60d1ab71da33a755da7fe3f4</t>
  </si>
  <si>
    <t>Car Speed Up to Turn Left</t>
  </si>
  <si>
    <t>When EGO was going straight at the leftmost lane to approaching the center gap of dual carriage road, a car speed up to turn left rashly from left hand.</t>
  </si>
  <si>
    <t>1. 干扰车并不是从静止开始加速的，而是一个正常的左转汇入主干道
2. 一般lanes数量指机动车道，这种窄的非机动车道不应算到车道数量里，避免混淆
3. 这个场景可以理解为十字路口，也可以理解为dual carriage road的中央gap处有车辆要merge，我更倾向后者
4. 非机动车道的逆行行人可以纳入场景范围</t>
  </si>
  <si>
    <t>607592461cf4de2efa6144c5</t>
  </si>
  <si>
    <t xml:space="preserve">Cross Rashly From Rightmost Roadside </t>
  </si>
  <si>
    <t>When EGO was going straight on the leftmost lane of a 4-lanes 2 way minor arterial and approaching a left gap, a stationary car cross the road rashly from rightmost roadside.</t>
  </si>
  <si>
    <t>https://www.iqiyi.com/v_28ir6fn3f9w.html</t>
  </si>
  <si>
    <t>No.5</t>
  </si>
  <si>
    <t>0'50</t>
  </si>
  <si>
    <t>1'03</t>
  </si>
  <si>
    <t>1. 标题和行为应侧重cross</t>
  </si>
  <si>
    <t>60e2bfc281401953ad0aae7f</t>
  </si>
  <si>
    <t>Continuous Lane Change and Then Cutting in</t>
  </si>
  <si>
    <t>When EGO was going straight on the rightmost lane of a 4-lanes urban principal arterial road before a intersection with traffic light, a car continuously changed lane from the leftmost lane and cut in EGO's lane.</t>
  </si>
  <si>
    <t>title和desp中可以着重强调Cut In，“连续变道”是对cut in的具体描述</t>
  </si>
  <si>
    <t>fixed，加入cut in并保留连续换道的描述，便于筛选。</t>
  </si>
  <si>
    <t>60e2d64781401953ad0abb90</t>
  </si>
  <si>
    <t>Opposite Way Car Wrong-Way Driving to Cross</t>
  </si>
  <si>
    <t>When EGO was going straight on the left lane of a 4-lanes 2-ways urban minor arterial road and was going to meet a car driving on the left neighbor reverse lane, the car suddenly crossed the road.</t>
  </si>
  <si>
    <t>3'58</t>
  </si>
  <si>
    <t>Opposite Way Car Wrong-Way Driiving to Cross
EGO was going straight on the left lane of a 4-lanes 2-ways urban road. When EGO was going to meet a car driving on the left neighbor reverse lane, the car crossed cross the road and driving on the wrong way suddenly.
行为可以是逆行或横穿，变道不是很贴切</t>
  </si>
  <si>
    <t>fixed，其中描述部分，前半部分位置关系已经比较清晰，后半句提及obs突然穿行，就自带他是要逆行穿的，只保留穿行</t>
  </si>
  <si>
    <t>60e2aff781401953ad0aa546</t>
  </si>
  <si>
    <t>Drift Outward Around A Curve</t>
  </si>
  <si>
    <t>When EGO was going along on the right lane of a 2-lanes 1-way urban minor arterial curve road, a car before EGO slowly changed lane to right.</t>
  </si>
  <si>
    <t>1'28</t>
  </si>
  <si>
    <t>1'43</t>
  </si>
  <si>
    <t>原来的titile挺好TAADS - Drift Outward Around A Curve
EGO从弯道外侧超越，左前方车辆外抛滑出本车道，侵入EGO所在车道</t>
  </si>
  <si>
    <t>60e2f4d081401953ad0ac279</t>
  </si>
  <si>
    <t>Suddenly Cutting in to Avoid Rear-end Collision</t>
  </si>
  <si>
    <t>EGO was going straight on the middle lane of the 3-lanes urban express road while there was three front cars drving on the left lane. In front of the ramp, the frontmost car suddenly slowed down and continuously changed lanes from left to right to avoid missing export, then the middle car slowed down to avoid rear-end collision with the frontmost car, and the rear car suddenly cut in EGO's lane to avoid rear-end collision with middle car.</t>
  </si>
  <si>
    <t>1'27</t>
  </si>
  <si>
    <t>障碍车的主观行为是连续变道出高速，对EGO的干扰是cut in，仅描述为lane change不是很贴切
障碍车原本的车道关系也为明确（只有before）
另外视频中不止一辆车要强行换道出高速，这一点可以在描述中体现</t>
  </si>
  <si>
    <t>fixed,按照商议的场景增加描述</t>
  </si>
  <si>
    <t>60e406a11ca7680860a50da7</t>
  </si>
  <si>
    <t>Continuous Lane Change for Exiting Highway</t>
  </si>
  <si>
    <t>When EGO was going straight on the right lane in front of the ramp of the 3-lanes Highway, a car continuously changed lanes from left to right for exiting.</t>
  </si>
  <si>
    <t>0'44</t>
  </si>
  <si>
    <t>同上，desp中缺少障碍车原本所在车道的描述</t>
  </si>
  <si>
    <t>fixed，描述中定义车道为三车道高速匝道口，EGO在右侧车道，obs从左到右连续换道，为了下高速</t>
  </si>
  <si>
    <t xml:space="preserve">
6184e410663bbe3bf5cf3ce0</t>
  </si>
  <si>
    <t>Tricycles Illegal Crossing</t>
  </si>
  <si>
    <t>When EGO was following a car on the most left lane of a 8-lanes 2-ways urban express road, the car suddenly slowed down and two tricycles crossed the road from opposite lane.</t>
  </si>
  <si>
    <t>accord-cn-1</t>
  </si>
  <si>
    <t>1'38</t>
  </si>
  <si>
    <t>60e697b87c361a38849187f5</t>
  </si>
  <si>
    <t>Aggressively Turning right to EGO's Lane From T-junction</t>
  </si>
  <si>
    <t>When EGO was going straight on the left lane of a 4-lanes 2-ways urban express road, and driving through a T-junction, a car aggressively turned right to EGO's lane from right.</t>
  </si>
  <si>
    <t xml:space="preserve">https://www.iqiyi.com/v_2bvr40ahqls.html </t>
  </si>
  <si>
    <t>7'35</t>
  </si>
  <si>
    <t>1.titile, desp, maneuver可以强调或定义为merge和连续变道</t>
  </si>
  <si>
    <t>描述为激进右转较贴切</t>
  </si>
  <si>
    <t>60e6a8a67c361a3884918af9</t>
  </si>
  <si>
    <t>Suddenly Overtaking and Cutting in</t>
  </si>
  <si>
    <t xml:space="preserve">When EGO was following the cars on the left 2nd lane of a 4-lanes 1-ways urban express road, a car with a unstable speed on the left 3rd suddenly overtook and cut in. </t>
  </si>
  <si>
    <t>https://www.iqiyi.com/v_1zj8zpc1uug.html</t>
  </si>
  <si>
    <t>No.4</t>
  </si>
  <si>
    <t>0'40</t>
  </si>
  <si>
    <t>0'54</t>
  </si>
  <si>
    <t>Lingyu Meng</t>
  </si>
  <si>
    <t>60e6ba5c7c361a388491918d</t>
  </si>
  <si>
    <t>Driving on the central line</t>
  </si>
  <si>
    <t xml:space="preserve">When EGO was going straight on the left lane of a 4-lanes 2-ways urban principal arterial road, a front car drived on the central line. </t>
  </si>
  <si>
    <t>1'11</t>
  </si>
  <si>
    <t>60e6e38c7c361a3884919817</t>
  </si>
  <si>
    <t>Aggressively  Continuous Lane Change</t>
  </si>
  <si>
    <t>When EGO was going straight on the leftmost lane of a 4-lanes urban road,a car cut in aggressively by crossing 3 lanes from the right most lane</t>
  </si>
  <si>
    <t>No.29</t>
  </si>
  <si>
    <t>6'15</t>
  </si>
  <si>
    <t>6'25</t>
  </si>
  <si>
    <t>60e6eccd7c361a3884919c7d</t>
  </si>
  <si>
    <t xml:space="preserve">Aggressive  Cut In </t>
  </si>
  <si>
    <t>When EGO was going straight quickly on the rightmost lane of a 3-lanes urban road,a car cut in aggressively from the right 2nd lane</t>
  </si>
  <si>
    <t>6'40</t>
  </si>
  <si>
    <t>6'53</t>
  </si>
  <si>
    <t>60e6f15d7c361a3884919e6d</t>
  </si>
  <si>
    <t xml:space="preserve">Slowly Cut In When Ego Close to The Front Car </t>
  </si>
  <si>
    <t>When EGO was going straight on the leftmost lane of a 3-lanes urban road and close to the front car,a car cut in aggressively from the left 2rd lane</t>
  </si>
  <si>
    <t>7'03</t>
  </si>
  <si>
    <t>60e6fbd47c361a388491a349</t>
  </si>
  <si>
    <t>Normally Back Up</t>
  </si>
  <si>
    <t>When EGO was going straight on the leftmost lane ,a car borrow ego's lane and normally reversed to parking space</t>
  </si>
  <si>
    <t>No.43</t>
  </si>
  <si>
    <t>8'59</t>
  </si>
  <si>
    <t>9'10</t>
  </si>
  <si>
    <t>视频中干扰车在倒车，taads场景干扰车pullout</t>
  </si>
  <si>
    <t>60e713a27c361a388491a8f1</t>
  </si>
  <si>
    <t>Aggressively  Cut In When Ego Away From The Front Car</t>
  </si>
  <si>
    <t>When EGO was starting on the left 2rd lane of a 3-lanes urban road and away from the front car,a car cut in aggressively from the leftmost lane</t>
  </si>
  <si>
    <t>https://www.iqiyi.com/v_1rshytn0qmw.html</t>
  </si>
  <si>
    <t>3'54</t>
  </si>
  <si>
    <t>4'06</t>
  </si>
  <si>
    <t>60ebe076f0f7eb451f79cbeb</t>
  </si>
  <si>
    <t>Quickly Cut In  By Crossing 2 Lanes From  The Emergency Lane</t>
  </si>
  <si>
    <t>When EGO was going straight on the left 2nd lane of a 3-lanes highway ,the right rear car quickly overtook ego and illegally cut in  by crossing 2 lanes from the emergency lane</t>
  </si>
  <si>
    <t>5'44</t>
  </si>
  <si>
    <t>5'56</t>
  </si>
  <si>
    <t>60ebf24df0f7eb451f79d0ad</t>
  </si>
  <si>
    <t xml:space="preserve">Unconsciously  Cross Junction </t>
  </si>
  <si>
    <t xml:space="preserve">When EGO was going straight on the leftmost lane of a 3-lanes urban road and passing through  junction,a car unconsciously crossed junction from the right intersection </t>
  </si>
  <si>
    <t>No.37</t>
  </si>
  <si>
    <t>8'02</t>
  </si>
  <si>
    <t>8'15</t>
  </si>
  <si>
    <t>60ebf752f0f7eb451f79d305</t>
  </si>
  <si>
    <t>Aggressively  Merge Into Y Road</t>
  </si>
  <si>
    <t>When EGO was going straight on the middle lane of a Y road and passing through  fork junction,a car aggressively merged  into the leftmost lane by crossing 2 lanes from the rightmost lane</t>
  </si>
  <si>
    <t>pacifica-cn-12</t>
  </si>
  <si>
    <t>No.42</t>
  </si>
  <si>
    <t>9'01</t>
  </si>
  <si>
    <t>9'13</t>
  </si>
  <si>
    <t>60ec0a5af0f7eb451f79d87d</t>
  </si>
  <si>
    <t>Overtake and Cut in on Solid line</t>
  </si>
  <si>
    <t xml:space="preserve">When EGO was going straight on the left 2rd lane of a urban road and going to pass through  junction,a truck overtook ego and cut in by soild line from the right 2rd lane that was occupied by cones </t>
  </si>
  <si>
    <t xml:space="preserve"> https://www.iqiyi.com/v_1qc2dhhf4rc.html </t>
  </si>
  <si>
    <t>60ecfa3df0f7eb451f79e2ed</t>
  </si>
  <si>
    <t>Low Priority Turn left</t>
  </si>
  <si>
    <t xml:space="preserve">When EGO was going straight on the main road and passing throught gap of the belt ,a car that was driving on oppsite lane turned left into the side road  </t>
  </si>
  <si>
    <t>https://www.iqiyi.com/v_1qc2dhhf4rc.html</t>
  </si>
  <si>
    <t>2'26</t>
  </si>
  <si>
    <t>W11</t>
  </si>
  <si>
    <t>60ed08e1f0f7eb451f79e877</t>
  </si>
  <si>
    <t>Aggressively Cut in by Crossing Solid Line</t>
  </si>
  <si>
    <t xml:space="preserve">When EGO was going straight on the principal arterial road, a car speeded up and cut in the lane of EGO by crossing the solid line </t>
  </si>
  <si>
    <t>3'21</t>
  </si>
  <si>
    <t>3'36</t>
  </si>
  <si>
    <t>60ed7b1cf0f7eb451f79ef91</t>
  </si>
  <si>
    <t>Cross Lane to Make a U-Turn</t>
  </si>
  <si>
    <t>When EGO was going straight on the urban road, a car made a u-turn by crossing EGO's lane aggressively</t>
  </si>
  <si>
    <t>3'46</t>
  </si>
  <si>
    <t>60ed85acf0f7eb451f79f2fd</t>
  </si>
  <si>
    <t>Cut in Aggressively</t>
  </si>
  <si>
    <t>When EGO was going straight on the urban road, a car started moving and cut in the lane of the EGO aggressively</t>
  </si>
  <si>
    <t>4'11</t>
  </si>
  <si>
    <t>EGO跟车过近，OBS cut in的条件为满足不触发</t>
  </si>
  <si>
    <t>60ed8da2f0f7eb451f79f5bb</t>
  </si>
  <si>
    <t>U-Turn after Continuous Lane Change</t>
  </si>
  <si>
    <t xml:space="preserve">When EGO turned left and keeped going straight on the leftmost lane of an urban road, a car made a U-turn from the rightmost lane aggressively </t>
  </si>
  <si>
    <t>6'06</t>
  </si>
  <si>
    <t>60ee5a5c7ef735732c5e8873</t>
  </si>
  <si>
    <t>Emergency Lane Change</t>
  </si>
  <si>
    <t>When EGO was going straight on the leftmost lane, a car decelerated rapidly and changed lane in the front of EGO</t>
  </si>
  <si>
    <t>pacifica-cn-106x1</t>
  </si>
  <si>
    <t>8'35</t>
  </si>
  <si>
    <t>场景需要修改，两个障碍车有碰撞，已经修改TAADS场景</t>
  </si>
  <si>
    <t>60ee77417ef735732c5e91d3</t>
  </si>
  <si>
    <t>Merge Aggressively on the U-turn Junction</t>
  </si>
  <si>
    <t>pacifica-cn-34</t>
  </si>
  <si>
    <t>No.46</t>
  </si>
  <si>
    <t>9'45</t>
  </si>
  <si>
    <t>9'56</t>
  </si>
  <si>
    <t>60eed3217ef735732c5eae36</t>
  </si>
  <si>
    <t>Cut In Aggressively by Crossing the Solid Line</t>
  </si>
  <si>
    <t>When EGO was going straight on the leftmost lane, a car started moving on the left 2nd lane and cut in the lane of the EGO by crossing a solid line</t>
  </si>
  <si>
    <t>No.27</t>
  </si>
  <si>
    <t>5'57</t>
  </si>
  <si>
    <t>60ee89797ef735732c5e946d</t>
  </si>
  <si>
    <t>Passing A Junction with a Flashing Green Light</t>
  </si>
  <si>
    <t>When EGO was going through a junction with a flashing green light, a car from the cross traffic started moving and approaching EGO.</t>
  </si>
  <si>
    <t>1'41</t>
  </si>
  <si>
    <t>Planning更激进导致碰撞</t>
  </si>
  <si>
    <t>60efcc697ef735732c5eb731</t>
  </si>
  <si>
    <t>When EGO was going straight on the leftmost lane and the left 2nd lane was occupied by an on coming car, a car made a u-turn in order to merging into the lane of EGO</t>
  </si>
  <si>
    <t>8'24</t>
  </si>
  <si>
    <t>EGO无法行驶，OBS轨迹与视频不符，场景已经修改</t>
  </si>
  <si>
    <t>60efe64b7ef735732c5ec0ff</t>
  </si>
  <si>
    <t>Merge Aggressively at a Lane Reuction Transition Area</t>
  </si>
  <si>
    <t xml:space="preserve">When EGO was going straight on the urban road where four lanes merge into three lanes, a car sped up on the fourth lane and merged into the 3rd lane </t>
  </si>
  <si>
    <t>https://www.iqiyi.com/v_1s40j847frg.html</t>
  </si>
  <si>
    <t>场景已修改</t>
  </si>
  <si>
    <t>60eff0637ef735732c5ec4a5</t>
  </si>
  <si>
    <t>Exit Highway by Crossing Solid Line</t>
  </si>
  <si>
    <t>When EGO was going straight on the 3rd lane of highway, a car exited the highway by continuously changing lanes from the left 2rd lane and crossing a solid line</t>
  </si>
  <si>
    <t>1'52</t>
  </si>
  <si>
    <t>2'04</t>
  </si>
  <si>
    <t>60f018337ef735732c5eca83</t>
  </si>
  <si>
    <t>Suddenly Slow Down and Change Lane</t>
  </si>
  <si>
    <t>When EGO was going straight on the left 2nd lane on the highway, a white car in the front decelerated suddenly due to the roadblock in front, caused a black car behind the white car to slow down and change to the lane of  EGO</t>
  </si>
  <si>
    <t>3'23</t>
  </si>
  <si>
    <t>有待合入的commit导致当前代码的仿真结果异常</t>
  </si>
  <si>
    <t>60f0250a7ef735732c5ecf87</t>
  </si>
  <si>
    <t>Aggressive Left Turn with Small Radius</t>
  </si>
  <si>
    <t>When EGO was crossing the junction on the leftmost lane of an urban road , a car a car made a left turn aggressively from the opposite lane</t>
  </si>
  <si>
    <t>3'34</t>
  </si>
  <si>
    <t>3'47</t>
  </si>
  <si>
    <t>60f10983d1dbb75eeed4edf8</t>
  </si>
  <si>
    <t>Lane Change Suddenly in the Junction</t>
  </si>
  <si>
    <t>When EGO was crossing the junction on the leftmost lane of an urban road, a car cut in the lane of EGO from the right of EGO</t>
  </si>
  <si>
    <t>mkz-cn-001</t>
  </si>
  <si>
    <t>6'30</t>
  </si>
  <si>
    <t>6'41</t>
  </si>
  <si>
    <t>60f53e3abf214806574b38f5</t>
  </si>
  <si>
    <t>Aggressively Turn Left in a T-junction</t>
  </si>
  <si>
    <t xml:space="preserve">When EGO was going straight on the right 2rd lane of a urban road and going to pass through a T-junction, a car aggressively turned left from the right hand side. </t>
  </si>
  <si>
    <t>http://www.iqiyi.com/v_2docnt7jyw8.html?share_sTime=299</t>
  </si>
  <si>
    <t>no.23</t>
  </si>
  <si>
    <t>4'58</t>
  </si>
  <si>
    <t>60f548d790388562986bad68</t>
  </si>
  <si>
    <t>Aggressively U-Turn Through a Gap</t>
  </si>
  <si>
    <t xml:space="preserve">When EGO was going straight on the left most lane of a urban road and approaching a gap, a car aggressively made a u-turn from the middle lane. </t>
  </si>
  <si>
    <t>http://www.iqiyi.com/v_2docnt7jyw8.html?share_sTime=311</t>
  </si>
  <si>
    <t>no.24</t>
  </si>
  <si>
    <t>5'21</t>
  </si>
  <si>
    <t>60f589fd90388562986bc7f4</t>
  </si>
  <si>
    <t>Aggressively Cut In Right before Entering a Junction</t>
  </si>
  <si>
    <t xml:space="preserve">When EGO was going straight on the left 2rd lane of a urban road and close to a junction, a car aggressively cut in from the leftmost lane. </t>
  </si>
  <si>
    <t>http://www.iqiyi.com/v_2docnt7jyw8.html?share_sTime=440</t>
  </si>
  <si>
    <t>7'19</t>
  </si>
  <si>
    <t>7'29</t>
  </si>
  <si>
    <t>60f653038374c42f07588e4b</t>
  </si>
  <si>
    <t>Aggressively Continuous Lane Change to Exit</t>
  </si>
  <si>
    <t xml:space="preserve">When EGO was going straight on the middle lane of a 3-lanes urban express and close to exit , a car aggressively cross 3 lanes to cut in from the leftmost lane and went to the exit. </t>
  </si>
  <si>
    <t>http://www.iqiyi.com/v_2docnt7jyw8.html?share_sTime=481</t>
  </si>
  <si>
    <t>no.38</t>
  </si>
  <si>
    <t>1. Title为aggressively, how标签为slowly, 建议强调出continuous lane change 
2. Crash Type 按原视频为none
3. obs maneuver continuous lane change 更贴近视频
4.描述中最好说明车道数和连续换道的行为</t>
  </si>
  <si>
    <t>60f68251c068330d862d3407</t>
  </si>
  <si>
    <t xml:space="preserve">Aggressively And Illegally Turn Left From the Leftmost Lane of The Opposite Way Road </t>
  </si>
  <si>
    <t xml:space="preserve">When EGO was going straight on the middle lane of a urban principal arterial road , a car aggressively and illegally turn left from the leftmost lane of the opposite way road and another parked at the rightmost lane on EGO's road. </t>
  </si>
  <si>
    <t>http://www.iqiyi.com/v_uscurycmg8.html?share_sTime=67</t>
  </si>
  <si>
    <t>no.6</t>
  </si>
  <si>
    <t>1'06</t>
  </si>
  <si>
    <t>1.描述和标题的leftmost可能产生歧义，建议删除（对向车道的左侧还是当前车道的左侧）
2. number of lanes 应该选2way比较贴合
3. 转弯车的转弯并没有illegal，一般T字路口处为虚线</t>
  </si>
  <si>
    <t>1、Leftmost Lane of The Opposite Way Road 
2、fixed
3、EDS中选用的map是实线</t>
  </si>
  <si>
    <t>60f68612c068330d862d366d</t>
  </si>
  <si>
    <t>Normally Turn Left From the Leftmost Lane of the Opposite Way Road</t>
  </si>
  <si>
    <t xml:space="preserve">When EGO was going straight on the right lane of a 2-lanes urban minor arterial road and entered the junction , two cars normally drove on the left lane and stopped at the junction, two cars normally turned left from the leftmost lane of the opposite way road to the road of EGO's right hand. </t>
  </si>
  <si>
    <t>http://www.iqiyi.com/v_uscurycmg8.html?share_sTime=80</t>
  </si>
  <si>
    <t>no.7</t>
  </si>
  <si>
    <t>1'31</t>
  </si>
  <si>
    <t>1.标题和描述形容left turn 为 normally,  obs行为为aggressively 矛盾</t>
  </si>
  <si>
    <t>修改how为normal</t>
  </si>
  <si>
    <t>60f69204c068330d862d3bdf</t>
  </si>
  <si>
    <t>Illegally And Continuously Change 5 Lanes</t>
  </si>
  <si>
    <t xml:space="preserve">When EGO was going straight on the leftmost lane of a muliple-lanes urban express road and close to the merge , many trucks aggressively drove out from another road, and a truck illegally and continuously change 5 lanes to EGO's lane. </t>
  </si>
  <si>
    <t>http://www.iqiyi.com/v_uscurycmg8.html?share_sTime=93</t>
  </si>
  <si>
    <t>no.8</t>
  </si>
  <si>
    <t xml:space="preserve">1. continuely - &gt; continuously 标题和描述 （continuously表示一直在发生，continuely表示频繁发生）
2. Feature 应为cut in， 因为EGO全程在直行，并没有merge的动作
</t>
  </si>
  <si>
    <t>60f69a43c068330d862d3f15</t>
  </si>
  <si>
    <t>Aggressively Cut In with Slow Down</t>
  </si>
  <si>
    <t xml:space="preserve">When EGO was going straight on the leftmost lane of a 3-lanes urban minor arterial road , a car aggressively cut in with slow down to avoid a pedestrain. </t>
  </si>
  <si>
    <t>http://www.iqiyi.com/v_uscurycmg8.html?share_sTime=165</t>
  </si>
  <si>
    <t>no.14</t>
  </si>
  <si>
    <t>2'44</t>
  </si>
  <si>
    <t>2'57</t>
  </si>
  <si>
    <t xml:space="preserve">1. 视频中可以看出减速是因为躲避横穿马路的老头儿，描述中可以体现
</t>
  </si>
  <si>
    <t>60f6af9dc068330d862d43e5</t>
  </si>
  <si>
    <t>Aggressively Cut In and U-turn</t>
  </si>
  <si>
    <t xml:space="preserve">When EGO was going straight on the leftmost lane of a 3-lanes urban minor arterial road and close to a gap of u-turn, a car aggressively cut in and u-turn in the gap of u-turn. </t>
  </si>
  <si>
    <t>Van</t>
  </si>
  <si>
    <t>http://www.iqiyi.com/v_uscurycmg8.html?share_sTime=202</t>
  </si>
  <si>
    <t>no.17</t>
  </si>
  <si>
    <t>3'31</t>
  </si>
  <si>
    <t>60f6b53ac068330d862d46cd</t>
  </si>
  <si>
    <t>Aggressively U-turn</t>
  </si>
  <si>
    <t xml:space="preserve">When EGO was going straight on the leftmost lane of a urban minor arterial road in the junction, a car aggressively u-turn in the junction. </t>
  </si>
  <si>
    <t>http://www.iqiyi.com/v_uscurycmg8.html?share_sTime=360</t>
  </si>
  <si>
    <t>碰撞风险为何是multi</t>
  </si>
  <si>
    <t>此处考虑视频车右侧应该有车流，在对左侧车辆躲避时，有碰撞风险</t>
  </si>
  <si>
    <t>60fa56833f61e54a1d8ee2b2</t>
  </si>
  <si>
    <t>Aggressively Left Turn And Stopped At the Lane of EGO</t>
  </si>
  <si>
    <t xml:space="preserve">When EGO was going straight on the leftmost lane of a 2-lanes urban minor arterial road and close to the junction, a car aggressively left turn and stopped at the lane of EGO. </t>
  </si>
  <si>
    <t>http://www.iqiyi.com/v_1qc2dhhf17c.html?share_sTime=32</t>
  </si>
  <si>
    <t>0'32</t>
  </si>
  <si>
    <t>0'46</t>
  </si>
  <si>
    <t>60fa63db3f61e54a1d8ee43c</t>
  </si>
  <si>
    <t xml:space="preserve">When EGO was going straight on the leftmost lane of a 2-lanes urban minor arterial road and pull out the junction, a car aggressively cut in. </t>
  </si>
  <si>
    <t>http://www.iqiyi.com/v_1qc2dhhf17c.html?share_sTime=296</t>
  </si>
  <si>
    <t>60fa7bc33f61e54a1d8eecda</t>
  </si>
  <si>
    <t>Normally Turn Right and Converging Into One Lane</t>
  </si>
  <si>
    <t xml:space="preserve">When EGO was going turnning left on the left lane of a 2-lanes urban branch road and pull out the junction, a car normally turn right from the right lane of opposite way. </t>
  </si>
  <si>
    <t>http://www.iqiyi.com/v_1qc2dhhf17c.html?share_sTime=311</t>
  </si>
  <si>
    <t>60fa84743f61e54a1d8eefca</t>
  </si>
  <si>
    <t>Aggressively Use A Side Lane to Cut In</t>
  </si>
  <si>
    <t xml:space="preserve">When EGO was going straight on the rightmost lane of a 3-lanes urban minor arterial road and close to the junction, a car aggressively use a side lane to cut in. </t>
  </si>
  <si>
    <t>http://www.iqiyi.com/v_1qc2dhhf17c.html?share_sTime=325</t>
  </si>
  <si>
    <t>5'24</t>
  </si>
  <si>
    <t>5'38</t>
  </si>
  <si>
    <t xml:space="preserve">obs maneuver 改为lane change </t>
  </si>
  <si>
    <t>修改为cutin</t>
  </si>
  <si>
    <t>60fe6cb7df3a195d8e1dcf66</t>
  </si>
  <si>
    <t>Aggressively Pull Out in T-junction</t>
  </si>
  <si>
    <t xml:space="preserve">When EGO was going straight on the rightmost lane of a 2-lanes urban minor arterial road and close to the T-junction, a car aggressively pull out. </t>
  </si>
  <si>
    <t>http://www.iqiyi.com/v_17b2rc6qcw0.html?share_sTime=136</t>
  </si>
  <si>
    <t>60fe786bdf3a195d8e1dd44e</t>
  </si>
  <si>
    <t>Conflict with Left Turning Car</t>
  </si>
  <si>
    <t>When EGO was going straight at the 2 lanes 2 ways urban minor arterial cross, the car turn left from left hand direction</t>
  </si>
  <si>
    <t>https://www.iqiyi.com/v_17b2rc6qcw0.html</t>
  </si>
  <si>
    <t>4'08</t>
  </si>
  <si>
    <t>1.视频中traffic light失灵，Traffic control device 是否应该为none</t>
  </si>
  <si>
    <t>1-这里匹配的是场景中的情况，场景中有信号灯
2-视频信号灯失灵，EDS场景如何还原,尝试用black，无法通行</t>
  </si>
  <si>
    <t>60fe8240df3a195d8e1dd776</t>
  </si>
  <si>
    <t>Conflict with Occluded Left Turning Car</t>
  </si>
  <si>
    <t xml:space="preserve">When EGO was going straight at the 2 lanes 2 ways urban unprotected minor arterial cross, the occluded car from opposite lane appeared suddenly and turned left </t>
  </si>
  <si>
    <t>4'09</t>
  </si>
  <si>
    <t>突然出现的，遮挡的情况</t>
  </si>
  <si>
    <t>1. 视频车并没有agressive的动作，速度也较慢</t>
  </si>
  <si>
    <t>突然出现或者被遮挡的情况，是否需要增加描述词occluded</t>
  </si>
  <si>
    <t>60fe9fe2f1c617650d45c22f</t>
  </si>
  <si>
    <t>Cut In and Slow Down</t>
  </si>
  <si>
    <t>When EGO was going straight at the entrance of urban principal arterialcross, the car cut in with crossing solid line and slowed down</t>
  </si>
  <si>
    <t>9 Lane 2 Way</t>
  </si>
  <si>
    <t>1. 是不是ego的feature 应该为cut in
2. 视频中都在路口前减速，所以交互车的slow down 可能并没有agressively</t>
  </si>
  <si>
    <t>1-跟junction相关，feature为junction
有压迫的换道为cut in
2-减速比较柔和，aggressively换个地方，修饰cut in 是否OK</t>
  </si>
  <si>
    <t>60ff6f7cf1c617650d45c3b9</t>
  </si>
  <si>
    <t>Turn Right Aggressively</t>
  </si>
  <si>
    <t>When EGO was going straight at urban 2 lanes 1 ways T-junction, the car turn right aggressively with low priority</t>
  </si>
  <si>
    <t>5'18</t>
  </si>
  <si>
    <t>5'26</t>
  </si>
  <si>
    <t>60ff9ac25487713eb51af631</t>
  </si>
  <si>
    <t>U Turn without Avoiding Going Straight</t>
  </si>
  <si>
    <t>When EGO was going straight at the leftmost lane of 2 lanes 2 ways urban Minor Arterial, the car made a u turn from left front gap without avoiding going straight motors</t>
  </si>
  <si>
    <t>0'26</t>
  </si>
  <si>
    <t>0'37</t>
  </si>
  <si>
    <t>60ffa370df3a195d8e1dfa1c</t>
  </si>
  <si>
    <t>Pull Out and Cut In Aggressively</t>
  </si>
  <si>
    <t>When EGO was going straight at the leftmost lane of 4 lanes 2 ways urban T-junction entrance, the car pulled out from right front and cut in aggressively</t>
  </si>
  <si>
    <t>4'37</t>
  </si>
  <si>
    <t>4'48</t>
  </si>
  <si>
    <t>描述中道路为2L2 W, 标签中为 4L2W</t>
  </si>
  <si>
    <t>60ffa901df3a195d8e1dfcb4</t>
  </si>
  <si>
    <t>Cut In Aggressively Under Jam Traffic</t>
  </si>
  <si>
    <t>When EGO was going straight at the middle lane of 3 lanes urban express straight road with heavy traffic, the car cut in from right front aggressively</t>
  </si>
  <si>
    <t>5'52</t>
  </si>
  <si>
    <t>6'03</t>
  </si>
  <si>
    <t>ego左换道，左边增加工具车，持续到ego进入关键场景后退出</t>
  </si>
  <si>
    <t>1、express straight road, and the traffic was heavy 关于道路的描述感觉有些乱
2、场景看了下 应该是晴天</t>
  </si>
  <si>
    <t>60ffb48bdf3a195d8e1e01e8</t>
  </si>
  <si>
    <t>Turn Right and Borrow Lane Aggressively</t>
  </si>
  <si>
    <t>When EGO was turning left at the exit of a urban minor arterial cross junction, the car turned right and borrowed lane aggressively</t>
  </si>
  <si>
    <t>7'22</t>
  </si>
  <si>
    <t>7'39</t>
  </si>
  <si>
    <t>1、feature 选择nudge是否合理？ego仍在junction中 
2、actor应该是单纯压线行驶，应该不是在nudge</t>
  </si>
  <si>
    <t>60ffc376f1c617650d45c749</t>
  </si>
  <si>
    <t>Car Nudge Aggressively to Avoid Another U-Turning Car</t>
  </si>
  <si>
    <t>When EGO was going straight at the rightmost lane of a 2 lanes urban minor arterial straight road, the left front car nudged aggressively to avoid another u-turning car from left front gap.</t>
  </si>
  <si>
    <t>0'25</t>
  </si>
  <si>
    <t>u-turn应该是需要‘-’链接</t>
  </si>
  <si>
    <t>60ffda24f1c617650d45c85c</t>
  </si>
  <si>
    <t>Speed Up and Cut In Aggressively</t>
  </si>
  <si>
    <t>When EGO was going straight at the leftmost lane of a 2 lanes urban minor arterial curve road, the right rear truck speeded up and cut in aggressively.</t>
  </si>
  <si>
    <t>02'03</t>
  </si>
  <si>
    <t>02'15</t>
  </si>
  <si>
    <t>60ffc370df3a195d8e1e04e6</t>
  </si>
  <si>
    <t>Start and Cut In Aggressively</t>
  </si>
  <si>
    <t>When EGO was going straight at the entrance of a urban principal arterial cross junction, the left front stopped car started and cut in aggressively.</t>
  </si>
  <si>
    <t>https://www.iqiyi.com/v_1smrdalxvck.html</t>
  </si>
  <si>
    <t>02'36</t>
  </si>
  <si>
    <t>02'48</t>
  </si>
  <si>
    <t>60ffea215487713eb51af659</t>
  </si>
  <si>
    <t>Slow Down and Cut In to Avoid Front Stationary Cars</t>
  </si>
  <si>
    <t>When EGO was going straight at the middle lane of a urban express curve road, the left front car slow down and cut in to avoid the front stationary cars</t>
  </si>
  <si>
    <t>https://www.iqiyi.com/v_okv7zn6jfo.html</t>
  </si>
  <si>
    <t>02'24</t>
  </si>
  <si>
    <t>60fffad7f1c617650d45c9ab</t>
  </si>
  <si>
    <t>Occluded Bicycle Run Red Light</t>
  </si>
  <si>
    <t>When EGO was going straight at the rightmost lane of a urban minor arterial cross junction, the occluded bicycle run red light from left hand direction</t>
  </si>
  <si>
    <t>Motorbike</t>
  </si>
  <si>
    <t>02'10</t>
  </si>
  <si>
    <t>02'23</t>
  </si>
  <si>
    <t>obs type：Motorbike</t>
  </si>
  <si>
    <t>6100057bdf3a195d8e1e19d4</t>
  </si>
  <si>
    <t xml:space="preserve">Right Turn with Crossing 2 Lanes </t>
  </si>
  <si>
    <t>When EGO was going straight at the leftmost lane of a 2 lanes urban minor arterial T-junction, the car turned right from right hand direction with crossing 2 lanes</t>
  </si>
  <si>
    <t>mkz-cn-1</t>
  </si>
  <si>
    <t>Large Radius</t>
  </si>
  <si>
    <t>https://www.iqiyi.com/v_1tiq2wkvjj8.html</t>
  </si>
  <si>
    <t>0'59</t>
  </si>
  <si>
    <t>title 和 describution中 crossed 2 lanes to right turn应该不太合理，右转伴随cross 2 lanes，而不是crossed 2 lanes 去 right turn</t>
  </si>
  <si>
    <t>61000c35df3a195d8e1e1cd4</t>
  </si>
  <si>
    <t>Close Cut In</t>
  </si>
  <si>
    <t>When EGO was going straight at the leftmost lane of a 4 lanes urban principal arterial straight road, the car cut in small distance</t>
  </si>
  <si>
    <t>how使用Quickly描述是不是不太合理，感觉aggressively；obstacle车速与其它车辆也比较接近，只是cutin时 与视频车距离较近</t>
  </si>
  <si>
    <t>6100143edf3a195d8e1e2054</t>
  </si>
  <si>
    <t>Sidepass Then Merge Aggressively</t>
  </si>
  <si>
    <t>When EGO was going straight on the left lane of 2 lanes frontage road and fewer lanes ahead, a car at ego's right front made a sidepass about the tricycle then merge into ego's lane aggressively.</t>
  </si>
  <si>
    <t>Frontage Road</t>
  </si>
  <si>
    <t>6'07</t>
  </si>
  <si>
    <t>6'23</t>
  </si>
  <si>
    <t>6100c200f1c617650d45cb1a</t>
  </si>
  <si>
    <t>Motorbike Run Red Light From Left Hand</t>
  </si>
  <si>
    <t>When EGO was going straight on the rightmost lane and passing a green light junction, a motorbike run red light from left hand, meanwhile vehicles in the left lane are waiting for the motorbike.</t>
  </si>
  <si>
    <t>6100bebe4868e914f3d3e9b9</t>
  </si>
  <si>
    <t>Speedup Then Make a U-Turn Aggressively From Rightmost Lane</t>
  </si>
  <si>
    <t>When EGO was going straight on the left lane of a 4 lanes 2 ways minor arterial, and a series of cars parked in the right lane,  a stationary car speedup and made a U-Turn aggressively.</t>
  </si>
  <si>
    <t xml:space="preserve"> title建议speedup and made a U-Turn aggressively from rightmost lane</t>
  </si>
  <si>
    <t>6100c8934868e914f3d3eda7</t>
  </si>
  <si>
    <t>Cut In From Gap Between The Trucks</t>
  </si>
  <si>
    <t>When EGO was going straight on the rightmost lane of principal arterial, and a series of trucks parked in the middle lane, a car cross 2 lanes to cut in from gap between the trucks.</t>
  </si>
  <si>
    <t>6'37</t>
  </si>
  <si>
    <t>视频看应该两车没有碰撞</t>
  </si>
  <si>
    <t>6100e3b25487713eb51af68e</t>
  </si>
  <si>
    <t>Cross 3 Opposite Lanes to Cut In</t>
  </si>
  <si>
    <t>When EGO was going straight on the leftmost lane of a 6 lanes 2 ways principal arterial, meanwhile a car driving at ego's right rear, another car cross 3 opposite lanes then cut in ego's lane aggressively.</t>
  </si>
  <si>
    <t>4'14</t>
  </si>
  <si>
    <t>6100ef995487713eb51af69b</t>
  </si>
  <si>
    <t>Borrow Lane to Overtake</t>
  </si>
  <si>
    <t>When EGO was going straight on the 2 lanes 2 ways curve road, a car borrow lane to overtake continuous slow traffic flow in the opposite lane.</t>
  </si>
  <si>
    <t>6'32</t>
  </si>
  <si>
    <t>6100f2324868e914f3d3f237</t>
  </si>
  <si>
    <t>Go Straight Quickly at Junction</t>
  </si>
  <si>
    <t>When EGO was passing through stationary vehicle gaps in the cross junction to turn left, a truck go straight through the intersection with a high speed from right hand.</t>
  </si>
  <si>
    <t>https://www.iqiyi.com/v_tg0bzav0ko.html</t>
  </si>
  <si>
    <t>0'29</t>
  </si>
  <si>
    <t>6100f8e64868e914f3d3f59f</t>
  </si>
  <si>
    <t>Turn Left Rashly at T-junction</t>
  </si>
  <si>
    <t>When EGO was going straight on the right lane of 4 lanes 2 ways urban minor arterial and approaching an uncontrolled T-junction, a car appeared suddenly from right hand to made a left turn rashly.</t>
  </si>
  <si>
    <t>1'35</t>
  </si>
  <si>
    <t>6100fe0f4868e914f3d3f8c9</t>
  </si>
  <si>
    <t>Fast Cut In When EGO Pullout</t>
  </si>
  <si>
    <t>When EGO was accelerating to pull out from rightmost lane parkspace, a car fast cut in from left rear to pullover.</t>
  </si>
  <si>
    <t>61010a7cf1c617650d45cd4b</t>
  </si>
  <si>
    <t>Borrow Lane to Sidepass</t>
  </si>
  <si>
    <t>When EGO was going straight on the 2 lanes 2 ways curve road, a truck borrow lane to sidepass a stationary car in the opposite lane.</t>
  </si>
  <si>
    <t>6101103c5487713eb51af6b5</t>
  </si>
  <si>
    <t>2 Cars Cut-in In Sequence</t>
  </si>
  <si>
    <t>When EGO was going straight on the rightmost lane and 3 cars driven on the right 2rd lane, the last car change lane to sideroad with a high speed due to first two cars slowdown, then the first car cut in slowly.</t>
  </si>
  <si>
    <t>5'35</t>
  </si>
  <si>
    <t>5'46</t>
  </si>
  <si>
    <t>610103f84868e914f3d3faf9</t>
  </si>
  <si>
    <t xml:space="preserve">Turn Left with Small Radius  From Opposite Lane </t>
  </si>
  <si>
    <t>When EGO was going straight in a green light junction, after 2 trucks turn left from opposite lane, a car turn left with small radius from opposite lane too.</t>
  </si>
  <si>
    <t>4'03</t>
  </si>
  <si>
    <t>4'17</t>
  </si>
  <si>
    <t>61010d1e4868e914f3d3fd53</t>
  </si>
  <si>
    <t xml:space="preserve">Harsh Brake for Crosswalk Then Cut In Slightly </t>
  </si>
  <si>
    <t>When EGO was going straight on the leftmost lane and near a crosswalk, a front right car made a harsh brake for pedestrian and then cut in slightly</t>
  </si>
  <si>
    <t>5'23</t>
  </si>
  <si>
    <t>61011a284868e914f3d4047f</t>
  </si>
  <si>
    <t>Truck Merge in a Congested Intersection</t>
  </si>
  <si>
    <t xml:space="preserve">When EGO was getting through a congested intersection with a green light, a truck merge into EGO's lane aggressively due to fewer lanes ahead.
</t>
  </si>
  <si>
    <t>6'09</t>
  </si>
  <si>
    <t>61012a175487713eb51af6d5</t>
  </si>
  <si>
    <t>Turn Left Aggressively at T-junction</t>
  </si>
  <si>
    <t>When EGO was going straight on the right lane of 2 lanes 2 ways branch road and approaching an uncontrolled T-junction, a car turn left aggressively from right hand.</t>
  </si>
  <si>
    <t>61014284f1c617650d45d03f</t>
  </si>
  <si>
    <t>Suddenly U Turn From Right Bike Lane</t>
  </si>
  <si>
    <t xml:space="preserve">When EGO was going straight on the left lane of a 2-lanes minor arterial, a car suddenly made a U-Turn from the right bike lane. </t>
  </si>
  <si>
    <t>https://www.iqiyi.com/v_2b3kfhfd7fo.html</t>
  </si>
  <si>
    <t>NO.25</t>
  </si>
  <si>
    <t>5'55</t>
  </si>
  <si>
    <t>61039faff1c617650d45dbc2</t>
  </si>
  <si>
    <t>Aggressively Turning Left at the Intersection</t>
  </si>
  <si>
    <t>When EGO was crossing the intersection on the left lane of a 4-lanes 2-ways minor arterial, a car turned left from the opposite lane.</t>
  </si>
  <si>
    <t>pacifica-001</t>
  </si>
  <si>
    <t>https://www.iqiyi.com/v_lb88qku9oc.html</t>
  </si>
  <si>
    <t>NO.12</t>
  </si>
  <si>
    <t>2'38</t>
  </si>
  <si>
    <t>6103abdb5487713eb51af778</t>
  </si>
  <si>
    <t>Illegally Crossing the Road</t>
  </si>
  <si>
    <t xml:space="preserve">When EGO was going straight on the left lane of a 6-lanes 2-ways principal arterial, a car illegally crossed the road from left to right. </t>
  </si>
  <si>
    <t>road position 为什么是entrance</t>
  </si>
  <si>
    <t>在VSE里是在进入十字路口时发生事故的</t>
  </si>
  <si>
    <t>6103ba4bf1c617650d45dd7a</t>
  </si>
  <si>
    <t>Suddenly Cutting in From Right</t>
  </si>
  <si>
    <t>When EGO was going straight on the middle lane of a 3-lanes principal arterial with a parallel car on the left lane, the another car suddenly cut in from right.</t>
  </si>
  <si>
    <t>NO.27</t>
  </si>
  <si>
    <t>6'08</t>
  </si>
  <si>
    <t>6103c84a5487713eb51af7a4</t>
  </si>
  <si>
    <t>Friendly Borrowing Lane for Overtaking</t>
  </si>
  <si>
    <t xml:space="preserve">When EGO was going straight on the 2-lanes 2-ways minor arterial, a car friendly borrowed lane for overtaking.  </t>
  </si>
  <si>
    <t>NO.34</t>
  </si>
  <si>
    <t>7'20</t>
  </si>
  <si>
    <t>6103debe69d91b4f11bb64a2</t>
  </si>
  <si>
    <t xml:space="preserve">Suddenly Cutting in for Avoiding Rear-end Collision </t>
  </si>
  <si>
    <t>When EGO was driving through the T-junction on the left lane of a 4-lanes 2-ways principal arterial, another car on the right lane suddenly cut in for avoiding rear-end collision with the truck coming out of the T-junction.</t>
  </si>
  <si>
    <t>5'15</t>
  </si>
  <si>
    <t>5'27</t>
  </si>
  <si>
    <t>610a4bb113be3a564d6fe70b</t>
  </si>
  <si>
    <t>Slowly Cutting in and Making an U-turn From Right</t>
  </si>
  <si>
    <t>When EGO was going straight on the left lane of a 4-lanes 2-ways principal arterial, a car slowly cut in and made an U-turn from the right lane.</t>
  </si>
  <si>
    <t>https://www.iqiyi.com/v_105jzk25f38.html</t>
  </si>
  <si>
    <t>4'32</t>
  </si>
  <si>
    <t>610a57b413be3a564d6feb6e</t>
  </si>
  <si>
    <t>Aggressively Turning Right at the Intersection</t>
  </si>
  <si>
    <t>When EGO was crossing the intersection on the rightmost lane of a 4-lanes principal arterial, a car aggressively turned right from right junction to EGO's lane.</t>
  </si>
  <si>
    <t>6108ad8663e8c66ce00acc18</t>
  </si>
  <si>
    <t>When EGO was following a car on the left lane of a 4-lanes 2-ways principal arterial, the car suddenly cut out for avoiding the wrong-way driving car.</t>
  </si>
  <si>
    <t xml:space="preserve">https://www.iqiyi.com/v_lb88qku9oc.html </t>
  </si>
  <si>
    <t>NO.37</t>
  </si>
  <si>
    <t>7'52</t>
  </si>
  <si>
    <t>8'03</t>
  </si>
  <si>
    <t>6108ca5f63e8c66ce00ad187</t>
  </si>
  <si>
    <t xml:space="preserve">When EGO was going straight on the 2-lanes 2-ways branch, a car was wrong-way driving because of the traffic jam.  </t>
  </si>
  <si>
    <t>NO.38</t>
  </si>
  <si>
    <t>8'05</t>
  </si>
  <si>
    <t>8'16</t>
  </si>
  <si>
    <t>1. Collision Risk Type 为啥是None
2. Number of lanes 和描述不一致</t>
  </si>
  <si>
    <t>1.从视频来看，很远就可以看到车辆逆行，应该没有碰撞风险
2.fixed</t>
  </si>
  <si>
    <t>610a23b7b9124589ec6f4887</t>
  </si>
  <si>
    <t>Sudden Appearing with Wrong-way Driving</t>
  </si>
  <si>
    <t xml:space="preserve">When EGO was driving along a 2-lanes 2-ways curvy urban branch road, a bicycle suddenly appeared and wrong-way drivedd on EGO's lane. </t>
  </si>
  <si>
    <t xml:space="preserve">https://www.iqiyi.com/v_1d74ab1jfsk.html </t>
  </si>
  <si>
    <t>NO.29</t>
  </si>
  <si>
    <t>5'49</t>
  </si>
  <si>
    <t>6'02</t>
  </si>
  <si>
    <t>610a3213b9124589ec6f5098</t>
  </si>
  <si>
    <t>Suddenly Cutting in Because of Missing Exit</t>
  </si>
  <si>
    <t xml:space="preserve">When EGO was going straight on the rightmost lane of a 4-lanes Highway, the car on the right 2rd lane suddenly cut in because of missing exit.  </t>
  </si>
  <si>
    <t>NO.32</t>
  </si>
  <si>
    <t>6'27</t>
  </si>
  <si>
    <t>6'39</t>
  </si>
  <si>
    <t xml:space="preserve"> </t>
  </si>
  <si>
    <t>610a3e4cb9124589ec6f54f1</t>
  </si>
  <si>
    <t>Illegally Borrowing Lane for Overtaking</t>
  </si>
  <si>
    <t xml:space="preserve">When EGO was going through the intersection with traffic light on the left lane of a 4-lanes 2-ways urban principal arterial road, the car on the opposite left lane illegally borrowed lane for overtaking.  </t>
  </si>
  <si>
    <t>7'06</t>
  </si>
  <si>
    <t>1-双向4车道，限速40，是不是城市次干道更合适？
2-position为路口的出口处，exit</t>
  </si>
  <si>
    <t>1.参考VSE地图
2.fixed</t>
  </si>
  <si>
    <t>610a7b3ab9124589ec6f5ddb</t>
  </si>
  <si>
    <t>Suddenly Cutting in for Making an U-turn</t>
  </si>
  <si>
    <t>When EGO was going straight on the leftmost lane of a 4-lanes urban principal arterial road, the car on the left 2rd lane suddenly cut in for making an U-turn.</t>
  </si>
  <si>
    <t>https://www.iqiyi.com/v_v9pgkqlzt8.html</t>
  </si>
  <si>
    <t>0'53</t>
  </si>
  <si>
    <t>1-有个相似的case讨论的方案应该是，obs行为是u turn ，feature 是 cut in 
2-“the car on the left 2rd lane” 替换成 “the left front car”，是不是能比较清楚知道相对位置</t>
  </si>
  <si>
    <t>1.fixed
2.避免出现歧义</t>
  </si>
  <si>
    <t>6109223863e8c66ce00ad7b5</t>
  </si>
  <si>
    <t>Contimuously Changing Lanes and Cutting in</t>
  </si>
  <si>
    <t>When EGO was going straight on the right 2rd lane of a 4-lanes urban principal arterial road,the car on the leftmost lane continuously changed lanes and cut in EGO's lane.</t>
  </si>
  <si>
    <t>byd-cn-10</t>
  </si>
  <si>
    <t>https://www.iqiyi.com/v_1d74ab1jfsk.html</t>
  </si>
  <si>
    <t>1'53</t>
  </si>
  <si>
    <t>1-这种情况，obs的行为是不是用连续换道更合适，既能知道cut in，又能知道是连续换道的cut in</t>
  </si>
  <si>
    <t>1.fixed</t>
  </si>
  <si>
    <t>610b516171e9d134c0372d7b</t>
  </si>
  <si>
    <t>Aggressively Drive Out of the roundabout</t>
  </si>
  <si>
    <t xml:space="preserve">When EGO was driving on the rightmost lane of a 3-lanes urban roundabout, a car aggressively drove out of the roundabout from the middle lane. </t>
  </si>
  <si>
    <t>Roundabout</t>
  </si>
  <si>
    <t>2'42</t>
  </si>
  <si>
    <t>1-描述中，was doing应该同时做一件事
2-可以体现驶出环岛的时候有cut in的行为
3-行为是不是cut in更合适？</t>
  </si>
  <si>
    <t>1.删除驶入环岛，只保留ego在环岛外侧行驶；fixed
2.fixed
3.fixed</t>
  </si>
  <si>
    <t>610b5528ac1aa81391efd3bb</t>
  </si>
  <si>
    <t>Slowly Make an U-Turn</t>
  </si>
  <si>
    <t>When EGO was going straight on the middle lane of a 6-lanes 2-ways urban road and passing through gap of the belt, a red car slowly made an u-turn into ego's lane from opposite lane.</t>
  </si>
  <si>
    <t>1-描述是3l 2w ，场景中是4w 2l
2- 车道数量，4l 2l
3- 不是cross吧？是straight的一个gap</t>
  </si>
  <si>
    <t>610b8cf7ac1aa81391efe1b2</t>
  </si>
  <si>
    <t>Attempt To Cut In Twice</t>
  </si>
  <si>
    <t>When EGO was going straight on the leftmost lane of a 2-lanes 4-ways urban road, a car attempted to cut in twice from the right most lane.</t>
  </si>
  <si>
    <r>
      <rPr>
        <u/>
        <sz val="10"/>
        <color rgb="FF1155CC"/>
        <rFont val="Calibri"/>
        <family val="2"/>
      </rPr>
      <t>https://www.iqiyi.com/v_2bx0gdxkbbo.html</t>
    </r>
    <r>
      <rPr>
        <sz val="10"/>
        <color rgb="FF000000"/>
        <rFont val="Calibri"/>
        <scheme val="minor"/>
      </rPr>
      <t>l</t>
    </r>
  </si>
  <si>
    <t>2'39</t>
  </si>
  <si>
    <t>1-描述，4L 2W</t>
  </si>
  <si>
    <t>610b988dac1aa81391efe801</t>
  </si>
  <si>
    <t>IllegallyTurn Left</t>
  </si>
  <si>
    <t>When EGO was going straight on the side road and passing through the gap of the isolated belt, a car suddenly turned left from the main road of left hand.</t>
  </si>
  <si>
    <t>1 Lane 1 Way</t>
  </si>
  <si>
    <t>2'53</t>
  </si>
  <si>
    <t>3'07</t>
  </si>
  <si>
    <t>1-标题中，suddenly，是不是换成违法更突出难度
2-从场景看，不属于T型路口
3-hows是否需要加上违法</t>
  </si>
  <si>
    <t>1.fixed
2.修改成straight
3.fixed</t>
  </si>
  <si>
    <t>610ba1cfac1aa81391efea1f</t>
  </si>
  <si>
    <t>Decelerate To Cut In</t>
  </si>
  <si>
    <t>When EGO was passing through the junction and change into the leftmost lane from the right 2rd lane, a car suddenly slowed down to cut in.</t>
  </si>
  <si>
    <t>6'20</t>
  </si>
  <si>
    <t>6'29</t>
  </si>
  <si>
    <t>1-场景仿真时，cut in的车辆与前方车辆相撞了
2-描述 rightmost →
leftmost
3-标题，场景不是很算suddenly吧，cut in 的车辆也没减速</t>
  </si>
  <si>
    <t>1.fixed；增加front与behind bus 距离action
2.fixed
3.fixed</t>
  </si>
  <si>
    <t>610bbce5ac1aa81391effa06</t>
  </si>
  <si>
    <t xml:space="preserve">Illegally Continuous Change Lane Into the Frontage Road By Crossing 3 Lanes </t>
  </si>
  <si>
    <t xml:space="preserve">When EGO was going straight on the rightmost lane of a 3-lanes highway and passing the highway exit, a car illegally merged into the frontage road from the leftmost lane of highway by crossing 3 lanes  </t>
  </si>
  <si>
    <t>7'44</t>
  </si>
  <si>
    <t>7'55</t>
  </si>
  <si>
    <t>1-匝道可用ramp，高速辅路用frontage road
2-标题，这种行为不算是merge吧
2-road shape不算是Y，是straight
3-obs的行为建议用连续换道
4-对于主车feature建议用cut in</t>
  </si>
  <si>
    <t>1.fixed
2.修改成 continuous LC
3.fixed
4.fixed
5.fixed</t>
  </si>
  <si>
    <t>6110b64571e9d134c0372db3</t>
  </si>
  <si>
    <t>Quickly Turn Left From Blind Spot</t>
  </si>
  <si>
    <t>When EGO was going straight on the rightmost lane of a 2-lanes 2-ways urban road and passing through junction, a car at the blind spot quickly turned left from right hand direction</t>
  </si>
  <si>
    <t>1-rightmost需要跟着描述几车道
2-描述中的rural，label选的是branch
3-冲突基本是在junction中发生的，位置选none？</t>
  </si>
  <si>
    <t>1.fixed
2.label 不是taads场景中的吗；fixed
3.fixed</t>
  </si>
  <si>
    <t>6111f6273b77af5bf1e3aa85</t>
  </si>
  <si>
    <t>Normally Turn Left Through Traffic Jam</t>
  </si>
  <si>
    <t>When EGO was passing through the junction, a car normally turn left through traffic jam from opposite lane.</t>
  </si>
  <si>
    <t>https://www.iqiyi.com/v_csh1i54cfs.html</t>
  </si>
  <si>
    <t>2'13</t>
  </si>
  <si>
    <t>1-属于常规左转，但环境相对干扰车辆较多，是否需要体现？比如jam traffic
2-位置基本在cross中，不属于exit吧</t>
  </si>
  <si>
    <t>1.fixed
2.fixed</t>
  </si>
  <si>
    <t>6111fd3d3b77af5bf1e3adf1</t>
  </si>
  <si>
    <t>Wildly Cut In</t>
  </si>
  <si>
    <t>When EGO was going through the leftmost lane of a 3-lanes 1-way urban road, a car wildly cut in by crossing 2 lanes from the rightmost lane.</t>
  </si>
  <si>
    <t>3'37</t>
  </si>
  <si>
    <t>需要修改场景</t>
  </si>
  <si>
    <t>1-场景中两个障碍车相撞了
2-障碍车换道完之后的运行轨迹异常
3-OBs的行为是不是可以用连续换道？</t>
  </si>
  <si>
    <t>61122b2d3b77af5bf1e3b631</t>
  </si>
  <si>
    <t>Slowly Cut In</t>
  </si>
  <si>
    <t>When EGO was slowly going straight on a 4-lanes 1-ways jam before an intersection, a car slowly cut in from the rightmost lane.</t>
  </si>
  <si>
    <t>1描述建议体现是路口的进入处</t>
  </si>
  <si>
    <t>61124eee3b77af5bf1e3bd1f</t>
  </si>
  <si>
    <t xml:space="preserve">Car Of the Left Hand Slow Down TO Make an U-turn And Rear Car Follows Close
</t>
  </si>
  <si>
    <t>When EGO was going straight on the leftmost lane of a 3-lanes 1-ways urban road and passing through gap of the belt, a white car slowed down to make an u-turn into ego's lane and the rear car brake heavily.</t>
  </si>
  <si>
    <t>6'19</t>
  </si>
  <si>
    <t>1-描述车道数量不符
2-title ---car of the hand?
3-碰撞风险是不是算多车
4-position是gap吧，merge表示车道减少的地方
5-之前类似的case，feature算做merge</t>
  </si>
  <si>
    <t>1.修改成3-lanes 1-way
2.修改为car of the left hand
3.修改为multiple vehicles
4.fixed
5.ego主要的表现为nudge；不用修改</t>
  </si>
  <si>
    <t xml:space="preserve"> 611265033b77af5bf1e3bf35</t>
  </si>
  <si>
    <t>Aggressively Overtake By Borrowing Lane</t>
  </si>
  <si>
    <t>When EGO was going straight on the leftmost lane of a 2-lanes 2-ways urban road, a car aggressively overtook the front car by borrowing ego's lane.</t>
  </si>
  <si>
    <t>6'55</t>
  </si>
  <si>
    <t>7'07</t>
  </si>
  <si>
    <t>1-描述，应该属于双向双车道吧
2-从场景看，基本没有nudge的空间，算aggressively？feature</t>
  </si>
  <si>
    <t>610b440cb9124589ec6f68f0</t>
  </si>
  <si>
    <t>Quickly Go Straight</t>
  </si>
  <si>
    <t>When EGO was passing through junction, a van of left hand quickly went straight.</t>
  </si>
  <si>
    <t>1'04</t>
  </si>
  <si>
    <t>1'16</t>
  </si>
  <si>
    <t>1-obs type不是car
2-冲突在路口中，不属于entrance吧</t>
  </si>
  <si>
    <t>1.修改成van
2.修改成none</t>
  </si>
  <si>
    <t>610b4a6eb9124589ec6f6a85</t>
  </si>
  <si>
    <t>Run Red Lgiht And Turn Left By Small Radius</t>
  </si>
  <si>
    <t>When EGO was going straight on the leftmost lane and passing through the junction, a truck of left hand ran red light and aggressively turned left by small radius.</t>
  </si>
  <si>
    <t>1'58</t>
  </si>
  <si>
    <t>1-标题和描述中，闯红灯是run red light？
2-position，在路口中，选none
3-how中的illegal换成red light，会更具体
4-feature是junction？</t>
  </si>
  <si>
    <t>1.go through 应该也可以吧;修改成run
2.fixed
3.fixed
4.ego停止在Crosswalk上；junction和Crosswalk怎么区分；修改成junction</t>
  </si>
  <si>
    <t>610b58d7b9124589ec6f6e9e</t>
  </si>
  <si>
    <t>Normally Drive On the Roundabout</t>
  </si>
  <si>
    <t xml:space="preserve">When EGO was driving on the middle lane of a 3-lanes urban roundabout and would avoid car of left hand to drive out of the roundabout, a car normally drove on the rightmost lane of roundabout. </t>
  </si>
  <si>
    <r>
      <rPr>
        <u/>
        <sz val="10"/>
        <color rgb="FF1155CC"/>
        <rFont val="Calibri"/>
        <family val="2"/>
      </rPr>
      <t>https://www.iqiyi.com/v_v9pgkqlzt8.html</t>
    </r>
    <r>
      <rPr>
        <sz val="10"/>
        <color rgb="FF000000"/>
        <rFont val="Calibri"/>
        <scheme val="minor"/>
      </rPr>
      <t>l</t>
    </r>
  </si>
  <si>
    <t>1-标题建议体现避让右侧车辆并出环岛
2-此处对ego的考察是lane change？</t>
  </si>
  <si>
    <t>W12</t>
  </si>
  <si>
    <t>610b5e85b9124589ec6f704b</t>
  </si>
  <si>
    <t>Cross the Road Aggresively</t>
  </si>
  <si>
    <t>When EGO was going straight on the left 2nd lane of urban road, a car started moving from the rightmost lane to EGO‘s lane aggressively</t>
  </si>
  <si>
    <t>5'30</t>
  </si>
  <si>
    <t>5'40</t>
  </si>
  <si>
    <t>610b8043b9124589ec6f7251</t>
  </si>
  <si>
    <t>U-Turn and Merge Aggressively</t>
  </si>
  <si>
    <t>When EGO was going straight on the leftmost lane of urban road and a SUV was driving in the rightmost lane, a car made a u-turn suddenly to merge into the lane of EGO from left hand.</t>
  </si>
  <si>
    <t>5'51</t>
  </si>
  <si>
    <t>对右侧干扰车也添加一定描述</t>
  </si>
  <si>
    <t xml:space="preserve">fixed
</t>
  </si>
  <si>
    <t>610b8e2ab9124589ec6f74fa</t>
  </si>
  <si>
    <r>
      <rPr>
        <sz val="10"/>
        <color theme="1"/>
        <rFont val="Calibri"/>
        <family val="2"/>
      </rPr>
      <t xml:space="preserve">Illegal U-Turn </t>
    </r>
    <r>
      <rPr>
        <sz val="10"/>
        <color theme="1"/>
        <rFont val="Calibri"/>
        <family val="2"/>
      </rPr>
      <t>Aggressively</t>
    </r>
  </si>
  <si>
    <t>When EGO was going straight on the rightmost lane of urban road, a car made a u-turn aggressively to merge into the lane of EGO by crossing double solid line.</t>
  </si>
  <si>
    <t>7'13</t>
  </si>
  <si>
    <t>1. you mean wildly？
2. road shape= Straight，position position = none
3. feature =  cut in</t>
  </si>
  <si>
    <t>611367f87f68c1ec319f71c0</t>
  </si>
  <si>
    <t>Cut in Aggressively from the Gap of Stationary Cars</t>
  </si>
  <si>
    <t>When EGO was going straight on the urban road, a car crossed two opposite lanes cut into EGO's lane aggressively from the gap of  left stationary cars.</t>
  </si>
  <si>
    <t xml:space="preserve">https://www.iqiyi.com/v_109ugarkbks.html </t>
  </si>
  <si>
    <t>0'14</t>
  </si>
  <si>
    <t>可以多一些对obs 出现方向的描述，简单修改了Description</t>
  </si>
  <si>
    <t>6113717c7f68c1ec319f7393</t>
  </si>
  <si>
    <t>Cross on the Unprotected Junction</t>
  </si>
  <si>
    <t>When EGO was going straight on the unprotected junction, a car crossed the junction from right of EGO</t>
  </si>
  <si>
    <t>61137dd77f68c1ec319f78bc</t>
  </si>
  <si>
    <t>Left Turn Aggresively</t>
  </si>
  <si>
    <t xml:space="preserve">When EGO was going straight in the junction, a car turned left aggressively on the opposite lane </t>
  </si>
  <si>
    <t>https://www.iqiyi.com/v_109ugarkbks.html</t>
  </si>
  <si>
    <t>可以修改场景添加其他干扰车</t>
  </si>
  <si>
    <t>fixed
场景已修改</t>
  </si>
  <si>
    <t>6113834b7f68c1ec319f7991</t>
  </si>
  <si>
    <t>Cross on the T-Junction aggressively</t>
  </si>
  <si>
    <t>When EGO was going straight on the left lane of 2-lane 1way, a car crossed the T-junction from branch road to opposite lane aggressively</t>
  </si>
  <si>
    <t>2'55</t>
  </si>
  <si>
    <t>3'06</t>
  </si>
  <si>
    <t>需要调整1001触发点
Stop Sign？？</t>
  </si>
  <si>
    <t>611639afe953f849ef0fc8a0</t>
  </si>
  <si>
    <t xml:space="preserve">Cross on the Unprotected Junction Aggressively </t>
  </si>
  <si>
    <t>When EGO was going straight on the unprotected junction, a car started moving and crossing the junction from left of EGO aggressively after waiting for cars going straight through the junction.</t>
  </si>
  <si>
    <t>https://www.iqiyi.com/v_1kzf2cy2qq4.html</t>
  </si>
  <si>
    <t>描述可以着重 干扰车等其他直行车流通过之后，静止起步横穿</t>
  </si>
  <si>
    <t>611643dde953f849ef0fcbb4</t>
  </si>
  <si>
    <t>When EGO was going straight on the left lane of 2-lane 1 way, a car crossed the T-junction from branch road to opposite lane aggressively</t>
  </si>
  <si>
    <t>2'00</t>
  </si>
  <si>
    <t>2'14</t>
  </si>
  <si>
    <t>611b797115838571eb0ecf3a</t>
  </si>
  <si>
    <t>U-Turn aggressively in the Junction</t>
  </si>
  <si>
    <t>When EGO was going straight on the left 2-lane 1 way, a car speeded up and then made a u-turn aggressively from the rear right of the EGO.</t>
  </si>
  <si>
    <t>6'01</t>
  </si>
  <si>
    <t>1. 场景修改，避免两个干扰车之间碰撞，修改EGO起点（避免压线）
2. Description 尽量细致一些，从右侧车道U-turn</t>
  </si>
  <si>
    <t>611ba0d374cc1b1de37e6852</t>
  </si>
  <si>
    <t xml:space="preserve">Overtake and Cut in on the Express Road Exit </t>
  </si>
  <si>
    <t>When EGO was driving out the express road, a  car speed up from behind EGO and cut  into EGO's lane</t>
  </si>
  <si>
    <t>7'16</t>
  </si>
  <si>
    <t>从视频看，EGO应该是向左前方直行，硬被左侧干扰车 别到右侧，可以调整地图位置</t>
  </si>
  <si>
    <t>fixed
场景已修改改</t>
  </si>
  <si>
    <t>611bb01d74cc1b1de37e6b56</t>
  </si>
  <si>
    <t>Pull out from left then Cut in Slowly</t>
  </si>
  <si>
    <t>When EGO was going straight on the right lane of 2-lane 1way and the left lane was occupied by stationary vehicles, a car pulled out form left slowly in the parking space and cut into the EGO's lane</t>
  </si>
  <si>
    <r>
      <t xml:space="preserve">
</t>
    </r>
    <r>
      <rPr>
        <u/>
        <sz val="10"/>
        <color rgb="FF1155CC"/>
        <rFont val="Calibri"/>
        <family val="2"/>
      </rPr>
      <t>https://www.iqiyi.com/v_17l6d2qrdv0.html</t>
    </r>
  </si>
  <si>
    <t>611bba5e74cc1b1de37e6eda</t>
  </si>
  <si>
    <t>Merge from Side Road Aggressively</t>
  </si>
  <si>
    <r>
      <rPr>
        <sz val="12"/>
        <color theme="1"/>
        <rFont val="Calibri"/>
        <family val="2"/>
      </rPr>
      <t>When EGO was going straight on the rightmost</t>
    </r>
    <r>
      <rPr>
        <sz val="12"/>
        <color rgb="FFFF0000"/>
        <rFont val="Calibri"/>
        <family val="2"/>
      </rPr>
      <t xml:space="preserve"> </t>
    </r>
    <r>
      <rPr>
        <sz val="12"/>
        <color theme="1"/>
        <rFont val="Calibri"/>
        <family val="2"/>
      </rPr>
      <t>of 3 lanes principal arterial road, a car merged into EGO's lane from side road aggressively.</t>
    </r>
  </si>
  <si>
    <r>
      <t xml:space="preserve">
</t>
    </r>
    <r>
      <rPr>
        <u/>
        <sz val="10"/>
        <color rgb="FF1155CC"/>
        <rFont val="Calibri"/>
        <family val="2"/>
      </rPr>
      <t>https://www.iqiyi.com/v_17l6d2qrdv0.html</t>
    </r>
  </si>
  <si>
    <t>2'56</t>
  </si>
  <si>
    <t>在三车道主路的最右车道
rightmost lane of 3 lanes principal arterial road</t>
  </si>
  <si>
    <t>611bbf7674cc1b1de37e707c</t>
  </si>
  <si>
    <t>Harsh Brake to avoid Crosswalk pedestrian</t>
  </si>
  <si>
    <t>When EGO was following the front car turning left in the junction, meanwhile a pedestrian crossed the crosswalk, the front car harsh brake and stop to avoid collision with the pedestrian.</t>
  </si>
  <si>
    <t>Vehicle and Non-Vehicle</t>
  </si>
  <si>
    <r>
      <t xml:space="preserve">
</t>
    </r>
    <r>
      <rPr>
        <u/>
        <sz val="10"/>
        <color rgb="FF1155CC"/>
        <rFont val="Calibri"/>
        <family val="2"/>
      </rPr>
      <t>https://www.iqiyi.com/v_17l6d2qrdv0.html</t>
    </r>
  </si>
  <si>
    <t>4'13</t>
  </si>
  <si>
    <r>
      <rPr>
        <sz val="10"/>
        <rFont val="Arial"/>
        <family val="2"/>
      </rPr>
      <t xml:space="preserve">1. 路口内直行、左转等用介词 in； 道路上直行用 on？？
2. 场景设置，启动时跟随EGO速度，导致一直是停止状态，需要修改场景 </t>
    </r>
    <r>
      <rPr>
        <sz val="10"/>
        <color rgb="FF000000"/>
        <rFont val="Arial"/>
        <family val="2"/>
      </rPr>
      <t>，</t>
    </r>
    <r>
      <rPr>
        <u/>
        <sz val="10"/>
        <color rgb="FF1155CC"/>
        <rFont val="Arial"/>
        <family val="2"/>
      </rPr>
      <t>link</t>
    </r>
  </si>
  <si>
    <t>611388b17f68c1ec319f7bca</t>
  </si>
  <si>
    <t>Turn Left Aggressively on the T-Junction</t>
  </si>
  <si>
    <t>When EGO was going straight on the left lane of 2 lane urban road, a car turned left on the T-junction aggressively from left of EGO.</t>
  </si>
  <si>
    <t>611390087f68c1ec319f7e05</t>
  </si>
  <si>
    <t>Quickly But Normally Went Straight to Cross The Tunction.</t>
  </si>
  <si>
    <t xml:space="preserve">when EGO was turning left in a minor arterial cross junction which traffic light was green, a car quickly but normally went straight to cross the junction. </t>
  </si>
  <si>
    <t>http://www.iqiyi.com/v_13zv6vx492s.html?share_sTime=14</t>
  </si>
  <si>
    <t>0‘14</t>
  </si>
  <si>
    <t>0‘28</t>
  </si>
  <si>
    <t>6113bd147f68c1ec319f818d</t>
  </si>
  <si>
    <t>Aggressively Turned Left from The Oppisite Way then Harsh Brake</t>
  </si>
  <si>
    <t xml:space="preserve">When EGO was going straight at the left lane of a two lanes minor arterial road, a car aggressively turned left from the oppisite way then harsh brake at the left lane and a pedestrain standed on the rightmost lane side. </t>
  </si>
  <si>
    <t>http://www.iqiyi.com/v_13zv6vx492s.html?share_sTime=164</t>
  </si>
  <si>
    <t>2'43</t>
  </si>
  <si>
    <t>6113c8147f68c1ec319f873a</t>
  </si>
  <si>
    <t>Aggressively Borrow Lane to Overtook</t>
  </si>
  <si>
    <t>When EGO was going straight at the right lane of a two lanes two ways rural road and close to a big bend, a car on the opposite lane borrow lane to overtook on curves aggressively.</t>
  </si>
  <si>
    <t>http://www.iqiyi.com/v_13zv6vx492s.html?share_sTime=232</t>
  </si>
  <si>
    <t>6113c86c7f68c1ec319f877f</t>
  </si>
  <si>
    <t>Aggressively Cut In with Low Speed</t>
  </si>
  <si>
    <t xml:space="preserve">When EGO was going straight with low speed at the right 2nd lane of a five lanes principal arterial road, a car aggressively cut in from the rightmost lane. </t>
  </si>
  <si>
    <t>http://www.iqiyi.com/v_13zv6vx492s.html?share_sTime=255</t>
  </si>
  <si>
    <t>4'28</t>
  </si>
  <si>
    <t>611496e97f68c1ec319f8fc8</t>
  </si>
  <si>
    <t xml:space="preserve">When EGO was going straight at the left lane of a 3 lanes minor arterial road, a car aggressively cut in from the rightmost lane. </t>
  </si>
  <si>
    <t>http://www.iqiyi.com/v_13zv6vx492s.html?share_sTime=269</t>
  </si>
  <si>
    <t>4'42</t>
  </si>
  <si>
    <t>6114bf8e7f68c1ec319f9476</t>
  </si>
  <si>
    <t xml:space="preserve">Aggressively Turn left from The Oppisite Way. </t>
  </si>
  <si>
    <t xml:space="preserve">When EGO was going straight at the left lane of a 2 lanes minor arterial road, a car aggressively turned left from the oppisite way. </t>
  </si>
  <si>
    <t>http://www.iqiyi.com/v_13zv6vx492s.html?share_sTime=295</t>
  </si>
  <si>
    <t>6114c5337f68c1ec319f9510</t>
  </si>
  <si>
    <t>Aggressively And Illegally Cross</t>
  </si>
  <si>
    <t xml:space="preserve">When EGO was going straight at the left lane of a 2 lanes minor arterial road, a tricycle aggressively and illegally cross from the right hand side. </t>
  </si>
  <si>
    <t>http://www.iqiyi.com/v_13zv6vx492s.html?share_sTime=309</t>
  </si>
  <si>
    <t>6114ca537f68c1ec319f9653</t>
  </si>
  <si>
    <t>Aggressively Borrow Lane</t>
  </si>
  <si>
    <t xml:space="preserve">When EGO was going straight at the left lane of a 3 lanes minor arterial road, a car aggressively borrowed lane from opposite way. </t>
  </si>
  <si>
    <t>http://www.iqiyi.com/v_13zv6vx492s.html?share_sTime=446</t>
  </si>
  <si>
    <t>7'26</t>
  </si>
  <si>
    <t>7'36</t>
  </si>
  <si>
    <t>611cd08620aae23c26873320</t>
  </si>
  <si>
    <t>Aggressively Cross The Junction from The Left Hand Side</t>
  </si>
  <si>
    <t xml:space="preserve">When EGO was going straight at the middle lane of a 3 lanes minor arterial road and crossing a junction, a tricycle aggressively cross the junction from the left hand side. </t>
  </si>
  <si>
    <t>http://www.iqiyi.com/v_14006zhf2uo.html?share_sTime=137</t>
  </si>
  <si>
    <t>611cf68bdb826f2d8ee08b1a</t>
  </si>
  <si>
    <t>Aggressively Cut In from Right Lane</t>
  </si>
  <si>
    <t xml:space="preserve">When EGO was going straight at the left lane of a 2 lanes minor arterial road, a car aggressively cut in from right lane. </t>
  </si>
  <si>
    <t>http://www.iqiyi.com/v_17l6d2qrdv0.html?share_sTime=109</t>
  </si>
  <si>
    <t>1'49</t>
  </si>
  <si>
    <t>611dc91906cf0e07d70ac07c</t>
  </si>
  <si>
    <t>Aggressively Cross Then Stopped at The Middle of Crosswalk</t>
  </si>
  <si>
    <t xml:space="preserve">When EGO was turning left at the left lane of a 3 lanes minor arterial road, a car stopped at the middle lane then a motorbicycle aggressively cross from right hand side then stopped at the middle of crosswalk. </t>
  </si>
  <si>
    <t>http://www.iqiyi.com/v_14006zhf2uo.html?share_sTime=149</t>
  </si>
  <si>
    <t>2'29</t>
  </si>
  <si>
    <t>611dfd3820aae23c2687367e</t>
  </si>
  <si>
    <t>Aggressively Cut In to Turn Left</t>
  </si>
  <si>
    <t xml:space="preserve">When EGO was going straight at the left lane of a 2 lanes minor arterial road and close to a T-junction, a car aggressively cut in to turn left from the right lane. </t>
  </si>
  <si>
    <t>http://www.iqiyi.com/v_14006zhf2uo.html?share_sTime=213</t>
  </si>
  <si>
    <t>611e38d520aae23c26874473</t>
  </si>
  <si>
    <t>Aggressively And Continuously Cross 2 Lanes to Exit</t>
  </si>
  <si>
    <t xml:space="preserve">When EGO was going straight at the rightmost lane of a principal arterial road and close to a exit, a car aggressively and continuously cross 2 lanes from left side lane to exit. </t>
  </si>
  <si>
    <t>http://www.iqiyi.com/v_14006zhf2uo.html?share_sTime=251</t>
  </si>
  <si>
    <t>611f4717a5724a164b81cf18</t>
  </si>
  <si>
    <t>Aggressively And Continuously Cross 3 Lanes to Cut In</t>
  </si>
  <si>
    <t xml:space="preserve">When EGO was going straight at the leftmost lane of a many lanes minor arterial road and close to a gap, a car aggressively and continuously cross 3 lanes from right side lane to the opposite road. </t>
  </si>
  <si>
    <t>http://www.iqiyi.com/v_2fb1s6tz13k.html?share_sTime=0</t>
  </si>
  <si>
    <t>611f78e4a5724a164b81cf22</t>
  </si>
  <si>
    <t>Aggressively And Continuously Cross 2 Lanes to Cut In</t>
  </si>
  <si>
    <t xml:space="preserve">When EGO was going straight at the left lane of a minor arterial road and close to a junction, a car aggressively and continuously cross 2 lanes from left hand side to right hand side. </t>
  </si>
  <si>
    <t>http://www.iqiyi.com/v_2fb1s6tz13k.html?share_sTime=59</t>
  </si>
  <si>
    <t>0’58</t>
  </si>
  <si>
    <t>1‘10</t>
  </si>
  <si>
    <t>611f7cfaa5724a164b81cf25</t>
  </si>
  <si>
    <t>Brake Aggressively</t>
  </si>
  <si>
    <t>When EGO was going straight and following a car at the entrance of a minor arterial cross, the front car braked aggressively.</t>
  </si>
  <si>
    <t>https://www.iqiyi.com/v_2fb1s6tz13k.html</t>
  </si>
  <si>
    <t>3'17</t>
  </si>
  <si>
    <t>611f825320aae23c268749a4</t>
  </si>
  <si>
    <t>Illegal Left Turn</t>
  </si>
  <si>
    <t>When EGO was going straight at the leftmost lane of a two lanes minor arterial T-junction, the motorbike made a left turn illegally from the rightmost bicycle lane.</t>
  </si>
  <si>
    <t>cross 描述非路口的横穿，路口的话，left turn更合理？</t>
  </si>
  <si>
    <t>61235115e6f4a36d18742fd6</t>
  </si>
  <si>
    <t>Cut In Aggressively with Crossing Solid Line</t>
  </si>
  <si>
    <t>When EGO was going straight at the middle lane of the entrance of a principle arterial cross, there were some cars stoped at the left lane, the left quick car cut in aggressively with crossing solid line.</t>
  </si>
  <si>
    <t>https://www.iqiyi.com/v_26obq94b7l4.html</t>
  </si>
  <si>
    <t>6'13</t>
  </si>
  <si>
    <t>1-已改
2-EGO与左侧车辆无碰撞风险？</t>
  </si>
  <si>
    <t>612457e48299e360810ab292</t>
  </si>
  <si>
    <t>Speed Up and Cut In Aggressively When Turn Left</t>
  </si>
  <si>
    <t>When EGO was turning left at the leftmost lane of a principle arterial cross, the right car sped up and cut in aggressively.</t>
  </si>
  <si>
    <t>https://www.iqiyi.com/v_2c66zp7rcp0.html</t>
  </si>
  <si>
    <t>3'38</t>
  </si>
  <si>
    <t>1-已改</t>
  </si>
  <si>
    <t>6124b195a5724a164b81d030</t>
  </si>
  <si>
    <t>Conflict with Right Turning Car</t>
  </si>
  <si>
    <t>When EGO was going straight at the minor arterial cross junction, the car turned right without avoidance.</t>
  </si>
  <si>
    <t>3'57</t>
  </si>
  <si>
    <t>04'07</t>
  </si>
  <si>
    <t>6124b1de8299e360810ab8ac</t>
  </si>
  <si>
    <t>Merge with Crossing 2 Lanes</t>
  </si>
  <si>
    <t>When EGO was going straight at the leftmost of urban express straight road, the car merged into ego's front lane with crossing 2 lanes from right front entrance.</t>
  </si>
  <si>
    <t>3'49</t>
  </si>
  <si>
    <t>merge不是很合理，改为连续换道</t>
  </si>
  <si>
    <t>6125a44820aae23c2687576a</t>
  </si>
  <si>
    <t>Right Turn and Cut In by Crossing 3 Lanes</t>
  </si>
  <si>
    <t>When EGO was entering the exit of the principal cross junction after completing left turn, the car cut in by crossing 3 lanes after completing right turn.</t>
  </si>
  <si>
    <t>https://www.iqiyi.com/v_23ytugssa8c.html</t>
  </si>
  <si>
    <t>0'35</t>
  </si>
  <si>
    <t>0'52</t>
  </si>
  <si>
    <t>1. with -&gt; by
2. ,后需要空格</t>
  </si>
  <si>
    <t>6125b2d620aae23c26875890</t>
  </si>
  <si>
    <t>Left Turn with Avoiding Straight Going</t>
  </si>
  <si>
    <t>When EGO was going straight at the 2 lanes 2 ways minor arterial T-junction, the car turned left from left hand direction.</t>
  </si>
  <si>
    <t>6125d75f20aae23c26875961</t>
  </si>
  <si>
    <t>Occupy the Left Part of a Narrow Road When Enter the Intersection</t>
  </si>
  <si>
    <t>When EGO was turning right at the 2 lanes 2ways minor arterial intersection, the car from right hand direction entered the intersection by occupying the left part of a narrow road.</t>
  </si>
  <si>
    <t>3'13</t>
  </si>
  <si>
    <t>1. 描述中没有说明干扰车来自于右手方向
2. 原视频中的道路没有划线，谈不上借道，可以定性为by occupying the left part of a narrow road</t>
  </si>
  <si>
    <t>6125dd0ab4eb2caea1826743</t>
  </si>
  <si>
    <t>Conflict with Left Turning Car at T-junction</t>
  </si>
  <si>
    <t>When EGO was going straight at the 4 lanes 2 ways minor arterial T-junction, the car turned left from opposite lane quickly.</t>
  </si>
  <si>
    <t>6125e78bbc511c59f47d3e44</t>
  </si>
  <si>
    <t>Pull Out and Cut In in Junction</t>
  </si>
  <si>
    <t>When EGO was turnning right  at the minor arterial intersection, the right front car pulled out and cut in slowly.</t>
  </si>
  <si>
    <t>https://www.iqiyi.com/v_17k557yo4hc.html</t>
  </si>
  <si>
    <t>4'02</t>
  </si>
  <si>
    <t>6125f0e7bc511c59f47d41f2</t>
  </si>
  <si>
    <t>Wildly Crossing 2 Lanes to Cut In</t>
  </si>
  <si>
    <t>When EGO was going straight on the rightmost lane of a 3 lanes urban road, a car cut in wildly by crossing 2 lanes from the leftmost lane.</t>
  </si>
  <si>
    <t>6125f976bc511c59f47d44e2</t>
  </si>
  <si>
    <t>When EGO was going straight at the 4 lanes 2 ways minor arterial T-junction, the car turned left from right hand direction slowly.</t>
  </si>
  <si>
    <t>5'06</t>
  </si>
  <si>
    <t>61261ea5b4eb2caea1826fe4</t>
  </si>
  <si>
    <t>Car Occuluded by Truck Run Red Light</t>
  </si>
  <si>
    <t>When EGO was starting up at the rightmost lane of a minor arterial intersection  when green light turned on, the car which was occuluded by a truck on the left lane of ego run red light from left hand direction.</t>
  </si>
  <si>
    <t>1. EGO的行为可以比go straight更具体一些：start up when green light turned on
2. 对truck的位置可以做更具体地限定：the truck on the left lane of EGO</t>
  </si>
  <si>
    <t>6126facaa5724a164b81d083</t>
  </si>
  <si>
    <t>Tricycle Run Red Light</t>
  </si>
  <si>
    <t>When EGO was going straight at the rightmost lane of a minor arterial intersection, the tricycle run red light from left hand direction.</t>
  </si>
  <si>
    <t>4'15</t>
  </si>
  <si>
    <t>6126fde7a5724a164b81d087</t>
  </si>
  <si>
    <t>Cut Out Then Turn Left On Right Lane</t>
  </si>
  <si>
    <t>When EGO was following a van on the left lane of 4 lanes 2 ways road and approaching the junction, the van change lane to right, then made a left turn on the right lane.</t>
  </si>
  <si>
    <t>the last one</t>
  </si>
  <si>
    <t>5'36</t>
  </si>
  <si>
    <t>612caf2f20aae23c268771d6</t>
  </si>
  <si>
    <t>Cross Road From Right Hand</t>
  </si>
  <si>
    <t>When EGO was going straight on the leftmost lane of urban road and approaching the center gap of dual carriage road, a car crossed from the right roadside, but stopped on the middle lane, meanwhile a taxi was waited for the opportunity to turn left from opposite lane.</t>
  </si>
  <si>
    <t>1. 怎么arterial与dual carrigeroad混用？
2. a car crossed from the right roadside, but stopped on the middle lane.
3. 视频中对向车道的出租车要左转，也是重要干扰因素</t>
  </si>
  <si>
    <t>612f213720aae23c2687802d</t>
  </si>
  <si>
    <t>Run Red Light From Left Hand</t>
  </si>
  <si>
    <t>When EGO was going straight on the leftmost lane of minor arterial in the junction, a car run red light from left hand</t>
  </si>
  <si>
    <t>https://www.iqiyi.com/v_1deqcff9qko.html</t>
  </si>
  <si>
    <t>612f2872a5724a164b81d257</t>
  </si>
  <si>
    <t>Cross 3 Lanes for Cut In</t>
  </si>
  <si>
    <t>When EGO was going straight on the right lane of a 2 lanes 2 ways minor arterial, 2 opposite cars start u-turn from the right lane, the first car yield to ego, however the second car continues u-turn on the inside of first car.</t>
  </si>
  <si>
    <t>1. 我理解的描述逻辑：对向二车从最右车道开始u-turn，车一停止让行，车二在车一内侧继续u turn</t>
  </si>
  <si>
    <t>612f2f9320aae23c268780d6</t>
  </si>
  <si>
    <t>2 Cars Merge Aggressively</t>
  </si>
  <si>
    <t>When EGO was following a car on the 1 lane sideroad, 2 cars merge into EGO's lane from main road in turn.</t>
  </si>
  <si>
    <t>612f37f320aae23c26878120</t>
  </si>
  <si>
    <t>Truck Slow Cut In From Right</t>
  </si>
  <si>
    <t>When EGO was following a truck on the left lane of 4 lanes 2 ways minor arterial, another right rear truck overtook EGO then made a cut in slowly.</t>
  </si>
  <si>
    <t>1. 这个slow cut in + aggressively不矛盾吗？</t>
  </si>
  <si>
    <t>612f4363a5724a164b81d285</t>
  </si>
  <si>
    <t>Car Slow Cut In From Right</t>
  </si>
  <si>
    <t>When EGO was following a car on the left lane of 4 lanes 2 ways minor arterial, a right rear truck overtook EGO then made a slow cut in aggressively.</t>
  </si>
  <si>
    <t>612f6818a5724a164b81d298</t>
  </si>
  <si>
    <t>Cut Out To Avoid Stationary Vehicles Ahead Urgently</t>
  </si>
  <si>
    <t>When EGO was following a car on the leftmost lane of highway and its right lane was occupied by other car, the car cut out to right lane due to a stationary car ahead urgently.</t>
  </si>
  <si>
    <t>https://www.iqiyi.com/v_1ymadtms6ww.html</t>
  </si>
  <si>
    <t>1. and its right lane was occupied by ...
2. cut out to avoid stationary vehicles ahead urgently</t>
  </si>
  <si>
    <t>612f733120aae23c268782bb</t>
  </si>
  <si>
    <t xml:space="preserve">Speedup Then Cross 2 Lanes to Cut In
</t>
  </si>
  <si>
    <t>When EGO was going straight on the leftmost lane and a series of stationary car were waiting for redlight on left 3rd lane, one of car speedup and cross 2 lanes to cut in ego's lane</t>
  </si>
  <si>
    <t>612f791aa5724a164b81d2a0</t>
  </si>
  <si>
    <t>Turn Left  From Opposite Lane Aggressively</t>
  </si>
  <si>
    <t>When EGO was going straight on the leftmost lane of 8 lanes 2 way principal arterial and approaching a T junction, a car made a left turn from right hand normally, however another car made a left turn from opposite lane aggressively</t>
  </si>
  <si>
    <t>2'22</t>
  </si>
  <si>
    <t>2'33</t>
  </si>
  <si>
    <t>612f7f6d20aae23c2687830e</t>
  </si>
  <si>
    <t>Cut In Fastly From Left</t>
  </si>
  <si>
    <t>When EGO was going straight on the rightmost lane of principal arterial road and a left front  truck keep same speed as ego on the middle lane, a car drove close to truck then made a left cut in to EGO' lane.</t>
  </si>
  <si>
    <t>6130620720aae23c268784c4</t>
  </si>
  <si>
    <t>Continuous Lane Change to the Exit</t>
  </si>
  <si>
    <t>When EGO was going straight on the rightmost lane of principal arterial road and approaching the exit, a car speedup made a continuous lane change from leftmost lane to the exit.</t>
  </si>
  <si>
    <t>time=4:20</t>
  </si>
  <si>
    <t>1.obs maneuver:改成 continuous lane change 会不会更好一点，obs的主要动作是连续换道，在feature中体现cut in</t>
  </si>
  <si>
    <t>613078f88bf264ee02cc661c</t>
  </si>
  <si>
    <t>Cross Solid Line U-turn From Rightmost Lane</t>
  </si>
  <si>
    <t>When EGO was going straight on the leftmost lane after left turn, a car crossed 2 lanes to u-turn from rightmost lane after right turn illegally.</t>
  </si>
  <si>
    <t>https://www.iqiyi.com/v_1jvbmagcje4.html</t>
  </si>
  <si>
    <t>1.description: cross 过去式；连续换道未描述出来</t>
  </si>
  <si>
    <t>61307cac8bf264ee02cc661f</t>
  </si>
  <si>
    <t>Go Straight On Non-motorized Road When EGO Trun Right</t>
  </si>
  <si>
    <t>When EGO was making a right turn on the right lane at the junction, a car went straight on the right non-motorized road aggressively.</t>
  </si>
  <si>
    <t>0'57</t>
  </si>
  <si>
    <t>1.description: going 过去式</t>
  </si>
  <si>
    <t>6130921620aae23c268787db</t>
  </si>
  <si>
    <t>U-turn From Opposite Lane</t>
  </si>
  <si>
    <t>When EGO was going straight on the leftmost lane in the junction, the car made a u-turn from opposite lane with a low speed.</t>
  </si>
  <si>
    <t>1.description: obs 描述为低路权，缓慢的行驶是否更恰当
2.how: 改为 lowpriority，slowly更合适</t>
  </si>
  <si>
    <t>6130a2d58bf264ee02cc6655</t>
  </si>
  <si>
    <t>Cutting in Suddenly From Left</t>
  </si>
  <si>
    <t>When EGO was going straight on the rightmost lane of a 4-lanes express, the car on the right 2nd lane cut in suddenly and slowed down because of missing the export.</t>
  </si>
  <si>
    <t>pacifica-cn-10</t>
  </si>
  <si>
    <t>4'38</t>
  </si>
  <si>
    <t>1.description：obs 减速为体现出来 
2.how: obs减速较为明显</t>
  </si>
  <si>
    <t>6135866720aae23c2687923a</t>
  </si>
  <si>
    <t>Making A Lane Change Aggressively</t>
  </si>
  <si>
    <t>When EGO was going straight on the right lane of a 2-lanes urban principal arterial road, the parallel car on the left lane made a lane change aggressively.</t>
  </si>
  <si>
    <t xml:space="preserve">https://www.iqiyi.com/v_174uz7e1yl0.html </t>
  </si>
  <si>
    <t>1.light condition:黑天，有路灯</t>
  </si>
  <si>
    <t>61370b378bf264ee02cc67f1</t>
  </si>
  <si>
    <t>Making A U-turn From the Gap of Road Fence</t>
  </si>
  <si>
    <t>When EGO was going straight on the left lane of a 3-lanes urban principal arterial road and a parallel car was going straight on the middle lane,  there were two cars made a U-turn one after another from the gap of road fence.</t>
  </si>
  <si>
    <t>1.description: there was -&gt; there were 两辆车
2.feature: obs从另一个车道进来，改为cutin,应该更合适；lane follow应该类似追尾的情况
3.场景是否需要修改；视频中出租车看到白色SUV明显刹车了</t>
  </si>
  <si>
    <t>6137259820aae23c2687a253</t>
  </si>
  <si>
    <t>Turning Left to EGO's Lane Aggresively</t>
  </si>
  <si>
    <t xml:space="preserve">When EGO was going straight on the right lane of a 2-lanes 2-ways urban minor arterial road and would enter the junction while there was a motorbike standing by the side of the road, a car turned left to EGO's lane aggresively from left. </t>
  </si>
  <si>
    <t>1.description: entering -&gt; enter 过去将来时；from left 是from left hand?
2.feature:在junction发生，是否应该改为junction，或者改为cut in更合适；obs是从其他车道激进的cutin到本车道</t>
  </si>
  <si>
    <t>613730c120aae23c2687a4f9</t>
  </si>
  <si>
    <t>Turning Left to the Gap of Two Cars</t>
  </si>
  <si>
    <t xml:space="preserve">When EGO was following a truck on the 2-lanes 2-ways urban branch road, a car turned left aggresively to the gap of two cars from the T-jucntion on the left. </t>
  </si>
  <si>
    <t>1.feature:cutin 更合适？</t>
  </si>
  <si>
    <t>6137562120aae23c2687aa3d</t>
  </si>
  <si>
    <t>Cutting in Aggressively From Right</t>
  </si>
  <si>
    <t>When EGO was going straight on the left 2rd lane of a 4-lanes express while a parallel car driving on the leftmost lane, the front car on the right 2nd lane cut in aggressively.</t>
  </si>
  <si>
    <t>1.description: 逗号后加空格</t>
  </si>
  <si>
    <t>61382bdb20aae23c2687ac63</t>
  </si>
  <si>
    <t xml:space="preserve">Crossing the Junction Fastly </t>
  </si>
  <si>
    <t xml:space="preserve">When EGO was going straight on the 2-lanes 2-ways urban minor arterial road and was crossing the junction, a car crossed the intersection fastly from the right. </t>
  </si>
  <si>
    <t>https://www.iqiyi.com/v_1ni7svvsz98.html</t>
  </si>
  <si>
    <t>1.road position: 故事发生在junction中，改为none更合适</t>
  </si>
  <si>
    <t>613835098bf264ee02cc6900</t>
  </si>
  <si>
    <t>Crossing the Road Aggresively From the Gap</t>
  </si>
  <si>
    <t>When EGO was going straight on the right lane of a 4-lanes 2-ways urban minor arterial road and was going through the junction while there was a stationary car on the left lane's gap,a car crossed the road suddenly from the gap.</t>
  </si>
  <si>
    <t>1.road position: 故事发生在t-junctiong中，改为none更合适
2.obs manuever: cross 是穿过人行道；obs行为是否改为cut in
3.feature：地图中发生事故的场景没有画出junction区域
4.description: 逗号后加空格</t>
  </si>
  <si>
    <t>6138413d20aae23c2687ace3</t>
  </si>
  <si>
    <t>Turning Left Aggresively in the Junction</t>
  </si>
  <si>
    <t>When EGO was going straight on the middle lane of a 6-lanes 2-ways urban minor arterial road and was going through the junction, there were two cars turned left one after another from the opposite lane.</t>
  </si>
  <si>
    <t>4'16</t>
  </si>
  <si>
    <t>4'25</t>
  </si>
  <si>
    <t>1.description: there were
2.road position: 故事发生在junction中，改为none更合适
3.description: 逗号后加空格</t>
  </si>
  <si>
    <t>613866fa8bf264ee02cc692c</t>
  </si>
  <si>
    <t>Going Through the Junction Quickly When EGO Turned Left</t>
  </si>
  <si>
    <t>When EGO was turning left to a urban branch road from the left lane of a 4-lanes 2-ways urban minor arterial road while there were many parked cars on the opposite left lane, a car on the opposite right lane drived fastly to cross the junction.</t>
  </si>
  <si>
    <t>6'31</t>
  </si>
  <si>
    <t>61386f2020aae23c2687b03c</t>
  </si>
  <si>
    <t>Cutting in Suddenly</t>
  </si>
  <si>
    <t>When EGO was going straight on the middle lane of a 3-lanes urban minor arterial road and would enter the T-junction, the front car on the left lane cut in suddenly and continuously changed lanes to the right lane.</t>
  </si>
  <si>
    <t>8'11</t>
  </si>
  <si>
    <t>1.how: obs 压实线变道，可以添加illegal
2.description: 逗号后加空格</t>
  </si>
  <si>
    <t>615ff0cda64eeb339ff6056d</t>
  </si>
  <si>
    <t>Changing Lanes Continuously for Exiting</t>
  </si>
  <si>
    <t>When EGO was going straight on the rightmost lane of a 5-lanes highway,a car on the left 3rd lane changed lanes continuously for exiting.</t>
  </si>
  <si>
    <t>6'12</t>
  </si>
  <si>
    <t>1.feature：cut in？</t>
  </si>
  <si>
    <t>6160317dfc4ece2fb9fcba54</t>
  </si>
  <si>
    <t>Going through the Junction Quickly When EGO Turned Left</t>
  </si>
  <si>
    <t>When EGO was turning left on the left lane of a 2-lanes T-junction, a car went straight quickly from left to right.</t>
  </si>
  <si>
    <t>https://www.iqiyi.com/v_2docnt7jyw8.html</t>
  </si>
  <si>
    <t>4'59</t>
  </si>
  <si>
    <t>1.description ：T-junction
2.obs how 补充一个normal？
3.title建议加上T-Junction，though是介词可以小写</t>
  </si>
  <si>
    <t>61610609a64eeb339ff605f5</t>
  </si>
  <si>
    <t>同上，两个场景是否只保留一个？</t>
  </si>
  <si>
    <t>61610d3fa64eeb339ff605fd</t>
  </si>
  <si>
    <t>Wrong-way Driving From Left to Right</t>
  </si>
  <si>
    <t>When EGO was turning left to a 4-lanes 2-ways urban minor arterial road, a truck drove out on the wrong way from target lane in order to overtake two stationary cars.</t>
  </si>
  <si>
    <t>Semitrailer</t>
  </si>
  <si>
    <r>
      <rPr>
        <sz val="10"/>
        <color rgb="FF000000"/>
        <rFont val="Arial"/>
        <family val="2"/>
      </rPr>
      <t>1. to</t>
    </r>
    <r>
      <rPr>
        <sz val="10"/>
        <color theme="1"/>
        <rFont val="Arial"/>
        <family val="2"/>
      </rPr>
      <t xml:space="preserve"> --&gt; on?</t>
    </r>
  </si>
  <si>
    <t>61614218a64eeb339ff606b5</t>
  </si>
  <si>
    <t>Cut in by Crossing Solid Lines</t>
  </si>
  <si>
    <t>When EGO was going straight on the leftmost lane of a 6-lanes 1-way highway, a truck illegally changed lane continuously by crossing solid line from the left 3rd lane.</t>
  </si>
  <si>
    <t>6 Lane 1 Way</t>
  </si>
  <si>
    <t xml:space="preserve">https://www.iqiyi.com/v_uscurycmg8.html </t>
  </si>
  <si>
    <t>1.Road Position: merge
2.场景两辆卡车在换道之后有碰撞，可以将前方卡车速度改大一点，避免碰撞</t>
  </si>
  <si>
    <t>61839b28663bbe3bf5cf3b09</t>
  </si>
  <si>
    <t>Wildly Cut in</t>
  </si>
  <si>
    <t>When EGO was following a car on the left 2nd lane of a 8-lanes 2-ways principal arterial and would pass through the exit, the front car changed lane and another car of the right hand wildly cut in from the right 2rd lane.</t>
  </si>
  <si>
    <t>0'39</t>
  </si>
  <si>
    <t>1.2nd？</t>
  </si>
  <si>
    <t>6184d9528792675cf734a50c</t>
  </si>
  <si>
    <t>Make an u-turn by Crossing 2 roads</t>
  </si>
  <si>
    <t>When EGO was going straight on the leftmost lane of a 6-lanes 2-ways principal arterial, a white car brake on the side road and a yellow car took an u-turn on its right to principal arterial from the side road.</t>
  </si>
  <si>
    <t>1.description</t>
  </si>
  <si>
    <t>6184e410663bbe3bf5cf3ce0</t>
  </si>
  <si>
    <t>Slow Down and Cross the Road from Opposite Lane</t>
  </si>
  <si>
    <t>When EGO was following a car on the leftmost lane of a 8-lanes 2-ways urban road, the front car suddenly slowed down and two tricycles crossed the road from opposite lane.</t>
  </si>
  <si>
    <t>Diagonally</t>
  </si>
  <si>
    <t>1.场景1004车辆静止不动
2.OBS Type和场景OBS改成Tricycle？
3.description ：the front car？</t>
  </si>
  <si>
    <t>fixed;修改taads场景中车辆类型为tricycle</t>
  </si>
  <si>
    <t>618e1075663bbe3bf5cf46d9</t>
  </si>
  <si>
    <t>High Priority Pass through the Junction</t>
  </si>
  <si>
    <t>When EGO was turning left through the junction from the rightmost lane, a truck of high priority quickly passed through the junction from opposite lane.</t>
  </si>
  <si>
    <t>4'21</t>
  </si>
  <si>
    <t>1.actor3和actor4未和主车绑定</t>
  </si>
  <si>
    <t>1.actor3 速度大于ego，且行驶junction距离小于ego,未修改；actor4 使用synchronize action，绑定ego速度，后释放</t>
  </si>
  <si>
    <t>619365ac14833860d2663737</t>
  </si>
  <si>
    <t xml:space="preserve">Slow Down to Cut in </t>
  </si>
  <si>
    <r>
      <rPr>
        <sz val="12"/>
        <color theme="1"/>
        <rFont val="Calibri"/>
        <family val="2"/>
      </rPr>
      <t xml:space="preserve">When EGO was going straight on the rightmost lane of 6 lanes 2 ways express, </t>
    </r>
    <r>
      <rPr>
        <sz val="12"/>
        <color rgb="FFF9CB9C"/>
        <rFont val="Calibri"/>
        <family val="2"/>
      </rPr>
      <t xml:space="preserve">a car slowed down to cut in from the middle lane.
</t>
    </r>
  </si>
  <si>
    <t>1.场景无法运行 commit ID 7099e89e96da976b530da258f9a11bafaec53a68
2.OBS How ：aggressively？
3.description和title：Cut in Aggressively？</t>
  </si>
  <si>
    <r>
      <rPr>
        <sz val="10"/>
        <color theme="1"/>
        <rFont val="Arial"/>
        <family val="2"/>
      </rPr>
      <t xml:space="preserve">1.未勾选control，已修改；可以再看一下
2.aggressively比较主观；在此场景中slow down更为突出，也可以增加aggressively
3.cut in 应该代表侵入本车道，好用加cut into ego's lane？更为冗余
 </t>
    </r>
    <r>
      <rPr>
        <sz val="10"/>
        <color rgb="FF980000"/>
        <rFont val="Arial"/>
        <family val="2"/>
      </rPr>
      <t>cut in应该是个动词短语？</t>
    </r>
    <r>
      <rPr>
        <sz val="10"/>
        <color theme="1"/>
        <rFont val="Arial"/>
        <family val="2"/>
      </rPr>
      <t xml:space="preserve">
</t>
    </r>
  </si>
  <si>
    <t>6194941d8792675cf73588fc</t>
  </si>
  <si>
    <t>Multiple Cars Turn Right on the T-Junction</t>
  </si>
  <si>
    <t>When EGO was going straight on the rightmost lane of 3 lanes 1 way minor arterial and would pass through t-junction, multiple cars of the right hand turned right.</t>
  </si>
  <si>
    <t>7'12</t>
  </si>
  <si>
    <t>1.title：Multiple Cars Turn Right on the T-Junction？</t>
  </si>
  <si>
    <t>619b58a90b711214af97a66e</t>
  </si>
  <si>
    <t>Speed up and Make a U-Turn</t>
  </si>
  <si>
    <t>When EGO was going straight on the leftmost lane of 3 lanes 1 way principal arterial and would pass through a gap of belt, a car sped up and made a u-turn from the middle lane.</t>
  </si>
  <si>
    <t xml:space="preserve">https://www.iqiyi.com/v_2docnt7jyw8.html </t>
  </si>
  <si>
    <t>1.OBS How:aggressively?</t>
  </si>
  <si>
    <r>
      <rPr>
        <sz val="10"/>
        <color theme="1"/>
        <rFont val="Arial"/>
        <family val="2"/>
      </rPr>
      <t xml:space="preserve">1.aggressively 范围太广，每个case都可以使用，可以把case中最核心的How写出来，然后第二类可以再来评判是否aggressively？
</t>
    </r>
    <r>
      <rPr>
        <sz val="10"/>
        <color rgb="FF980000"/>
        <rFont val="Arial"/>
        <family val="2"/>
      </rPr>
      <t xml:space="preserve">标在空白处的How是在原有基础上增加一个OBS How；
</t>
    </r>
    <r>
      <rPr>
        <sz val="10"/>
        <color theme="1"/>
        <rFont val="Arial"/>
        <family val="2"/>
      </rPr>
      <t xml:space="preserve">fixed
</t>
    </r>
  </si>
  <si>
    <t>61aecc8d2691f142c6bbb30a</t>
  </si>
  <si>
    <t>Aggressively Cut in on the Highway</t>
  </si>
  <si>
    <r>
      <rPr>
        <sz val="12"/>
        <color theme="1"/>
        <rFont val="Calibri"/>
        <family val="2"/>
      </rPr>
      <t>When EGO was going straight on the leftmost lane of 3 lanes 1 way highway, a truck</t>
    </r>
    <r>
      <rPr>
        <sz val="12"/>
        <color rgb="FFF6B26B"/>
        <rFont val="Calibri"/>
        <family val="2"/>
      </rPr>
      <t xml:space="preserve"> </t>
    </r>
    <r>
      <rPr>
        <sz val="12"/>
        <color theme="1"/>
        <rFont val="Calibri"/>
        <family val="2"/>
      </rPr>
      <t>without left turning signal aggressively cut in from the middle lanes.</t>
    </r>
  </si>
  <si>
    <t xml:space="preserve">https://www.iqiyi.com/v_2bx0gdxkbbo.html </t>
  </si>
  <si>
    <t>6'42</t>
  </si>
  <si>
    <t>61aed8ba2691f142c6bbb543</t>
  </si>
  <si>
    <t>Run Red Traffic and Quickly Pass through the Junction</t>
  </si>
  <si>
    <t>When EGO was passing through the junction from the middle lane of 6 lanes 2 ways principal arterial, a car ran red traffic and quickly passed through the junction.</t>
  </si>
  <si>
    <t>1.场景仿真时间过短
2.OBS how：run red</t>
  </si>
  <si>
    <t>61b825ba722dff5a3a8aa9bc</t>
  </si>
  <si>
    <t>Slowly Overtake When Ego Pull out</t>
  </si>
  <si>
    <r>
      <rPr>
        <sz val="12"/>
        <color rgb="FFF6B26B"/>
        <rFont val="Calibri"/>
        <family val="2"/>
      </rPr>
      <t>When EGO was pulling out from the rightmost lane of 4 lanes 2 ways jam branch</t>
    </r>
    <r>
      <rPr>
        <sz val="12"/>
        <color theme="1"/>
        <rFont val="Calibri"/>
        <family val="2"/>
      </rPr>
      <t xml:space="preserve">, two cars went straight on the leftmost lane and slowly overtook ego.
</t>
    </r>
  </si>
  <si>
    <t>1.pull out 一般都是从道路右边停车区域开到行驶区域还用再次强调吗;jam 要体现拥挤的交通，要保留？</t>
  </si>
  <si>
    <t>61b9d8e62062486b33489fa5</t>
  </si>
  <si>
    <t>Slowly Cut in the Traffic Jam</t>
  </si>
  <si>
    <r>
      <rPr>
        <sz val="12"/>
        <color theme="1"/>
        <rFont val="Calibri"/>
        <family val="2"/>
      </rPr>
      <t>When EGO was going straight on a 6-lane 2-way jam road, a car slowly cut in from the right 2nd</t>
    </r>
    <r>
      <rPr>
        <sz val="12"/>
        <color rgb="FFF6B26B"/>
        <rFont val="Calibri"/>
        <family val="2"/>
      </rPr>
      <t xml:space="preserve"> </t>
    </r>
    <r>
      <rPr>
        <sz val="12"/>
        <color theme="1"/>
        <rFont val="Calibri"/>
        <family val="2"/>
      </rPr>
      <t>lane.</t>
    </r>
  </si>
  <si>
    <t>https://www.iqiyi.com/v_g1ofle6l90.html</t>
  </si>
  <si>
    <t>1.Road Position ：Merge？
2.description：2nd？</t>
  </si>
  <si>
    <r>
      <rPr>
        <sz val="10"/>
        <color theme="1"/>
        <rFont val="Arial"/>
        <family val="2"/>
      </rPr>
      <t>1.在匝道路口前发生的，没到路口，应该是straight；</t>
    </r>
    <r>
      <rPr>
        <sz val="10"/>
        <color rgb="FF980000"/>
        <rFont val="Arial"/>
        <family val="2"/>
      </rPr>
      <t>是直行4车道变3车道，road shape是straight，road position是merge；</t>
    </r>
    <r>
      <rPr>
        <sz val="10"/>
        <color theme="1"/>
        <rFont val="Arial"/>
        <family val="2"/>
      </rPr>
      <t>fixed
2.fixed</t>
    </r>
  </si>
  <si>
    <t>61bc3b9568efc0b7ed0331ff</t>
  </si>
  <si>
    <t>Pass through the Junction Close to Ego</t>
  </si>
  <si>
    <r>
      <rPr>
        <sz val="12"/>
        <color theme="1"/>
        <rFont val="Calibri"/>
        <family val="2"/>
      </rPr>
      <t xml:space="preserve">When EGO was passing through the junctiong from the rightmost lanes of 6 lanes 2 ways principal arterial, </t>
    </r>
    <r>
      <rPr>
        <sz val="12"/>
        <color rgb="FFF6B26B"/>
        <rFont val="Calibri"/>
        <family val="2"/>
      </rPr>
      <t xml:space="preserve">a truck that was too close to ego passed through the junction from the right 2rd lane.
</t>
    </r>
  </si>
  <si>
    <t>1.that was too close to ego定语从句修饰ego</t>
  </si>
  <si>
    <t>61c1a317ecd51546a324ce94</t>
  </si>
  <si>
    <t>Turn Right  and Brake Heavily</t>
  </si>
  <si>
    <t>When EGO was turning right from rightmost lane of 4 lanes 2 ways minor arterial, a car slowed down to avoid the moving car of the left hand and then turned right from the leftmost lane.</t>
  </si>
  <si>
    <t>1.OBS how : 感觉OBS没有压实线？
2.description and title</t>
  </si>
  <si>
    <r>
      <rPr>
        <sz val="10"/>
        <color theme="1"/>
        <rFont val="Arial"/>
        <family val="2"/>
      </rPr>
      <t>1.没有压实线，但是正常情下右转侵入右侧车道是合规？</t>
    </r>
    <r>
      <rPr>
        <sz val="10"/>
        <color rgb="FF980000"/>
        <rFont val="Arial"/>
        <family val="2"/>
      </rPr>
      <t>我确认一下</t>
    </r>
    <r>
      <rPr>
        <sz val="10"/>
        <color theme="1"/>
        <rFont val="Arial"/>
        <family val="2"/>
      </rPr>
      <t xml:space="preserve">
2.fixed</t>
    </r>
  </si>
  <si>
    <t>61ce9bac914dd1f25be5d543</t>
  </si>
  <si>
    <t>Aggressively Cut in and Exit Express Road</t>
  </si>
  <si>
    <t>When EGO was going straight on the rightmost lane of 8 lanes 2 ways express road and would go through an exit, a car aggressively cut in from the right 2nd lane and quickly exited express.</t>
  </si>
  <si>
    <t>Min:7:16</t>
  </si>
  <si>
    <t>1.description：2nd？</t>
  </si>
  <si>
    <t>61d56d9acb66143a80107869</t>
  </si>
  <si>
    <t>Slow Down and Cut In after Crossing the Intersection</t>
  </si>
  <si>
    <t>When EGO was going straight on the leftmost lane of the exit of a principal arterial intersection, the right front car slowed down and cut in aggressively because of front slowly moving cars.</t>
  </si>
  <si>
    <t>Total</t>
  </si>
  <si>
    <t>Done</t>
  </si>
  <si>
    <t>Fixing</t>
  </si>
  <si>
    <t>Reviewing</t>
  </si>
  <si>
    <t>Commited</t>
  </si>
  <si>
    <t>Skip</t>
  </si>
  <si>
    <t>Delete</t>
  </si>
  <si>
    <t>NonStatus</t>
  </si>
  <si>
    <t>None-Straight Or Curve</t>
  </si>
  <si>
    <t>None-Junction</t>
  </si>
  <si>
    <t>.</t>
  </si>
  <si>
    <t>zhiangshen</t>
  </si>
  <si>
    <t>A</t>
  </si>
  <si>
    <t>Junction部分</t>
  </si>
  <si>
    <t>lingyumeng</t>
  </si>
  <si>
    <t>B</t>
  </si>
  <si>
    <t>C</t>
  </si>
  <si>
    <t>Cut In部分</t>
  </si>
  <si>
    <t>D</t>
  </si>
  <si>
    <t>Cut In部分+nudge</t>
  </si>
  <si>
    <t>E</t>
  </si>
  <si>
    <t>Cut In部分+Merge</t>
  </si>
  <si>
    <t>F</t>
  </si>
  <si>
    <t>Crosswalk + Lane Change + Lane Follow + Pull Out + Side Pass + Traffic Light</t>
  </si>
  <si>
    <t>SceID</t>
  </si>
  <si>
    <t>ResultURL</t>
  </si>
  <si>
    <t>https://10.10.30.14:9855/simwork/61ee120cfe60d36de9cfa30b/batchgradings/6243a94db9844b99f2105de6/replay/gradingresults/6243a950b9844b99f2105e88</t>
  </si>
  <si>
    <t>https://10.10.30.14:9855/simwork/61ee120cfe60d36de9cfa30b/batchgradings/6243a94db9844b99f2105de6/replay/gradingresults/6243a950b9844b99f2105e89</t>
  </si>
  <si>
    <t>https://10.10.30.14:9855/simwork/61ee120cfe60d36de9cfa30b/batchgradings/6243a94db9844b99f2105de6/replay/gradingresults/6243a950b9844b99f2105e8a</t>
  </si>
  <si>
    <t>https://10.10.30.14:9855/simwork/61ee120cfe60d36de9cfa30b/batchgradings/6243a94db9844b99f2105de6/replay/gradingresults/6243a951b9844b99f2105e8b</t>
  </si>
  <si>
    <t>https://10.10.30.14:9855/simwork/61ee120cfe60d36de9cfa30b/batchgradings/6243a94db9844b99f2105de6/replay/gradingresults/6243a951b9844b99f2106856</t>
  </si>
  <si>
    <t>https://10.10.30.14:9855/simwork/61ee120cfe60d36de9cfa30b/batchgradings/6243a94db9844b99f2105de6/replay/gradingresults/6243a951b9844b99f2106857</t>
  </si>
  <si>
    <t>https://10.10.30.14:9855/simwork/61ee120cfe60d36de9cfa30b/batchgradings/6243a94db9844b99f2105de6/replay/gradingresults/6243a951b9844b99f2106858</t>
  </si>
  <si>
    <t>https://10.10.30.14:9855/simwork/61ee120cfe60d36de9cfa30b/batchgradings/6243a94db9844b99f2105de6/replay/gradingresults/6243a952b9844b99f2106859</t>
  </si>
  <si>
    <t>https://10.10.30.14:9855/simwork/61ee120cfe60d36de9cfa30b/batchgradings/6243a94db9844b99f2105de6/replay/gradingresults/6243a952b9844b99f2107224</t>
  </si>
  <si>
    <t>https://10.10.30.14:9855/simwork/61ee120cfe60d36de9cfa30b/batchgradings/6243a94db9844b99f2105de6/replay/gradingresults/6243a952b9844b99f2107225</t>
  </si>
  <si>
    <t>https://10.10.30.14:9855/simwork/61ee120cfe60d36de9cfa30b/batchgradings/6243a94db9844b99f2105de6/replay/gradingresults/6243a952b9844b99f2107226</t>
  </si>
  <si>
    <t>https://10.10.30.14:9855/simwork/61ee120cfe60d36de9cfa30b/batchgradings/6243a94db9844b99f2105de6/replay/gradingresults/6243a952b9844b99f2107227</t>
  </si>
  <si>
    <t>https://10.10.30.14:9855/simwork/61ee120cfe60d36de9cfa30b/batchgradings/6243a94db9844b99f2105de6/replay/gradingresults/6243a953b9844b99f2107228</t>
  </si>
  <si>
    <t>https://10.10.30.14:9855/simwork/61ee120cfe60d36de9cfa30b/batchgradings/6243a94db9844b99f2105de6/replay/gradingresults/6243a953b9844b99f2107229</t>
  </si>
  <si>
    <t>https://10.10.30.14:9855/simwork/61ee120cfe60d36de9cfa30b/batchgradings/6243a94db9844b99f2105de6/replay/gradingresults/6243a953b9844b99f210722a</t>
  </si>
  <si>
    <t>https://10.10.30.14:9855/simwork/61ee120cfe60d36de9cfa30b/batchgradings/6243a94db9844b99f2105de6/replay/gradingresults/6243a953b9844b99f210722b</t>
  </si>
  <si>
    <t>https://10.10.30.14:9855/simwork/61ee120cfe60d36de9cfa30b/batchgradings/6243a94db9844b99f2105de6/replay/gradingresults/6243a953b9844b99f210722c</t>
  </si>
  <si>
    <t>https://10.10.30.14:9855/simwork/61ee120cfe60d36de9cfa30b/batchgradings/6243a94db9844b99f2105de6/replay/gradingresults/6243a953b9844b99f210722d</t>
  </si>
  <si>
    <t>https://10.10.30.14:9855/simwork/61ee120cfe60d36de9cfa30b/batchgradings/6243a94db9844b99f2105de6/replay/gradingresults/6243a953b9844b99f210722e</t>
  </si>
  <si>
    <t>https://10.10.30.14:9855/simwork/61ee120cfe60d36de9cfa30b/batchgradings/6243a94db9844b99f2105de6/replay/gradingresults/6243a953b9844b99f210722f</t>
  </si>
  <si>
    <t>https://10.10.30.14:9855/simwork/61ee120cfe60d36de9cfa30b/batchgradings/6243a94db9844b99f2105de6/replay/gradingresults/6243a953b9844b99f2107230</t>
  </si>
  <si>
    <t>https://10.10.30.14:9855/simwork/61ee120cfe60d36de9cfa30b/batchgradings/6243a94db9844b99f2105de6/replay/gradingresults/6243a953b9844b99f2107231</t>
  </si>
  <si>
    <t>https://10.10.30.14:9855/simwork/61ee120cfe60d36de9cfa30b/batchgradings/6243a94db9844b99f2105de6/replay/gradingresults/6243a953b9844b99f2107232</t>
  </si>
  <si>
    <t>https://10.10.30.14:9855/simwork/61ee120cfe60d36de9cfa30b/batchgradings/6243a94db9844b99f2105de6/replay/gradingresults/6243a953b9844b99f2107233</t>
  </si>
  <si>
    <t>https://10.10.30.14:9855/simwork/61ee120cfe60d36de9cfa30b/batchgradings/6243a94db9844b99f2105de6/replay/gradingresults/6243a953b9844b99f2107234</t>
  </si>
  <si>
    <t>https://10.10.30.14:9855/simwork/61ee120cfe60d36de9cfa30b/batchgradings/6243a94db9844b99f2105de6/replay/gradingresults/6243a953b9844b99f2107235</t>
  </si>
  <si>
    <t>https://10.10.30.14:9855/simwork/61ee120cfe60d36de9cfa30b/batchgradings/6243a94db9844b99f2105de6/replay/gradingresults/6243a953b9844b99f2107236</t>
  </si>
  <si>
    <t>https://10.10.30.14:9855/simwork/61ee120cfe60d36de9cfa30b/batchgradings/6243a94db9844b99f2105de6/replay/gradingresults/6243a953b9844b99f2107237</t>
  </si>
  <si>
    <t>https://10.10.30.14:9855/simwork/61ee120cfe60d36de9cfa30b/batchgradings/6243a94db9844b99f2105de6/replay/gradingresults/6243a953b9844b99f2107238</t>
  </si>
  <si>
    <t>https://10.10.30.14:9855/simwork/61ee120cfe60d36de9cfa30b/batchgradings/6243a94db9844b99f2105de6/replay/gradingresults/6243a953b9844b99f2107239</t>
  </si>
  <si>
    <t>https://10.10.30.14:9855/simwork/61ee120cfe60d36de9cfa30b/batchgradings/6243a94db9844b99f2105de6/replay/gradingresults/6243a953b9844b99f210723a</t>
  </si>
  <si>
    <t>https://10.10.30.14:9855/simwork/61ee120cfe60d36de9cfa30b/batchgradings/6243a94db9844b99f2105de6/replay/gradingresults/6243a953b9844b99f210723b</t>
  </si>
  <si>
    <t>https://10.10.30.14:9855/simwork/61ee120cfe60d36de9cfa30b/batchgradings/6243a94db9844b99f2105de6/replay/gradingresults/6243a953b9844b99f210723c</t>
  </si>
  <si>
    <t>https://10.10.30.14:9855/simwork/61ee120cfe60d36de9cfa30b/batchgradings/6243a94db9844b99f2105de6/replay/gradingresults/6243a953b9844b99f210723d</t>
  </si>
  <si>
    <t>https://10.10.30.14:9855/simwork/61ee120cfe60d36de9cfa30b/batchgradings/6243a94db9844b99f2105de6/replay/gradingresults/6243a953b9844b99f210723e</t>
  </si>
  <si>
    <t>https://10.10.30.14:9855/simwork/61ee120cfe60d36de9cfa30b/batchgradings/6243a94db9844b99f2105de6/replay/gradingresults/6243a954b9844b99f210723f</t>
  </si>
  <si>
    <t>https://10.10.30.14:9855/simwork/61ee120cfe60d36de9cfa30b/batchgradings/6243a94db9844b99f2105de6/replay/gradingresults/6243a954b9844b99f2107240</t>
  </si>
  <si>
    <t>https://10.10.30.14:9855/simwork/61ee120cfe60d36de9cfa30b/batchgradings/6243a94db9844b99f2105de6/replay/gradingresults/6243a954b9844b99f2107241</t>
  </si>
  <si>
    <t>https://10.10.30.14:9855/simwork/61ee120cfe60d36de9cfa30b/batchgradings/6243a94db9844b99f2105de6/replay/gradingresults/6243a954b9844b99f2107242</t>
  </si>
  <si>
    <t>https://10.10.30.14:9855/simwork/61ee120cfe60d36de9cfa30b/batchgradings/6243a94db9844b99f2105de6/replay/gradingresults/6243a954b9844b99f2107243</t>
  </si>
  <si>
    <t>https://10.10.30.14:9855/simwork/61ee120cfe60d36de9cfa30b/batchgradings/6243a94db9844b99f2105de6/replay/gradingresults/6243a954b9844b99f2107244</t>
  </si>
  <si>
    <t>https://10.10.30.14:9855/simwork/61ee120cfe60d36de9cfa30b/batchgradings/6243a94db9844b99f2105de6/replay/gradingresults/6243a954b9844b99f2107245</t>
  </si>
  <si>
    <t>https://10.10.30.14:9855/simwork/61ee120cfe60d36de9cfa30b/batchgradings/6243a94db9844b99f2105de6/replay/gradingresults/6243a954b9844b99f2107246</t>
  </si>
  <si>
    <t>https://10.10.30.14:9855/simwork/61ee120cfe60d36de9cfa30b/batchgradings/6243a94db9844b99f2105de6/replay/gradingresults/6243a954b9844b99f2107247</t>
  </si>
  <si>
    <t>https://10.10.30.14:9855/simwork/61ee120cfe60d36de9cfa30b/batchgradings/6243a94db9844b99f2105de6/replay/gradingresults/6243a954b9844b99f2107248</t>
  </si>
  <si>
    <t>https://10.10.30.14:9855/simwork/61ee120cfe60d36de9cfa30b/batchgradings/6243a94db9844b99f2105de6/replay/gradingresults/6243a954b9844b99f2107249</t>
  </si>
  <si>
    <t>https://10.10.30.14:9855/simwork/61ee120cfe60d36de9cfa30b/batchgradings/6243a94db9844b99f2105de6/replay/gradingresults/6243a954b9844b99f210724a</t>
  </si>
  <si>
    <t>https://10.10.30.14:9855/simwork/61ee120cfe60d36de9cfa30b/batchgradings/6243a94db9844b99f2105de6/replay/gradingresults/6243a954b9844b99f210724b</t>
  </si>
  <si>
    <t>https://10.10.30.14:9855/simwork/61ee120cfe60d36de9cfa30b/batchgradings/6243a94db9844b99f2105de6/replay/gradingresults/6243a954b9844b99f210724c</t>
  </si>
  <si>
    <t>https://10.10.30.14:9855/simwork/61ee120cfe60d36de9cfa30b/batchgradings/6243a94db9844b99f2105de6/replay/gradingresults/6243a954b9844b99f210724d</t>
  </si>
  <si>
    <t>https://10.10.30.14:9855/simwork/61ee120cfe60d36de9cfa30b/batchgradings/6243a94db9844b99f2105de6/replay/gradingresults/6243a955b9844b99f210724e</t>
  </si>
  <si>
    <t>https://10.10.30.14:9855/simwork/61ee120cfe60d36de9cfa30b/batchgradings/6243a94db9844b99f2105de6/replay/gradingresults/6243a955b9844b99f210724f</t>
  </si>
  <si>
    <t>https://10.10.30.14:9855/simwork/61ee120cfe60d36de9cfa30b/batchgradings/6243a94db9844b99f2105de6/replay/gradingresults/6243a955b9844b99f2107250</t>
  </si>
  <si>
    <t>https://10.10.30.14:9855/simwork/61ee120cfe60d36de9cfa30b/batchgradings/6243a94db9844b99f2105de6/replay/gradingresults/6243a955b9844b99f2107251</t>
  </si>
  <si>
    <t>https://10.10.30.14:9855/simwork/61ee120cfe60d36de9cfa30b/batchgradings/6243a94db9844b99f2105de6/replay/gradingresults/6243a955b9844b99f2107252</t>
  </si>
  <si>
    <t>https://10.10.30.14:9855/simwork/61ee120cfe60d36de9cfa30b/batchgradings/6243a94db9844b99f2105de6/replay/gradingresults/6243a955b9844b99f2107253</t>
  </si>
  <si>
    <t>https://10.10.30.14:9855/simwork/61ee120cfe60d36de9cfa30b/batchgradings/6243a94db9844b99f2105de6/replay/gradingresults/6243a955b9844b99f2107254</t>
  </si>
  <si>
    <t>https://10.10.30.14:9855/simwork/61ee120cfe60d36de9cfa30b/batchgradings/6243a94db9844b99f2105de6/replay/gradingresults/6243a955b9844b99f2107255</t>
  </si>
  <si>
    <t>https://10.10.30.14:9855/simwork/61ee120cfe60d36de9cfa30b/batchgradings/6243a94db9844b99f2105de6/replay/gradingresults/6243a955b9844b99f2107256</t>
  </si>
  <si>
    <t>https://10.10.30.14:9855/simwork/61ee120cfe60d36de9cfa30b/batchgradings/6243a94db9844b99f2105de6/replay/gradingresults/6243a955b9844b99f2107257</t>
  </si>
  <si>
    <t>https://10.10.30.14:9855/simwork/61ee120cfe60d36de9cfa30b/batchgradings/6243a94db9844b99f2105de6/replay/gradingresults/6243a955b9844b99f2107258</t>
  </si>
  <si>
    <t>https://10.10.30.14:9855/simwork/61ee120cfe60d36de9cfa30b/batchgradings/6243a94db9844b99f2105de6/replay/gradingresults/6243a955b9844b99f2107259</t>
  </si>
  <si>
    <t>https://10.10.30.14:9855/simwork/61ee120cfe60d36de9cfa30b/batchgradings/6243a94db9844b99f2105de6/replay/gradingresults/6243a955b9844b99f210725a</t>
  </si>
  <si>
    <t>https://10.10.30.14:9855/simwork/61ee120cfe60d36de9cfa30b/batchgradings/6243a94db9844b99f2105de6/replay/gradingresults/6243a955b9844b99f210725b</t>
  </si>
  <si>
    <t>https://10.10.30.14:9855/simwork/61ee120cfe60d36de9cfa30b/batchgradings/6243a94db9844b99f2105de6/replay/gradingresults/6243a955b9844b99f210725c</t>
  </si>
  <si>
    <t>https://10.10.30.14:9855/simwork/61ee120cfe60d36de9cfa30b/batchgradings/6243a94db9844b99f2105de6/replay/gradingresults/6243a955b9844b99f210725d</t>
  </si>
  <si>
    <t>60e27fe981401953ad0aa079</t>
  </si>
  <si>
    <t>https://10.10.30.14:9855/simwork/61ee120cfe60d36de9cfa30b/batchgradings/6243a94db9844b99f2105de6/replay/gradingresults/6243a955b9844b99f210725e</t>
  </si>
  <si>
    <t>https://10.10.30.14:9855/simwork/61ee120cfe60d36de9cfa30b/batchgradings/6243a94db9844b99f2105de6/replay/gradingresults/6243a955b9844b99f210725f</t>
  </si>
  <si>
    <t>https://10.10.30.14:9855/simwork/61ee120cfe60d36de9cfa30b/batchgradings/6243a94db9844b99f2105de6/replay/gradingresults/6243a955b9844b99f2107260</t>
  </si>
  <si>
    <t>https://10.10.30.14:9855/simwork/61ee120cfe60d36de9cfa30b/batchgradings/6243a94db9844b99f2105de6/replay/gradingresults/6243a955b9844b99f2107261</t>
  </si>
  <si>
    <t>https://10.10.30.14:9855/simwork/61ee120cfe60d36de9cfa30b/batchgradings/6243a94db9844b99f2105de6/replay/gradingresults/6243a955b9844b99f2107262</t>
  </si>
  <si>
    <t>https://10.10.30.14:9855/simwork/61ee120cfe60d36de9cfa30b/batchgradings/6243a94db9844b99f2105de6/replay/gradingresults/6243a955b9844b99f2107263</t>
  </si>
  <si>
    <t>https://10.10.30.14:9855/simwork/61ee120cfe60d36de9cfa30b/batchgradings/6243a94db9844b99f2105de6/replay/gradingresults/6243a955b9844b99f2107264</t>
  </si>
  <si>
    <t>https://10.10.30.14:9855/simwork/61ee120cfe60d36de9cfa30b/batchgradings/6243a94db9844b99f2105de6/replay/gradingresults/6243a955b9844b99f2107265</t>
  </si>
  <si>
    <t>https://10.10.30.14:9855/simwork/61ee120cfe60d36de9cfa30b/batchgradings/6243a94db9844b99f2105de6/replay/gradingresults/6243a955b9844b99f2107266</t>
  </si>
  <si>
    <t>https://10.10.30.14:9855/simwork/61ee120cfe60d36de9cfa30b/batchgradings/6243a94db9844b99f2105de6/replay/gradingresults/6243a955b9844b99f2107267</t>
  </si>
  <si>
    <t>https://10.10.30.14:9855/simwork/61ee120cfe60d36de9cfa30b/batchgradings/6243a94db9844b99f2105de6/replay/gradingresults/6243a955b9844b99f2107268</t>
  </si>
  <si>
    <t>https://10.10.30.14:9855/simwork/61ee120cfe60d36de9cfa30b/batchgradings/6243a94db9844b99f2105de6/replay/gradingresults/6243a955b9844b99f2107269</t>
  </si>
  <si>
    <t>https://10.10.30.14:9855/simwork/61ee120cfe60d36de9cfa30b/batchgradings/6243a94db9844b99f2105de6/replay/gradingresults/6243a955b9844b99f210726a</t>
  </si>
  <si>
    <t>https://10.10.30.14:9855/simwork/61ee120cfe60d36de9cfa30b/batchgradings/6243a94db9844b99f2105de6/replay/gradingresults/6243a955b9844b99f210726b</t>
  </si>
  <si>
    <t>https://10.10.30.14:9855/simwork/61ee120cfe60d36de9cfa30b/batchgradings/6243a94db9844b99f2105de6/replay/gradingresults/6243a955b9844b99f210726c</t>
  </si>
  <si>
    <t>https://10.10.30.14:9855/simwork/61ee120cfe60d36de9cfa30b/batchgradings/6243a94db9844b99f2105de6/replay/gradingresults/6243a955b9844b99f210726d</t>
  </si>
  <si>
    <t>https://10.10.30.14:9855/simwork/61ee120cfe60d36de9cfa30b/batchgradings/6243a94db9844b99f2105de6/replay/gradingresults/6243a955b9844b99f210726e</t>
  </si>
  <si>
    <t>https://10.10.30.14:9855/simwork/61ee120cfe60d36de9cfa30b/batchgradings/6243a94db9844b99f2105de6/replay/gradingresults/6243a956b9844b99f210726f</t>
  </si>
  <si>
    <t>https://10.10.30.14:9855/simwork/61ee120cfe60d36de9cfa30b/batchgradings/6243a94db9844b99f2105de6/replay/gradingresults/6243a956b9844b99f2107270</t>
  </si>
  <si>
    <t>https://10.10.30.14:9855/simwork/61ee120cfe60d36de9cfa30b/batchgradings/6243a94db9844b99f2105de6/replay/gradingresults/6243a956b9844b99f2107271</t>
  </si>
  <si>
    <t>https://10.10.30.14:9855/simwork/61ee120cfe60d36de9cfa30b/batchgradings/6243a94db9844b99f2105de6/replay/gradingresults/6243a956b9844b99f2107272</t>
  </si>
  <si>
    <t>https://10.10.30.14:9855/simwork/61ee120cfe60d36de9cfa30b/batchgradings/6243a94db9844b99f2105de6/replay/gradingresults/6243a956b9844b99f2107273</t>
  </si>
  <si>
    <t>https://10.10.30.14:9855/simwork/61ee120cfe60d36de9cfa30b/batchgradings/6243a94db9844b99f2105de6/replay/gradingresults/6243a956b9844b99f2107274</t>
  </si>
  <si>
    <t>https://10.10.30.14:9855/simwork/61ee120cfe60d36de9cfa30b/batchgradings/6243a94db9844b99f2105de6/replay/gradingresults/6243a956b9844b99f2107275</t>
  </si>
  <si>
    <t>https://10.10.30.14:9855/simwork/61ee120cfe60d36de9cfa30b/batchgradings/6243a94db9844b99f2105de6/replay/gradingresults/6243a956b9844b99f2107276</t>
  </si>
  <si>
    <t>https://10.10.30.14:9855/simwork/61ee120cfe60d36de9cfa30b/batchgradings/6243a94db9844b99f2105de6/replay/gradingresults/6243a956b9844b99f2107277</t>
  </si>
  <si>
    <t>https://10.10.30.14:9855/simwork/61ee120cfe60d36de9cfa30b/batchgradings/6243a94db9844b99f2105de6/replay/gradingresults/6243a956b9844b99f2107278</t>
  </si>
  <si>
    <t>https://10.10.30.14:9855/simwork/61ee120cfe60d36de9cfa30b/batchgradings/6243a94db9844b99f2105de6/replay/gradingresults/6243a956b9844b99f2107279</t>
  </si>
  <si>
    <t>https://10.10.30.14:9855/simwork/61ee120cfe60d36de9cfa30b/batchgradings/6243a94db9844b99f2105de6/replay/gradingresults/6243a956b9844b99f210727a</t>
  </si>
  <si>
    <t>https://10.10.30.14:9855/simwork/61ee120cfe60d36de9cfa30b/batchgradings/6243a94db9844b99f2105de6/replay/gradingresults/6243a956b9844b99f210727b</t>
  </si>
  <si>
    <t>https://10.10.30.14:9855/simwork/61ee120cfe60d36de9cfa30b/batchgradings/6243a94db9844b99f2105de6/replay/gradingresults/6243a956b9844b99f210727c</t>
  </si>
  <si>
    <t>https://10.10.30.14:9855/simwork/61ee120cfe60d36de9cfa30b/batchgradings/6243a94db9844b99f2105de6/replay/gradingresults/6243a956b9844b99f210727d</t>
  </si>
  <si>
    <t>https://10.10.30.14:9855/simwork/61ee120cfe60d36de9cfa30b/batchgradings/6243a94db9844b99f2105de6/replay/gradingresults/6243a956b9844b99f210727e</t>
  </si>
  <si>
    <t>https://10.10.30.14:9855/simwork/61ee120cfe60d36de9cfa30b/batchgradings/6243a94db9844b99f2105de6/replay/gradingresults/6243a956b9844b99f210727f</t>
  </si>
  <si>
    <t>https://10.10.30.14:9855/simwork/61ee120cfe60d36de9cfa30b/batchgradings/6243a94db9844b99f2105de6/replay/gradingresults/6243a956b9844b99f2107280</t>
  </si>
  <si>
    <t>https://10.10.30.14:9855/simwork/61ee120cfe60d36de9cfa30b/batchgradings/6243a94db9844b99f2105de6/replay/gradingresults/6243a956b9844b99f2107281</t>
  </si>
  <si>
    <t>https://10.10.30.14:9855/simwork/61ee120cfe60d36de9cfa30b/batchgradings/6243a94db9844b99f2105de6/replay/gradingresults/6243a956b9844b99f2107282</t>
  </si>
  <si>
    <t>https://10.10.30.14:9855/simwork/61ee120cfe60d36de9cfa30b/batchgradings/6243a94db9844b99f2105de6/replay/gradingresults/6243a956b9844b99f2107283</t>
  </si>
  <si>
    <t>https://10.10.30.14:9855/simwork/61ee120cfe60d36de9cfa30b/batchgradings/6243a94db9844b99f2105de6/replay/gradingresults/6243a956b9844b99f2107284</t>
  </si>
  <si>
    <t>https://10.10.30.14:9855/simwork/61ee120cfe60d36de9cfa30b/batchgradings/6243a94db9844b99f2105de6/replay/gradingresults/6243a956b9844b99f2107285</t>
  </si>
  <si>
    <t>https://10.10.30.14:9855/simwork/61ee120cfe60d36de9cfa30b/batchgradings/6243a94db9844b99f2105de6/replay/gradingresults/6243a956b9844b99f2107286</t>
  </si>
  <si>
    <t>https://10.10.30.14:9855/simwork/61ee120cfe60d36de9cfa30b/batchgradings/6243a94db9844b99f2105de6/replay/gradingresults/6243a956b9844b99f2107287</t>
  </si>
  <si>
    <t>https://10.10.30.14:9855/simwork/61ee120cfe60d36de9cfa30b/batchgradings/6243a94db9844b99f2105de6/replay/gradingresults/6243a956b9844b99f2107288</t>
  </si>
  <si>
    <t>https://10.10.30.14:9855/simwork/61ee120cfe60d36de9cfa30b/batchgradings/6243a94db9844b99f2105de6/replay/gradingresults/6243a956b9844b99f2107289</t>
  </si>
  <si>
    <t>https://10.10.30.14:9855/simwork/61ee120cfe60d36de9cfa30b/batchgradings/6243a94db9844b99f2105de6/replay/gradingresults/6243a957b9844b99f210728a</t>
  </si>
  <si>
    <t>https://10.10.30.14:9855/simwork/61ee120cfe60d36de9cfa30b/batchgradings/6243a94db9844b99f2105de6/replay/gradingresults/6243a957b9844b99f210728b</t>
  </si>
  <si>
    <t>https://10.10.30.14:9855/simwork/61ee120cfe60d36de9cfa30b/batchgradings/6243a94db9844b99f2105de6/replay/gradingresults/6243a957b9844b99f210728c</t>
  </si>
  <si>
    <t>https://10.10.30.14:9855/simwork/61ee120cfe60d36de9cfa30b/batchgradings/6243a94db9844b99f2105de6/replay/gradingresults/6243a957b9844b99f210728d</t>
  </si>
  <si>
    <t>https://10.10.30.14:9855/simwork/61ee120cfe60d36de9cfa30b/batchgradings/6243a94db9844b99f2105de6/replay/gradingresults/6243a957b9844b99f210728e</t>
  </si>
  <si>
    <t>https://10.10.30.14:9855/simwork/61ee120cfe60d36de9cfa30b/batchgradings/6243a94db9844b99f2105de6/replay/gradingresults/6243a957b9844b99f210728f</t>
  </si>
  <si>
    <t>https://10.10.30.14:9855/simwork/61ee120cfe60d36de9cfa30b/batchgradings/6243a94db9844b99f2105de6/replay/gradingresults/6243a957b9844b99f2107290</t>
  </si>
  <si>
    <t>https://10.10.30.14:9855/simwork/61ee120cfe60d36de9cfa30b/batchgradings/6243a94db9844b99f2105de6/replay/gradingresults/6243a957b9844b99f2107291</t>
  </si>
  <si>
    <t>https://10.10.30.14:9855/simwork/61ee120cfe60d36de9cfa30b/batchgradings/6243a94db9844b99f2105de6/replay/gradingresults/6243a957b9844b99f2107292</t>
  </si>
  <si>
    <t>https://10.10.30.14:9855/simwork/61ee120cfe60d36de9cfa30b/batchgradings/6243a94db9844b99f2105de6/replay/gradingresults/6243a957b9844b99f2107293</t>
  </si>
  <si>
    <t>https://10.10.30.14:9855/simwork/61ee120cfe60d36de9cfa30b/batchgradings/6243a94db9844b99f2105de6/replay/gradingresults/6243a957b9844b99f2107294</t>
  </si>
  <si>
    <t>https://10.10.30.14:9855/simwork/61ee120cfe60d36de9cfa30b/batchgradings/6243a94db9844b99f2105de6/replay/gradingresults/6243a957b9844b99f2107295</t>
  </si>
  <si>
    <t>https://10.10.30.14:9855/simwork/61ee120cfe60d36de9cfa30b/batchgradings/6243a94db9844b99f2105de6/replay/gradingresults/6243a957b9844b99f2107296</t>
  </si>
  <si>
    <t>https://10.10.30.14:9855/simwork/61ee120cfe60d36de9cfa30b/batchgradings/6243a94db9844b99f2105de6/replay/gradingresults/6243a957b9844b99f2107297</t>
  </si>
  <si>
    <t>https://10.10.30.14:9855/simwork/61ee120cfe60d36de9cfa30b/batchgradings/6243a94db9844b99f2105de6/replay/gradingresults/6243a957b9844b99f2107298</t>
  </si>
  <si>
    <t>https://10.10.30.14:9855/simwork/61ee120cfe60d36de9cfa30b/batchgradings/6243a94db9844b99f2105de6/replay/gradingresults/6243a957b9844b99f2107299</t>
  </si>
  <si>
    <t>https://10.10.30.14:9855/simwork/61ee120cfe60d36de9cfa30b/batchgradings/6243a94db9844b99f2105de6/replay/gradingresults/6243a957b9844b99f210729a</t>
  </si>
  <si>
    <t>https://10.10.30.14:9855/simwork/61ee120cfe60d36de9cfa30b/batchgradings/6243a94db9844b99f2105de6/replay/gradingresults/6243a958b9844b99f210729b</t>
  </si>
  <si>
    <t>https://10.10.30.14:9855/simwork/61ee120cfe60d36de9cfa30b/batchgradings/6243a94db9844b99f2105de6/replay/gradingresults/6243a958b9844b99f210729c</t>
  </si>
  <si>
    <t>https://10.10.30.14:9855/simwork/61ee120cfe60d36de9cfa30b/batchgradings/6243a94db9844b99f2105de6/replay/gradingresults/6243a958b9844b99f210729d</t>
  </si>
  <si>
    <t>https://10.10.30.14:9855/simwork/61ee120cfe60d36de9cfa30b/batchgradings/6243a94db9844b99f2105de6/replay/gradingresults/6243a958b9844b99f210729e</t>
  </si>
  <si>
    <t>https://10.10.30.14:9855/simwork/61ee120cfe60d36de9cfa30b/batchgradings/6243a94db9844b99f2105de6/replay/gradingresults/6243a958b9844b99f210729f</t>
  </si>
  <si>
    <t>https://10.10.30.14:9855/simwork/61ee120cfe60d36de9cfa30b/batchgradings/6243a94db9844b99f2105de6/replay/gradingresults/6243a958b9844b99f21072a0</t>
  </si>
  <si>
    <t>https://10.10.30.14:9855/simwork/61ee120cfe60d36de9cfa30b/batchgradings/6243a94db9844b99f2105de6/replay/gradingresults/6243a958b9844b99f21072a1</t>
  </si>
  <si>
    <t>https://10.10.30.14:9855/simwork/61ee120cfe60d36de9cfa30b/batchgradings/6243a94db9844b99f2105de6/replay/gradingresults/6243a958b9844b99f21072a2</t>
  </si>
  <si>
    <t>https://10.10.30.14:9855/simwork/61ee120cfe60d36de9cfa30b/batchgradings/6243a94db9844b99f2105de6/replay/gradingresults/6243a958b9844b99f21072a3</t>
  </si>
  <si>
    <t>https://10.10.30.14:9855/simwork/61ee120cfe60d36de9cfa30b/batchgradings/6243a94db9844b99f2105de6/replay/gradingresults/6243a958b9844b99f21072a4</t>
  </si>
  <si>
    <t>https://10.10.30.14:9855/simwork/61ee120cfe60d36de9cfa30b/batchgradings/6243a94db9844b99f2105de6/replay/gradingresults/6243a958b9844b99f21072a5</t>
  </si>
  <si>
    <t>https://10.10.30.14:9855/simwork/61ee120cfe60d36de9cfa30b/batchgradings/6243a94db9844b99f2105de6/replay/gradingresults/6243a958b9844b99f21072a6</t>
  </si>
  <si>
    <t>https://10.10.30.14:9855/simwork/61ee120cfe60d36de9cfa30b/batchgradings/6243a94db9844b99f2105de6/replay/gradingresults/6243a958b9844b99f21072a7</t>
  </si>
  <si>
    <t>https://10.10.30.14:9855/simwork/61ee120cfe60d36de9cfa30b/batchgradings/6243a94db9844b99f2105de6/replay/gradingresults/6243a958b9844b99f21072a8</t>
  </si>
  <si>
    <t>https://10.10.30.14:9855/simwork/61ee120cfe60d36de9cfa30b/batchgradings/6243a94db9844b99f2105de6/replay/gradingresults/6243a958b9844b99f21072a9</t>
  </si>
  <si>
    <t>https://10.10.30.14:9855/simwork/61ee120cfe60d36de9cfa30b/batchgradings/6243a94db9844b99f2105de6/replay/gradingresults/6243a958b9844b99f21072aa</t>
  </si>
  <si>
    <t>https://10.10.30.14:9855/simwork/61ee120cfe60d36de9cfa30b/batchgradings/6243a94db9844b99f2105de6/replay/gradingresults/6243a958b9844b99f21072ab</t>
  </si>
  <si>
    <t>https://10.10.30.14:9855/simwork/61ee120cfe60d36de9cfa30b/batchgradings/6243a94db9844b99f2105de6/replay/gradingresults/6243a958b9844b99f21072ac</t>
  </si>
  <si>
    <t>https://10.10.30.14:9855/simwork/61ee120cfe60d36de9cfa30b/batchgradings/6243a94db9844b99f2105de6/replay/gradingresults/6243a958b9844b99f21072ad</t>
  </si>
  <si>
    <t>https://10.10.30.14:9855/simwork/61ee120cfe60d36de9cfa30b/batchgradings/6243a94db9844b99f2105de6/replay/gradingresults/6243a958b9844b99f21072ae</t>
  </si>
  <si>
    <t>https://10.10.30.14:9855/simwork/61ee120cfe60d36de9cfa30b/batchgradings/6243a94db9844b99f2105de6/replay/gradingresults/6243a958b9844b99f21072af</t>
  </si>
  <si>
    <t>https://10.10.30.14:9855/simwork/61ee120cfe60d36de9cfa30b/batchgradings/6243a94db9844b99f2105de6/replay/gradingresults/6243a958b9844b99f21072b0</t>
  </si>
  <si>
    <t>https://10.10.30.14:9855/simwork/61ee120cfe60d36de9cfa30b/batchgradings/6243a94db9844b99f2105de6/replay/gradingresults/6243a958b9844b99f21072b1</t>
  </si>
  <si>
    <t>https://10.10.30.14:9855/simwork/61ee120cfe60d36de9cfa30b/batchgradings/6243a94db9844b99f2105de6/replay/gradingresults/6243a958b9844b99f21072b2</t>
  </si>
  <si>
    <t>https://10.10.30.14:9855/simwork/61ee120cfe60d36de9cfa30b/batchgradings/6243a94db9844b99f2105de6/replay/gradingresults/6243a958b9844b99f21072b3</t>
  </si>
  <si>
    <t>https://10.10.30.14:9855/simwork/61ee120cfe60d36de9cfa30b/batchgradings/6243a94db9844b99f2105de6/replay/gradingresults/6243a958b9844b99f21072b4</t>
  </si>
  <si>
    <t>https://10.10.30.14:9855/simwork/61ee120cfe60d36de9cfa30b/batchgradings/6243a94db9844b99f2105de6/replay/gradingresults/6243a958b9844b99f21072b5</t>
  </si>
  <si>
    <t>https://10.10.30.14:9855/simwork/61ee120cfe60d36de9cfa30b/batchgradings/6243a94db9844b99f2105de6/replay/gradingresults/6243a958b9844b99f21072b6</t>
  </si>
  <si>
    <t>https://10.10.30.14:9855/simwork/61ee120cfe60d36de9cfa30b/batchgradings/6243a94db9844b99f2105de6/replay/gradingresults/6243a958b9844b99f21072b7</t>
  </si>
  <si>
    <t>https://10.10.30.14:9855/simwork/61ee120cfe60d36de9cfa30b/batchgradings/6243a94db9844b99f2105de6/replay/gradingresults/6243a958b9844b99f21072b8</t>
  </si>
  <si>
    <t>https://10.10.30.14:9855/simwork/61ee120cfe60d36de9cfa30b/batchgradings/6243a94db9844b99f2105de6/replay/gradingresults/6243a958b9844b99f21072b9</t>
  </si>
  <si>
    <t>https://10.10.30.14:9855/simwork/61ee120cfe60d36de9cfa30b/batchgradings/6243a94db9844b99f2105de6/replay/gradingresults/6243a958b9844b99f21072ba</t>
  </si>
  <si>
    <t>https://10.10.30.14:9855/simwork/61ee120cfe60d36de9cfa30b/batchgradings/6243a94db9844b99f2105de6/replay/gradingresults/6243a958b9844b99f21072bb</t>
  </si>
  <si>
    <t>https://10.10.30.14:9855/simwork/61ee120cfe60d36de9cfa30b/batchgradings/6243a94db9844b99f2105de6/replay/gradingresults/6243a958b9844b99f21072bc</t>
  </si>
  <si>
    <t>https://10.10.30.14:9855/simwork/61ee120cfe60d36de9cfa30b/batchgradings/6243a94db9844b99f2105de6/replay/gradingresults/6243a958b9844b99f21072bd</t>
  </si>
  <si>
    <t>https://10.10.30.14:9855/simwork/61ee120cfe60d36de9cfa30b/batchgradings/6243a94db9844b99f2105de6/replay/gradingresults/6243a958b9844b99f21072be</t>
  </si>
  <si>
    <t>https://10.10.30.14:9855/simwork/61ee120cfe60d36de9cfa30b/batchgradings/6243a94db9844b99f2105de6/replay/gradingresults/6243a958b9844b99f21072bf</t>
  </si>
  <si>
    <t>https://10.10.30.14:9855/simwork/61ee120cfe60d36de9cfa30b/batchgradings/6243a94db9844b99f2105de6/replay/gradingresults/6243a958b9844b99f21072c0</t>
  </si>
  <si>
    <t>https://10.10.30.14:9855/simwork/61ee120cfe60d36de9cfa30b/batchgradings/6243a94db9844b99f2105de6/replay/gradingresults/6243a959b9844b99f21072c1</t>
  </si>
  <si>
    <t>https://10.10.30.14:9855/simwork/61ee120cfe60d36de9cfa30b/batchgradings/6243a94db9844b99f2105de6/replay/gradingresults/6243a959b9844b99f21072c2</t>
  </si>
  <si>
    <t>https://10.10.30.14:9855/simwork/61ee120cfe60d36de9cfa30b/batchgradings/6243a94db9844b99f2105de6/replay/gradingresults/6243a959b9844b99f21072c3</t>
  </si>
  <si>
    <t>https://10.10.30.14:9855/simwork/61ee120cfe60d36de9cfa30b/batchgradings/6243a94db9844b99f2105de6/replay/gradingresults/6243a959b9844b99f21072c4</t>
  </si>
  <si>
    <t>https://10.10.30.14:9855/simwork/61ee120cfe60d36de9cfa30b/batchgradings/6243a94db9844b99f2105de6/replay/gradingresults/6243a959b9844b99f21072c5</t>
  </si>
  <si>
    <t>https://10.10.30.14:9855/simwork/61ee120cfe60d36de9cfa30b/batchgradings/6243a94db9844b99f2105de6/replay/gradingresults/6243a959b9844b99f21072c6</t>
  </si>
  <si>
    <t>https://10.10.30.14:9855/simwork/61ee120cfe60d36de9cfa30b/batchgradings/6243a94db9844b99f2105de6/replay/gradingresults/6243a959b9844b99f21072c7</t>
  </si>
  <si>
    <t>https://10.10.30.14:9855/simwork/61ee120cfe60d36de9cfa30b/batchgradings/6243a94db9844b99f2105de6/replay/gradingresults/6243a959b9844b99f21072c8</t>
  </si>
  <si>
    <t>https://10.10.30.14:9855/simwork/61ee120cfe60d36de9cfa30b/batchgradings/6243a94db9844b99f2105de6/replay/gradingresults/6243a959b9844b99f21072c9</t>
  </si>
  <si>
    <t>https://10.10.30.14:9855/simwork/61ee120cfe60d36de9cfa30b/batchgradings/6243a94db9844b99f2105de6/replay/gradingresults/6243a959b9844b99f21072ca</t>
  </si>
  <si>
    <t>https://10.10.30.14:9855/simwork/61ee120cfe60d36de9cfa30b/batchgradings/6243a94db9844b99f2105de6/replay/gradingresults/6243a959b9844b99f21072cb</t>
  </si>
  <si>
    <t>https://10.10.30.14:9855/simwork/61ee120cfe60d36de9cfa30b/batchgradings/6243a94db9844b99f2105de6/replay/gradingresults/6243a959b9844b99f21072cc</t>
  </si>
  <si>
    <t>https://10.10.30.14:9855/simwork/61ee120cfe60d36de9cfa30b/batchgradings/6243a94db9844b99f2105de6/replay/gradingresults/6243a959b9844b99f21072cd</t>
  </si>
  <si>
    <t>https://10.10.30.14:9855/simwork/61ee120cfe60d36de9cfa30b/batchgradings/6243a94db9844b99f2105de6/replay/gradingresults/6243a959b9844b99f21072ce</t>
  </si>
  <si>
    <t>https://10.10.30.14:9855/simwork/61ee120cfe60d36de9cfa30b/batchgradings/6243a94db9844b99f2105de6/replay/gradingresults/6243a959b9844b99f21072cf</t>
  </si>
  <si>
    <t>https://10.10.30.14:9855/simwork/61ee120cfe60d36de9cfa30b/batchgradings/6243a94db9844b99f2105de6/replay/gradingresults/6243a959b9844b99f21072d0</t>
  </si>
  <si>
    <t>https://10.10.30.14:9855/simwork/61ee120cfe60d36de9cfa30b/batchgradings/6243a94db9844b99f2105de6/replay/gradingresults/6243a959b9844b99f21072d1</t>
  </si>
  <si>
    <t>https://10.10.30.14:9855/simwork/61ee120cfe60d36de9cfa30b/batchgradings/6243a94db9844b99f2105de6/replay/gradingresults/6243a959b9844b99f21072d2</t>
  </si>
  <si>
    <t>https://10.10.30.14:9855/simwork/61ee120cfe60d36de9cfa30b/batchgradings/6243a94db9844b99f2105de6/replay/gradingresults/6243a959b9844b99f21072d3</t>
  </si>
  <si>
    <t>https://10.10.30.14:9855/simwork/61ee120cfe60d36de9cfa30b/batchgradings/6243a94db9844b99f2105de6/replay/gradingresults/6243a959b9844b99f21072d4</t>
  </si>
  <si>
    <t>https://10.10.30.14:9855/simwork/61ee120cfe60d36de9cfa30b/batchgradings/6243a94db9844b99f2105de6/replay/gradingresults/6243a959b9844b99f21072d5</t>
  </si>
  <si>
    <t>https://10.10.30.14:9855/simwork/61ee120cfe60d36de9cfa30b/batchgradings/6243a94db9844b99f2105de6/replay/gradingresults/6243a959b9844b99f21072d6</t>
  </si>
  <si>
    <t>https://10.10.30.14:9855/simwork/61ee120cfe60d36de9cfa30b/batchgradings/6243a94db9844b99f2105de6/replay/gradingresults/6243a959b9844b99f21072d7</t>
  </si>
  <si>
    <t>https://10.10.30.14:9855/simwork/61ee120cfe60d36de9cfa30b/batchgradings/6243a94db9844b99f2105de6/replay/gradingresults/6243a959b9844b99f21072d8</t>
  </si>
  <si>
    <t>https://10.10.30.14:9855/simwork/61ee120cfe60d36de9cfa30b/batchgradings/6243a94db9844b99f2105de6/replay/gradingresults/6243a959b9844b99f21072d9</t>
  </si>
  <si>
    <t>https://10.10.30.14:9855/simwork/61ee120cfe60d36de9cfa30b/batchgradings/6243a94db9844b99f2105de6/replay/gradingresults/6243a959b9844b99f21072da</t>
  </si>
  <si>
    <t>https://10.10.30.14:9855/simwork/61ee120cfe60d36de9cfa30b/batchgradings/6243a94db9844b99f2105de6/replay/gradingresults/6243a959b9844b99f21072db</t>
  </si>
  <si>
    <t>https://10.10.30.14:9855/simwork/61ee120cfe60d36de9cfa30b/batchgradings/6243a94db9844b99f2105de6/replay/gradingresults/6243a959b9844b99f21072dc</t>
  </si>
  <si>
    <t>https://10.10.30.14:9855/simwork/61ee120cfe60d36de9cfa30b/batchgradings/6243a94db9844b99f2105de6/replay/gradingresults/6243a959b9844b99f21072dd</t>
  </si>
  <si>
    <t>https://10.10.30.14:9855/simwork/61ee120cfe60d36de9cfa30b/batchgradings/6243a94db9844b99f2105de6/replay/gradingresults/6243a959b9844b99f21072de</t>
  </si>
  <si>
    <t>https://10.10.30.14:9855/simwork/61ee120cfe60d36de9cfa30b/batchgradings/6243a94db9844b99f2105de6/replay/gradingresults/6243a95ab9844b99f21072df</t>
  </si>
  <si>
    <t>https://10.10.30.14:9855/simwork/61ee120cfe60d36de9cfa30b/batchgradings/6243a94db9844b99f2105de6/replay/gradingresults/6243a95ab9844b99f21072e0</t>
  </si>
  <si>
    <t>https://10.10.30.14:9855/simwork/61ee120cfe60d36de9cfa30b/batchgradings/6243a94db9844b99f2105de6/replay/gradingresults/6243a95ab9844b99f21072e1</t>
  </si>
  <si>
    <t>https://10.10.30.14:9855/simwork/61ee120cfe60d36de9cfa30b/batchgradings/6243a94db9844b99f2105de6/replay/gradingresults/6243a95ab9844b99f21072e2</t>
  </si>
  <si>
    <t>https://10.10.30.14:9855/simwork/61ee120cfe60d36de9cfa30b/batchgradings/6243a94db9844b99f2105de6/replay/gradingresults/6243a95ab9844b99f21072e3</t>
  </si>
  <si>
    <t>https://10.10.30.14:9855/simwork/61ee120cfe60d36de9cfa30b/batchgradings/6243a94db9844b99f2105de6/replay/gradingresults/6243a95ab9844b99f21072e4</t>
  </si>
  <si>
    <t>https://10.10.30.14:9855/simwork/61ee120cfe60d36de9cfa30b/batchgradings/6243a94db9844b99f2105de6/replay/gradingresults/6243a95ab9844b99f21072e5</t>
  </si>
  <si>
    <t>https://10.10.30.14:9855/simwork/61ee120cfe60d36de9cfa30b/batchgradings/6243a94db9844b99f2105de6/replay/gradingresults/6243a95ab9844b99f21072e6</t>
  </si>
  <si>
    <t>https://10.10.30.14:9855/simwork/61ee120cfe60d36de9cfa30b/batchgradings/6243a94db9844b99f2105de6/replay/gradingresults/6243a95ab9844b99f21072e7</t>
  </si>
  <si>
    <t>https://10.10.30.14:9855/simwork/61ee120cfe60d36de9cfa30b/batchgradings/6243a94db9844b99f2105de6/replay/gradingresults/6243a95ab9844b99f21072e8</t>
  </si>
  <si>
    <t>https://10.10.30.14:9855/simwork/61ee120cfe60d36de9cfa30b/batchgradings/6243a94db9844b99f2105de6/replay/gradingresults/6243a95ab9844b99f21072e9</t>
  </si>
  <si>
    <t>https://10.10.30.14:9855/simwork/61ee120cfe60d36de9cfa30b/batchgradings/6243a94db9844b99f2105de6/replay/gradingresults/6243a95ab9844b99f21072ea</t>
  </si>
  <si>
    <t>https://10.10.30.14:9855/simwork/61ee120cfe60d36de9cfa30b/batchgradings/6243a94db9844b99f2105de6/replay/gradingresults/6243a95ab9844b99f21072eb</t>
  </si>
  <si>
    <t>https://10.10.30.14:9855/simwork/61ee120cfe60d36de9cfa30b/batchgradings/6243a94db9844b99f2105de6/replay/gradingresults/6243a95ab9844b99f21072ec</t>
  </si>
  <si>
    <t>https://10.10.30.14:9855/simwork/61ee120cfe60d36de9cfa30b/batchgradings/6243a94db9844b99f2105de6/replay/gradingresults/6243a95ab9844b99f21072ed</t>
  </si>
  <si>
    <t>https://10.10.30.14:9855/simwork/61ee120cfe60d36de9cfa30b/batchgradings/6243a94db9844b99f2105de6/replay/gradingresults/6243a95ab9844b99f21072ee</t>
  </si>
  <si>
    <t>https://10.10.30.14:9855/simwork/61ee120cfe60d36de9cfa30b/batchgradings/6243a94db9844b99f2105de6/replay/gradingresults/6243a95ab9844b99f21072ef</t>
  </si>
  <si>
    <t>https://10.10.30.14:9855/simwork/61ee120cfe60d36de9cfa30b/batchgradings/6243a94db9844b99f2105de6/replay/gradingresults/6243a95ab9844b99f21072f0</t>
  </si>
  <si>
    <t>https://10.10.30.14:9855/simwork/61ee120cfe60d36de9cfa30b/batchgradings/6243a94db9844b99f2105de6/replay/gradingresults/6243a95ab9844b99f21072f1</t>
  </si>
  <si>
    <t>https://10.10.30.14:9855/simwork/61ee120cfe60d36de9cfa30b/batchgradings/6243a94db9844b99f2105de6/replay/gradingresults/6243a95ab9844b99f21072f2</t>
  </si>
  <si>
    <t>https://10.10.30.14:9855/simwork/61ee120cfe60d36de9cfa30b/batchgradings/6243a94db9844b99f2105de6/replay/gradingresults/6243a95ab9844b99f21072f3</t>
  </si>
  <si>
    <t>https://10.10.30.14:9855/simwork/61ee120cfe60d36de9cfa30b/batchgradings/6243a94db9844b99f2105de6/replay/gradingresults/6243a95ab9844b99f21072f4</t>
  </si>
  <si>
    <t>https://10.10.30.14:9855/simwork/61ee120cfe60d36de9cfa30b/batchgradings/6243a94db9844b99f2105de6/replay/gradingresults/6243a95ab9844b99f21072f5</t>
  </si>
  <si>
    <t>https://10.10.30.14:9855/simwork/61ee120cfe60d36de9cfa30b/batchgradings/6243a94db9844b99f2105de6/replay/gradingresults/6243a95ab9844b99f21072f6</t>
  </si>
  <si>
    <t>https://10.10.30.14:9855/simwork/61ee120cfe60d36de9cfa30b/batchgradings/6243a94db9844b99f2105de6/replay/gradingresults/6243a95ab9844b99f21072f7</t>
  </si>
  <si>
    <t>https://10.10.30.14:9855/simwork/61ee120cfe60d36de9cfa30b/batchgradings/6243a94db9844b99f2105de6/replay/gradingresults/6243a95ab9844b99f21072f8</t>
  </si>
  <si>
    <t>https://10.10.30.14:9855/simwork/61ee120cfe60d36de9cfa30b/batchgradings/6243a94db9844b99f2105de6/replay/gradingresults/6243a95ab9844b99f21072f9</t>
  </si>
  <si>
    <t>https://10.10.30.14:9855/simwork/61ee120cfe60d36de9cfa30b/batchgradings/6243a94db9844b99f2105de6/replay/gradingresults/6243a95ab9844b99f21072fa</t>
  </si>
  <si>
    <t>https://10.10.30.14:9855/simwork/61ee120cfe60d36de9cfa30b/batchgradings/6243a94db9844b99f2105de6/replay/gradingresults/6243a95ab9844b99f21072fb</t>
  </si>
  <si>
    <t>https://10.10.30.14:9855/simwork/61ee120cfe60d36de9cfa30b/batchgradings/6243a94db9844b99f2105de6/replay/gradingresults/6243a95ab9844b99f21072fc</t>
  </si>
  <si>
    <t>611265033b77af5bf1e3bf35</t>
  </si>
  <si>
    <t>https://10.10.30.14:9855/simwork/61ee120cfe60d36de9cfa30b/batchgradings/6243a94db9844b99f2105de6/replay/gradingresults/6243a95ab9844b99f21072fd</t>
  </si>
  <si>
    <t>https://10.10.30.14:9855/simwork/61ee120cfe60d36de9cfa30b/batchgradings/6243a94db9844b99f2105de6/replay/gradingresults/6243a95ab9844b99f21072fe</t>
  </si>
  <si>
    <t>https://10.10.30.14:9855/simwork/61ee120cfe60d36de9cfa30b/batchgradings/6243a94db9844b99f2105de6/replay/gradingresults/6243a95ab9844b99f21072ff</t>
  </si>
  <si>
    <t>https://10.10.30.14:9855/simwork/61ee120cfe60d36de9cfa30b/batchgradings/6243a94db9844b99f2105de6/replay/gradingresults/6243a95ab9844b99f2107300</t>
  </si>
  <si>
    <t>https://10.10.30.14:9855/simwork/61ee120cfe60d36de9cfa30b/batchgradings/6243a94db9844b99f2105de6/replay/gradingresults/6243a95ab9844b99f2107301</t>
  </si>
  <si>
    <t>https://10.10.30.14:9855/simwork/61ee120cfe60d36de9cfa30b/batchgradings/6243a94db9844b99f2105de6/replay/gradingresults/6243a95ab9844b99f2107302</t>
  </si>
  <si>
    <t>https://10.10.30.14:9855/simwork/61ee120cfe60d36de9cfa30b/batchgradings/6243a94db9844b99f2105de6/replay/gradingresults/6243a95ab9844b99f2107303</t>
  </si>
  <si>
    <t>https://10.10.30.14:9855/simwork/61ee120cfe60d36de9cfa30b/batchgradings/6243a94db9844b99f2105de6/replay/gradingresults/6243a95bb9844b99f2107304</t>
  </si>
  <si>
    <t>https://10.10.30.14:9855/simwork/61ee120cfe60d36de9cfa30b/batchgradings/6243a94db9844b99f2105de6/replay/gradingresults/6243a95bb9844b99f2107305</t>
  </si>
  <si>
    <t>https://10.10.30.14:9855/simwork/61ee120cfe60d36de9cfa30b/batchgradings/6243a94db9844b99f2105de6/replay/gradingresults/6243a95bb9844b99f2107306</t>
  </si>
  <si>
    <t>https://10.10.30.14:9855/simwork/61ee120cfe60d36de9cfa30b/batchgradings/6243a94db9844b99f2105de6/replay/gradingresults/6243a95bb9844b99f2107307</t>
  </si>
  <si>
    <t>https://10.10.30.14:9855/simwork/61ee120cfe60d36de9cfa30b/batchgradings/6243a94db9844b99f2105de6/replay/gradingresults/6243a95bb9844b99f2107308</t>
  </si>
  <si>
    <t>https://10.10.30.14:9855/simwork/61ee120cfe60d36de9cfa30b/batchgradings/6243a94db9844b99f2105de6/replay/gradingresults/6243a95bb9844b99f2107309</t>
  </si>
  <si>
    <t>https://10.10.30.14:9855/simwork/61ee120cfe60d36de9cfa30b/batchgradings/6243a94db9844b99f2105de6/replay/gradingresults/6243a95bb9844b99f210730a</t>
  </si>
  <si>
    <t>https://10.10.30.14:9855/simwork/61ee120cfe60d36de9cfa30b/batchgradings/6243a94db9844b99f2105de6/replay/gradingresults/6243a95bb9844b99f210730b</t>
  </si>
  <si>
    <t>https://10.10.30.14:9855/simwork/61ee120cfe60d36de9cfa30b/batchgradings/6243a94db9844b99f2105de6/replay/gradingresults/6243a95bb9844b99f210730c</t>
  </si>
  <si>
    <t>https://10.10.30.14:9855/simwork/61ee120cfe60d36de9cfa30b/batchgradings/6243a94db9844b99f2105de6/replay/gradingresults/6243a95bb9844b99f210730d</t>
  </si>
  <si>
    <t>https://10.10.30.14:9855/simwork/61ee120cfe60d36de9cfa30b/batchgradings/6243a94db9844b99f2105de6/replay/gradingresults/6243a95bb9844b99f210730e</t>
  </si>
  <si>
    <t>https://10.10.30.14:9855/simwork/61ee120cfe60d36de9cfa30b/batchgradings/6243a94db9844b99f2105de6/replay/gradingresults/6243a95bb9844b99f210730f</t>
  </si>
  <si>
    <t>https://10.10.30.14:9855/simwork/61ee120cfe60d36de9cfa30b/batchgradings/6243a94db9844b99f2105de6/replay/gradingresults/6243a95bb9844b99f2107310</t>
  </si>
  <si>
    <t>https://10.10.30.14:9855/simwork/61ee120cfe60d36de9cfa30b/batchgradings/6243a94db9844b99f2105de6/replay/gradingresults/6243a95bb9844b99f2107311</t>
  </si>
  <si>
    <t>https://10.10.30.14:9855/simwork/61ee120cfe60d36de9cfa30b/batchgradings/6243a94db9844b99f2105de6/replay/gradingresults/6243a95bb9844b99f2107312</t>
  </si>
  <si>
    <t>https://10.10.30.14:9855/simwork/61ee120cfe60d36de9cfa30b/batchgradings/6243a94db9844b99f2105de6/replay/gradingresults/6243a95bb9844b99f2107313</t>
  </si>
  <si>
    <t>https://10.10.30.14:9855/simwork/61ee120cfe60d36de9cfa30b/batchgradings/6243a94db9844b99f2105de6/replay/gradingresults/6243a95bb9844b99f2107314</t>
  </si>
  <si>
    <t>https://10.10.30.14:9855/simwork/61ee120cfe60d36de9cfa30b/batchgradings/6243a94db9844b99f2105de6/replay/gradingresults/6243a95bb9844b99f2107315</t>
  </si>
  <si>
    <t>https://10.10.30.14:9855/simwork/61ee120cfe60d36de9cfa30b/batchgradings/6243a94db9844b99f2105de6/replay/gradingresults/6243a95bb9844b99f2107316</t>
  </si>
  <si>
    <t>https://10.10.30.14:9855/simwork/61ee120cfe60d36de9cfa30b/batchgradings/6243a94db9844b99f2105de6/replay/gradingresults/6243a95bb9844b99f2107317</t>
  </si>
  <si>
    <t>https://10.10.30.14:9855/simwork/61ee120cfe60d36de9cfa30b/batchgradings/6243a94db9844b99f2105de6/replay/gradingresults/6243a95bb9844b99f2107318</t>
  </si>
  <si>
    <t>https://10.10.30.14:9855/simwork/61ee120cfe60d36de9cfa30b/batchgradings/6243a94db9844b99f2105de6/replay/gradingresults/6243a95bb9844b99f2107319</t>
  </si>
  <si>
    <t>https://10.10.30.14:9855/simwork/61ee120cfe60d36de9cfa30b/batchgradings/6243a94db9844b99f2105de6/replay/gradingresults/6243a95bb9844b99f210731a</t>
  </si>
  <si>
    <t>https://10.10.30.14:9855/simwork/61ee120cfe60d36de9cfa30b/batchgradings/6243a94db9844b99f2105de6/replay/gradingresults/6243a95bb9844b99f210731b</t>
  </si>
  <si>
    <t>https://10.10.30.14:9855/simwork/61ee120cfe60d36de9cfa30b/batchgradings/6243a94db9844b99f2105de6/replay/gradingresults/6243a95bb9844b99f210731c</t>
  </si>
  <si>
    <t>https://10.10.30.14:9855/simwork/61ee120cfe60d36de9cfa30b/batchgradings/6243a94db9844b99f2105de6/replay/gradingresults/6243a95bb9844b99f210731d</t>
  </si>
  <si>
    <t>https://10.10.30.14:9855/simwork/61ee120cfe60d36de9cfa30b/batchgradings/6243a94db9844b99f2105de6/replay/gradingresults/6243a95bb9844b99f210731e</t>
  </si>
  <si>
    <t>https://10.10.30.14:9855/simwork/61ee120cfe60d36de9cfa30b/batchgradings/6243a94db9844b99f2105de6/replay/gradingresults/6243a95bb9844b99f210731f</t>
  </si>
  <si>
    <t>https://10.10.30.14:9855/simwork/61ee120cfe60d36de9cfa30b/batchgradings/6243a94db9844b99f2105de6/replay/gradingresults/6243a95bb9844b99f2107320</t>
  </si>
  <si>
    <t>https://10.10.30.14:9855/simwork/61ee120cfe60d36de9cfa30b/batchgradings/6243a94db9844b99f2105de6/replay/gradingresults/6243a95bb9844b99f2107321</t>
  </si>
  <si>
    <t>https://10.10.30.14:9855/simwork/61ee120cfe60d36de9cfa30b/batchgradings/6243a94db9844b99f2105de6/replay/gradingresults/6243a95bb9844b99f2107322</t>
  </si>
  <si>
    <t>https://10.10.30.14:9855/simwork/61ee120cfe60d36de9cfa30b/batchgradings/6243a94db9844b99f2105de6/replay/gradingresults/6243a95bb9844b99f2107323</t>
  </si>
  <si>
    <t>https://10.10.30.14:9855/simwork/61ee120cfe60d36de9cfa30b/batchgradings/6243a94db9844b99f2105de6/replay/gradingresults/6243a95bb9844b99f2107324</t>
  </si>
  <si>
    <t>https://10.10.30.14:9855/simwork/61ee120cfe60d36de9cfa30b/batchgradings/6243a94db9844b99f2105de6/replay/gradingresults/6243a95bb9844b99f2107325</t>
  </si>
  <si>
    <t>https://10.10.30.14:9855/simwork/61ee120cfe60d36de9cfa30b/batchgradings/6243a94db9844b99f2105de6/replay/gradingresults/6243a95bb9844b99f2107326</t>
  </si>
  <si>
    <t>https://10.10.30.14:9855/simwork/61ee120cfe60d36de9cfa30b/batchgradings/6243a94db9844b99f2105de6/replay/gradingresults/6243a95bb9844b99f2107327</t>
  </si>
  <si>
    <t>https://10.10.30.14:9855/simwork/61ee120cfe60d36de9cfa30b/batchgradings/6243a94db9844b99f2105de6/replay/gradingresults/6243a95bb9844b99f2107328</t>
  </si>
  <si>
    <t>https://10.10.30.14:9855/simwork/61ee120cfe60d36de9cfa30b/batchgradings/6243a94db9844b99f2105de6/replay/gradingresults/6243a95bb9844b99f2107329</t>
  </si>
  <si>
    <t>https://10.10.30.14:9855/simwork/61ee120cfe60d36de9cfa30b/batchgradings/6243a94db9844b99f2105de6/replay/gradingresults/6243a95bb9844b99f210732a</t>
  </si>
  <si>
    <t>https://10.10.30.14:9855/simwork/61ee120cfe60d36de9cfa30b/batchgradings/6243a94db9844b99f2105de6/replay/gradingresults/6243a95bb9844b99f210732b</t>
  </si>
  <si>
    <t>https://10.10.30.14:9855/simwork/61ee120cfe60d36de9cfa30b/batchgradings/6243a94db9844b99f2105de6/replay/gradingresults/6243a95bb9844b99f210732c</t>
  </si>
  <si>
    <t>https://10.10.30.14:9855/simwork/61ee120cfe60d36de9cfa30b/batchgradings/6243a94db9844b99f2105de6/replay/gradingresults/6243a95bb9844b99f210732d</t>
  </si>
  <si>
    <t>https://10.10.30.14:9855/simwork/61ee120cfe60d36de9cfa30b/batchgradings/6243a94db9844b99f2105de6/replay/gradingresults/6243a95bb9844b99f210732e</t>
  </si>
  <si>
    <t>https://10.10.30.14:9855/simwork/61ee120cfe60d36de9cfa30b/batchgradings/6243a94db9844b99f2105de6/replay/gradingresults/6243a95bb9844b99f210732f</t>
  </si>
  <si>
    <t>https://10.10.30.14:9855/simwork/61ee120cfe60d36de9cfa30b/batchgradings/6243a94db9844b99f2105de6/replay/gradingresults/6243a95bb9844b99f2107330</t>
  </si>
  <si>
    <t>https://10.10.30.14:9855/simwork/61ee120cfe60d36de9cfa30b/batchgradings/6243a94db9844b99f2105de6/replay/gradingresults/6243a95bb9844b99f2107331</t>
  </si>
  <si>
    <t>https://10.10.30.14:9855/simwork/61ee120cfe60d36de9cfa30b/batchgradings/6243a94db9844b99f2105de6/replay/gradingresults/6243a95bb9844b99f2107332</t>
  </si>
  <si>
    <t>https://10.10.30.14:9855/simwork/61ee120cfe60d36de9cfa30b/batchgradings/6243a94db9844b99f2105de6/replay/gradingresults/6243a95bb9844b99f2107333</t>
  </si>
  <si>
    <t>https://10.10.30.14:9855/simwork/61ee120cfe60d36de9cfa30b/batchgradings/6243a94db9844b99f2105de6/replay/gradingresults/6243a95bb9844b99f2107334</t>
  </si>
  <si>
    <t>https://10.10.30.14:9855/simwork/61ee120cfe60d36de9cfa30b/batchgradings/6243a94db9844b99f2105de6/replay/gradingresults/6243a95cb9844b99f2107335</t>
  </si>
  <si>
    <t>https://10.10.30.14:9855/simwork/61ee120cfe60d36de9cfa30b/batchgradings/6243a94db9844b99f2105de6/replay/gradingresults/6243a95cb9844b99f2107336</t>
  </si>
  <si>
    <t>https://10.10.30.14:9855/simwork/61ee120cfe60d36de9cfa30b/batchgradings/6243a94db9844b99f2105de6/replay/gradingresults/6243a95cb9844b99f2107337</t>
  </si>
  <si>
    <t>https://10.10.30.14:9855/simwork/61ee120cfe60d36de9cfa30b/batchgradings/6243a94db9844b99f2105de6/replay/gradingresults/6243a95cb9844b99f2107338</t>
  </si>
  <si>
    <t>https://10.10.30.14:9855/simwork/61ee120cfe60d36de9cfa30b/batchgradings/6243a94db9844b99f2105de6/replay/gradingresults/6243a95cb9844b99f2107339</t>
  </si>
  <si>
    <t>https://10.10.30.14:9855/simwork/61ee120cfe60d36de9cfa30b/batchgradings/6243a94db9844b99f2105de6/replay/gradingresults/6243a95cb9844b99f210733a</t>
  </si>
  <si>
    <t>https://10.10.30.14:9855/simwork/61ee120cfe60d36de9cfa30b/batchgradings/6243a94db9844b99f2105de6/replay/gradingresults/6243a95cb9844b99f210733b</t>
  </si>
  <si>
    <t>https://10.10.30.14:9855/simwork/61ee120cfe60d36de9cfa30b/batchgradings/6243a94db9844b99f2105de6/replay/gradingresults/6243a95cb9844b99f210733c</t>
  </si>
  <si>
    <t>https://10.10.30.14:9855/simwork/61ee120cfe60d36de9cfa30b/batchgradings/6243a94db9844b99f2105de6/replay/gradingresults/6243a95cb9844b99f210733d</t>
  </si>
  <si>
    <t>https://10.10.30.14:9855/simwork/61ee120cfe60d36de9cfa30b/batchgradings/6243a94db9844b99f2105de6/replay/gradingresults/6243a95cb9844b99f210733e</t>
  </si>
  <si>
    <t>https://10.10.30.14:9855/simwork/61ee120cfe60d36de9cfa30b/batchgradings/6243a94db9844b99f2105de6/replay/gradingresults/6243a95cb9844b99f210733f</t>
  </si>
  <si>
    <t>https://10.10.30.14:9855/simwork/61ee120cfe60d36de9cfa30b/batchgradings/6243a94db9844b99f2105de6/replay/gradingresults/6243a95cb9844b99f2107340</t>
  </si>
  <si>
    <t>https://10.10.30.14:9855/simwork/61ee120cfe60d36de9cfa30b/batchgradings/6243a94db9844b99f2105de6/replay/gradingresults/6243a95cb9844b99f2107341</t>
  </si>
  <si>
    <t>https://10.10.30.14:9855/simwork/61ee120cfe60d36de9cfa30b/batchgradings/6243a94db9844b99f2105de6/replay/gradingresults/6243a95cb9844b99f2107342</t>
  </si>
  <si>
    <t>https://10.10.30.14:9855/simwork/61ee120cfe60d36de9cfa30b/batchgradings/6243a94db9844b99f2105de6/replay/gradingresults/6243a95cb9844b99f2107343</t>
  </si>
  <si>
    <t>https://10.10.30.14:9855/simwork/61ee120cfe60d36de9cfa30b/batchgradings/6243a94db9844b99f2105de6/replay/gradingresults/6243a95cb9844b99f2107344</t>
  </si>
  <si>
    <t>https://10.10.30.14:9855/simwork/61ee120cfe60d36de9cfa30b/batchgradings/6243a94db9844b99f2105de6/replay/gradingresults/6243a95cb9844b99f2107345</t>
  </si>
  <si>
    <t>https://10.10.30.14:9855/simwork/61ee120cfe60d36de9cfa30b/batchgradings/6243a94db9844b99f2105de6/replay/gradingresults/6243a95cb9844b99f2107346</t>
  </si>
  <si>
    <t>https://10.10.30.14:9855/simwork/61ee120cfe60d36de9cfa30b/batchgradings/6243a94db9844b99f2105de6/replay/gradingresults/6243a95cb9844b99f2107347</t>
  </si>
  <si>
    <t>https://10.10.30.14:9855/simwork/61ee120cfe60d36de9cfa30b/batchgradings/6243a94db9844b99f2105de6/replay/gradingresults/6243a95cb9844b99f2107348</t>
  </si>
  <si>
    <t>https://10.10.30.14:9855/simwork/61ee120cfe60d36de9cfa30b/batchgradings/6243a94db9844b99f2105de6/replay/gradingresults/6243a95cb9844b99f2107349</t>
  </si>
  <si>
    <t>https://10.10.30.14:9855/simwork/61ee120cfe60d36de9cfa30b/batchgradings/6243a94db9844b99f2105de6/replay/gradingresults/6243a95cb9844b99f210734a</t>
  </si>
  <si>
    <t>https://10.10.30.14:9855/simwork/61ee120cfe60d36de9cfa30b/batchgradings/6243a94db9844b99f2105de6/replay/gradingresults/6243a95cb9844b99f210734b</t>
  </si>
  <si>
    <t>https://10.10.30.14:9855/simwork/61ee120cfe60d36de9cfa30b/batchgradings/6243a94db9844b99f2105de6/replay/gradingresults/6243a95cb9844b99f210734c</t>
  </si>
  <si>
    <t>https://10.10.30.14:9855/simwork/61ee120cfe60d36de9cfa30b/batchgradings/6243a94db9844b99f2105de6/replay/gradingresults/6243a95cb9844b99f210734d</t>
  </si>
  <si>
    <t>https://10.10.30.14:9855/simwork/61ee120cfe60d36de9cfa30b/batchgradings/6243a94db9844b99f2105de6/replay/gradingresults/6243a95cb9844b99f210734e</t>
  </si>
  <si>
    <t>https://10.10.30.14:9855/simwork/61ee120cfe60d36de9cfa30b/batchgradings/6243a94db9844b99f2105de6/replay/gradingresults/6243a95cb9844b99f210734f</t>
  </si>
  <si>
    <t>https://10.10.30.14:9855/simwork/61ee120cfe60d36de9cfa30b/batchgradings/6243a94db9844b99f2105de6/replay/gradingresults/6243a95cb9844b99f2107350</t>
  </si>
  <si>
    <t>https://10.10.30.14:9855/simwork/61ee120cfe60d36de9cfa30b/batchgradings/6243a94db9844b99f2105de6/replay/gradingresults/6243a95cb9844b99f2107351</t>
  </si>
  <si>
    <t>https://10.10.30.14:9855/simwork/61ee120cfe60d36de9cfa30b/batchgradings/6243a94db9844b99f2105de6/replay/gradingresults/6243a95cb9844b99f2107352</t>
  </si>
  <si>
    <t>https://10.10.30.14:9855/simwork/61ee120cfe60d36de9cfa30b/batchgradings/6243a94db9844b99f2105de6/replay/gradingresults/6243a95cb9844b99f2107353</t>
  </si>
  <si>
    <t>https://10.10.30.14:9855/simwork/61ee120cfe60d36de9cfa30b/batchgradings/6243a94db9844b99f2105de6/replay/gradingresults/6243a95cb9844b99f2107354</t>
  </si>
  <si>
    <t>https://10.10.30.14:9855/simwork/61ee120cfe60d36de9cfa30b/batchgradings/6243a94db9844b99f2105de6/replay/gradingresults/6243a95cb9844b99f2107355</t>
  </si>
  <si>
    <t>https://10.10.30.14:9855/simwork/61ee120cfe60d36de9cfa30b/batchgradings/6243a94db9844b99f2105de6/replay/gradingresults/6243a95cb9844b99f2107356</t>
  </si>
  <si>
    <t>https://10.10.30.14:9855/simwork/61ee120cfe60d36de9cfa30b/batchgradings/6243a94db9844b99f2105de6/replay/gradingresults/6243a95cb9844b99f2107357</t>
  </si>
  <si>
    <t>https://10.10.30.14:9855/simwork/61ee120cfe60d36de9cfa30b/batchgradings/6243a94db9844b99f2105de6/replay/gradingresults/6243a95cb9844b99f2107358</t>
  </si>
  <si>
    <t>https://10.10.30.14:9855/simwork/61ee120cfe60d36de9cfa30b/batchgradings/6243a94db9844b99f2105de6/replay/gradingresults/6243a95cb9844b99f2107359</t>
  </si>
  <si>
    <t>https://10.10.30.14:9855/simwork/61ee120cfe60d36de9cfa30b/batchgradings/6243a94db9844b99f2105de6/replay/gradingresults/6243a95cb9844b99f210735a</t>
  </si>
  <si>
    <t>https://10.10.30.14:9855/simwork/61ee120cfe60d36de9cfa30b/batchgradings/6243a94db9844b99f2105de6/replay/gradingresults/6243a95cb9844b99f210735b</t>
  </si>
  <si>
    <t>https://10.10.30.14:9855/simwork/61ee120cfe60d36de9cfa30b/batchgradings/6243a94db9844b99f2105de6/replay/gradingresults/6243a95cb9844b99f210735c</t>
  </si>
  <si>
    <t>https://10.10.30.14:9855/simwork/61ee120cfe60d36de9cfa30b/batchgradings/6243a94db9844b99f2105de6/replay/gradingresults/6243a95cb9844b99f210735d</t>
  </si>
  <si>
    <t>Scenarios Need Tuning</t>
  </si>
  <si>
    <t>1-记录AI Regression Reviewer提报的TAADS场景问题
2- 如需修改，当周TAADS reivew 会议前完成</t>
  </si>
  <si>
    <t>ScenarioID</t>
  </si>
  <si>
    <t>Issues</t>
  </si>
  <si>
    <t>Reporter</t>
  </si>
  <si>
    <t>Open Date</t>
  </si>
  <si>
    <t>Assign To</t>
  </si>
  <si>
    <t>Tuning Note</t>
  </si>
  <si>
    <t>仿真开始时距离前车较近，测试开始后EGO换道，无法进入测试点</t>
  </si>
  <si>
    <t>左侧加工具车，接近测点后工具车减速</t>
  </si>
  <si>
    <t>EGO距离前车较近，且前车与EGO同速，导致EGO起步后就换道。另，synchronize action存在小bug，设置尾速容易出问题，已反馈程硕。</t>
  </si>
  <si>
    <t>右侧加静止车辆，避免EGO起始就开始换道</t>
  </si>
  <si>
    <t>EGO距离前车较近，导致EGO起步后就换道。</t>
  </si>
  <si>
    <t>EGO左侧车辆在key frame后未解除速度绑定</t>
  </si>
  <si>
    <t>1、修改left car1速度控制，使其在关键测试点后解除与EGO的速度绑定；2、限制left car1加速度，并使位置更接近EGO，使速度表现更合理。</t>
  </si>
  <si>
    <t>两辆干扰车直接存在碰撞</t>
  </si>
  <si>
    <t>1-修改关键障碍车速度，调节ego左侧非关键障碍车的减速时间</t>
  </si>
  <si>
    <t>1、actor与EGO无速度或者位置的绑定，无法确定能否达到测试目的；
2、actor均选择avoid collision，需要更改</t>
  </si>
  <si>
    <t>Wang Zhiwen</t>
  </si>
  <si>
    <t>reviewing</t>
  </si>
  <si>
    <t>重建场景
1.加入U-turn的actor，且全部与EGO位置绑定
2.去掉了三辆做U-turn车辆的avoid Collision</t>
  </si>
  <si>
    <t>碰撞后OBS与EGO重叠行驶，可以加入碰撞后停车</t>
  </si>
  <si>
    <t>1.增加碰撞后停车</t>
  </si>
  <si>
    <t xml:space="preserve">
修改地图，选择两条lane道路，右侧增加静止车辆</t>
  </si>
  <si>
    <t>12.4s时actor1有位置跳动，建议将trajectory拉长</t>
  </si>
  <si>
    <t>fixing</t>
  </si>
  <si>
    <t>TAADS Test Issues From AI Regression</t>
  </si>
  <si>
    <t>1-记录测出算法问题的TAADS场景
2-需核对对应的算法问题是否因场景设计不合理导致
3- 提报当天完成核对，填写F列
4- 如需修改，当周TAADS reivew 会议前完成修改</t>
  </si>
  <si>
    <t>Regression Review URL</t>
  </si>
  <si>
    <t>Commit Date</t>
  </si>
  <si>
    <t>Failed Metric</t>
  </si>
  <si>
    <t>Delete Issue</t>
  </si>
  <si>
    <t>Need Tuning</t>
  </si>
  <si>
    <t>https://autoxai.atlassian.net/wiki/spaces/SIM/pages/1766538759/Batchgrading+around+20220304+GenX+at+Shenzhen#Scenario-611265033b77af5bf1e3bf35,-Module-Prediction-High</t>
  </si>
  <si>
    <t>CollisionGuilty</t>
  </si>
  <si>
    <t>No</t>
  </si>
  <si>
    <t>skip</t>
  </si>
  <si>
    <t>https://autoxai.atlassian.net/wiki/spaces/SIM/pages/1774322514/Batchgrading+around+20220311+GenX+at+Shenzhen</t>
  </si>
  <si>
    <t>PlanningWaggle</t>
  </si>
  <si>
    <t>DestinationJump</t>
  </si>
  <si>
    <t>Scenarios Need Tuning提过
已经重建场景</t>
  </si>
  <si>
    <t>https://autoxai.atlassian.net/wiki/spaces/SIM/pages/1777402501/Batchgrading+around+20220318+GenX+at+Shenzhen</t>
  </si>
  <si>
    <t>StopFar</t>
  </si>
  <si>
    <t>PredictionIntentUnstable</t>
  </si>
  <si>
    <t>BrakeLimit(-4)</t>
  </si>
  <si>
    <t>Urban</t>
  </si>
  <si>
    <t>6082a8e3762aff4c9b471c21</t>
  </si>
  <si>
    <t>delete</t>
  </si>
  <si>
    <t>U-turn Aggresively</t>
  </si>
  <si>
    <t>When EGO was going straight on the left lane of a 3-lanes urban road, a car was trying to take a U-turn on the left of the EGO  aggressively</t>
  </si>
  <si>
    <t>7'50</t>
  </si>
  <si>
    <t>只能Uturn的路口属于gap还是merge？feature属于lane follow？</t>
  </si>
  <si>
    <t>60e55ccf7c361a3884916737</t>
  </si>
  <si>
    <t>60e572167c361a38849170dd</t>
  </si>
  <si>
    <t>场景重复，变成为61c4134ec6f7dccb516dcf12，W09已做</t>
  </si>
  <si>
    <t>Swapping Lanes</t>
  </si>
  <si>
    <t xml:space="preserve">EGO was following cars on the left 2nd lane while there were some cars driving on both side of EGO's lane.When there was a traffic jam on the right ramp, the front car made a right lane change and then the car on the right made a left lane change to EGO's lane. </t>
  </si>
  <si>
    <t>60ed93e6f0f7eb451f79f7d9</t>
  </si>
  <si>
    <t>已重建，delete</t>
  </si>
  <si>
    <t>Illegal Wrong-way Driving</t>
  </si>
  <si>
    <t>When EGO was turning left at the junction, a semitrail drived fast on the wrong side of the road where EGO was going into</t>
  </si>
  <si>
    <t>重复case，删除</t>
  </si>
  <si>
    <r>
      <rPr>
        <u/>
        <sz val="10"/>
        <color rgb="FF1155CC"/>
        <rFont val="Calibri"/>
        <family val="2"/>
      </rPr>
      <t>https://www.iqiyi.com/v_2bx0gdxkbbo.html</t>
    </r>
    <r>
      <rPr>
        <sz val="10"/>
        <color rgb="FF000000"/>
        <rFont val="Calibri"/>
        <scheme val="minor"/>
      </rPr>
      <t>l</t>
    </r>
  </si>
  <si>
    <r>
      <rPr>
        <u/>
        <sz val="10"/>
        <color rgb="FF1155CC"/>
        <rFont val="Calibri"/>
        <family val="2"/>
      </rPr>
      <t>https://www.iqiyi.com/v_v9pgkqlzt8.html</t>
    </r>
    <r>
      <rPr>
        <sz val="10"/>
        <color rgb="FF000000"/>
        <rFont val="Calibri"/>
        <scheme val="minor"/>
      </rPr>
      <t>l</t>
    </r>
  </si>
  <si>
    <r>
      <rPr>
        <sz val="10"/>
        <color theme="1"/>
        <rFont val="Calibri"/>
        <family val="2"/>
      </rPr>
      <t xml:space="preserve">Illegal U-Turn </t>
    </r>
    <r>
      <rPr>
        <sz val="10"/>
        <color theme="1"/>
        <rFont val="Calibri"/>
        <family val="2"/>
      </rPr>
      <t>Aggressively</t>
    </r>
  </si>
  <si>
    <r>
      <t xml:space="preserve">
</t>
    </r>
    <r>
      <rPr>
        <u/>
        <sz val="10"/>
        <color rgb="FF1155CC"/>
        <rFont val="Calibri"/>
        <family val="2"/>
      </rPr>
      <t>https://www.iqiyi.com/v_17l6d2qrdv0.html</t>
    </r>
  </si>
  <si>
    <r>
      <rPr>
        <sz val="12"/>
        <color theme="1"/>
        <rFont val="Calibri"/>
        <family val="2"/>
      </rPr>
      <t>When EGO was going straight on the rightmost</t>
    </r>
    <r>
      <rPr>
        <sz val="12"/>
        <color rgb="FFFF0000"/>
        <rFont val="Calibri"/>
        <family val="2"/>
      </rPr>
      <t xml:space="preserve"> </t>
    </r>
    <r>
      <rPr>
        <sz val="12"/>
        <color theme="1"/>
        <rFont val="Calibri"/>
        <family val="2"/>
      </rPr>
      <t>of 3 lanes principal arterial road, a car merged into EGO's lane from side road aggressively.</t>
    </r>
  </si>
  <si>
    <r>
      <t xml:space="preserve">
</t>
    </r>
    <r>
      <rPr>
        <u/>
        <sz val="10"/>
        <color rgb="FF1155CC"/>
        <rFont val="Calibri"/>
        <family val="2"/>
      </rPr>
      <t>https://www.iqiyi.com/v_17l6d2qrdv0.html</t>
    </r>
  </si>
  <si>
    <r>
      <t xml:space="preserve">
</t>
    </r>
    <r>
      <rPr>
        <u/>
        <sz val="10"/>
        <color rgb="FF1155CC"/>
        <rFont val="Calibri"/>
        <family val="2"/>
      </rPr>
      <t>https://www.iqiyi.com/v_17l6d2qrdv0.html</t>
    </r>
  </si>
  <si>
    <r>
      <rPr>
        <sz val="10"/>
        <rFont val="Arial"/>
        <family val="2"/>
      </rPr>
      <t xml:space="preserve">1. 路口内直行、左转等用介词 in； 道路上直行用 on？？
2. 场景设置，启动时跟随EGO速度，导致一直是停止状态，需要修改场景 </t>
    </r>
    <r>
      <rPr>
        <sz val="10"/>
        <color rgb="FF000000"/>
        <rFont val="Arial"/>
        <family val="2"/>
      </rPr>
      <t>，</t>
    </r>
    <r>
      <rPr>
        <u/>
        <sz val="10"/>
        <color rgb="FF1155CC"/>
        <rFont val="Arial"/>
        <family val="2"/>
      </rPr>
      <t>link</t>
    </r>
  </si>
  <si>
    <r>
      <rPr>
        <sz val="10"/>
        <color rgb="FF000000"/>
        <rFont val="Arial"/>
        <family val="2"/>
      </rPr>
      <t>1. to</t>
    </r>
    <r>
      <rPr>
        <sz val="10"/>
        <color theme="1"/>
        <rFont val="Arial"/>
        <family val="2"/>
      </rPr>
      <t xml:space="preserve"> --&gt; on?</t>
    </r>
  </si>
  <si>
    <r>
      <rPr>
        <sz val="12"/>
        <color theme="1"/>
        <rFont val="Calibri"/>
        <family val="2"/>
      </rPr>
      <t xml:space="preserve">When EGO was going straight on the rightmost lane of 6 lanes 2 ways express, </t>
    </r>
    <r>
      <rPr>
        <sz val="12"/>
        <color rgb="FFF9CB9C"/>
        <rFont val="Calibri"/>
        <family val="2"/>
      </rPr>
      <t xml:space="preserve">a car slowed down to cut in from the middle lane.
</t>
    </r>
  </si>
  <si>
    <r>
      <rPr>
        <sz val="10"/>
        <color theme="1"/>
        <rFont val="Arial"/>
        <family val="2"/>
      </rPr>
      <t xml:space="preserve">1.未勾选control，已修改；可以再看一下
2.aggressively比较主观；在此场景中slow down更为突出，也可以增加aggressively
3.cut in 应该代表侵入本车道，好用加cut into ego's lane？更为冗余
 </t>
    </r>
    <r>
      <rPr>
        <sz val="10"/>
        <color rgb="FF980000"/>
        <rFont val="Arial"/>
        <family val="2"/>
      </rPr>
      <t>cut in应该是个动词短语？</t>
    </r>
    <r>
      <rPr>
        <sz val="10"/>
        <color theme="1"/>
        <rFont val="Arial"/>
        <family val="2"/>
      </rPr>
      <t xml:space="preserve">
</t>
    </r>
  </si>
  <si>
    <r>
      <rPr>
        <sz val="10"/>
        <color theme="1"/>
        <rFont val="Arial"/>
        <family val="2"/>
      </rPr>
      <t xml:space="preserve">1.aggressively 范围太广，每个case都可以使用，可以把case中最核心的How写出来，然后第二类可以再来评判是否aggressively？
</t>
    </r>
    <r>
      <rPr>
        <sz val="10"/>
        <color rgb="FF980000"/>
        <rFont val="Arial"/>
        <family val="2"/>
      </rPr>
      <t xml:space="preserve">标在空白处的How是在原有基础上增加一个OBS How；
</t>
    </r>
    <r>
      <rPr>
        <sz val="10"/>
        <color theme="1"/>
        <rFont val="Arial"/>
        <family val="2"/>
      </rPr>
      <t xml:space="preserve">fixed
</t>
    </r>
  </si>
  <si>
    <r>
      <rPr>
        <sz val="12"/>
        <color theme="1"/>
        <rFont val="Calibri"/>
        <family val="2"/>
      </rPr>
      <t>When EGO was going straight on the leftmost lane of 3 lanes 1 way highway, a truck</t>
    </r>
    <r>
      <rPr>
        <sz val="12"/>
        <color rgb="FFF6B26B"/>
        <rFont val="Calibri"/>
        <family val="2"/>
      </rPr>
      <t xml:space="preserve"> </t>
    </r>
    <r>
      <rPr>
        <sz val="12"/>
        <color theme="1"/>
        <rFont val="Calibri"/>
        <family val="2"/>
      </rPr>
      <t>without left turning signal aggressively cut in from the middle lanes.</t>
    </r>
  </si>
  <si>
    <r>
      <rPr>
        <sz val="12"/>
        <color rgb="FFF6B26B"/>
        <rFont val="Calibri"/>
        <family val="2"/>
      </rPr>
      <t>When EGO was pulling out from the rightmost lane of 4 lanes 2 ways jam branch</t>
    </r>
    <r>
      <rPr>
        <sz val="12"/>
        <color theme="1"/>
        <rFont val="Calibri"/>
        <family val="2"/>
      </rPr>
      <t xml:space="preserve">, two cars went straight on the leftmost lane and slowly overtook ego.
</t>
    </r>
  </si>
  <si>
    <r>
      <rPr>
        <sz val="12"/>
        <color theme="1"/>
        <rFont val="Calibri"/>
        <family val="2"/>
      </rPr>
      <t>When EGO was going straight on a 6-lane 2-way jam road, a car slowly cut in from the right 2nd</t>
    </r>
    <r>
      <rPr>
        <sz val="12"/>
        <color rgb="FFF6B26B"/>
        <rFont val="Calibri"/>
        <family val="2"/>
      </rPr>
      <t xml:space="preserve"> </t>
    </r>
    <r>
      <rPr>
        <sz val="12"/>
        <color theme="1"/>
        <rFont val="Calibri"/>
        <family val="2"/>
      </rPr>
      <t>lane.</t>
    </r>
  </si>
  <si>
    <r>
      <rPr>
        <sz val="10"/>
        <color theme="1"/>
        <rFont val="Arial"/>
        <family val="2"/>
      </rPr>
      <t>1.在匝道路口前发生的，没到路口，应该是straight；</t>
    </r>
    <r>
      <rPr>
        <sz val="10"/>
        <color rgb="FF980000"/>
        <rFont val="Arial"/>
        <family val="2"/>
      </rPr>
      <t>是直行4车道变3车道，road shape是straight，road position是merge；</t>
    </r>
    <r>
      <rPr>
        <sz val="10"/>
        <color theme="1"/>
        <rFont val="Arial"/>
        <family val="2"/>
      </rPr>
      <t>fixed
2.fixed</t>
    </r>
  </si>
  <si>
    <r>
      <rPr>
        <sz val="12"/>
        <color theme="1"/>
        <rFont val="Calibri"/>
        <family val="2"/>
      </rPr>
      <t xml:space="preserve">When EGO was passing through the junctiong from the rightmost lanes of 6 lanes 2 ways principal arterial, </t>
    </r>
    <r>
      <rPr>
        <sz val="12"/>
        <color rgb="FFF6B26B"/>
        <rFont val="Calibri"/>
        <family val="2"/>
      </rPr>
      <t xml:space="preserve">a truck that was too close to ego passed through the junction from the right 2rd lane.
</t>
    </r>
  </si>
  <si>
    <r>
      <rPr>
        <sz val="10"/>
        <color theme="1"/>
        <rFont val="Arial"/>
        <family val="2"/>
      </rPr>
      <t>1.没有压实线，但是正常情下右转侵入右侧车道是合规？</t>
    </r>
    <r>
      <rPr>
        <sz val="10"/>
        <color rgb="FF980000"/>
        <rFont val="Arial"/>
        <family val="2"/>
      </rPr>
      <t>我确认一下</t>
    </r>
    <r>
      <rPr>
        <sz val="10"/>
        <color theme="1"/>
        <rFont val="Arial"/>
        <family val="2"/>
      </rPr>
      <t xml:space="preserve">
2.fixed</t>
    </r>
  </si>
  <si>
    <t>Need Delete</t>
  </si>
  <si>
    <t xml:space="preserve">
byd-cn-1</t>
  </si>
  <si>
    <t>Week Number</t>
  </si>
  <si>
    <t>ScenarioId</t>
  </si>
  <si>
    <t>Date</t>
  </si>
  <si>
    <t>Comments Number</t>
  </si>
  <si>
    <t>Good/Bad Example</t>
  </si>
  <si>
    <t>Comments Fix By</t>
  </si>
  <si>
    <t>2022-W02</t>
  </si>
  <si>
    <t>1. Speed Action EA 5 和 Speed Action EA 2 被用于其它action的触发条件，建议将二者的Action Name改为更易读的形式，提高场景的可读性。
2. ACT 1 Maneuver Group 1 中的 Event speed init 可否去掉，直接用 Event Sync 约束 Left car 的目标位置和速度？
3. 原场景中 key car 和 bus 未曾减速到静止，复现场景与原场景不符，且它们的运动状态可能影响ego的预测。</t>
  </si>
  <si>
    <t>little</t>
  </si>
  <si>
    <t>1. key car 的触发trigger 可改为front car通过 【已修改】
2.[option] bus在启动时有heading突变，因为地图引起，可稍微往前调整位置 【已修改】</t>
  </si>
  <si>
    <t>1. 缺少挑战性，速度太低，ego的跟车距离不大可能出现碰撞，可调整前车为主车，考验路口的预判与避免急刹【已修改】
2. title: Behind Car Follows Close 【已修】</t>
  </si>
  <si>
    <t>2022-W01</t>
  </si>
  <si>
    <t>1. sync action 导致干扰车速度有较大变化，个人认为匀速的效果更符合现实情况</t>
  </si>
  <si>
    <t>1. 地图换成更匹配的路口</t>
  </si>
  <si>
    <t>1. init actions - actor0 - speed action 冗余
2. 与视频场景有差异：原视频中右侧车道为直行+红灯，所以才会出现车辆排队等待情况；eds场景中，右侧车道为左转+绿灯，不合逻辑
3. 刻画行为动因：视频中非法换道车在突然变道中途有明显减速（趋近停止），这一行为的动因可能是因为左侧车道也变红，也可能是司机发现后方车辆已无法躲避，双手脱离方向盘放弃治疗。可以考虑体现这些因素，使场景更合逻辑</t>
  </si>
  <si>
    <t>1. 已修改；删除actor0 - speed action
2. 已修改；map update 48899，选取新的junction位置，比较符合视频场景
3. 已修改；disturbing 修改 brake event，选择与ego相对位置小于7米作为触发条件</t>
  </si>
  <si>
    <t>1. 调整了线型（目标车道放在靠中央分割线一侧车道，外侧的可能性较低）和trigger位置（实际位置后移+storyboard中从event移到act中）
2. titile: Not Avoid Straight -&gt; Illegal Turning Around From Right Lane
3. name: Cut In -&gt; Turn Around</t>
  </si>
  <si>
    <t xml:space="preserve">1. 地图：805963.29, 2495379.38处有相似地形
</t>
  </si>
  <si>
    <t>1.已修改；map update 48899，选取805963.29, 2495379.38 create scenario
2.删除front - maneuver group；speed action 放到 init action
3.disturbing 使用simulation time Condition 触发synchronize action 模拟cut in</t>
  </si>
  <si>
    <t>1. title: Lane Change Cross solid line -&gt; Lane Change by Crossing Solid Lane【已修改】
2021-01-18
2. 原视频中，视频车前方车有个加速甩开的过程，增强了右车cut-in的动机，且可以诱骗ego跟着加速；eds场景中始终绑定主车速度，不是很合理
3. 右车lane change时的速度取决于ego，意味着无论ego怎样变化，右车永远在超前2m时以快2m/s的速度cut-in。如果ego提前主动刹车，这种配置方法可能不太合理。建议用固定尾速</t>
  </si>
  <si>
    <t>1、视频中事故发生在带栅栏的u-turn，不是T字型路口；（w17660）
2、视频中ego速度明显要高于9m/s
3、opposite lane的cars是否有用，对ego决策影响应该不大</t>
  </si>
  <si>
    <t>1、distur_car speed up event 速度可以更低一点，ego的考验更大
2、是否需要增加一个双保险呢</t>
  </si>
  <si>
    <t>1、视频中disturb_car在转弯后就开始向左换道，可以把第四个点向后拉一点，提前做u-turn</t>
  </si>
  <si>
    <t>1、Act中ReleaseSpeed 解绑action跟 LaneChangeCar，StopCar，KeyLaneChangeCar第一个action同时触发
2、仿真31.2s才开始触发场景，完全可以提前触发
3、视频中keyLaneChangeCar 已经压到右一lane</t>
  </si>
  <si>
    <t>1、视频车速度为50km/h，ego速度只有8m/s
2、冗余trigger
3、key Condition只约束了速度关系，没有和ego绑定Condition，导致不同版本key在ego前后不同位置</t>
  </si>
  <si>
    <t>1.key car减速度稍大</t>
  </si>
  <si>
    <t>1.视频中红色汽车出现时较EDS的U turn car晚
2.视频中left car刹车点比EDS中晚些，停车的车位已经超过了Uturn的路口</t>
  </si>
  <si>
    <t>1.视频中的左转白车（disturb car）在三车道的最右车道，straight car在三车道的中间车道
2.采用和EGO的纵向距离作为speed up和brake again的trigger，会不会存在EGO加速较快，speedup生效时间特别短，就触发了brake again，导致disturbcar还未左转就停止</t>
  </si>
  <si>
    <t>1.视频中中间车道的黑车（left car1）一直保持在左侧两个车的车后，可以调整一下距离</t>
  </si>
  <si>
    <t>2021-W52</t>
  </si>
  <si>
    <r>
      <rPr>
        <sz val="10"/>
        <color theme="1"/>
        <rFont val="Calibri"/>
        <family val="2"/>
      </rPr>
      <t xml:space="preserve">1. 视频中红色左转车及其前面的白色SUV挡住了左侧直行车辆，导致后者只能闯红灯通过路口。建议在场景中添加白色SUV，使场景更合理。（讨论结果：路口很宽，因此很可能红色左转车是有保护左转，按闯红灯还原场景，无需修改）
2. </t>
    </r>
    <r>
      <rPr>
        <strike/>
        <sz val="10"/>
        <color theme="1"/>
        <rFont val="Calibri"/>
        <family val="2"/>
      </rPr>
      <t>应将Red Light Jumper设置为Obey Traffic Light，而非Left car。</t>
    </r>
    <r>
      <rPr>
        <sz val="10"/>
        <color theme="1"/>
        <rFont val="Calibri"/>
        <family val="2"/>
      </rPr>
      <t xml:space="preserve">（reviewer 误解了Obey Traffic Light 的意思，无需修改）
3. 目前将ego的目的地设为右一车道，会触发ego在路口内向右换道而非直行。建议将ego目的地设为右二车道。（已修改）
4. ACT - Start 的触发条件应为交通灯r236746变绿，而非w30129（此处应为交通灯r87274）变绿。（已修改）
5. </t>
    </r>
    <r>
      <rPr>
        <strike/>
        <sz val="10"/>
        <color theme="1"/>
        <rFont val="Calibri"/>
        <family val="2"/>
      </rPr>
      <t>ACT - Jumper Shows Up Suddenly 里 Maneuver Group - Red Light Jumper 的触发条件 Relative Speed Condition 13 在Left Car减速至停止的过程中无法实现。</t>
    </r>
    <r>
      <rPr>
        <sz val="10"/>
        <color theme="1"/>
        <rFont val="Calibri"/>
        <family val="2"/>
      </rPr>
      <t>（reviewer 对 Relative Speed Condition 的理解有误，无需修改）
----
1. [optional] 能否在ego与 Red Light Jumper 发生碰撞时结束仿真？(已修改)
2. [optional] 能否让 Left car在 Red Light Jumper 通过后继续前行，从而保证场景的完整性？(已修改)</t>
    </r>
  </si>
  <si>
    <t>1. Maneuver - Lane Changer 里 Event - Lateral 及 Lateral Back 可否用 Lane Change Action + Avoid Collision 实现？ （Lane Change Action 可能会造成 heading 突变，不适合用于此处，无需修改）
2. Maneuver - Lane Changer 里 Event - Lane Change Again 的触发条件只考虑了相对ego的横向绝对距离，可能会在ego通过后才触发变道，导致无法对ego产生威胁。（已添加ego纵向距离的条件）</t>
  </si>
  <si>
    <t>1. 仿真未能正常结束，需要进一步调查原因。（仿真挂在planning模块内部，相关fix已经合入developing: 75466079c6bcc1dc3f1937fa94abaa4ff7d25c0b）</t>
  </si>
  <si>
    <t>1. Left Turn car 的消失位置可以再放得远一些，至少要在驶出ego所在车道后。（已修改）</t>
  </si>
  <si>
    <t>1. 目前 Behind bus 的 trajectory 是放在 Initial Actions 里，但 Forefront 的 trajectory 是放在 ACT 中的。建议统一放在 Initial Actions 里，增强可读性。（已修改）
2. 目前通过在ego所在车道放置障碍物迫使ego做换道的动作，是否有必要？可否让ego自己决定是否要换道？（将创建两个场景：A. 将主车起始点放在中间车道上，测试主车在路口内遇到前方行驶缓慢时是否会激进换到左侧车道；B. 将主车起始点放在最左侧车道上，测试主车能否避让右前方换道车辆。以上两个场景均去除迫使ego换道的障碍物。）</t>
  </si>
  <si>
    <t>（注：此场景是610ba1cfac1aa81391efea1f Reviewer Comments里提到的B方案。）</t>
  </si>
  <si>
    <t>1-地图与视频有差异。视频切入车辆是正常的merge，场景地图为逆行。
2-视频中LC过程应该在4s以上
3-超过10m/s解绑速度是因为？</t>
  </si>
  <si>
    <t>1、已修改；调整到opposite Lane
2、已修改；调整LC时间到4s
3、视频中front1车速度小于ego；因此调整front1车速</t>
  </si>
  <si>
    <t>原视频，闯红灯车辆撞上绿灯行驶车辆。复现场景ego直行，其余车辆也直行，此时的红绿灯逻辑和原视频不一致了。
【0104】：
1-信号灯的切换，是否需要和主车位置绑定，避免主车起步时间的影响。
2-disturbing车辆的起步加速度是不是过高，2s 达到 8m/s，起步慢一点，可能对主车可能更难一些。</t>
  </si>
  <si>
    <t>1、已修改；修改绿灯时间未8s
20220105
1、r196527触发条件在ego行驶到斑马线上后
2、disturbing速度降低到5m/s</t>
  </si>
  <si>
    <t>1-原视频左边车道的车流可能会对ego产生影响
2-原视频cutin时前方车辆也有减速</t>
  </si>
  <si>
    <t>【0104】：
1-建议ego起步地点远一些，让ego到达路口的速度完全是自己控制的状态</t>
  </si>
  <si>
    <t>1、name：continus？or aggresively；关键车辆命名是否要与其它参与actor不同；
2、从视频看，ego到达crosswalk时，leftcar1已经快要通过juntion，ego不减速也可以安全通过，主要是要与leftcar2博弈，leftcar2此时刚通过crosswalk；eds需要接近视频</t>
  </si>
  <si>
    <t>1、title: Continuously Lane Change and Cutin Aggressively at Highway 
2、disturb_LC avoid collision?
3、disturb_LC 有两个event，触发条件相同，可以优化
4、ego所在lane限速22.22,disturb_LC cutin时车速为21。在front_left speed up后，如果ego加速激进，cutin条件不确保满足。</t>
  </si>
  <si>
    <t>1、evnet name
2、midveh车速不是很合理，可以直接给出纵向相对距离，适当位置解除绑定即可
3、disturb车速稍高</t>
  </si>
  <si>
    <t>1、actor name
2、slowdown减速度稍大
3、lc shape--sin目前不支持</t>
  </si>
  <si>
    <t>1、交通车、Action、场景命名
2、对向车道卡车是否考虑加上去，可以让Ego左侧车辆停止有理由</t>
  </si>
  <si>
    <t>1、交通车、Action、场景命名
2、有个Trigger多余？</t>
  </si>
  <si>
    <t>1、交通车、Action、场景命名
2、实现方式？</t>
  </si>
  <si>
    <t>1、交通车、Action、场景命名
2、Actor尾速</t>
  </si>
  <si>
    <t>1、交通车、Action、场景命名
2、Actor1多余？</t>
  </si>
  <si>
    <t>2021-W51</t>
  </si>
  <si>
    <t>1. maneuver cutin car line and speed中同时配置了speed action和synchronize action，只有后者能生效，前者可以删掉。或者前者放在另外event中，先于sync action执行
2.[optional] left car增加一个左nudge行为，更贴近原视频，也可作为陷阱，诱骗ego也做出nudge行为
3. title: Bus Merge Aggressively By Crossing 2 Lanes</t>
  </si>
  <si>
    <t>1. [optional] titile: Opposite-way Car's Unprotected Left Turning Abort</t>
  </si>
  <si>
    <t>1. 对向车道似乎更合适，跟原视频相似，且路边有parking车辆相对合理
2. Event Cutin中配置了两个condition，其中speed &gt; 10没有起效果，似乎没有必须要用的逻辑
3. Lane Change Action, Linear -&gt; Cubic
4. Lane Change Action的offset反了？0.5 -&gt; -0.5
5. 建议横纵向分开控制：
    ①. 纵向：前期用LongDisAction保持在ego后方，某个trigger后用LongDisAction切换跟车目标为前车
    ②. 横向：trigger后并道，condtion可选用dis/ttc等相对parking车距离
6. Init的相关action配置在Initial Actions里或单独的Act</t>
  </si>
  <si>
    <t>1. [optional] title: Not Avoid Going Straight inside Junction -&gt; Car Merge Without Caring About Straight-way Vehicle At T-junction 【已改】</t>
  </si>
  <si>
    <t>1. 地图：加塞的动因不足，且原视频是高速事故，建议红绿灯路口-&gt;高速或高架入口【已改】
2. Lane Change Action, Linear -&gt; Cubic 【已改】
3. 换道绑定在ego上，总是在ego前2m处触发切入，不是很合理【改为绑定主车前车】</t>
  </si>
  <si>
    <t>1.视频中为三车道并两车道；
2.视频中actor-cutin有明显的减速，视频开始时基本是与actor-front在一个相同的水平位置；
3.视频中actor-cutin在并入EGO车道一半时，基本已经与actor-cutintruck差了一个车位，actor-cutin可以在actor-cutin truck换道时，先减速然后在换道至EGO车道；</t>
  </si>
  <si>
    <t>1.Even-followtrajectory中的speed condition是没有起作用的？[已改]</t>
  </si>
  <si>
    <t>1.actor1好像没有用到，可以去掉
2.命名可以修改一下</t>
  </si>
  <si>
    <t>1、已修改
2、已修改</t>
  </si>
  <si>
    <t>1.ego TP 设置太远，35s之后才看到场景发生
2.ego 车辆类型尽量选择pacifica
3.motor 与 disturbing 在junction相撞了
4.motor 速度绑定在largeVeh上，而largeVeh和ego又是触发sync action，逻辑有点复杂，是否可以简化一下</t>
  </si>
  <si>
    <t>1.视频中行人会在斑马线停下来，场景未体现出来
2.视频disturbing  LC 后礼让persistrain，完全停止，不会与persistrain相撞
3.persistrain TP 和flow trajectory 对不上</t>
  </si>
  <si>
    <t>1.视频中disturb 和 ego 速度在相碰的速度差不多；仿真时，ego速度为7m/s，disturb为3m/s
2.disturb 与 straight 相撞了</t>
  </si>
  <si>
    <r>
      <rPr>
        <sz val="10"/>
        <color theme="1"/>
        <rFont val="Calibri"/>
        <family val="2"/>
      </rPr>
      <t xml:space="preserve">1.title:-&gt; </t>
    </r>
    <r>
      <rPr>
        <b/>
        <sz val="10"/>
        <color theme="1"/>
        <rFont val="Calibri"/>
        <family val="2"/>
      </rPr>
      <t>aggressively</t>
    </r>
    <r>
      <rPr>
        <sz val="10"/>
        <color theme="1"/>
        <rFont val="Calibri"/>
        <family val="2"/>
      </rPr>
      <t xml:space="preserve"> cut in </t>
    </r>
    <r>
      <rPr>
        <b/>
        <sz val="10"/>
        <color theme="1"/>
        <rFont val="Calibri"/>
        <family val="2"/>
      </rPr>
      <t xml:space="preserve">before </t>
    </r>
    <r>
      <rPr>
        <sz val="10"/>
        <color theme="1"/>
        <rFont val="Calibri"/>
        <family val="2"/>
      </rPr>
      <t>traffic light
2. 切入trigger可调整为前车与ego距离&amp;与ego距离</t>
    </r>
  </si>
  <si>
    <t>1.左车道可减少车辆
2.可添加左车道车辆的刹车动作（如1-&gt;0）
3.增加一个同车道的前车顺利通过
4.visibility action为何需要对trafffic不可见？
5. cut in 车轨迹可调整更垂直ego车道或直接沿汇车lane
6.改speed的trajectory为无约束，添加speed action</t>
  </si>
  <si>
    <t>1.title:Aggressive Overtake During Left Turn 
2.标题名为overtake但taxi一直在ego前方，考虑加入加速再换道的过程
3. 轨迹不平滑且终点处有跳变，可均匀取点并在后面再加一个平行车道的点 或 改为lane change action(可以试试)</t>
  </si>
  <si>
    <t>1.title:-&gt;merge on highway
2.可适当调整轨迹线，最好能生成merge卡车车道的预测线
3.改speed约束的trajectory为无约束+speed action</t>
  </si>
  <si>
    <t>2021-W50</t>
  </si>
  <si>
    <t>1. Maneuver Group 5 中的 Maneuver Brake 在仿真中没有被成功触发，是否是预料中的？[已改，trigger从捕获maneuver变为action]</t>
  </si>
  <si>
    <t>1. Maneuver Group 1 中的 Event - Invisiable 目前将 actor-Motor 设置为了 visiable。[已改]
2. Maneuver Group 2 中的 ReleaseFL 和 SlowDown 触发时机相同，建议合并为一个Event。[已改]
3. 主车和左方车绑定速度，解除后，左方车和自行车同步动作 [已改]</t>
  </si>
  <si>
    <t>1. 对视频的理解有差异：视频中大车行驶在U-turn目标路段的左二车道，大车后方车辆在U-turn汇入口附近想超越大车，U-turn车辆未及时避让导致碰撞。---大车左2车道，后方车辆换道超车[已改]</t>
  </si>
  <si>
    <t>1. Entities 配置中，应将 actor-Bicycle 设置为 Obey Traffic Signal，而非 actor0。[已改]
2. actor0 始终与 ego 绑定，对测试 ego 功能帮助不大，可适时 release actor0，检测 ego 是否会向右避让导致碰撞风险。[已解除绑定]
3. ego 所在车道对应的交通灯目前设置为 30s 绿灯，如果 ego 车速变慢可能会错过，建议设置为默认长绿。（信号灯绑定ID,设置红灯）[修改红绿灯设置]</t>
  </si>
  <si>
    <t>1. Act 2 中 actor - LeftChagne 向左换道的动作对测试无影响，可移除。[已保留]
2. Act 2 比 Act 1 先发生，建议调换两个 Act 的名字，或分别以 Act 的内容命名，提高场景可读性。[已改]
3. actor - CollisionRisk 与 actor Front 发生碰撞，建议避免。 [已改，设置 ego 对 actor - CollisionRisk 不可见且开启 actor - CollisionRisk 的防撞，达到 actor - CollisionRisk 避免与 actor Front 碰撞且不让行 ego 的效果]</t>
  </si>
  <si>
    <t>2021.12.16</t>
  </si>
  <si>
    <t>1. release 与 brake同为speed action且触发时机相同，建议可删掉release，仅保留brake ok
2. left car release之后速度不确定即刹车距离不确定，即key car 与 left car理论上可能发生碰撞，建议加入key car等待left 通过的减速，及通过后的再加速（overwrite）?
3. 建议也加入back car 的release ok
4. title: Aggressively change three lanes for U-turn</t>
  </si>
  <si>
    <t>2021.12.22</t>
  </si>
  <si>
    <t>1. 所有event的trigger可删掉，移到Act的trigger
2. key car起始朝向与道路有diff
3. title: Merge Aggressively on Straight Lane?
4.事件触发时，如果EGO速度不够，key car速度为ego - 1，可能会出现速度低于middle致使相撞，建议增加middle同时减速至3，避免此情况?</t>
  </si>
  <si>
    <t>1.障碍车切入的位置与主车位置无相对关系，可能会切入时追主车的尾[high]
2.主车到达路口时与前车的相对位置较视频远。是否是因为主车启动初始化时间过长[low]
3.障碍车完成flo tra之后，出现很明显的摆头现象，是feature还是需要处理一下？[low]</t>
  </si>
  <si>
    <t>1.无交互车，无storyboard</t>
  </si>
  <si>
    <t>1.命名：event体现行为动作
2.从视频看，主车到路口中间时，对向来车基本越过了斑马线[low]
3.自行车的位置离本车道较近，导致障碍车切入时需要减速避让自行车[high]
4.障碍车换道时，基于ego做偏移，会发生多次摆头现象，改为了基于自身做偏移
5.原视频换道未完成便开始减速，对ego挑战更大一些[high]
2-1 右前方车辆与自行车发生了碰撞</t>
  </si>
  <si>
    <t>1.actor与event的命名，便于阅读
2.event2，速度绑定是否有必要，不管绑定不绑定，都是按照定速行驶？</t>
  </si>
  <si>
    <t>1.视频中1001为静止车辆，且处于道路的右边侧
2.视频中1002与主车相遇时，基本越过了1001
3.有多辆车进行借道车道（至少两辆）
2-1 1001车辆静止，靠路边
2-2 绕行车辆靠车道右侧，留下一点给主车nudge的空间</t>
  </si>
  <si>
    <t>1、title:Aggressively change Lane on cross line
2、actor and manuver name
3、视频中disturbing car cutin 时，ego右侧车辆感觉比较重要，EDS中未体现
4、查看仿真效果时，disturbing car heading左右晃动，建议采用其它方式控制cutin</t>
  </si>
  <si>
    <t>1、case title 不是很恰当
2、actor 和 manuver name需要修改
3、好像scenario没有做完，关键car没有</t>
  </si>
  <si>
    <t>1、重构了scenario，scenario id变了；</t>
  </si>
  <si>
    <t>1、right5是不是适当给点车速</t>
  </si>
  <si>
    <t>1、已修改；right5增加2s速度到1m/s</t>
  </si>
  <si>
    <t>1、两个visiblity action应该没有起作用，可以删除</t>
  </si>
  <si>
    <t>1、已修改；两个visiblity action已删除</t>
  </si>
  <si>
    <t>1、disturb car speed down（0s to 0m/s）与LC同时执行，导致disturb car cutin动作不合理，需要修改cutin 逻辑；</t>
  </si>
  <si>
    <t>1、已修改；之前可能保存出错了，speed down（0s to 0m/s；实际上设置为3s to 5m/s）;删除sync，使用longitude action
2、使用flow trajectory 代替LC</t>
  </si>
  <si>
    <t>1、建议绑定disturbing 和ego的纵向距离作为换道触发条件</t>
  </si>
  <si>
    <t>1、已修改</t>
  </si>
  <si>
    <t>from @hanshen:
1. map: 主车左侧不应有空车道
2. 强行超车actor换回原车道的时间点应绑在与右车道前方障碍车的距离上
3. 强行超车actor的加速Event可以与第一次换道Event合并
4. 右换道可适当加左偏移
5. naming: title: -&gt; Aggressive Overtaking from Narrow Gap of Cars</t>
  </si>
  <si>
    <t>1、Storyboard中Act1、Act2是否可以考虑合并？
2、Act1、Act2中EVENT的名字可修改一下
3、Actor1出现的速度是绝对速度，如果算法版本发生变化，Ego到达指定位置时速度发生变化，会不会影响测试效果？</t>
  </si>
  <si>
    <t>1、Act中EVENT的名字可修改一下
2、换道过程是不是太快了？
3、建议再将起点设置远一些，避免出现达不到合适速度的情况</t>
  </si>
  <si>
    <t>1、速度释放点要确认好</t>
  </si>
  <si>
    <t>from @nanshuzhao:
1. 可将actor1的keep distance移入init，然后可将两act合并，共用一个trigger
2. 视频中前车减速是发生在换道发生之后，考虑添加这一情况
3. 建议去掉actor的avoid collision，手动调整速度（actor0 的减速动作）
4. actor1减速为减至固定值，可能由于策略不同（如到达时低速）使场景失去意义</t>
  </si>
  <si>
    <t>2021.12.21</t>
  </si>
  <si>
    <t>from @nanshuzhao:
1. 哪个车作为主车更合适(需讨论)
2. actor 2 速度与ego没有绑定，即到达时间固定，是否可能出现 离开太早，未触发规避，从而场景改变的情况， 建议可增加同步ego到近点，然后再加速通过
3. 如果2需要更改，actor1也需要调整防止与actor2相撞</t>
  </si>
  <si>
    <t>2021-W49</t>
  </si>
  <si>
    <t>1. namings:
(1). title: Cross Solid Line Lane Change -&gt; Cross Solid Line to Turn Right at Intersection
(2). actors: actor0 -&gt; stationary_car; actor1 -&gt; turning_car; actor2 -&gt; right car
(3). Act1 -&gt; Act - Illegal Right Turning
(4). Maneuver1 -&gt; Turn Right
(5). Event4 -&gt; Event - Speed Up
2. actor1(turning_car)的tp位置设为与轨迹起始点一致
3. Event4(Event Speed Up)的Trigger挪到Act1(Act - Illegal Right Turning)中，作为场景关键行为的开始点
4.车型由byd-cn-001设为byd-cn-1
5. 对actor1(right_car)的控制改为longitudinal_distance_action(保持在EGO后10m)，解除绑定点与关键行为Trigger一致
6. actor0(turning_car)增加停止等待右侧车道车辆经过后再启动的过程（意味着EGO必须刹停）</t>
  </si>
  <si>
    <t>1. 主车play视频视角车，测试目的是“目击一场车祸”？而且两个actor车并不一定会碰撞（actor1绑定的仿真时间，actor0绑定的EGO，交互行为不能保证发生）</t>
  </si>
  <si>
    <t>1. 取消actor cutin的avoid collision和obey traffic signal
2. 轨迹由右转改为靠边停车
3. naming:
(1). actor cutin -&gt; pullOverCar
(2). Maneuver 1 -&gt; Brake
(3). Maneuver 2 -&gt; Pull Over
(4). title: Lane Change Continuous Aggressive -&gt; Change 2 Lanes Aggressively to Pull Over
4. vehicle: byd-cn-001 -&gt;byd-cn-1
5. 原视频中，视频视角车本来在中间车道，觉得前车太慢才换到右车道的（可以忽略，但是场景意义不一样）</t>
  </si>
  <si>
    <t>1. actor2的Teleport点与轨迹起点不一致，有jump
2. 取消turning_car(actor2 cut in car)的avoid collision
3. 取消Act 2，将bus的同步动作挪到init中，并将bus的目标点提前到丁字路口前
4.对于turning_car(actor2 cut in car)，增加从路边进入车道内的过程，并且轨迹改为掉头
5. vehicle: byd-cn-001 -&gt; byd-cn-1
6. naming:
(1). actor0 tool car -&gt; parked1; 
(2). actor1 tool car -&gt; parked2;
(3). actor3 left car -&gt; bus
(4). actor2 cut in car -&gt; turning_car
(5). Act 1, Maneuver 1 -&gt; Turn Round
(6). title: Turn Aggressive inside Junction -&gt; Illegal Turning Round at Junction</t>
  </si>
  <si>
    <t>1.对向车看错信号灯，EGO无过错且无规避手段，建议去掉</t>
  </si>
  <si>
    <t>1. 解除速度绑定时的交通流速度由8m/s改为10m/s
2. 取消所有actor的avoid collision
3. typo: realsese -&gt; release; inialspd -&gt; initialSpeed
4. naming: Maneuver 1 -&gt; ChangeLane; Maneuver 2 -&gt; Change2Lanes</t>
  </si>
  <si>
    <t>1. naming: title: Illegal Lane Change -&gt; Illegal U-Turn from Right Lane
2. vehicle: byd-cn-001(deprecated) -&gt; byd-cn-1</t>
  </si>
  <si>
    <t>1.title:Pull Out Aggressive -&gt;  Left Nudge Aggressive
2.缺少视频中左拐干扰车；如果scenario出现左拐干扰车，ego应该会明显减速</t>
  </si>
  <si>
    <t>1.视频中，主车应该要左转，干扰车也应该左转
2.title 模糊</t>
  </si>
  <si>
    <t>基于以上场景新增B方案</t>
  </si>
  <si>
    <t>1.场景和视频对应不上</t>
  </si>
  <si>
    <t>1.视频刚开始，ego和前方车辆保持一定距离，缺少保持车距车辆
2.视频中，红色车辆向右LC时，是减速状态</t>
  </si>
  <si>
    <t>1.视频中，actor2在到ego车道时，已经完全横过来了；scenario actor2 follow trajectory 第二点可以向下修改一下</t>
  </si>
  <si>
    <t>1.可以把disturbing的位置与EGO绑定，建议使用同步action
2.可以把opposite1，2的车速放在initial action里面</t>
  </si>
  <si>
    <t>1.oppsite1修改成truck [done]
2.单独scenario测试过，ego不管多远，在这个路口通过的速度维持恒定；没有找到带红绿灯，只有两车道的junction</t>
  </si>
  <si>
    <t>1.disturbing 距离EGO过远，视频中看距离小于40m，disturbing车辆的action对EGO没有太多的影响
2.可以先将disturbing的车速定位小于车道的限速，保证EGO与disturbing的距离越来越小，建议距离小于25m左右时，让disturbing车辆有减速和换道行为</t>
  </si>
  <si>
    <t>1.保持disturbing 距离EGO过远，主要是想让ego能有一段时间的定速巡航；当ego保持定速巡航时，前车突然减速，ego也会减速；
2.视频刚开始disturbing 明显在本车道有一个减速行为；</t>
  </si>
  <si>
    <t>1.建议把disturbing换成large vehicle
2.建议EGO的行程再拉长一些，让EGO以稳定的车速且保持固定跟车距离行驶时，再让disturbing向左换道</t>
  </si>
  <si>
    <t>1.主要还是想让ego车能有一段时间保持定速巡航；视频中，disturbing速度明显小于ego，后续ego肯定会追上disturbing；如果使用同步action，disturbing速度不是很好控制
2.可以把opposite1，2的车速放在initial action里面 [done]</t>
  </si>
  <si>
    <t>1.可以先让EGO跟随车流行驶时间长一些，保证EGO在稳定情况下的跟车距离后，让disturbing减速换道
2.整体车流可以往后移，视频中是4车道，EDS选择的车道位置是4车道变三车道的位置，left1，2和mid车辆会有碰撞
3.EGO的终点位置和actor的速度可以直接填在initial action里面</t>
  </si>
  <si>
    <t>1.视频中场景是，道路拥堵，车辆都是静止状态；从视频中来看，ego车明显是起步晚了，导致disturbing车可以cut in
2.视频中场景，应该是4变3
3.主要是让ego模拟起步晚的情况，simulation time Condition会晚一秒；actor就一个speed action，没必要放在init speed中吧？</t>
  </si>
  <si>
    <t>1. 干扰车的速度为ego到达某点从零开始升值定值，可能会错过冲突点</t>
  </si>
  <si>
    <t>1、已优化触发位置</t>
  </si>
  <si>
    <t>2021-W48</t>
  </si>
  <si>
    <t>2021-W43</t>
  </si>
  <si>
    <r>
      <rPr>
        <u/>
        <sz val="11"/>
        <color rgb="FF1155CC"/>
        <rFont val="Arial"/>
        <family val="2"/>
      </rPr>
      <t>LINK</t>
    </r>
    <r>
      <rPr>
        <u/>
        <sz val="11"/>
        <color rgb="FF000000"/>
        <rFont val="Arial"/>
        <family val="2"/>
      </rPr>
      <t xml:space="preserve"> </t>
    </r>
    <r>
      <rPr>
        <u/>
        <sz val="11"/>
        <color rgb="FF1155CC"/>
        <rFont val="Arial"/>
        <family val="2"/>
      </rPr>
      <t>https://drive.google.com/drive/folders/1Yj-JF7kcA4tuI9lGTIDT9KZW2gp6q5IC</t>
    </r>
    <r>
      <rPr>
        <u/>
        <sz val="11"/>
        <color rgb="FF000000"/>
        <rFont val="Arial"/>
        <family val="2"/>
      </rPr>
      <t xml:space="preserve"> </t>
    </r>
  </si>
  <si>
    <t>none</t>
  </si>
  <si>
    <t>2021-W42</t>
  </si>
  <si>
    <t>1. 想了一下我还是给改成用visibiility实现了，lane change虽然效果一样，但是别人看这个场景可能会有疑惑。Zhiwen Wang approved
2. 标题我给改成了EGO Merge。Zhiwen Wang approved</t>
  </si>
  <si>
    <t>1、relative position功能更新后进行更改路线</t>
  </si>
  <si>
    <t>much</t>
  </si>
  <si>
    <t>1. 交通流的初始速度用了step 10m/s，主车追上需要很长时间，可以改成缓慢加速到目标速度。（Chassis Action可用后可改善这个问题）
2. 交通流速度可以再提高，10m/s距离道路限速还很远。
3. Act - Right的trigger是EGO速度&lt;15m的瞬间，不合理。如果想让事故发生在“抵近”过程中，用相对距离合适；如果想让事故放生在“巡航”过程中，应当在主车速度稳定后触发。
4. mid2的减速和刹车触发时机可以绑定到前车mid1的速度上，更符合逻辑。而且mid2的刹车最好在换道前。</t>
  </si>
  <si>
    <t>1. 4条Reviewer Comment[done]</t>
  </si>
  <si>
    <t>commited</t>
  </si>
  <si>
    <t>new</t>
  </si>
  <si>
    <t>W02</t>
  </si>
  <si>
    <t>W01</t>
  </si>
  <si>
    <t>W52</t>
  </si>
  <si>
    <t>W51</t>
  </si>
  <si>
    <t xml:space="preserve">
</t>
  </si>
  <si>
    <t>W50</t>
  </si>
  <si>
    <t>W49</t>
  </si>
  <si>
    <t>W48</t>
  </si>
  <si>
    <t>W42 - W47</t>
  </si>
  <si>
    <t>Sum</t>
  </si>
  <si>
    <t>原场景总计</t>
  </si>
  <si>
    <t>已抛出</t>
  </si>
  <si>
    <t>新增</t>
  </si>
  <si>
    <t>已经弃用（改用Sheet1）</t>
  </si>
  <si>
    <t>徐达</t>
  </si>
  <si>
    <t>孟凌宇</t>
  </si>
  <si>
    <t>王志文</t>
  </si>
  <si>
    <t>王贺鹏</t>
  </si>
  <si>
    <t>靳伟</t>
  </si>
  <si>
    <t>申志昂</t>
  </si>
  <si>
    <t>修改</t>
  </si>
  <si>
    <t>60e7c51f9745102151c5d975（下周review）</t>
  </si>
  <si>
    <t>重建：原起步就进行切入，用的follow tra。改为运行一段时间切入，先加速再减速切入</t>
  </si>
  <si>
    <t>60e7dd229745102151c5e3bd（下周reveiw）</t>
  </si>
  <si>
    <t>修改：原follow tra heading不合适，且有位置跳动。删除初始化的tele port</t>
  </si>
  <si>
    <t>60e7ec819745102151c5e7b7（修改）</t>
  </si>
  <si>
    <t>修改：原突然follow tra，改为开始就follow tra，增加sync</t>
  </si>
  <si>
    <t>60e801ca9745102151c5f36a（修改）</t>
  </si>
  <si>
    <t>重建：原距离目标太远，无难度，tra follow 地点瞬移问题。重建。</t>
  </si>
  <si>
    <t>610b7fefac1aa81391efdb44</t>
  </si>
  <si>
    <t>修改：通过tra fl进行并道，地点瞬移。修改</t>
  </si>
  <si>
    <t>60f7dbc5d0ab4e15c152b8fd（修改）（fixed待review）</t>
  </si>
  <si>
    <t>60ebaf9af0f7eb451f79c1af（修改）</t>
  </si>
  <si>
    <t>60f80431d0ab4e15c152c1d1（修改）（fixed待review）</t>
  </si>
  <si>
    <t>60ebb649f0f7eb451f79c41f（修改）</t>
  </si>
  <si>
    <t>60f80989d0ab4e15c152c343（修改）（fixed待review）</t>
  </si>
  <si>
    <t>60ebbd0ef0f7eb451f79c7c7（修改）</t>
  </si>
  <si>
    <t>60f81624d0ab4e15c152ca83（修改）（fixed待review）</t>
  </si>
  <si>
    <t>610bb3a7ac1aa81391eff794</t>
  </si>
  <si>
    <t>60f81e2ad0ab4e15c152cd47（修改）（fixed待review）</t>
  </si>
  <si>
    <t>60f8d302aa09fe54566eec0e（修改）</t>
  </si>
  <si>
    <t>6111e7c13b77af5bf1e3a525</t>
  </si>
  <si>
    <t>60ec0a5af0f7eb451f79d87d（修改）</t>
  </si>
  <si>
    <t>60f96174c751762520d66192（修改）</t>
  </si>
  <si>
    <t>60ecfa3df0f7eb451f79e2ed（修改）</t>
  </si>
  <si>
    <t>60ed08e1f0f7eb451f79e877（修改）</t>
  </si>
  <si>
    <t>60ed7b1cf0f7eb451f79ef91（修改）</t>
  </si>
  <si>
    <t>60fa56833f61e54a1d8ee2b2（修改）</t>
  </si>
  <si>
    <t>修改，原：切入条件为仿真时间，未考虑与ego相对位置关系。关键比较简单，与实际不相符。实际中间车辆静止</t>
  </si>
  <si>
    <t>60ed85acf0f7eb451f79f2fd（修改）</t>
  </si>
  <si>
    <t>60fa63db3f61e54a1d8ee43c（修改）</t>
  </si>
  <si>
    <t>修改，原：仿真时间作为切入触发条件，未考虑与ego相对位置关系，地图选择不当，为实线，影响换道</t>
  </si>
  <si>
    <t>60ed8da2f0f7eb451f79f5bb（修改）</t>
  </si>
  <si>
    <t>修改，微调目标车状态，但Ego车在摇摆？</t>
  </si>
  <si>
    <t>60ed93e6f0f7eb451f79f7d9/
61610d3fa64eeb339ff605fd(重建)</t>
  </si>
  <si>
    <t>修改，将原场景以仿真时间为触发的trigger改为以位置为trigger</t>
  </si>
  <si>
    <t>修改，actor0换道类型由“absolute target lane”切换为“relative target lane”，参考自己</t>
  </si>
  <si>
    <t>60fe8240df3a195d8e1dd776（修改）</t>
  </si>
  <si>
    <t>修改，微调同步点</t>
  </si>
  <si>
    <t>60ee98367ef735732c5e975e（修改）</t>
  </si>
  <si>
    <t>修改，删除actor0-3非必要的Action-Acquire Position Actio</t>
  </si>
  <si>
    <t>60eea13f7ef735732c5e9bae（修改）</t>
  </si>
  <si>
    <t>复现不够准确</t>
  </si>
  <si>
    <t>60e565177c361a3884916aa0</t>
  </si>
  <si>
    <t>修改，删除非必要的Action-Acquire Position Action，调整actor1行驶轨迹，以及actor4状态，提高场景还原精度</t>
  </si>
  <si>
    <t>修改，删除非必要的Action-Acquire Position Action</t>
  </si>
  <si>
    <t>60ffca4fdf3a195d8e1e07a4（修改）</t>
  </si>
  <si>
    <t>修改，原场景以主车速度作为交通车横穿触发条件，修改为以位置为trigger</t>
  </si>
  <si>
    <t>60efcc697ef735732c5eb731（修改）</t>
  </si>
  <si>
    <t>60ffd36ddf3a195d8e1e0c10（修改）</t>
  </si>
  <si>
    <t>修改，切入时机不合适，调小切入trigger的距离为16米，并删除切入后的lateral distance action</t>
  </si>
  <si>
    <t>60efdde07ef735732c5ebbe3（修改）</t>
  </si>
  <si>
    <t>60ffeadbdf3a195d8e1e1456（修改）</t>
  </si>
  <si>
    <t>场景还原度</t>
  </si>
  <si>
    <t>测试意义</t>
  </si>
  <si>
    <t>场景优先级</t>
  </si>
  <si>
    <t>场景设计质量</t>
  </si>
  <si>
    <t>命名</t>
  </si>
  <si>
    <t>场景</t>
  </si>
  <si>
    <t>actor</t>
  </si>
  <si>
    <t>action</t>
  </si>
  <si>
    <t>trigger</t>
  </si>
  <si>
    <t>车辆地图属性</t>
  </si>
  <si>
    <t>车辆匹配、地图匹配</t>
  </si>
  <si>
    <t>车辆行为</t>
  </si>
  <si>
    <t>位置跳动</t>
  </si>
  <si>
    <t>速度绑定解绑</t>
  </si>
  <si>
    <t>冗余的trigger、action</t>
  </si>
  <si>
    <t>场景通用性</t>
  </si>
  <si>
    <t>主车行为的正常变化会导致场景失效</t>
  </si>
  <si>
    <t>60f7dbc5d0ab4e15c152b8fd（修改）(done)</t>
  </si>
  <si>
    <t>60e53aa47c361a3884916067（Done）</t>
  </si>
  <si>
    <t>60f80431d0ab4e15c152c1d1（修改）(done)</t>
  </si>
  <si>
    <t>60e3d1f87f92312855390267（Done）</t>
  </si>
  <si>
    <t>60e7ec819745102151c5e7b7（待review）</t>
  </si>
  <si>
    <t>60f80989d0ab4e15c152c343（修改）(done)</t>
  </si>
  <si>
    <t>60e4511ab6df5340a90948ad（Done）</t>
  </si>
  <si>
    <t>60e7fe4a9745102151c5f20b（待review）</t>
  </si>
  <si>
    <t>60f81624d0ab4e15c152ca83（修改）(done)</t>
  </si>
  <si>
    <t>60e410dab6df5340a909299e（Done）</t>
  </si>
  <si>
    <t>60e801ca9745102151c5f36a（待review）</t>
  </si>
  <si>
    <t>60f81e2ad0ab4e15c152cd47（修改）(done)</t>
  </si>
  <si>
    <t>60e456dbb6df5340a9094a34（Done）</t>
  </si>
  <si>
    <t>60e811a29745102151c5f885（待review）</t>
  </si>
  <si>
    <t>60f8d302aa09fe54566eec0e（修改）(done)</t>
  </si>
  <si>
    <t>60e54be47c361a38849164f4（Done）</t>
  </si>
  <si>
    <t>60f8f5b32e39434c0520b3f3 （修改）(done)</t>
  </si>
  <si>
    <t>60e572167c361a38849170dd(删除）
变更为61c4134ec6f7dccb516dcf12（Done）</t>
  </si>
  <si>
    <t>60f96174c751762520d66192（修改）(done)</t>
  </si>
  <si>
    <t>60e6676a7c361a3884917c71(Done)</t>
  </si>
  <si>
    <t>60f96994c751762520d66512  （修改）(done)</t>
  </si>
  <si>
    <t>611d060fdb826f2d8ee08ff4(Done)</t>
  </si>
  <si>
    <t>60f96e3fc751762520d66744（修改）(done)</t>
  </si>
  <si>
    <t>611e3446daa420459fb222f5(Done)</t>
  </si>
  <si>
    <t>60fa56833f61e54a1d8ee2b2（修改）(done)</t>
  </si>
  <si>
    <t>612457e48299e360810ab292(Done)</t>
  </si>
  <si>
    <t>60fa63db3f61e54a1d8ee43c（修改）(done)</t>
  </si>
  <si>
    <t>6124b1de8299e360810ab8ac(Done)</t>
  </si>
  <si>
    <t>60fa7bc33f61e54a1d8eecda    （修改）</t>
  </si>
  <si>
    <t>6125e78bbc511c59f47d3e44(Done)</t>
  </si>
  <si>
    <t>60fa84743f61e54a1d8eefca（修改）(done)</t>
  </si>
  <si>
    <t>6125f0e7bc511c59f47d41f2(Done)</t>
  </si>
  <si>
    <t>60fe6cb7df3a195d8e1dcf66（修改）(done)</t>
  </si>
  <si>
    <t>6111f6273b77af5bf1e3aa85(Done)</t>
  </si>
  <si>
    <t>60fe786bdf3a195d8e1dd44e（修改）</t>
  </si>
  <si>
    <t>61b825ba722dff5a3a8aa9bc(修改)</t>
  </si>
  <si>
    <t>6111fd3d3b77af5bf1e3adf1(Done)</t>
  </si>
  <si>
    <t>610b8cf7ac1aa81391efe1b2(修改)</t>
  </si>
  <si>
    <t>60e2f4d081401953ad0ac279(Done)</t>
  </si>
  <si>
    <t>60ffa370df3a195d8e1dfa1c（修改）</t>
  </si>
  <si>
    <t>610b988dac1aa81391efe801(修改)</t>
  </si>
  <si>
    <t>6103debe69d91b4f11bb64a2(Done)</t>
  </si>
  <si>
    <t>60ffa901df3a195d8e1dfcb4（修改）</t>
  </si>
  <si>
    <t>610ba1cfac1aa81391efea1f(修改)</t>
  </si>
  <si>
    <t>61235115e6f4a36d18742fd6(Done)</t>
  </si>
  <si>
    <t>60ffb48bdf3a195d8e1e01e8（修改）</t>
  </si>
  <si>
    <t>61aecc8d2691f142c6bbb30a(修改)</t>
  </si>
  <si>
    <t>60e406a11ca7680860a50da7(Done)</t>
  </si>
  <si>
    <t>60ffc370df3a195d8e1e04e6（修改）</t>
  </si>
  <si>
    <t>60e55ccf7c361a3884916737
变更为6184e410663bbe3bf5cf3ce0(Done)</t>
  </si>
  <si>
    <t>611265033b77af5bf1e3bf35（修改）</t>
  </si>
  <si>
    <t>61aed8ba2691f142c6bbb543(修改)</t>
  </si>
  <si>
    <t>60e565177c361a3884916aa0
变更为618e1075663bbe3bf5cf46d9(Done)</t>
  </si>
  <si>
    <t>视频URL</t>
  </si>
  <si>
    <t>视频标题</t>
  </si>
  <si>
    <t>上传时间</t>
  </si>
  <si>
    <t>Pick No</t>
  </si>
  <si>
    <t>https://www.iqiyi.com/v_2f2f58zebu8.html</t>
  </si>
  <si>
    <t>2022交通事故合集（第二十期）</t>
  </si>
  <si>
    <t>2022-01-25上传</t>
  </si>
  <si>
    <t>https://www.iqiyi.com/v_205j4vv3pz0.html</t>
  </si>
  <si>
    <t>2022交通事故合集（第十九期）</t>
  </si>
  <si>
    <t>2022-01-24上传</t>
  </si>
  <si>
    <t>https://www.iqiyi.com/v_1xojfx1iy54.html</t>
  </si>
  <si>
    <t>2022交通事故合集（第十八期）</t>
  </si>
  <si>
    <t>2022-01-23上传</t>
  </si>
  <si>
    <t>https://www.iqiyi.com/v_1l8wrhx4ghk.html</t>
  </si>
  <si>
    <t>下雪路滑，减速慢行，2022交通事故合集（第十...</t>
  </si>
  <si>
    <t>2022-01-22上传</t>
  </si>
  <si>
    <t>1,5,6,7</t>
  </si>
  <si>
    <t>https://www.iqiyi.com/v_13ndvpwipsw.html</t>
  </si>
  <si>
    <t>2022交通事故合集（第十六期）</t>
  </si>
  <si>
    <t>2022-01-21上传</t>
  </si>
  <si>
    <t>https://www.iqiyi.com/v_1mujx5t6q4g.html</t>
  </si>
  <si>
    <t>2022交通事故合集（第十五期）</t>
  </si>
  <si>
    <t>2022-01-20上传</t>
  </si>
  <si>
    <t>https://www.iqiyi.com/v_pdfn55mgqk.html</t>
  </si>
  <si>
    <t>2022交通事故合集（第十四期）</t>
  </si>
  <si>
    <t>2022-01-19上传</t>
  </si>
  <si>
    <t>https://www.iqiyi.com/v_1jymdzxjhs0.html</t>
  </si>
  <si>
    <t>2022交通事故合集（第十三期）</t>
  </si>
  <si>
    <t>2022-01-18上传</t>
  </si>
  <si>
    <t>https://www.iqiyi.com/v_2a7l2ilbkz8.html</t>
  </si>
  <si>
    <t>2022交通事故合集（第十二期）</t>
  </si>
  <si>
    <t>2022-01-17上传</t>
  </si>
  <si>
    <t>https://www.iqiyi.com/v_13qtn5m8qnk.html</t>
  </si>
  <si>
    <t>2022交通事故合集（第十一期）</t>
  </si>
  <si>
    <t>2022-01-16上传</t>
  </si>
  <si>
    <t>https://www.iqiyi.com/v_ol606c6wb8.html</t>
  </si>
  <si>
    <t>2022交通事故合集（第十期）</t>
  </si>
  <si>
    <t>2022-01-14上传</t>
  </si>
  <si>
    <t>https://www.iqiyi.com/v_nsv75wrejw.html</t>
  </si>
  <si>
    <t>2022交通事故合集（第九期）</t>
  </si>
  <si>
    <t>2022-01-13上传</t>
  </si>
  <si>
    <t>https://www.iqiyi.com/v_20ur3kbhk0g.html</t>
  </si>
  <si>
    <t>2022交通事故合集（第八期）</t>
  </si>
  <si>
    <t>2022-01-12上传</t>
  </si>
  <si>
    <t>https://www.iqiyi.com/v_1hbsbe9rb8w.html</t>
  </si>
  <si>
    <t>2022交通事故合集（第七期）</t>
  </si>
  <si>
    <t>2022-01-11上传</t>
  </si>
  <si>
    <t>https://www.iqiyi.com/v_1q4exf5cyoc.html</t>
  </si>
  <si>
    <t>2022交通事故合集（第六期）</t>
  </si>
  <si>
    <t>2022-01-08上传</t>
  </si>
  <si>
    <t>https://www.iqiyi.com/v_25nx3njjfbg.html</t>
  </si>
  <si>
    <t>2022交通事故合集（第五期）</t>
  </si>
  <si>
    <t>2022-01-07上传</t>
  </si>
  <si>
    <t>https://www.iqiyi.com/v_10y5eiplngw.html</t>
  </si>
  <si>
    <t>2022交通事故合集（第四期）</t>
  </si>
  <si>
    <t>2022-01-06上传</t>
  </si>
  <si>
    <t>https://www.iqiyi.com/v_2d80m0oh530.html</t>
  </si>
  <si>
    <t>2022交通事故合集（第三期）</t>
  </si>
  <si>
    <t>2022-01-04上传</t>
  </si>
  <si>
    <t>https://www.iqiyi.com/v_26uff3envww.html</t>
  </si>
  <si>
    <t>2022交通事故合集（第二期）</t>
  </si>
  <si>
    <t>2022-01-02上传</t>
  </si>
  <si>
    <t>https://www.iqiyi.com/v_1k0vbu3mmos.html</t>
  </si>
  <si>
    <t>2022交通事故合集（第一期）</t>
  </si>
  <si>
    <t>2022-01-01上传</t>
  </si>
  <si>
    <t>https://www.iqiyi.com/v_23w010zgp4w.html</t>
  </si>
  <si>
    <t>2021交通事故合集（1230期）</t>
  </si>
  <si>
    <t>2021-12-30上传</t>
  </si>
  <si>
    <t>https://www.iqiyi.com/v_1qzo676ekr8.html</t>
  </si>
  <si>
    <t>2021交通事故合集（1229期）</t>
  </si>
  <si>
    <t>2021-12-29上传</t>
  </si>
  <si>
    <t>https://www.iqiyi.com/v_23qqzvqn4ck.html</t>
  </si>
  <si>
    <t>2021交通事故合集（1227期）</t>
  </si>
  <si>
    <t>2021-12-27上传</t>
  </si>
  <si>
    <t>https://www.iqiyi.com/v_2b3h8nem3xw.html</t>
  </si>
  <si>
    <t>2021交通事故合集（1226期）</t>
  </si>
  <si>
    <t>2021-12-26上传</t>
  </si>
  <si>
    <t>https://www.iqiyi.com/v_1zqnam7jjos.html</t>
  </si>
  <si>
    <t>2021交通事故合集（1225期）</t>
  </si>
  <si>
    <t>2021-12-25上传</t>
  </si>
  <si>
    <t>https://www.iqiyi.com/v_o2f63vpq4o.html</t>
  </si>
  <si>
    <t>2021交通事故合集（1224期）</t>
  </si>
  <si>
    <t>2021-12-24上传</t>
  </si>
  <si>
    <t>https://www.iqiyi.com/v_adqqrhx5qo.html</t>
  </si>
  <si>
    <t>2021交通事故合集（1223期）</t>
  </si>
  <si>
    <t>2021-12-23上传</t>
  </si>
  <si>
    <t>https://www.iqiyi.com/v_ol606c68do.html</t>
  </si>
  <si>
    <t>2021交通事故合集（1221期）</t>
  </si>
  <si>
    <t>2021-12-21上传</t>
  </si>
  <si>
    <t>https://www.iqiyi.com/v_taip4hzqxw.html</t>
  </si>
  <si>
    <t>2021交通事故合集（1220期）</t>
  </si>
  <si>
    <t>2021-12-20上传</t>
  </si>
  <si>
    <t>https://www.iqiyi.com/v_1wrek1w2zpo.html</t>
  </si>
  <si>
    <t>2021交通事故合集（1219期）</t>
  </si>
  <si>
    <t>2021-12-19上传</t>
  </si>
  <si>
    <t>https://www.iqiyi.com/v_239z9ykdrc4.html</t>
  </si>
  <si>
    <t>https://www.iqiyi.com/v_12gaeft600g.html</t>
  </si>
  <si>
    <t>2021交通事故合集（1217期）</t>
  </si>
  <si>
    <t>2021-12-17上传</t>
  </si>
  <si>
    <t>https://www.iqiyi.com/v_2g1t9ezaegc.html</t>
  </si>
  <si>
    <t>2021交通事故合集（1215期）</t>
  </si>
  <si>
    <t>2021-12-15上传</t>
  </si>
  <si>
    <t>https://www.iqiyi.com/v_1cmg22y3jw0.html</t>
  </si>
  <si>
    <t>2021交通事故合集（1214期）</t>
  </si>
  <si>
    <t>2021-12-14上传</t>
  </si>
  <si>
    <t>https://www.iqiyi.com/v_1v8yhhmozz4.html</t>
  </si>
  <si>
    <t>2021交通事故合集（1213期）</t>
  </si>
  <si>
    <t>2021-12-13上传</t>
  </si>
  <si>
    <t>https://www.iqiyi.com/v_brhu6jt2og.html</t>
  </si>
  <si>
    <t>2021交通事故合集（1212期）</t>
  </si>
  <si>
    <t>2021-12-12上传</t>
  </si>
  <si>
    <t>https://www.iqiyi.com/v_168f5kwgrsk.html</t>
  </si>
  <si>
    <t>2021交通事故合集（1210期）</t>
  </si>
  <si>
    <t>2021-12-10上传</t>
  </si>
  <si>
    <t>https://www.iqiyi.com/v_2bb4mxgq2n8.html</t>
  </si>
  <si>
    <t>2021交通事故合集（1209期）</t>
  </si>
  <si>
    <t>2021-12-09上传</t>
  </si>
  <si>
    <t>https://www.iqiyi.com/v_p3bpqmud0s.html</t>
  </si>
  <si>
    <t>2021交通事故合集（1208期）</t>
  </si>
  <si>
    <t>2021-12-08上传</t>
  </si>
  <si>
    <t>https://www.iqiyi.com/v_2314pihvqfo.html</t>
  </si>
  <si>
    <t>2021交通事故合集（1207期）</t>
  </si>
  <si>
    <t>2021-12-07上传</t>
  </si>
  <si>
    <t>https://www.iqiyi.com/v_x4h2p1iviw.html</t>
  </si>
  <si>
    <t>2021交通事故合集（1205期）</t>
  </si>
  <si>
    <t>2021-12-05上传</t>
  </si>
  <si>
    <t>https://www.iqiyi.com/v_1j2mxr3wajs.html</t>
  </si>
  <si>
    <t>2021交通事故合集（1204期）</t>
  </si>
  <si>
    <t>2021-12-04上传</t>
  </si>
  <si>
    <t>https://www.iqiyi.com/v_1ei8iy1li60.html</t>
  </si>
  <si>
    <t>2021交通事故合集（1203期）</t>
  </si>
  <si>
    <t>2021-12-03上传</t>
  </si>
  <si>
    <t>https://www.iqiyi.com/v_af84191np4.html</t>
  </si>
  <si>
    <t>2021交通事故合集（1201期）</t>
  </si>
  <si>
    <t>2021-12-01上传</t>
  </si>
  <si>
    <t>https://www.iqiyi.com/v_gwj1n0u870.html</t>
  </si>
  <si>
    <t>2021交通事故合集（1130期）</t>
  </si>
  <si>
    <t>2021-11-30上传</t>
  </si>
  <si>
    <t>https://www.iqiyi.com/v_1sqgfxrohlc.html</t>
  </si>
  <si>
    <t>2021交通事故合集（1129期）</t>
  </si>
  <si>
    <t>2021-11-29上传</t>
  </si>
  <si>
    <t>https://www.iqiyi.com/v_1ojttm1upto.html</t>
  </si>
  <si>
    <t>2021交通事故合集（1128期）</t>
  </si>
  <si>
    <t>2021-11-28上传</t>
  </si>
  <si>
    <t>https://www.iqiyi.com/v_26x3n3plflo.html</t>
  </si>
  <si>
    <t>2021交通事故合集（1126期）</t>
  </si>
  <si>
    <t>2021-11-26上传</t>
  </si>
  <si>
    <t>https://www.iqiyi.com/v_1ensa4i2vy8.html</t>
  </si>
  <si>
    <t>2021交通事故合集（1125期）</t>
  </si>
  <si>
    <t>2021-11-25上传</t>
  </si>
  <si>
    <t>https://www.iqiyi.com/v_1jlu8tz7zpk.html</t>
  </si>
  <si>
    <t>2021交通事故合集（1124期）</t>
  </si>
  <si>
    <t>2021-11-24上传</t>
  </si>
  <si>
    <t>https://www.iqiyi.com/v_1v1cfceupmw.html</t>
  </si>
  <si>
    <t>2021交通事故合集（1123期）</t>
  </si>
  <si>
    <t>2021-11-23上传</t>
  </si>
  <si>
    <t>https://www.iqiyi.com/v_1eaop74w2f8.html</t>
  </si>
  <si>
    <t>2021交通事故合集（1122期）</t>
  </si>
  <si>
    <t>2021-11-22上传</t>
  </si>
  <si>
    <t>https://www.iqiyi.com/v_bq95qn4elo.html</t>
  </si>
  <si>
    <t>2021交通事故合集（1121期）</t>
  </si>
  <si>
    <t>2021-11-21上传</t>
  </si>
  <si>
    <t>https://www.iqiyi.com/v_13zaq08ms9c.html</t>
  </si>
  <si>
    <t>2021交通事故合集（1119期）</t>
  </si>
  <si>
    <t>2021-11-19上传</t>
  </si>
  <si>
    <t>https://www.iqiyi.com/v_9twehzu96o.html</t>
  </si>
  <si>
    <t>2021交通事故合集（1118期）</t>
  </si>
  <si>
    <t>2021-11-18上传</t>
  </si>
  <si>
    <t>https://www.iqiyi.com/v_a1zkraznmo.html</t>
  </si>
  <si>
    <t>2021交通事故合集（1117期）</t>
  </si>
  <si>
    <t>2021-11-17上传</t>
  </si>
  <si>
    <t>https://www.iqiyi.com/v_27z13tkvp30.html</t>
  </si>
  <si>
    <t>2021交通事故合集（1115期）</t>
  </si>
  <si>
    <t>2021-11-15上传</t>
  </si>
  <si>
    <t>https://www.iqiyi.com/v_15ahosvecc0.html</t>
  </si>
  <si>
    <t>2021交通事故合集（1114期）</t>
  </si>
  <si>
    <t>2021-11-14上传</t>
  </si>
  <si>
    <t>https://www.iqiyi.com/v_lk2e335ppk.html</t>
  </si>
  <si>
    <t>2021交通事故合集（1113期）</t>
  </si>
  <si>
    <t>2021-11-13上传</t>
  </si>
  <si>
    <t>https://www.iqiyi.com/v_1jxqejb43n4.html</t>
  </si>
  <si>
    <t>2021交通事故合集（1112期）</t>
  </si>
  <si>
    <t>2021-11-12上传</t>
  </si>
  <si>
    <t>https://www.iqiyi.com/v_veanvcqlwo.html</t>
  </si>
  <si>
    <t>2021交通事故合集（1111期）</t>
  </si>
  <si>
    <t>2021-11-11上传</t>
  </si>
  <si>
    <t>https://www.iqiyi.com/v_vqtro6ua34.html</t>
  </si>
  <si>
    <t>2021交通事故合集（1110期）</t>
  </si>
  <si>
    <t>2021-11-10上传</t>
  </si>
  <si>
    <t>https://www.iqiyi.com/v_2czwri4qhxs.html</t>
  </si>
  <si>
    <t>2021交通事故合集（1109期）</t>
  </si>
  <si>
    <t>2021-11-09上传</t>
  </si>
  <si>
    <t>https://www.iqiyi.com/v_27ka30jz04g.html</t>
  </si>
  <si>
    <t>2021交通事故合集（1108期）</t>
  </si>
  <si>
    <t>2021-11-08上传</t>
  </si>
  <si>
    <t>https://www.iqiyi.com/v_1k3gaw2pzgs.html</t>
  </si>
  <si>
    <t>2021交通事故合集（1106期）</t>
  </si>
  <si>
    <t>2021-11-06上传</t>
  </si>
  <si>
    <t>https://www.iqiyi.com/v_1zym6rma7ps.html</t>
  </si>
  <si>
    <t>2021交通事故合集（1104期）</t>
  </si>
  <si>
    <t>2021-11-04上传</t>
  </si>
  <si>
    <t>https://www.iqiyi.com/v_1gw35ojs0s8.html</t>
  </si>
  <si>
    <t>2021交通事故合集（1103期）</t>
  </si>
  <si>
    <t>2021-11-03上传</t>
  </si>
  <si>
    <t>https://www.iqiyi.com/v_1x1xh1ybzto.html</t>
  </si>
  <si>
    <t>2021交通事故合集（1101期）</t>
  </si>
  <si>
    <t>2021-11-01上传</t>
  </si>
  <si>
    <t>https://www.iqiyi.com/v_1iyn2tl3gaw.html</t>
  </si>
  <si>
    <t>2021交通事故合集（1031期）</t>
  </si>
  <si>
    <t>2021-10-31上传</t>
  </si>
  <si>
    <t>https://www.iqiyi.com/v_uwt43canyk.html</t>
  </si>
  <si>
    <t>2021交通事故合集（1029期）</t>
  </si>
  <si>
    <t>2021-10-29上传</t>
  </si>
  <si>
    <t>https://www.iqiyi.com/v_1sm7i4if0ik.html</t>
  </si>
  <si>
    <t>2021交通事故合集（1027期）</t>
  </si>
  <si>
    <t>2021-10-27上传</t>
  </si>
  <si>
    <t>https://www.iqiyi.com/v_1pr6eems2bs.html</t>
  </si>
  <si>
    <t>2021交通事故合集（1025期）</t>
  </si>
  <si>
    <t>2021-10-25上传</t>
  </si>
  <si>
    <t>https://www.iqiyi.com/v_1wtx9jj8j28.html</t>
  </si>
  <si>
    <t>2021交通事故合集（1023期）</t>
  </si>
  <si>
    <t>2021-10-23上传</t>
  </si>
  <si>
    <t>https://www.iqiyi.com/v_ajmanitkag.html</t>
  </si>
  <si>
    <t>2021交通事故合集（1021期）</t>
  </si>
  <si>
    <t>2021-10-21上传</t>
  </si>
  <si>
    <t>https://www.iqiyi.com/v_17znv0edhu4.html</t>
  </si>
  <si>
    <t>2021交通事故合集（1020期）</t>
  </si>
  <si>
    <t>2021-10-20上传</t>
  </si>
  <si>
    <t>https://www.iqiyi.com/v_1we614grul4.html</t>
  </si>
  <si>
    <t>2021交通事故合集（1018期）</t>
  </si>
  <si>
    <t>2021-10-18上传</t>
  </si>
  <si>
    <t>https://www.iqiyi.com/v_1w8g4n99qpo.html</t>
  </si>
  <si>
    <t>2021交通事故合集（1016期）</t>
  </si>
  <si>
    <t>2021-10-16上传</t>
  </si>
  <si>
    <t>https://www.iqiyi.com/v_15nn7q569sk.html</t>
  </si>
  <si>
    <t>2021交通事故合集（1014期）</t>
  </si>
  <si>
    <t>2021-10-14上传</t>
  </si>
  <si>
    <t>https://www.iqiyi.com/v_1pjmkr20k48.html</t>
  </si>
  <si>
    <t>2021交通事故合集（1013期）</t>
  </si>
  <si>
    <t>2021-10-13上传</t>
  </si>
  <si>
    <t>https://www.iqiyi.com/v_154wz2blat0.html</t>
  </si>
  <si>
    <t>2021交通事故合集（1011期）</t>
  </si>
  <si>
    <t>2021-10-11上传</t>
  </si>
  <si>
    <t>https://www.iqiyi.com/v_bbqxga1edw.html</t>
  </si>
  <si>
    <t>2021交通事故合集（1009期）</t>
  </si>
  <si>
    <t>2021-10-09上传</t>
  </si>
  <si>
    <t>https://www.iqiyi.com/v_17rfvv1wxa8.html</t>
  </si>
  <si>
    <t>2021交通事故合集（1007期）</t>
  </si>
  <si>
    <t>2021-10-07上传</t>
  </si>
  <si>
    <t>https://www.iqiyi.com/v_ldsup4v6iw.html</t>
  </si>
  <si>
    <t>2021交通事故合集（1005期）</t>
  </si>
  <si>
    <t>2021-10-05上传</t>
  </si>
  <si>
    <t>https://www.iqiyi.com/v_cb0kx6h7dg.html</t>
  </si>
  <si>
    <t>2021交通事故合集（1001期）</t>
  </si>
  <si>
    <t>2021-10-01上传</t>
  </si>
  <si>
    <t>https://www.iqiyi.com/v_1ao4ll8nsb4.html</t>
  </si>
  <si>
    <t>2021交通事故合集（0929期）</t>
  </si>
  <si>
    <t>2021-09-29上传</t>
  </si>
  <si>
    <t>https://www.iqiyi.com/v_2ec8kt5hprw.html</t>
  </si>
  <si>
    <t>2021交通事故合集（0927期）</t>
  </si>
  <si>
    <t>2021-09-27上传</t>
  </si>
  <si>
    <t>https://www.iqiyi.com/v_17rfvv1x7i8.html</t>
  </si>
  <si>
    <t>2021交通事故合集（0925期）</t>
  </si>
  <si>
    <t>2021-09-25上传</t>
  </si>
  <si>
    <t>https://www.iqiyi.com/v_nzpjopzklc.html</t>
  </si>
  <si>
    <t>2021交通事故合集（0923期）</t>
  </si>
  <si>
    <t>2021-09-23上传</t>
  </si>
  <si>
    <t>https://www.iqiyi.com/v_2a1q62jdmmw.html</t>
  </si>
  <si>
    <t>2021交通事故合集（0921期）</t>
  </si>
  <si>
    <t>2021-09-21上传</t>
  </si>
  <si>
    <t>https://www.iqiyi.com/v_10divgkb058.html</t>
  </si>
  <si>
    <t>2021交通事故合集（0919期）</t>
  </si>
  <si>
    <t>2021-09-19上传</t>
  </si>
  <si>
    <t>https://www.iqiyi.com/v_24v1lhttp1k.html</t>
  </si>
  <si>
    <t>2021交通事故合集（0917期）</t>
  </si>
  <si>
    <t>2021-09-17上传</t>
  </si>
  <si>
    <t>https://www.iqiyi.com/v_18w6vzfz94k.html</t>
  </si>
  <si>
    <t>2021交通事故合集（0915期）</t>
  </si>
  <si>
    <t>2021-09-15上传</t>
  </si>
  <si>
    <t>https://www.iqiyi.com/v_1268jtq3i64.html</t>
  </si>
  <si>
    <t>2021交通事故合集（0913期）</t>
  </si>
  <si>
    <t>2021-09-13上传</t>
  </si>
  <si>
    <t>https://www.iqiyi.com/v_shdecr0q04.html</t>
  </si>
  <si>
    <t>2021交通事故合集（0911期）</t>
  </si>
  <si>
    <t>2021-09-11上传</t>
  </si>
  <si>
    <t>https://www.iqiyi.com/v_1vvuhdtdpvk.html</t>
  </si>
  <si>
    <t>2021交通事故合集（0909期）</t>
  </si>
  <si>
    <t>2021-09-09上传</t>
  </si>
  <si>
    <t>https://www.iqiyi.com/v_1n5ooz76w8o.html</t>
  </si>
  <si>
    <t>一人安危系全家，全家幸福系一人，2021.09...</t>
  </si>
  <si>
    <t>2021-09-07上传</t>
  </si>
  <si>
    <t>https://www.iqiyi.com/v_2c3zr1u6lig.html</t>
  </si>
  <si>
    <t>2021交通事故合集（0906期）</t>
  </si>
  <si>
    <t>2021-09-06上传</t>
  </si>
  <si>
    <t>https://www.iqiyi.com/v_24yxdo3aubk.html</t>
  </si>
  <si>
    <t>2021交通事故合集（0905期）</t>
  </si>
  <si>
    <t>2021-09-05上传</t>
  </si>
  <si>
    <t>https://www.iqiyi.com/v_1m47mcqgen4.html</t>
  </si>
  <si>
    <t>2021交通事故合集（0903期）</t>
  </si>
  <si>
    <t>2021-09-03上传</t>
  </si>
  <si>
    <t>https://www.iqiyi.com/v_1fjulaprq8o.html</t>
  </si>
  <si>
    <t>2021交通事故合集（0902期）</t>
  </si>
  <si>
    <t>2021-09-02上传</t>
  </si>
  <si>
    <t>https://www.iqiyi.com/v_2cqehyfwclg.html</t>
  </si>
  <si>
    <t>2021交通事故合集（0901期）</t>
  </si>
  <si>
    <t>2021-09-01上传</t>
  </si>
  <si>
    <t>https://www.iqiyi.com/v_2glnlpl4kjo.html</t>
  </si>
  <si>
    <t>2021交通事故合集（0831期）</t>
  </si>
  <si>
    <t>2021-08-31上传</t>
  </si>
  <si>
    <t>https://www.iqiyi.com/v_1r95vc6g1og.html</t>
  </si>
  <si>
    <t>2021交通事故合集（0830期）</t>
  </si>
  <si>
    <t>2021-08-30上传</t>
  </si>
  <si>
    <t>https://www.iqiyi.com/v_flg8smzi74.html</t>
  </si>
  <si>
    <t>2021交通事故合集（0829期）</t>
  </si>
  <si>
    <t>2021-08-29上传</t>
  </si>
  <si>
    <t>https://www.iqiyi.com/v_21hboeferj8.html</t>
  </si>
  <si>
    <t>2021交通事故合集（0828期）</t>
  </si>
  <si>
    <t>2021-08-28上传</t>
  </si>
  <si>
    <t>https://www.iqiyi.com/v_20fn22da0r8.html</t>
  </si>
  <si>
    <t>宁绕百步远，不冒一步险，2021.08.27交...</t>
  </si>
  <si>
    <t>2021-08-27上传</t>
  </si>
  <si>
    <t>https://www.iqiyi.com/v_1revts53r5k.html</t>
  </si>
  <si>
    <t>速度诚可贵，生命价更高，2021.08.25交...</t>
  </si>
  <si>
    <t>2021-08-25上传</t>
  </si>
  <si>
    <t>https://www.iqiyi.com/v_f51n0msea4.html</t>
  </si>
  <si>
    <t>2021交通事故合集（0824期）</t>
  </si>
  <si>
    <t>2021-08-24上传</t>
  </si>
  <si>
    <t>https://www.iqiyi.com/v_202gab0bfxg.html</t>
  </si>
  <si>
    <t>2021交通事故合集（0823期）</t>
  </si>
  <si>
    <t>2021-08-23上传</t>
  </si>
  <si>
    <t>https://www.iqiyi.com/v_1t1z93e5pgc.html</t>
  </si>
  <si>
    <t>2021交通事故合集（0822期）</t>
  </si>
  <si>
    <t>2021-08-22上传</t>
  </si>
  <si>
    <t>https://www.iqiyi.com/v_25ohm9c8mxs.html</t>
  </si>
  <si>
    <t>2021交通事故合集（0821期）</t>
  </si>
  <si>
    <t>2021-08-21上传</t>
  </si>
  <si>
    <t>https://www.iqiyi.com/v_11rpae06s3o.html</t>
  </si>
  <si>
    <t>2021交通事故合集（0819期）</t>
  </si>
  <si>
    <t>2021-08-19上传</t>
  </si>
  <si>
    <t>https://www.iqiyi.com/v_wiwc4bq5qc.html</t>
  </si>
  <si>
    <t>2021交通事故合集（0817期）</t>
  </si>
  <si>
    <t>2021-08-17上传</t>
  </si>
  <si>
    <t>https://www.iqiyi.com/v_23mibr9dlmc.html</t>
  </si>
  <si>
    <t>2021交通事故合集（0816期）</t>
  </si>
  <si>
    <t>2021-08-16上传</t>
  </si>
  <si>
    <t>https://www.iqiyi.com/v_191cx5jt8vs.html</t>
  </si>
  <si>
    <t>2021交通事故合集（0815期）</t>
  </si>
  <si>
    <t>2021-08-15上传</t>
  </si>
  <si>
    <t>https://www.iqiyi.com/v_mmsv536a50.html</t>
  </si>
  <si>
    <t>2021交通事故合集（0814期）</t>
  </si>
  <si>
    <t>2021-08-14上传</t>
  </si>
  <si>
    <t>https://www.iqiyi.com/v_l7aamrouzc.html</t>
  </si>
  <si>
    <t>2021交通事故合集（0813期）</t>
  </si>
  <si>
    <t>2021-08-13上传</t>
  </si>
  <si>
    <t>https://www.iqiyi.com/v_1tkjnkl03og.html</t>
  </si>
  <si>
    <t>2021交通事故合集（0812期）</t>
  </si>
  <si>
    <t>2021-08-12上传</t>
  </si>
  <si>
    <t>https://www.iqiyi.com/v_n32rmtnbvg.html</t>
  </si>
  <si>
    <t>2021交通事故合集（0810期）</t>
  </si>
  <si>
    <t>2021-08-10上传</t>
  </si>
  <si>
    <t>https://www.iqiyi.com/v_1ksmbaotb1w.html</t>
  </si>
  <si>
    <t>2021交通事故合集（0809期）</t>
  </si>
  <si>
    <t>2021-08-09上传</t>
  </si>
  <si>
    <t>https://www.iqiyi.com/v_1slhcld15o4.html</t>
  </si>
  <si>
    <t>2021交通事故合集（0808期）</t>
  </si>
  <si>
    <t>2021-08-08上传</t>
  </si>
  <si>
    <t>https://www.iqiyi.com/v_2as3mbsjcro.html</t>
  </si>
  <si>
    <t>2021交通事故合集（0807期）</t>
  </si>
  <si>
    <t>2021-08-07上传</t>
  </si>
  <si>
    <t>https://www.iqiyi.com/v_tg0bzb1zbk.html</t>
  </si>
  <si>
    <t>2021交通事故合集（0806期）</t>
  </si>
  <si>
    <t>2021-08-06上传</t>
  </si>
  <si>
    <t>https://www.iqiyi.com/v_17g7idjcz7w.html</t>
  </si>
  <si>
    <t>2021交通事故合集（0805期）</t>
  </si>
  <si>
    <t>2021-08-05上传</t>
  </si>
  <si>
    <t>https://www.iqiyi.com/v_1omjg03gekg.html</t>
  </si>
  <si>
    <t>2021交通事故合集（0804期）</t>
  </si>
  <si>
    <t>2021-08-04上传</t>
  </si>
  <si>
    <t>https://www.iqiyi.com/v_29tp2dkzzyw.html</t>
  </si>
  <si>
    <t>2021交通事故合集（0803期）</t>
  </si>
  <si>
    <t>2021-08-03上传</t>
  </si>
  <si>
    <t>https://www.iqiyi.com/v_11tphizkqh4.html</t>
  </si>
  <si>
    <t>2021交通事故合集（0802期）</t>
  </si>
  <si>
    <t>2021-08-02上传</t>
  </si>
  <si>
    <t>https://www.iqiyi.com/v_b3o92z7c84.html</t>
  </si>
  <si>
    <t>2021交通事故合集（0801期）</t>
  </si>
  <si>
    <t>2021-08-01上传</t>
  </si>
  <si>
    <t>https://www.iqiyi.com/v_2f1dxvoe7ig.html</t>
  </si>
  <si>
    <t>2021交通事故合集（0731期）</t>
  </si>
  <si>
    <t>2021-07-31上传</t>
  </si>
  <si>
    <t>https://www.iqiyi.com/v_1kquljgbb6o.html</t>
  </si>
  <si>
    <t>2021交通事故合集（0730期）</t>
  </si>
  <si>
    <t>2021-07-30上传</t>
  </si>
  <si>
    <t>https://www.iqiyi.com/v_242u0y4lags.html</t>
  </si>
  <si>
    <t>2021交通事故合集（0729期）</t>
  </si>
  <si>
    <t>2021-07-29上传</t>
  </si>
  <si>
    <t>https://www.iqiyi.com/v_1u0x3s05g20.html</t>
  </si>
  <si>
    <t>2021交通事故合集（0728期）</t>
  </si>
  <si>
    <t>2021-07-28上传</t>
  </si>
  <si>
    <t>https://www.iqiyi.com/v_1dclwo3gobk.html</t>
  </si>
  <si>
    <t>2021交通事故合集（0727期）</t>
  </si>
  <si>
    <t>2021-07-27上传</t>
  </si>
  <si>
    <t>https://www.iqiyi.com/v_1di97rp0uss.html</t>
  </si>
  <si>
    <t>2021交通事故合集（0726期）</t>
  </si>
  <si>
    <t>2021-07-26上传</t>
  </si>
  <si>
    <t>https://www.iqiyi.com/v_1f8efho2yo8.html</t>
  </si>
  <si>
    <t>2021交通事故合集（0725期）</t>
  </si>
  <si>
    <t>2021-07-25上传</t>
  </si>
  <si>
    <t>https://www.iqiyi.com/v_zom7162ags.html</t>
  </si>
  <si>
    <t>2021交通事故合集（0724期）</t>
  </si>
  <si>
    <t>2021-07-24上传</t>
  </si>
  <si>
    <t>https://www.iqiyi.com/v_1pb54e43xjg.html</t>
  </si>
  <si>
    <t>2021交通事故合集（0723期）</t>
  </si>
  <si>
    <t>2021-07-23上传</t>
  </si>
  <si>
    <t>https://www.iqiyi.com/v_1xwvbs5uezk.html</t>
  </si>
  <si>
    <t>2021交通事故合集（0722期）</t>
  </si>
  <si>
    <t>2021-07-22上传</t>
  </si>
  <si>
    <t>https://www.iqiyi.com/v_9xq7128c64.html</t>
  </si>
  <si>
    <t>2021交通事故合集（0721期）</t>
  </si>
  <si>
    <t>2021-07-21上传</t>
  </si>
  <si>
    <t>https://www.iqiyi.com/v_143py1awq04.html</t>
  </si>
  <si>
    <t>2021交通事故合集（0720期）</t>
  </si>
  <si>
    <t>2021-07-20上传</t>
  </si>
  <si>
    <t>https://www.iqiyi.com/v_ebkyrke5l0.html</t>
  </si>
  <si>
    <t>2021交通事故合集（0719期）</t>
  </si>
  <si>
    <t>2021-07-19上传</t>
  </si>
  <si>
    <t>https://www.iqiyi.com/v_teqzldz8xg.html</t>
  </si>
  <si>
    <t>2021交通事故合集（0718期）</t>
  </si>
  <si>
    <t>2021-07-18上传</t>
  </si>
  <si>
    <t>https://www.iqiyi.com/v_22gkac3fslc.html</t>
  </si>
  <si>
    <t>2021交通事故合集（0717期）</t>
  </si>
  <si>
    <t>2021-07-17上传</t>
  </si>
  <si>
    <t>https://www.iqiyi.com/v_27gjawzdv80.html</t>
  </si>
  <si>
    <t>不会勤检车况，引擎盖飞起来了！</t>
  </si>
  <si>
    <t>2021-07-16上传</t>
  </si>
  <si>
    <t>https://www.iqiyi.com/v_24i9g2fxgls.html</t>
  </si>
  <si>
    <t>2021交通事故合集（0715期）</t>
  </si>
  <si>
    <t>2021-07-15上传</t>
  </si>
  <si>
    <t>https://www.iqiyi.com/v_g0yyhqrtt4.html</t>
  </si>
  <si>
    <t>2021交通事故合集（0714期）</t>
  </si>
  <si>
    <t>2021-07-14上传</t>
  </si>
  <si>
    <t>https://www.iqiyi.com/v_1xx9yr7941o.html</t>
  </si>
  <si>
    <t>2021交通事故合集（0713期）</t>
  </si>
  <si>
    <t>2021-07-13上传</t>
  </si>
  <si>
    <t>https://www.iqiyi.com/v_2331nyw4ob0.html</t>
  </si>
  <si>
    <t>2021交通事故合集（0712期）</t>
  </si>
  <si>
    <t>2021-07-12上传</t>
  </si>
  <si>
    <t>https://www.iqiyi.com/v_1tn49rqjluw.html</t>
  </si>
  <si>
    <t>2021交通事故合集（0711期）</t>
  </si>
  <si>
    <t>2021-07-11上传</t>
  </si>
  <si>
    <t>https://www.iqiyi.com/v_1ddc26yo4ss.html</t>
  </si>
  <si>
    <t>2021奇葩驾驶技术（0710期）</t>
  </si>
  <si>
    <t>2021-07-10上传</t>
  </si>
  <si>
    <t>https://www.iqiyi.com/v_b5j5osmtlg.html</t>
  </si>
  <si>
    <t>道路湿滑超速过弯，漂移失败尴尬了！</t>
  </si>
  <si>
    <t>2021-07-09上传</t>
  </si>
  <si>
    <t>https://www.iqiyi.com/v_2e9kpot43uw.html</t>
  </si>
  <si>
    <t>大货车占道过弯，这一下尴尬了！</t>
  </si>
  <si>
    <t>2021-07-07上传</t>
  </si>
  <si>
    <t>https://www.iqiyi.com/v_2dislmsor4k.html</t>
  </si>
  <si>
    <t>无视大货车盲区，结果“鸡蛋碰石头”</t>
  </si>
  <si>
    <t>2021-07-06上传</t>
  </si>
  <si>
    <t>https://www.iqiyi.com/v_28eaegab4fw.html</t>
  </si>
  <si>
    <t>不会判断车距，这是新手上路？</t>
  </si>
  <si>
    <t>2021-07-05上传</t>
  </si>
  <si>
    <t>https://www.iqiyi.com/v_1z4229zhi04.html</t>
  </si>
  <si>
    <t>2021奇葩驾驶技术合集（0629期）</t>
  </si>
  <si>
    <t>2021-06-29上传</t>
  </si>
  <si>
    <t>https://www.iqiyi.com/v_28zgfe0nbyo.html</t>
  </si>
  <si>
    <t>2021交通事故合集（0627期）</t>
  </si>
  <si>
    <t>2021-06-27上传</t>
  </si>
  <si>
    <t>https://www.iqiyi.com/v_1dqkkyvgbg4.html</t>
  </si>
  <si>
    <t>2021奇葩驾驶技术合集（0626期）</t>
  </si>
  <si>
    <t>2021-06-26上传</t>
  </si>
  <si>
    <t>https://www.iqiyi.com/v_1gn3zfaec2w.html</t>
  </si>
  <si>
    <t>2021交通事故合集（0623期）</t>
  </si>
  <si>
    <t>2021-06-23上传</t>
  </si>
  <si>
    <t>https://www.iqiyi.com/v_2bjwvgkhcg8.html</t>
  </si>
  <si>
    <t>2021交通事故合集（0622期）</t>
  </si>
  <si>
    <t>2021-06-22上传</t>
  </si>
  <si>
    <t>https://www.iqiyi.com/v_iovftaj5gs.html</t>
  </si>
  <si>
    <t>2021交通事故合集（0621期）</t>
  </si>
  <si>
    <t>2021-06-21上传</t>
  </si>
  <si>
    <t>https://www.iqiyi.com/v_23inkrfcqnc.html</t>
  </si>
  <si>
    <t>2021交通事故合集（0620期）</t>
  </si>
  <si>
    <t>2021-06-20上传</t>
  </si>
  <si>
    <t>https://www.iqiyi.com/v_1eey2xejao4.html</t>
  </si>
  <si>
    <t>2021交通事故合集（0619期）</t>
  </si>
  <si>
    <t>2021-06-19上传</t>
  </si>
  <si>
    <t>https://www.iqiyi.com/v_1upi6o9yol8.html</t>
  </si>
  <si>
    <t>2021交通事故合集（0618期）</t>
  </si>
  <si>
    <t>2021-06-18上传</t>
  </si>
  <si>
    <t>https://www.iqiyi.com/v_2dislmsoi30.html</t>
  </si>
  <si>
    <t>2021交通事故合集（0616期）</t>
  </si>
  <si>
    <t>2021-06-16上传</t>
  </si>
  <si>
    <t>https://www.iqiyi.com/v_wh60ii4sac.html</t>
  </si>
  <si>
    <t>2021交通事故合集（0615期）</t>
  </si>
  <si>
    <t>2021-06-15上传</t>
  </si>
  <si>
    <t>https://www.iqiyi.com/v_d3sm33aucg.html</t>
  </si>
  <si>
    <t>2021交通事故合集（0614期）</t>
  </si>
  <si>
    <t>2021-06-14上传</t>
  </si>
  <si>
    <t>https://www.iqiyi.com/v_rihasvqc8s.html</t>
  </si>
  <si>
    <t>2021交通事故合集（0613期）</t>
  </si>
  <si>
    <t>2021-06-13上传</t>
  </si>
  <si>
    <t>https://www.iqiyi.com/v_v5a8f8hfcg.html</t>
  </si>
  <si>
    <t>2021交通事故合集（0612期）</t>
  </si>
  <si>
    <t>2021-06-12上传</t>
  </si>
  <si>
    <t>https://www.iqiyi.com/v_oildz7oz5w.html</t>
  </si>
  <si>
    <t>2021交通事故合集（0611期）</t>
  </si>
  <si>
    <t>2021-06-11上传</t>
  </si>
  <si>
    <t>https://www.iqiyi.com/v_1lsznkdwl5k.html</t>
  </si>
  <si>
    <t>2021交通事故合集（0610期）</t>
  </si>
  <si>
    <t>2021-06-10上传</t>
  </si>
  <si>
    <t>https://www.iqiyi.com/v_2er6tqhoz4w.html</t>
  </si>
  <si>
    <t>2021交通事故合集（0609期）</t>
  </si>
  <si>
    <t>2021-06-09上传</t>
  </si>
  <si>
    <t>https://www.iqiyi.com/v_j4xicqdmpo.html</t>
  </si>
  <si>
    <t>2021交通事故合集（0608期）</t>
  </si>
  <si>
    <t>2021-06-08上传</t>
  </si>
  <si>
    <t>https://www.iqiyi.com/v_1uszo84v6yk.html</t>
  </si>
  <si>
    <t>2021交通事故合集（0607期）</t>
  </si>
  <si>
    <t>2021-06-07上传</t>
  </si>
  <si>
    <t>https://www.iqiyi.com/v_2cflg9sm4xo.html</t>
  </si>
  <si>
    <t>2021交通事故合集（0606期）</t>
  </si>
  <si>
    <t>2021-06-06上传</t>
  </si>
  <si>
    <t>https://www.iqiyi.com/v_1rah7dboff8.html</t>
  </si>
  <si>
    <t>下雨路滑，超速行驶尴尬了!</t>
  </si>
  <si>
    <t>2021-06-05上传</t>
  </si>
  <si>
    <t>https://www.iqiyi.com/v_1xwvbs5s9fg.html</t>
  </si>
  <si>
    <t>它飞过来了，一只有“想法”的轮胎</t>
  </si>
  <si>
    <t>2021-06-04上传</t>
  </si>
  <si>
    <t>https://www.iqiyi.com/v_lyf0kc4w30.html</t>
  </si>
  <si>
    <t>新手上路自信满满，结果让人大跌眼镜</t>
  </si>
  <si>
    <t>2021-06-03上传</t>
  </si>
  <si>
    <t>https://www.iqiyi.com/v_16wtp8dycfk.html</t>
  </si>
  <si>
    <t>2021交通事故合集（0602期）</t>
  </si>
  <si>
    <t>2021-06-02上传</t>
  </si>
  <si>
    <t>https://www.iqiyi.com/v_130cy2rw7zk.html</t>
  </si>
  <si>
    <t>2021交通事故合集（0601期）</t>
  </si>
  <si>
    <t>2021-06-01上传</t>
  </si>
  <si>
    <t>2021交通事故合集（0531期）</t>
  </si>
  <si>
    <t>2021-05-31上传</t>
  </si>
  <si>
    <t>https://www.iqiyi.com/v_174uz7e1yl0.html</t>
  </si>
  <si>
    <t>车怎么翻了？我真的不知道（2021交通事故合集...</t>
  </si>
  <si>
    <t>2021-05-30上传</t>
  </si>
  <si>
    <t>2021交通事故合集（0529期）</t>
  </si>
  <si>
    <t>2021-05-29上传</t>
  </si>
  <si>
    <t>2021交通事故合集（0528期）</t>
  </si>
  <si>
    <t>2021-05-28上传</t>
  </si>
  <si>
    <t>2021交通事故合集（0527期）</t>
  </si>
  <si>
    <t>2021-05-27上传</t>
  </si>
  <si>
    <t>https://www.iqiyi.com/v_215yr6mxqh8.html</t>
  </si>
  <si>
    <t>2021交通事故合集（0526期）</t>
  </si>
  <si>
    <t>2021-05-26上传</t>
  </si>
  <si>
    <t>https://www.iqiyi.com/v_o4xv87943o.html</t>
  </si>
  <si>
    <t>2021交通事故合集（0525期）</t>
  </si>
  <si>
    <t>2021-05-25上传</t>
  </si>
  <si>
    <t>https://www.iqiyi.com/v_wkpxdyvxr4.html</t>
  </si>
  <si>
    <t>2021交通事故合集（0524期）</t>
  </si>
  <si>
    <t>2021-05-24上传</t>
  </si>
  <si>
    <t>https://www.iqiyi.com/v_18qj7vqx58o.html</t>
  </si>
  <si>
    <t>2021交通事故合集（0523期）</t>
  </si>
  <si>
    <t>2021-05-23上传</t>
  </si>
  <si>
    <t>https://www.iqiyi.com/v_ns5pxt8q3c.html</t>
  </si>
  <si>
    <t>2021交通事故合集（0522期）</t>
  </si>
  <si>
    <t>2021-05-22上传</t>
  </si>
  <si>
    <t>2021交通事故合集（0521期）</t>
  </si>
  <si>
    <t>2021-05-21上传</t>
  </si>
  <si>
    <t>2021交通事故合集（0520期）</t>
  </si>
  <si>
    <t>2021-05-20上传</t>
  </si>
  <si>
    <t>2021交通事故合集（0519期）</t>
  </si>
  <si>
    <t>2021-05-19上传</t>
  </si>
  <si>
    <t>https://www.iqiyi.com/v_17l6d2qrdv0.html</t>
  </si>
  <si>
    <t>2021交通事故合集（0518期）</t>
  </si>
  <si>
    <t>2021-05-18上传</t>
  </si>
  <si>
    <t>2021交通事故合集（0517期）</t>
  </si>
  <si>
    <t>2021-05-17上传</t>
  </si>
  <si>
    <t>2021交通事故合集（0516期）</t>
  </si>
  <si>
    <t>2021-05-16上传</t>
  </si>
  <si>
    <t>https://www.iqiyi.com/v_121svvodcsk.html</t>
  </si>
  <si>
    <t>交通事故合集：下雨路滑，大货车跟车太近悲剧了！</t>
  </si>
  <si>
    <t>2021-05-15上传</t>
  </si>
  <si>
    <t>2021交通事故合集（0513期）</t>
  </si>
  <si>
    <t>2021-05-13上传</t>
  </si>
  <si>
    <t>https://www.iqiyi.com/v_14006zhf2uo.html</t>
  </si>
  <si>
    <t>2021交通事故合集（0512期）</t>
  </si>
  <si>
    <t>2021-05-12上传</t>
  </si>
  <si>
    <t>https://www.iqiyi.com/v_13zv6vx492s.html</t>
  </si>
  <si>
    <t>2021交通事故合集（0511期）</t>
  </si>
  <si>
    <t>2021-05-11上传</t>
  </si>
  <si>
    <t>2021交通事故合集（0510期）</t>
  </si>
  <si>
    <t>2021-05-10上传</t>
  </si>
  <si>
    <t>2021交通事故合集（0509期）</t>
  </si>
  <si>
    <t>2021-05-09上传</t>
  </si>
  <si>
    <t>2021交通事故合集（0508期）</t>
  </si>
  <si>
    <t>2021-05-08上传</t>
  </si>
  <si>
    <t>2021交通事故合集（0507期）</t>
  </si>
  <si>
    <t>2021-05-07上传</t>
  </si>
  <si>
    <t>2021交通事故合集（0506期）</t>
  </si>
  <si>
    <t>2021-05-06上传</t>
  </si>
  <si>
    <t>2021交通事故合集（0505期）</t>
  </si>
  <si>
    <t>2021-05-05上传</t>
  </si>
  <si>
    <t>2021交通事故合集（0504期）</t>
  </si>
  <si>
    <t>2021-05-04上传</t>
  </si>
  <si>
    <t>2021交通事故合集（0503期）</t>
  </si>
  <si>
    <t>2021-05-03上传</t>
  </si>
  <si>
    <t>2021交通事故合集（0502期）</t>
  </si>
  <si>
    <t>2021-05-02上传</t>
  </si>
  <si>
    <t>2021交通事故合集（0501期）</t>
  </si>
  <si>
    <t>2021-05-01上传</t>
  </si>
  <si>
    <t>2021交通事故合集（0430期）</t>
  </si>
  <si>
    <t>2021-04-30上传</t>
  </si>
  <si>
    <t>2021交通事故合集（0429期）</t>
  </si>
  <si>
    <t>2021-04-29上传</t>
  </si>
  <si>
    <t>2021交通事故合集（0428期）</t>
  </si>
  <si>
    <t>2021-04-28上传</t>
  </si>
  <si>
    <t>2021交通事故合集（0427期）</t>
  </si>
  <si>
    <t>2021-04-27上传</t>
  </si>
  <si>
    <t>2021交通事故合集（0426期）</t>
  </si>
  <si>
    <t>2021-04-26上传</t>
  </si>
  <si>
    <t>2021交通事故合集（0425期）</t>
  </si>
  <si>
    <t>2021-04-25上传</t>
  </si>
  <si>
    <t>2021交通事故合集（0424期）</t>
  </si>
  <si>
    <t>2021-04-24上传</t>
  </si>
  <si>
    <t>https://www.iqiyi.com/v_1qc2dhhf17c.html</t>
  </si>
  <si>
    <t>2021交通事故合集（0423期）</t>
  </si>
  <si>
    <t>2021-04-23上传</t>
  </si>
  <si>
    <t>2021交通事故合集（0422期）</t>
  </si>
  <si>
    <t>2021-04-22上传</t>
  </si>
  <si>
    <t>2021交通事故合集（0421期）</t>
  </si>
  <si>
    <t>2021-04-21上传</t>
  </si>
  <si>
    <t>2021交通事故合集（0420期）</t>
  </si>
  <si>
    <t>2021-04-20上传</t>
  </si>
  <si>
    <t>2021交通事故合集（0419期）</t>
  </si>
  <si>
    <t>2021-04-19上传</t>
  </si>
  <si>
    <t>2021交通事故合集（0418期）</t>
  </si>
  <si>
    <t>2021-04-18上传</t>
  </si>
  <si>
    <t>2021交通事故合集（0417期）</t>
  </si>
  <si>
    <t>2021-04-17上传</t>
  </si>
  <si>
    <t>2021交通事故合集（0416期）</t>
  </si>
  <si>
    <t>2021-04-16上传</t>
  </si>
  <si>
    <t>2021交通事故合集（0415期）</t>
  </si>
  <si>
    <t>2021-04-15上传</t>
  </si>
  <si>
    <t>2021交通事故合集（0414期）</t>
  </si>
  <si>
    <t>2021-04-14上传</t>
  </si>
  <si>
    <t>2021交通事故合集（0413期）</t>
  </si>
  <si>
    <t>2021-04-13上传</t>
  </si>
  <si>
    <t>2021交通事故合集（0412期）</t>
  </si>
  <si>
    <t>2021-04-12上传</t>
  </si>
  <si>
    <t>2021交通事故合集（0411期）</t>
  </si>
  <si>
    <t>2021-04-11上传</t>
  </si>
  <si>
    <t>2021交通事故合集（0410期）</t>
  </si>
  <si>
    <t>2021-04-10上传</t>
  </si>
  <si>
    <t>2021交通事故合集（0409期）</t>
  </si>
  <si>
    <t>2021-04-09上传</t>
  </si>
  <si>
    <t>2021交通事故合集（0408期）</t>
  </si>
  <si>
    <t>2021-04-08上传</t>
  </si>
  <si>
    <t>2021交通事故合集（0407期）</t>
  </si>
  <si>
    <t>2021-04-07上传</t>
  </si>
  <si>
    <t>2021交通事故合集（0406期）</t>
  </si>
  <si>
    <t>2021-04-06上传</t>
  </si>
  <si>
    <t>2021交通事故合集（0405期）</t>
  </si>
  <si>
    <t>2021-04-05上传</t>
  </si>
  <si>
    <t>https://www.iqiyi.com/v_1c7atnuhsr4.html</t>
  </si>
  <si>
    <t>2021交通事故合集（0404期）</t>
  </si>
  <si>
    <t>2021-04-04上传</t>
  </si>
  <si>
    <t>2021交通事故合集（0403期）</t>
  </si>
  <si>
    <t>2021-04-03上传</t>
  </si>
  <si>
    <t>2021交通事故合集（0402期）</t>
  </si>
  <si>
    <t>2021-04-02上传</t>
  </si>
  <si>
    <t>2021交通事故合集（0401期）</t>
  </si>
  <si>
    <t>2021-04-01上传</t>
  </si>
  <si>
    <t>https://www.iqiyi.com/v_206ugx9ygjc.html</t>
  </si>
  <si>
    <t>2021交通事故合集（0331期）</t>
  </si>
  <si>
    <t>2021-03-31上传</t>
  </si>
  <si>
    <t>https://www.iqiyi.com/v_bxmfgjspi0.html</t>
  </si>
  <si>
    <t>2021交通事故合集（0330期）</t>
  </si>
  <si>
    <t>2021-03-30上传</t>
  </si>
  <si>
    <t>https://www.iqiyi.com/v_1nby7vxu6hs.html</t>
  </si>
  <si>
    <t>2021交通事故合集（0329期）</t>
  </si>
  <si>
    <t>2021-03-29上传</t>
  </si>
  <si>
    <t>https://www.iqiyi.com/v_1qna2421jak.html</t>
  </si>
  <si>
    <t>2021交通事故合集（0328期）</t>
  </si>
  <si>
    <t>2021-03-28上传</t>
  </si>
  <si>
    <t>https://www.iqiyi.com/v_24os2g2za9w.html</t>
  </si>
  <si>
    <t>2021交通事故合集（0327期）</t>
  </si>
  <si>
    <t>2021-03-27上传</t>
  </si>
  <si>
    <t>https://www.iqiyi.com/v_1hjsw1ygfqg.html</t>
  </si>
  <si>
    <t>2021交通事故合集（0326期）</t>
  </si>
  <si>
    <t>2021-03-26上传</t>
  </si>
  <si>
    <t>https://www.iqiyi.com/v_1myfph3g130.html</t>
  </si>
  <si>
    <t>2021交通事故合集（0325期）</t>
  </si>
  <si>
    <t>2021-03-25上传</t>
  </si>
  <si>
    <t>https://www.iqiyi.com/v_1mpcms8904c.html</t>
  </si>
  <si>
    <t>2021交通事故合集（0324期）</t>
  </si>
  <si>
    <t>2021-03-24上传</t>
  </si>
  <si>
    <t>https://www.iqiyi.com/v_1jscuq4udjw.html</t>
  </si>
  <si>
    <t>2021交通事故合集（0323期）</t>
  </si>
  <si>
    <t>2021-03-23上传</t>
  </si>
  <si>
    <t>https://www.iqiyi.com/v_2bdnc6s0o3k.html</t>
  </si>
  <si>
    <t>2021交通事故合集（0322期）</t>
  </si>
  <si>
    <t>2021-03-22上传</t>
  </si>
  <si>
    <t>https://www.iqiyi.com/v_1yd3u0ldpq8.html</t>
  </si>
  <si>
    <t>2021交通事故合集（0321期）</t>
  </si>
  <si>
    <t>2021-03-21上传</t>
  </si>
  <si>
    <t>https://www.iqiyi.com/v_1uj3ntsebu8.html</t>
  </si>
  <si>
    <t>2021交通事故合集（0320期）</t>
  </si>
  <si>
    <t>https://www.iqiyi.com/v_hr946p1qaw.html</t>
  </si>
  <si>
    <t>2021交通事故合集（0319期）</t>
  </si>
  <si>
    <t>2021-03-19上传</t>
  </si>
  <si>
    <t>https://www.iqiyi.com/v_224cnnja52k.html</t>
  </si>
  <si>
    <t>2021交通事故合集（0318期）</t>
  </si>
  <si>
    <t>2021-03-18上传</t>
  </si>
  <si>
    <t>https://www.iqiyi.com/v_zp9b0ulpdk.html</t>
  </si>
  <si>
    <t>2021交通事故合集（0317期）</t>
  </si>
  <si>
    <t>2021-03-17上传</t>
  </si>
  <si>
    <t>https://www.iqiyi.com/v_1jeygpiseus.html</t>
  </si>
  <si>
    <t>2021交通事故合集（0316期）</t>
  </si>
  <si>
    <t>https://www.iqiyi.com/v_xluq0y8ino.html</t>
  </si>
  <si>
    <t>2021交通事故合集（0315期）</t>
  </si>
  <si>
    <t>2021-03-15上传</t>
  </si>
  <si>
    <t>https://www.iqiyi.com/v_2ejmk1hqu7w.html</t>
  </si>
  <si>
    <t>2021交通事故合集（0314期）</t>
  </si>
  <si>
    <t>2021-03-14上传</t>
  </si>
  <si>
    <t>https://www.iqiyi.com/v_eoyyzoub0o.html</t>
  </si>
  <si>
    <t>2021交通事故合集（0313期）</t>
  </si>
  <si>
    <t>2021-03-13上传</t>
  </si>
  <si>
    <t>https://www.iqiyi.com/v_mdmbokc4qc.html</t>
  </si>
  <si>
    <t>2021交通事故合集（0312期）</t>
  </si>
  <si>
    <t>2021-03-12上传</t>
  </si>
  <si>
    <t>https://www.iqiyi.com/v_udgpcrfa3k.html</t>
  </si>
  <si>
    <t>2021交通事故合集（0311期）</t>
  </si>
  <si>
    <t>2021-03-11上传</t>
  </si>
  <si>
    <t>https://www.iqiyi.com/v_1jjcdjv8cz4.html</t>
  </si>
  <si>
    <t>2021交通事故合集（0310期）</t>
  </si>
  <si>
    <t>2021-03-10上传</t>
  </si>
  <si>
    <t>https://www.iqiyi.com/v_22zuzjxxark.html</t>
  </si>
  <si>
    <t>2021交通事故合集（0309期）</t>
  </si>
  <si>
    <t>https://www.iqiyi.com/v_g3okvs9dow.html</t>
  </si>
  <si>
    <t>2021交通事故合集（0308期）</t>
  </si>
  <si>
    <t>2021-03-08上传</t>
  </si>
  <si>
    <t>https://www.iqiyi.com/v_lziiap2r64.html</t>
  </si>
  <si>
    <t>2021交通事故合集（0307期）</t>
  </si>
  <si>
    <t>2021-03-07上传</t>
  </si>
  <si>
    <t>https://www.iqiyi.com/v_1hx6076mpt8.html</t>
  </si>
  <si>
    <t>2021交通事故合集（0306期）</t>
  </si>
  <si>
    <t>2021-03-06上传</t>
  </si>
  <si>
    <t>https://www.iqiyi.com/v_1gkp75lqtw8.html</t>
  </si>
  <si>
    <t>2021交通事故合集（0305期）</t>
  </si>
  <si>
    <t>2021-03-05上传</t>
  </si>
  <si>
    <t>https://www.iqiyi.com/v_1gf5500tt6w.html</t>
  </si>
  <si>
    <t>2021交通事故合集（0304期）</t>
  </si>
  <si>
    <t>2021-03-04上传</t>
  </si>
  <si>
    <t>https://www.iqiyi.com/v_1fqir0y6d9k.html</t>
  </si>
  <si>
    <t>2021交通事故合集（0303期）</t>
  </si>
  <si>
    <t>2021-03-03上传</t>
  </si>
  <si>
    <t>https://www.iqiyi.com/v_1kzi97ro588.html</t>
  </si>
  <si>
    <t>2021交通事故合集（0302期）</t>
  </si>
  <si>
    <t>2021-03-02上传</t>
  </si>
  <si>
    <t>https://www.iqiyi.com/v_28v5armtkgg.html</t>
  </si>
  <si>
    <t>2021交通事故合集（0301期）</t>
  </si>
  <si>
    <t>2021-03-01上传</t>
  </si>
  <si>
    <t>https://www.iqiyi.com/v_1yqbb3jd700.html</t>
  </si>
  <si>
    <t>2021交通事故合集（0228期）</t>
  </si>
  <si>
    <t>2021-02-28上传</t>
  </si>
  <si>
    <t>https://www.iqiyi.com/v_21rtjvaaz8g.html</t>
  </si>
  <si>
    <t>2021交通事故合集（0227期）</t>
  </si>
  <si>
    <t>2021-02-27上传</t>
  </si>
  <si>
    <t>https://www.iqiyi.com/v_1oevkqusooc.html</t>
  </si>
  <si>
    <t>交通事故合集：下雨路滑超速过弯，漂移失控伤不起</t>
  </si>
  <si>
    <t>2021-02-26上传</t>
  </si>
  <si>
    <t>https://www.iqiyi.com/v_i8uwfmh6bs.html</t>
  </si>
  <si>
    <t>交通事故合集：无视转向灯盲目超车，避让失败悲剧了</t>
  </si>
  <si>
    <t>2021-02-25上传</t>
  </si>
  <si>
    <t>https://www.iqiyi.com/v_25qwr5jlwic.html</t>
  </si>
  <si>
    <t>交通事故合集：不看路况随意转弯，遇见女司机就尴...</t>
  </si>
  <si>
    <t>2021-02-24上传</t>
  </si>
  <si>
    <t>https://www.iqiyi.com/v_h95ceag6v0.html</t>
  </si>
  <si>
    <t>交通事故合集：高速路上不观察路况，急打方向瞬间...</t>
  </si>
  <si>
    <t>2021-02-23上传</t>
  </si>
  <si>
    <t>https://www.iqiyi.com/v_ryxcl67ml4.html</t>
  </si>
  <si>
    <t>交通事故合集：小车无视大货车盲区，随意变道后悔...</t>
  </si>
  <si>
    <t>2021-02-22上传</t>
  </si>
  <si>
    <t>https://www.iqiyi.com/v_1v5is0eyoec.html</t>
  </si>
  <si>
    <t>交通事故合集：开车走神占道行驶，让人无力吐槽</t>
  </si>
  <si>
    <t>2021-02-21上传</t>
  </si>
  <si>
    <t>https://www.iqiyi.com/v_11aafpiqxvo.html</t>
  </si>
  <si>
    <t>交通事故合集：高速上疲劳驾驶，偏离车道悲剧了</t>
  </si>
  <si>
    <t>2021-02-20上传</t>
  </si>
  <si>
    <t>https://www.iqiyi.com/v_1w4m222zbg8.html</t>
  </si>
  <si>
    <t>交通事故合集：小车路口超速行驶，急刹避让尴尬了</t>
  </si>
  <si>
    <t>2021-02-19上传</t>
  </si>
  <si>
    <t>https://www.iqiyi.com/v_1rors45f8i4.html</t>
  </si>
  <si>
    <t>交通事故合集：小车错过路口连续变道，下一秒自食...</t>
  </si>
  <si>
    <t>2021-02-18上传</t>
  </si>
  <si>
    <t>https://www.iqiyi.com/v_bod8ogx2cs.html</t>
  </si>
  <si>
    <t>交通事故合集：返程高峰跟车太近，连环追尾让人伤...</t>
  </si>
  <si>
    <t>2021-02-17上传</t>
  </si>
  <si>
    <t>https://www.iqiyi.com/v_rdhjh822u8.html</t>
  </si>
  <si>
    <t>交通事故合集：乡村道路占道超车，紧急避让悲剧了</t>
  </si>
  <si>
    <t>2021-02-16上传</t>
  </si>
  <si>
    <t>https://www.iqiyi.com/v_9vvvwrsl6o.html</t>
  </si>
  <si>
    <t>交通事故合集：十字路口超速行驶，不观察路况悲剧了</t>
  </si>
  <si>
    <t>2021-02-15上传</t>
  </si>
  <si>
    <t>https://www.iqiyi.com/v_16fs6bd7dus.html</t>
  </si>
  <si>
    <t>交通事故合集：小车无视盲区随意变道，结果鸡蛋碰...</t>
  </si>
  <si>
    <t>2021-02-14上传</t>
  </si>
  <si>
    <t>https://www.iqiyi.com/v_1t32r5yghw4.html</t>
  </si>
  <si>
    <t>交通事故合集：下雪路滑盲目超车，避让不及尴尬了</t>
  </si>
  <si>
    <t>2021-02-13上传</t>
  </si>
  <si>
    <t>https://www.iqiyi.com/v_1wj4vpi3trk.html</t>
  </si>
  <si>
    <t>交通事故合集：不观察路况盲目超车，避让失败悲剧了</t>
  </si>
  <si>
    <t>2021-02-10上传</t>
  </si>
  <si>
    <t>https://www.iqiyi.com/v_ezhvzqwd64.html</t>
  </si>
  <si>
    <t>交通事故合集：小车走神偏离车道，瞬间失控“殃及...</t>
  </si>
  <si>
    <t>2021-02-09上传</t>
  </si>
  <si>
    <t>https://www.iqiyi.com/v_jl8v6zoxj8.html</t>
  </si>
  <si>
    <t>交通事故合集：红绿灯路口不观察，“前脸”瞬间就...</t>
  </si>
  <si>
    <t>2021-02-08上传</t>
  </si>
  <si>
    <t>https://www.iqiyi.com/v_1euk1nksk1k.html</t>
  </si>
  <si>
    <t>交通事故合集：临近路口占道超车，避让不及悲剧了</t>
  </si>
  <si>
    <t>2021-02-07上传</t>
  </si>
  <si>
    <t>https://www.iqiyi.com/v_aokhjpimsk.html</t>
  </si>
  <si>
    <t>交通事故合集：红绿灯路口见缝插针，下一秒被“打...</t>
  </si>
  <si>
    <t>2021-02-06上传</t>
  </si>
  <si>
    <t>https://www.iqiyi.com/v_ovaabjnqb8.html</t>
  </si>
  <si>
    <t>交通事故合集：路口不看路况盲目转弯，不曾想大货...</t>
  </si>
  <si>
    <t>2021-02-05上传</t>
  </si>
  <si>
    <t>https://www.iqiyi.com/v_ve8o3znhgo.html</t>
  </si>
  <si>
    <t>交通事故合集：不观察后视镜连续变道，瞬间长教训了</t>
  </si>
  <si>
    <t>2021-02-04上传</t>
  </si>
  <si>
    <t>https://www.iqiyi.com/v_1n53v7c1f7c.html</t>
  </si>
  <si>
    <t>交通事故合集：不看后视镜随意开门，让人防不胜防</t>
  </si>
  <si>
    <t>2021-02-03上传</t>
  </si>
  <si>
    <t>https://www.iqiyi.com/v_2dg0ru749yw.html</t>
  </si>
  <si>
    <t>交通事故合集：高速路上归心似箭，不保持车距悲剧了</t>
  </si>
  <si>
    <t>2021-02-02上传</t>
  </si>
  <si>
    <t>https://www.iqiyi.com/v_odhya1a9x4.html</t>
  </si>
  <si>
    <t>交通事故合集：大货车装载不规范，“道具赛”让人...</t>
  </si>
  <si>
    <t>2021-02-01上传</t>
  </si>
  <si>
    <t>https://www.iqiyi.com/v_233jwmlvnyo.html</t>
  </si>
  <si>
    <t>交通事故合集：小车路口时速过百，想避让都来不及</t>
  </si>
  <si>
    <t>2021-01-30上传</t>
  </si>
  <si>
    <t>https://www.iqiyi.com/v_nu4u71ip1g.html</t>
  </si>
  <si>
    <t>交通事故合集：高速路上跟车太近，急打方向悲剧了</t>
  </si>
  <si>
    <t>2021-01-29上传</t>
  </si>
  <si>
    <t>https://www.iqiyi.com/v_2dvmqknimdc.html</t>
  </si>
  <si>
    <t>交通事故合集：下雨路滑超速行驶，连环事故一触即发</t>
  </si>
  <si>
    <t>https://www.iqiyi.com/v_vk4619kma0.html</t>
  </si>
  <si>
    <t>交通事故合集：轮胎不给力超速过弯，漂移失败尴尬了</t>
  </si>
  <si>
    <t>2021-01-28上传</t>
  </si>
  <si>
    <t>https://www.iqiyi.com/v_yfc9ye5ra8.html</t>
  </si>
  <si>
    <t>交通事故合集：高速路上不保持车距，超速追尾让人...</t>
  </si>
  <si>
    <t>2021-01-26上传</t>
  </si>
  <si>
    <t>https://www.iqiyi.com/v_efkugpdb9c.html</t>
  </si>
  <si>
    <t>交通事故合集：雨天路滑不保持车距，不敢有下一次</t>
  </si>
  <si>
    <t>2021-01-25上传</t>
  </si>
  <si>
    <t>https://www.iqiyi.com/v_1bd4diwv8ew.html</t>
  </si>
  <si>
    <t>交通事故合集：小车路口分秒必争，结局让人伤不起</t>
  </si>
  <si>
    <t>2021-01-24上传</t>
  </si>
  <si>
    <t>https://www.iqiyi.com/v_2aym84l3tu8.html</t>
  </si>
  <si>
    <t>交通事故合集：小车随意变道无视大货车，下一秒后...</t>
  </si>
  <si>
    <t>2021-01-23上传</t>
  </si>
  <si>
    <t>https://www.iqiyi.com/v_2aa2xb8ofo0.html</t>
  </si>
  <si>
    <t>交通事故合集：高速路上遗落障碍物，小车避让不及...</t>
  </si>
  <si>
    <t>2021-01-22上传</t>
  </si>
  <si>
    <t>https://www.iqiyi.com/v_12umn5aypio.html</t>
  </si>
  <si>
    <t>交通事故合集：下雨路滑超速过弯，漂移失败尴尬了</t>
  </si>
  <si>
    <t>2021-01-21上传</t>
  </si>
  <si>
    <t>https://www.iqiyi.com/v_aht34318j4.html</t>
  </si>
  <si>
    <t>交通事故合集：货车师傅遇上限高杆，缺乏预判悲剧了</t>
  </si>
  <si>
    <t>2021-01-20上传</t>
  </si>
  <si>
    <t>https://www.iqiyi.com/v_28i22ouechw.html</t>
  </si>
  <si>
    <t>交通事故合集：高速路上遇见状况，切勿急打方向</t>
  </si>
  <si>
    <t>2021-01-19上传</t>
  </si>
  <si>
    <t>https://www.iqiyi.com/v_1vi7odw66q0.html</t>
  </si>
  <si>
    <t>交通事故合集：大货车师傅不会预判车距，盲目转弯...</t>
  </si>
  <si>
    <t>2021-01-18上传</t>
  </si>
  <si>
    <t>https://www.iqiyi.com/v_jnkg432d8s.html</t>
  </si>
  <si>
    <t>交通事故合集：随意转弯不观察路况，这一下长教训了</t>
  </si>
  <si>
    <t>2021-01-17上传</t>
  </si>
  <si>
    <t>https://www.iqiyi.com/v_uxv7jac3cs.html</t>
  </si>
  <si>
    <t>交通事故合集：红绿灯路口不观察路况，车头瞬间就...</t>
  </si>
  <si>
    <t>2021-01-16上传</t>
  </si>
  <si>
    <t>https://www.iqiyi.com/v_25ylwb7to70.html</t>
  </si>
  <si>
    <t>交通事故合集：弯道盲区超速行驶，结局不言而喻</t>
  </si>
  <si>
    <t>2021-01-15上传</t>
  </si>
  <si>
    <t>https://www.iqiyi.com/v_1plo1e7an3o.html</t>
  </si>
  <si>
    <t>交通事故合集：雨天路滑跟车太近，连环追尾一触即发</t>
  </si>
  <si>
    <t>2021-01-14上传</t>
  </si>
  <si>
    <t>https://www.iqiyi.com/v_p4darh93jg.html</t>
  </si>
  <si>
    <t>交通事故合集：高速路上疲劳驾驶，偏离车道瞬间失控</t>
  </si>
  <si>
    <t>2021-01-13上传</t>
  </si>
  <si>
    <t>https://www.iqiyi.com/v_1vjd6c9a2ew.html</t>
  </si>
  <si>
    <t>交通事故合集：高速路上跟车太近，连环追尾让人猝...</t>
  </si>
  <si>
    <t>2021-01-12上传</t>
  </si>
  <si>
    <t>https://www.iqiyi.com/v_c26ld8dp0k.html</t>
  </si>
  <si>
    <t>交通事故合集：又见油门当刹车，车速太快犹如脱缰...</t>
  </si>
  <si>
    <t>2021-01-11上传</t>
  </si>
  <si>
    <t>https://www.iqiyi.com/v_1m5k76xwbnk.html</t>
  </si>
  <si>
    <t>交通事故合集：小车错过路口随意变道，大货车避让...</t>
  </si>
  <si>
    <t>2021-01-10上传</t>
  </si>
  <si>
    <t>https://www.iqiyi.com/v_qc8uitskg8.html</t>
  </si>
  <si>
    <t>交通事故合集：不观察后视镜随意变道，没想到棋逢...</t>
  </si>
  <si>
    <t>2021-01-09上传</t>
  </si>
  <si>
    <t>https://www.iqiyi.com/v_1d3xlv99v9g.html</t>
  </si>
  <si>
    <t>交通事故合集：好盲目的弯道超车，刹车避让为时已晚</t>
  </si>
  <si>
    <t>2021-01-08上传</t>
  </si>
  <si>
    <t>https://www.iqiyi.com/v_at0qqdf98k.html</t>
  </si>
  <si>
    <t>交通事故合集：新手上路不观察路况，这一次真尴尬了</t>
  </si>
  <si>
    <t>2021-01-07上传</t>
  </si>
  <si>
    <t>https://www.iqiyi.com/v_km3isvdvqk.html</t>
  </si>
  <si>
    <t>交通事故合集：不保持车距任性变道，遇见“路怒症...</t>
  </si>
  <si>
    <t>2021-01-06上传</t>
  </si>
  <si>
    <t>https://www.iqiyi.com/v_1ta0qkjut3o.html</t>
  </si>
  <si>
    <t>交通事故合集：又见喇叭当刹车，女司机上路尴尬了</t>
  </si>
  <si>
    <t>2021-01-05上传</t>
  </si>
  <si>
    <t>https://www.iqiyi.com/v_f9it62cuiw.html</t>
  </si>
  <si>
    <t>交通事故合集：高速路上不保持车距，急刹失败上演...</t>
  </si>
  <si>
    <t>2021-01-04上传</t>
  </si>
  <si>
    <t>https://www.iqiyi.com/v_1gmsleknamo.html</t>
  </si>
  <si>
    <t>交通事故合集：打完转向灯直接变道，这一下尴尬了...</t>
  </si>
  <si>
    <t>2021-01-03上传</t>
  </si>
  <si>
    <t>https://www.iqiyi.com/v_gqo528r2ac.html</t>
  </si>
  <si>
    <t>交通事故合集：高速上无视大货车盲区，任性超车长...</t>
  </si>
  <si>
    <t>2021-01-02上传</t>
  </si>
  <si>
    <t>https://www.iqiyi.com/v_f07cyemlo8.html</t>
  </si>
  <si>
    <t>交通事故合集：摩托车不看路况横穿马路，大货车避...</t>
  </si>
  <si>
    <t>2021-01-01上传</t>
  </si>
  <si>
    <t>https://www.iqiyi.com/v_16nhbue1vno.html</t>
  </si>
  <si>
    <t>交通事故合集：下雪路滑超速过弯，“漂移”失败悲...</t>
  </si>
  <si>
    <t>2020-12-31上传</t>
  </si>
  <si>
    <t>https://www.iqiyi.com/v_18fb74d2rkc.html</t>
  </si>
  <si>
    <t>交通事故合集：下雪天不观察路况，随意变道尴尬了</t>
  </si>
  <si>
    <t>2020-12-30上传</t>
  </si>
  <si>
    <t>https://www.iqiyi.com/v_1cg1c93fgc8.html</t>
  </si>
  <si>
    <t>交通事故合集：下雪路滑，不保持车距秒变“碰碰车”</t>
  </si>
  <si>
    <t>2020-12-29上传</t>
  </si>
  <si>
    <t>https://www.iqiyi.com/v_2eii3ud5vs4.html</t>
  </si>
  <si>
    <t>交通事故合集：大货车师傅开车走神，遇见限高杆就...</t>
  </si>
  <si>
    <t>2020-12-28上传</t>
  </si>
  <si>
    <t>https://www.iqiyi.com/v_jrx2ogkl9s.html</t>
  </si>
  <si>
    <t>交通事故合集：高速快车道不保持车距，刹车避让已...</t>
  </si>
  <si>
    <t>2020-12-27上传</t>
  </si>
  <si>
    <t>https://www.iqiyi.com/v_2b46ajmtfdw.html</t>
  </si>
  <si>
    <t>交通事故合集：好任性的弯道超车,下一秒后悔莫及</t>
  </si>
  <si>
    <t>2020-12-25上传</t>
  </si>
  <si>
    <t>https://www.iqiyi.com/v_27gzbsbamvs.html</t>
  </si>
  <si>
    <t>交通事故合集：好奇葩的新手上路，油门不给力尴尬了</t>
  </si>
  <si>
    <t>2020-12-24上传</t>
  </si>
  <si>
    <t>https://www.iqiyi.com/v_1c65btvwh18.html</t>
  </si>
  <si>
    <t>交通事故合集：下雪天时速过百，刹车失灵就尴尬了</t>
  </si>
  <si>
    <t>2020-12-23上传</t>
  </si>
  <si>
    <t>https://www.iqiyi.com/v_1lkqyke92p0.html</t>
  </si>
  <si>
    <t>交通事故合集：碎石山路超速行驶，车技太逊上演大...</t>
  </si>
  <si>
    <t>2020-12-22上传</t>
  </si>
  <si>
    <t>https://www.iqiyi.com/v_1m5k76xyklc.html</t>
  </si>
  <si>
    <t>交通事故合集：不懂“让速不让道”，无责变全责尴...</t>
  </si>
  <si>
    <t>2020-12-21上传</t>
  </si>
  <si>
    <t>https://www.iqiyi.com/v_2dd4xo3augo.html</t>
  </si>
  <si>
    <t>大货车占道超车“神龙摆尾”，小车司机从容淡定，...</t>
  </si>
  <si>
    <t>2020-12-19上传</t>
  </si>
  <si>
    <t>https://www.iqiyi.com/v_v5l0xx1fd8.html</t>
  </si>
  <si>
    <t>交通事故合集：高速路上错过匝道，任性停车“殃及...</t>
  </si>
  <si>
    <t>2020-12-18上传</t>
  </si>
  <si>
    <t>https://www.iqiyi.com/v_1u3i2qeaga4.html</t>
  </si>
  <si>
    <t>交通事故合集：大货车占道过弯，小车跟车太近悲剧了</t>
  </si>
  <si>
    <t>2020-12-17上传</t>
  </si>
  <si>
    <t>https://www.iqiyi.com/v_jchaa5cs3k.html</t>
  </si>
  <si>
    <t>交通事故合集：开车走神玩手机，下一秒后悔莫及</t>
  </si>
  <si>
    <t>2020-12-16上传</t>
  </si>
  <si>
    <t>https://www.iqiyi.com/v_zyig2hrlis.html</t>
  </si>
  <si>
    <t>交通事故合集：停车开门不观察路况，遇见大货车就...</t>
  </si>
  <si>
    <t>2020-12-15上传</t>
  </si>
  <si>
    <t>https://www.iqiyi.com/v_20uji8q05ko.html</t>
  </si>
  <si>
    <t>交通事故合集：下雪路滑超速过弯，结局让人伤不起</t>
  </si>
  <si>
    <t>2020-12-14上传</t>
  </si>
  <si>
    <t>https://www.iqiyi.com/v_whl037d4vs.html</t>
  </si>
  <si>
    <t>交通事故合集：小车无视盲区挑战大货车，结果不自...</t>
  </si>
  <si>
    <t>2020-12-13上传</t>
  </si>
  <si>
    <t>https://www.iqiyi.com/v_2dnnuo45ok8.html</t>
  </si>
  <si>
    <t>交通事故合集：女司机路边随意停车，遇见新手上路...</t>
  </si>
  <si>
    <t>2020-12-12上传</t>
  </si>
  <si>
    <t>https://www.iqiyi.com/v_279vot5q7dk.html</t>
  </si>
  <si>
    <t>交通事故合集：高速错过路口连续变道，急刹避让都...</t>
  </si>
  <si>
    <t>2020-12-11上传</t>
  </si>
  <si>
    <t>https://www.iqiyi.com/v_167k951r6w8.html</t>
  </si>
  <si>
    <t>交通事故合集：电动车不看路况随意变道，看大货车...</t>
  </si>
  <si>
    <t>2020-12-10上传</t>
  </si>
  <si>
    <t>https://www.iqiyi.com/v_hjnjf8fk8g.html</t>
  </si>
  <si>
    <t>交通事故合集：女司机玩手机不拉手刹，溜车追尾让...</t>
  </si>
  <si>
    <t>2020-12-09上传</t>
  </si>
  <si>
    <t>https://www.iqiyi.com/v_xqbuvyl9mc.html</t>
  </si>
  <si>
    <t>交通事故合集：雨天路滑超速过弯，漂移失败就在一...</t>
  </si>
  <si>
    <t>2020-12-08上传</t>
  </si>
  <si>
    <t>https://www.iqiyi.com/v_14brdof4ff8.html</t>
  </si>
  <si>
    <t>交通事故合集：小车路口争分夺秒，缺乏预判尴尬了</t>
  </si>
  <si>
    <t>2020-12-07上传</t>
  </si>
  <si>
    <t>https://www.iqiyi.com/v_1gq89colbw4.html</t>
  </si>
  <si>
    <t>交通事故合集：大货车不保持安全车距，盲目超车让...</t>
  </si>
  <si>
    <t>2020-12-06上传</t>
  </si>
  <si>
    <t>https://www.iqiyi.com/v_260egajn9ww.html</t>
  </si>
  <si>
    <t>交通事故合集：不观察路况随意变道加塞，下一秒后...</t>
  </si>
  <si>
    <t>2020-12-05上传</t>
  </si>
  <si>
    <t>https://www.iqiyi.com/v_12lv1yh1hj0.html</t>
  </si>
  <si>
    <t>交通事故合集：下雪天超速行驶，上演360度大漂移</t>
  </si>
  <si>
    <t>2020-12-04上传</t>
  </si>
  <si>
    <t>https://www.iqiyi.com/v_160r3olf7lw.html</t>
  </si>
  <si>
    <t>交通事故合集：大马路上超速行驶，ESP也爱莫能助</t>
  </si>
  <si>
    <t>2020-12-03上传</t>
  </si>
  <si>
    <t>https://www.iqiyi.com/v_11sbif7zcv0.html</t>
  </si>
  <si>
    <t>交通事故合集：随意转弯不观察路况，连环事故让人...</t>
  </si>
  <si>
    <t>2020-12-02上传</t>
  </si>
  <si>
    <t>https://www.iqiyi.com/v_rw7q60dijg.html</t>
  </si>
  <si>
    <t>交通事故合集：大货车无视喇叭盲目倒车，小车司机...</t>
  </si>
  <si>
    <t>2020-12-01上传</t>
  </si>
  <si>
    <t>https://www.iqiyi.com/v_fht4u0i2fs.html</t>
  </si>
  <si>
    <t>交通事故合集：不观察后视镜随意超车,下一秒尴尬了</t>
  </si>
  <si>
    <t>2020-11-30上传</t>
  </si>
  <si>
    <t>https://www.iqiyi.com/v_1ixjchyheso.html</t>
  </si>
  <si>
    <t>交通事故合集：高速路上不保持车距，连环追尾变成...</t>
  </si>
  <si>
    <t>2020-11-29上传</t>
  </si>
  <si>
    <t>https://www.iqiyi.com/v_19i862lfo08.html</t>
  </si>
  <si>
    <t>交通事故合集：大罐车路口盲目变道，连环事故就在...</t>
  </si>
  <si>
    <t>2020-11-28上传</t>
  </si>
  <si>
    <t>https://www.iqiyi.com/v_hjnjf8enx8.html</t>
  </si>
  <si>
    <t>交通事故合集：小车雨天横穿马路，却高估了大货车...</t>
  </si>
  <si>
    <t>2020-11-27上传</t>
  </si>
  <si>
    <t>https://www.iqiyi.com/v_1nc382l7cn8.html</t>
  </si>
  <si>
    <t>交通事故合集：下雪天道路湿滑，路口不减速秒变“...</t>
  </si>
  <si>
    <t>2020-11-26上传</t>
  </si>
  <si>
    <t>https://www.iqiyi.com/v_hwsvqgv4xg.html</t>
  </si>
  <si>
    <t>交通事故合集：小车跨双黄线随意转弯，下一秒追悔...</t>
  </si>
  <si>
    <t>2020-11-25上传</t>
  </si>
  <si>
    <t>https://www.iqiyi.com/v_x6w7p4jkz8.html</t>
  </si>
  <si>
    <t>交通事故合集：大货车高速跟车太近，连环追尾让人...</t>
  </si>
  <si>
    <t>2020-11-24上传</t>
  </si>
  <si>
    <t>https://www.iqiyi.com/v_2fwi8n36mhk.html</t>
  </si>
  <si>
    <t>交通事故合集：大货车转弯不观察路况，遇上限高杆...</t>
  </si>
  <si>
    <t>https://www.iqiyi.com/v_2bo696tyepc.html</t>
  </si>
  <si>
    <t>交通事故合集：小车路口随心所欲，遇见大货车瞬间...</t>
  </si>
  <si>
    <t>2020-11-22上传</t>
  </si>
  <si>
    <t>https://www.iqiyi.com/v_aatqcpjrsg.html</t>
  </si>
  <si>
    <t>交通事故合集：道路积雪不带防滑链，想要刹车太难了</t>
  </si>
  <si>
    <t>2020-11-21上传</t>
  </si>
  <si>
    <t>https://www.iqiyi.com/v_rrycg1s8es.html</t>
  </si>
  <si>
    <t>交通事故合集：右侧超车分秒必争，遇见状况就尴尬了</t>
  </si>
  <si>
    <t>https://www.iqiyi.com/v_i4en3yirqw.html</t>
  </si>
  <si>
    <t>交通事故合集：高速错过路口随意停车，后车跟车太...</t>
  </si>
  <si>
    <t>2020-11-19上传</t>
  </si>
  <si>
    <t>https://www.iqiyi.com/v_1ixxyydepp0.html</t>
  </si>
  <si>
    <t>交通事故合集：路口转弯不让直行车，连环事故一触...</t>
  </si>
  <si>
    <t>https://www.iqiyi.com/v_1cpf4xyylvc.html</t>
  </si>
  <si>
    <t>交通事故合集：前车不看路况连续变道，避让不及怎...</t>
  </si>
  <si>
    <t>2020-11-18上传</t>
  </si>
  <si>
    <t>https://www.iqiyi.com/v_2cjqc7o89mo.html</t>
  </si>
  <si>
    <t>交通事故合集：路口转弯不让直行车，教训来得太快了</t>
  </si>
  <si>
    <t>2020-11-17上传</t>
  </si>
  <si>
    <t>https://www.iqiyi.com/v_1pdntwcafg8.html</t>
  </si>
  <si>
    <t>交通事故合集：小车无视鸣笛随意转弯，结果上演“...</t>
  </si>
  <si>
    <t>2020-11-16上传</t>
  </si>
  <si>
    <t>https://www.iqiyi.com/v_1hfjibfmt4g.html</t>
  </si>
  <si>
    <t>交通事故合集：高速路上疲劳驾驶，偏离车道变身锄...</t>
  </si>
  <si>
    <t>2020-11-15上传</t>
  </si>
  <si>
    <t>https://www.iqiyi.com/v_1qwjk7c2za0.html</t>
  </si>
  <si>
    <t>交通事故合集：转弯掉头不观察路况，全责没商量！</t>
  </si>
  <si>
    <t>2020-11-14上传</t>
  </si>
  <si>
    <t>https://www.iqiyi.com/v_1cqtntdzaa8.html</t>
  </si>
  <si>
    <t>交通事故合集：好奇葩的漂移过弯，轮胎不给力瞬间...</t>
  </si>
  <si>
    <t>2020-11-13上传</t>
  </si>
  <si>
    <t>https://www.iqiyi.com/v_25rbdq4auw8.html</t>
  </si>
  <si>
    <t>交通事故合集：小车弯道超速行驶，奇葩车技让人啼...</t>
  </si>
  <si>
    <t>2020-11-12上传</t>
  </si>
  <si>
    <t>https://www.iqiyi.com/v_wnuj3u5m7o.html</t>
  </si>
  <si>
    <t>交通事故合集：高速路上散落货物，避让不及谁之过？</t>
  </si>
  <si>
    <t>2020-11-10上传</t>
  </si>
  <si>
    <t>https://www.iqiyi.com/v_1wta7fastw0.html</t>
  </si>
  <si>
    <t>交通事故合集：新手新车盲目上路，占道过弯结果悲...</t>
  </si>
  <si>
    <t>https://www.iqiyi.com/v_1s73dt9ue5g.html</t>
  </si>
  <si>
    <t>交通事故合集：小车弯道盲目超车，大货车急刹为时...</t>
  </si>
  <si>
    <t>2020-11-08上传</t>
  </si>
  <si>
    <t>https://www.iqiyi.com/v_ski03g45ew.html</t>
  </si>
  <si>
    <t>交通事故合集：高速路上超速行驶，遇见状况刹车都...</t>
  </si>
  <si>
    <t>2020-11-07上传</t>
  </si>
  <si>
    <t>https://www.iqiyi.com/v_24m0ady0ccw.html</t>
  </si>
  <si>
    <t>交通事故合集：开车走神不观察路况，压线追尾让人...</t>
  </si>
  <si>
    <t>2020-11-06上传</t>
  </si>
  <si>
    <t>https://www.iqiyi.com/v_1prbchsu7gw.html</t>
  </si>
  <si>
    <t>交通事故合集：开车走神无视转向灯，刹车避让已来...</t>
  </si>
  <si>
    <t>2020-11-05上传</t>
  </si>
  <si>
    <t>https://www.iqiyi.com/v_1tmjsvk2w98.html</t>
  </si>
  <si>
    <t>交通事故合集：开车打电话不观察路况，下一秒后悔...</t>
  </si>
  <si>
    <t>2020-11-03上传</t>
  </si>
  <si>
    <t>https://www.iqiyi.com/v_1nsk43hvg58.html</t>
  </si>
  <si>
    <t>交通事故合集：高速路上大货车随意变道，小车避让...</t>
  </si>
  <si>
    <t>https://www.iqiyi.com/v_p9jjllxqd4.html</t>
  </si>
  <si>
    <t>交通事故合集：乡村道路超速行驶，小车秒变锄草机！</t>
  </si>
  <si>
    <t>2020-11-01上传</t>
  </si>
  <si>
    <t>https://www.iqiyi.com/v_1ye9butqq2o.html</t>
  </si>
  <si>
    <t>交通事故合集：不看路况随意加塞大货车，下一秒措...</t>
  </si>
  <si>
    <t>2020-10-31上传</t>
  </si>
  <si>
    <t>https://www.iqiyi.com/v_qgn1dzai50.html</t>
  </si>
  <si>
    <t>交通事故合集：油罐车无视鸣笛随意掉头，重载货车...</t>
  </si>
  <si>
    <t>2020-10-30上传</t>
  </si>
  <si>
    <t>https://www.iqiyi.com/v_1vsg6xommwo.html</t>
  </si>
  <si>
    <t>交通事故合集：高速错过路口连续变道，教训来得有...</t>
  </si>
  <si>
    <t>2020-10-29上传</t>
  </si>
  <si>
    <t>https://www.iqiyi.com/v_k4g4uqzbbc.html</t>
  </si>
  <si>
    <t>交通事故合集：雨天路滑超速过弯，轮胎不给力瞬间...</t>
  </si>
  <si>
    <t>2020-10-28上传</t>
  </si>
  <si>
    <t>https://www.iqiyi.com/v_w2oig4ji28.html</t>
  </si>
  <si>
    <t>交通事故合集：下雨天道路湿滑，大货车急刹结果漂...</t>
  </si>
  <si>
    <t>2020-10-27上传</t>
  </si>
  <si>
    <t>https://www.iqiyi.com/v_lwdwjqkovo.html</t>
  </si>
  <si>
    <t>交通事故合集：不保持车距连续变道超车，结局不言...</t>
  </si>
  <si>
    <t>2020-10-26上传</t>
  </si>
  <si>
    <t>https://www.iqiyi.com/v_22qy8qzxodo.html</t>
  </si>
  <si>
    <t>交通事故合集：高速上疲劳驾驶，怼上泥罐车才如梦...</t>
  </si>
  <si>
    <t>2020-10-25上传</t>
  </si>
  <si>
    <t>https://www.iqiyi.com/v_u0jly5c6gk.html</t>
  </si>
  <si>
    <t>交通事故合集：货车师傅疲劳驾驶，偏离车道结果悲...</t>
  </si>
  <si>
    <t>2020-10-24上传</t>
  </si>
  <si>
    <t>https://www.iqiyi.com/v_1bnt47t515s.html</t>
  </si>
  <si>
    <t>交通事故合集：小车随意变道挑战大货车，不曾想遇...</t>
  </si>
  <si>
    <t>2020-10-23上传</t>
  </si>
  <si>
    <t>https://www.iqiyi.com/v_1vce688zcn0.html</t>
  </si>
  <si>
    <t>交通事故合集：斑马线前超速行驶，遇见状况来得及...</t>
  </si>
  <si>
    <t>2020-10-22上传</t>
  </si>
  <si>
    <t>https://www.iqiyi.com/v_fzzi9qhqs8.html</t>
  </si>
  <si>
    <t>交通事故合集：小车“路怒症”发作，别车导致追尾...</t>
  </si>
  <si>
    <t>2020-10-21上传</t>
  </si>
  <si>
    <t>https://www.iqiyi.com/v_16t1e0sxbns.html</t>
  </si>
  <si>
    <t>交通事故合集：新手起步不观察路况，让人防不胜防</t>
  </si>
  <si>
    <t>2020-10-20上传</t>
  </si>
  <si>
    <t>https://www.iqiyi.com/v_1di97rq03gk.html</t>
  </si>
  <si>
    <t>交通事故合集：三轮车不看路况盲目转弯，直行小车...</t>
  </si>
  <si>
    <t>2020-10-19上传</t>
  </si>
  <si>
    <t>https://www.iqiyi.com/v_1lf6askamvk.html</t>
  </si>
  <si>
    <t>交通事故合集：电动车不看路况随意转弯，客车师傅...</t>
  </si>
  <si>
    <t>2020-10-17上传</t>
  </si>
  <si>
    <t>https://www.iqiyi.com/v_f51n0nnc1g.html</t>
  </si>
  <si>
    <t>交通事故合集：随意起步不看后视镜，连环事故来得...</t>
  </si>
  <si>
    <t>2020-10-16上传</t>
  </si>
  <si>
    <t>https://www.iqiyi.com/v_1767ifuiuw0.html</t>
  </si>
  <si>
    <t>交通事故合集：出租车任性变道加塞，结果瞬间被教...</t>
  </si>
  <si>
    <t>2020-10-15上传</t>
  </si>
  <si>
    <t>https://www.iqiyi.com/v_19ykm1rn0rk.html</t>
  </si>
  <si>
    <t>交通事故合集：高速错过路口随意变道，全责一点都...</t>
  </si>
  <si>
    <t>2020-10-14上传</t>
  </si>
  <si>
    <t>https://www.iqiyi.com/v_ujpkw5dif8.html</t>
  </si>
  <si>
    <t>交通事故合集：高速公路上横穿马路，记录仪拍下惊...</t>
  </si>
  <si>
    <t>https://www.iqiyi.com/v_1j18f4l7e2k.html</t>
  </si>
  <si>
    <t>交通事故合集：下雨天实线变道超车，谁知道棋逢对手</t>
  </si>
  <si>
    <t>2020-10-12上传</t>
  </si>
  <si>
    <t>https://www.iqiyi.com/v_28mic11whno.html</t>
  </si>
  <si>
    <t>交通事故合集：小车路口争分夺秒，大货车急刹避让...</t>
  </si>
  <si>
    <t>2020-10-11上传</t>
  </si>
  <si>
    <t>https://www.iqiyi.com/v_1r6msywmif0.html</t>
  </si>
  <si>
    <t>交通事故合集：大货车窄路会车，预判失败结果悲剧了</t>
  </si>
  <si>
    <t>2020-10-10上传</t>
  </si>
  <si>
    <t>https://www.iqiyi.com/v_nc447h33us.html</t>
  </si>
  <si>
    <t>交通事故合集：女司机不看路况随意转弯，泥罐车师...</t>
  </si>
  <si>
    <t>2020-10-09上传</t>
  </si>
  <si>
    <t>https://www.iqiyi.com/v_2bk8ayktcmw.html</t>
  </si>
  <si>
    <t>交通事故合集：盲目加塞遇见路怒症，这回长教训了</t>
  </si>
  <si>
    <t>2020-10-08上传</t>
  </si>
  <si>
    <t>https://www.iqiyi.com/v_g7bqbpc1bs.html</t>
  </si>
  <si>
    <t>交通事故合集：奇葩女司机倒挡停车，笑着笑着就尴...</t>
  </si>
  <si>
    <t>2020-10-07上传</t>
  </si>
  <si>
    <t>https://www.iqiyi.com/v_1zzhujfgfbk.html</t>
  </si>
  <si>
    <t>交通事故合集：应急车道任性加塞，教训来得有点快</t>
  </si>
  <si>
    <t>2020-10-06上传</t>
  </si>
  <si>
    <t>https://www.iqiyi.com/v_sg9w57h5vs.html</t>
  </si>
  <si>
    <t>交通事故合集：百万跑车随意变道，货车师傅却笑了</t>
  </si>
  <si>
    <t>2020-10-05上传</t>
  </si>
  <si>
    <t>https://www.iqiyi.com/v_1ohm8bvvvfs.html</t>
  </si>
  <si>
    <t>交通事故合集：开车走神占道行驶，起飞失败就在一...</t>
  </si>
  <si>
    <t>2020-10-04上传</t>
  </si>
  <si>
    <t>https://www.iqiyi.com/v_1bu5uh692u4.html</t>
  </si>
  <si>
    <t>交通事故合集：不判断车距盲目超车，这一下尴尬了</t>
  </si>
  <si>
    <t>2020-10-03上传</t>
  </si>
  <si>
    <t>https://www.iqiyi.com/v_1uzgsbtbjjs.html</t>
  </si>
  <si>
    <t>交通事故合集：不看路况跨越双黄线，这一下长教训了</t>
  </si>
  <si>
    <t>2020-10-02上传</t>
  </si>
  <si>
    <t>https://www.iqiyi.com/v_15q2xyuilv0.html</t>
  </si>
  <si>
    <t>交通事故合集：十一假期车来车往，遇见新手上路就...</t>
  </si>
  <si>
    <t>2020-10-01上传</t>
  </si>
  <si>
    <t>https://www.iqiyi.com/v_giqcbo4lvs.html</t>
  </si>
  <si>
    <t>交通事故合集：高速路上不保持车距，连环追尾一触...</t>
  </si>
  <si>
    <t>2020-09-30上传</t>
  </si>
  <si>
    <t>https://www.iqiyi.com/v_29vddv9pb5w.html</t>
  </si>
  <si>
    <t>交通事故合集：重载大货车跟车太近，选择性追尾实...</t>
  </si>
  <si>
    <t>2020-09-29上传</t>
  </si>
  <si>
    <t>https://www.iqiyi.com/v_u4dmth71go.html</t>
  </si>
  <si>
    <t>交通事故合集：斑马线礼让行人，结果却尴尬了</t>
  </si>
  <si>
    <t>2020-09-28上传</t>
  </si>
  <si>
    <t>https://www.iqiyi.com/v_1akg1v7iwvc.html</t>
  </si>
  <si>
    <t>交通事故合集：无视交通标识横穿马路，全责一点都...</t>
  </si>
  <si>
    <t>2020-09-27上传</t>
  </si>
  <si>
    <t>https://www.iqiyi.com/v_2f329gp466s.html</t>
  </si>
  <si>
    <t>交通事故合集：下雨天超速过弯，轮胎不给力结果悲...</t>
  </si>
  <si>
    <t>2020-09-26上传</t>
  </si>
  <si>
    <t>https://www.iqiyi.com/v_z6x1xt2w4k.html</t>
  </si>
  <si>
    <t>交通事故合集：不判断车距随意变道，宝马车主尴尬了</t>
  </si>
  <si>
    <t>2020-09-25上传</t>
  </si>
  <si>
    <t>https://www.iqiyi.com/v_crv6gijcas.html</t>
  </si>
  <si>
    <t>交通事故合集：好奇葩的新手上路，遇上手动挡就尴...</t>
  </si>
  <si>
    <t>2020-09-24上传</t>
  </si>
  <si>
    <t>https://www.iqiyi.com/v_w5yy7ww2p4.html</t>
  </si>
  <si>
    <t>交通事故合集：高速路上疲劳驾驶，偏离车道追悔莫及</t>
  </si>
  <si>
    <t>2020-09-23上传</t>
  </si>
  <si>
    <t>https://www.iqiyi.com/v_18goou552o4.html</t>
  </si>
  <si>
    <t>交通事故合集：不看路况任性掉头，下一秒悲剧了！</t>
  </si>
  <si>
    <t>2020-09-22上传</t>
  </si>
  <si>
    <t>https://www.iqiyi.com/v_a546usm1j8.html</t>
  </si>
  <si>
    <t>交通事故合集：三轮车不看路况横穿马路，油罐车急...</t>
  </si>
  <si>
    <t>2020-09-21上传</t>
  </si>
  <si>
    <t>https://www.iqiyi.com/v_1pllorfkjas.html</t>
  </si>
  <si>
    <t>交通事故合集：转弯掉头不看后视镜，遇见电动车就...</t>
  </si>
  <si>
    <t>2020-09-20上传</t>
  </si>
  <si>
    <t>https://www.iqiyi.com/v_lspctojs7c.html</t>
  </si>
  <si>
    <t>交通事故合集：雨天路滑占道超车，大货车好心避让...</t>
  </si>
  <si>
    <t>2020-09-19上传</t>
  </si>
  <si>
    <t>https://www.iqiyi.com/v_t0u1vzb06o.html</t>
  </si>
  <si>
    <t>交通事故合集：小钢炮深夜飙车，漂移过弯结果悲剧了</t>
  </si>
  <si>
    <t>2020-09-18上传</t>
  </si>
  <si>
    <t>https://www.iqiyi.com/v_mrxzkkqqrk.html</t>
  </si>
  <si>
    <t>交通事故合集：大货车不看路况随意变道，小车身处...</t>
  </si>
  <si>
    <t>2020-09-17上传</t>
  </si>
  <si>
    <t>https://www.iqiyi.com/v_1p7b3n08abw.html</t>
  </si>
  <si>
    <t>交通事故合集：大货车雨天超速过弯，漂移甩尾就在...</t>
  </si>
  <si>
    <t>2020-09-16上传</t>
  </si>
  <si>
    <t>https://www.iqiyi.com/v_jhax365on4.html</t>
  </si>
  <si>
    <t>交通事故合集：无视转向灯盲目超车，结局一点都不...</t>
  </si>
  <si>
    <t>2020-09-15上传</t>
  </si>
  <si>
    <t>https://www.iqiyi.com/v_1c168dva79w.html</t>
  </si>
  <si>
    <t>交通事故合集：好奇葩的油门当刹车，动力不够尴尬了</t>
  </si>
  <si>
    <t>2020-09-14上传</t>
  </si>
  <si>
    <t>https://www.iqiyi.com/v_267ya1q44kk.html</t>
  </si>
  <si>
    <t>交通事故合集：无视大货车盲区任性变道，结局不言...</t>
  </si>
  <si>
    <t>2020-09-13上传</t>
  </si>
  <si>
    <t>https://www.iqiyi.com/v_ncpziszoh0.html</t>
  </si>
  <si>
    <t>交通事故合集：好随意的占道超车，大货车盲目避让...</t>
  </si>
  <si>
    <t>2020-09-12上传</t>
  </si>
  <si>
    <t>https://www.iqiyi.com/v_16z8iaqc2aw.html</t>
  </si>
  <si>
    <t>交通事故合集：新手上路不看后视镜，让人无力吐槽</t>
  </si>
  <si>
    <t>2020-09-11上传</t>
  </si>
  <si>
    <t>https://www.iqiyi.com/v_1t1tewsbpsk.html</t>
  </si>
  <si>
    <t>交通事故合集：小车疲劳驾驶偏离车道，大客车无辜...</t>
  </si>
  <si>
    <t>2020-09-10上传</t>
  </si>
  <si>
    <t>https://www.iqiyi.com/v_2bwfzdbepw4.html</t>
  </si>
  <si>
    <t>交通事故合集：不观察路况随意转弯，这一下尴尬了</t>
  </si>
  <si>
    <t>2020-09-09上传</t>
  </si>
  <si>
    <t>https://www.iqiyi.com/v_24rnyd774h0.html</t>
  </si>
  <si>
    <t>交通事故合集：大货车雨天超速行驶，急刹侧翻就在...</t>
  </si>
  <si>
    <t>2020-09-08上传</t>
  </si>
  <si>
    <t>https://www.iqiyi.com/v_zu3vq1dm0k.html</t>
  </si>
  <si>
    <t>交通事故合集：路口不会减速慢行，车尾瞬间就没了</t>
  </si>
  <si>
    <t>https://www.iqiyi.com/v_1627dg4cw14.html</t>
  </si>
  <si>
    <t>交通事故合集：大马路上超速行驶，刹车不及结果悲...</t>
  </si>
  <si>
    <t>2020-09-07上传</t>
  </si>
  <si>
    <t>https://www.iqiyi.com/v_gxojh03kt4.html</t>
  </si>
  <si>
    <t>2020-09-06上传</t>
  </si>
  <si>
    <t>https://www.iqiyi.com/v_17tja36foi8.html</t>
  </si>
  <si>
    <t>交通事故合集：随意加塞引发路怒症，结果得不偿失</t>
  </si>
  <si>
    <t>2020-09-05上传</t>
  </si>
  <si>
    <t>https://www.iqiyi.com/v_pft2ve9d6o.html</t>
  </si>
  <si>
    <t>交通事故合集：大货车师傅自信满满，挑战限宽桩结...</t>
  </si>
  <si>
    <t>2020-09-04上传</t>
  </si>
  <si>
    <t>https://www.iqiyi.com/v_1a2yxs3ia7o.html</t>
  </si>
  <si>
    <t>交通事故合集：不看路况随意变道，遇见“路怒症”...</t>
  </si>
  <si>
    <t>2020-09-03上传</t>
  </si>
  <si>
    <t>https://www.iqiyi.com/v_2bmam7cry3g.html</t>
  </si>
  <si>
    <t>交通事故合集：新手上路超速过弯，这一下尴尬了</t>
  </si>
  <si>
    <t>2020-09-02上传</t>
  </si>
  <si>
    <t>https://www.iqiyi.com/v_aftz3h7v9o.html</t>
  </si>
  <si>
    <t>交通事故合集：女司机开车走神，一追尾就蒙圈了</t>
  </si>
  <si>
    <t>2020-09-01上传</t>
  </si>
  <si>
    <t>https://www.iqiyi.com/v_h377dsy4t8.html</t>
  </si>
  <si>
    <t>交通事故合集：大货车路口超速行驶，电动车不看路...</t>
  </si>
  <si>
    <t>2020-08-31上传</t>
  </si>
  <si>
    <t>https://www.iqiyi.com/v_1vsg6xojpvw.html</t>
  </si>
  <si>
    <t>交通事故合集：新手上路油门当刹车，连环追尾让人...</t>
  </si>
  <si>
    <t>2020-08-30上传</t>
  </si>
  <si>
    <t>https://www.iqiyi.com/v_1xm28l7m3pk.html</t>
  </si>
  <si>
    <t>交通事故合集：起步变道不观察路况，遇上大货车就...</t>
  </si>
  <si>
    <t>2020-08-29上传</t>
  </si>
  <si>
    <t>https://www.iqiyi.com/v_1vynb7m0x1w.html</t>
  </si>
  <si>
    <t>交通事故合集：十字路口超速行驶，紧急情况刹不住...</t>
  </si>
  <si>
    <t>2020-08-28上传</t>
  </si>
  <si>
    <t>https://www.iqiyi.com/v_1ripuekv4k4.html</t>
  </si>
  <si>
    <t>交通事故合集：高速路上遇见障碍物，急打方向结果...</t>
  </si>
  <si>
    <t>https://www.iqiyi.com/v_msxfx1or7w.html</t>
  </si>
  <si>
    <t>2020-08-27上传</t>
  </si>
  <si>
    <t>https://www.iqiyi.com/v_wraawv58yc.html</t>
  </si>
  <si>
    <t>交通事故合集：不会预判盲目超车，全责一点都不意外</t>
  </si>
  <si>
    <t>2020-08-26上传</t>
  </si>
  <si>
    <t>https://www.iqiyi.com/v_1utqj8xvsis.html</t>
  </si>
  <si>
    <t>交通事故合集：行人不看路况横穿马路，不曾想大客...</t>
  </si>
  <si>
    <t>2020-08-25上传</t>
  </si>
  <si>
    <t>https://www.iqiyi.com/v_2fcg2o5x3bc.html</t>
  </si>
  <si>
    <t>交通事故合集：红绿灯路口超速行驶，连环追尾让人...</t>
  </si>
  <si>
    <t>2020-08-24上传</t>
  </si>
  <si>
    <t>https://www.iqiyi.com/v_150drdtc0pc.html</t>
  </si>
  <si>
    <t>交通事故合集：电动车不看后视镜我行我素，大货车...</t>
  </si>
  <si>
    <t>2020-08-23上传</t>
  </si>
  <si>
    <t>https://www.iqiyi.com/v_1n53v7br4cg.html</t>
  </si>
  <si>
    <t>交通事故合集：无视大货车盲区，随意变道加塞结果...</t>
  </si>
  <si>
    <t>2020-08-22上传</t>
  </si>
  <si>
    <t>https://www.iqiyi.com/v_1e6uo0kpatw.html</t>
  </si>
  <si>
    <t>交通事故合集：弯道会车不会鸣笛减速，奥迪车主悲...</t>
  </si>
  <si>
    <t>2020-08-21上传</t>
  </si>
  <si>
    <t>https://www.iqiyi.com/v_2cr0ez5fh60.html</t>
  </si>
  <si>
    <t>交通事故合集：小车任性加塞挑战渣土车，结果不自...</t>
  </si>
  <si>
    <t>2020-08-20上传</t>
  </si>
  <si>
    <t>https://www.iqiyi.com/v_rm5urt347g.html</t>
  </si>
  <si>
    <t>交通事故合集：开车走神不看路况，惨烈追尾让人伤...</t>
  </si>
  <si>
    <t>2020-08-19上传</t>
  </si>
  <si>
    <t>https://www.iqiyi.com/v_2ab6djivd14.html</t>
  </si>
  <si>
    <t>交通事故合集：不看路况横穿马路，三轮车避让不及...</t>
  </si>
  <si>
    <t>2020-08-18上传</t>
  </si>
  <si>
    <t>https://www.iqiyi.com/v_mq3ogags8o.html</t>
  </si>
  <si>
    <t>交通事故合集：新手上路车技太逊，这下尴尬了</t>
  </si>
  <si>
    <t>2020-08-17上传</t>
  </si>
  <si>
    <t>https://www.iqiyi.com/v_1yml5zslfk4.html</t>
  </si>
  <si>
    <t>交通事故合集：高速快车道跟车太近，连环追尾一触...</t>
  </si>
  <si>
    <t>2020-08-16上传</t>
  </si>
  <si>
    <t>https://www.iqiyi.com/v_11yl3ffovu0.html</t>
  </si>
  <si>
    <t>交通事故合集：好任性的变道超车，遇见“淡定哥”...</t>
  </si>
  <si>
    <t>2020-08-15上传</t>
  </si>
  <si>
    <t>https://www.iqiyi.com/v_yhfgnt2njc.html</t>
  </si>
  <si>
    <t>交通事故合集：新手上路不观察路况，副驾驶绝望了</t>
  </si>
  <si>
    <t>2020-08-14上传</t>
  </si>
  <si>
    <t>https://www.iqiyi.com/v_2dgq8xvmwh8.html</t>
  </si>
  <si>
    <t>交通事故合集：出租车占道超车，车速太快瞬间失控</t>
  </si>
  <si>
    <t>2020-08-13上传</t>
  </si>
  <si>
    <t>https://www.iqiyi.com/v_cphfhgndb8.html</t>
  </si>
  <si>
    <t>交通事故合集：乡村小路弯道会车，不会鸣笛减速结...</t>
  </si>
  <si>
    <t>2020-08-12上传</t>
  </si>
  <si>
    <t>https://www.iqiyi.com/v_1k490g08kxo.html</t>
  </si>
  <si>
    <t>交通事故合集：喝酒开车摇摇晃晃，方向失控就在一...</t>
  </si>
  <si>
    <t>2020-08-11上传</t>
  </si>
  <si>
    <t>https://www.iqiyi.com/v_19ixa29kzlo.html</t>
  </si>
  <si>
    <t>交通事故合集：不会保持安全车距，连环追尾让人始...</t>
  </si>
  <si>
    <t>2020-08-10上传</t>
  </si>
  <si>
    <t>https://www.iqiyi.com/v_sst0eytf5o.html</t>
  </si>
  <si>
    <t>交通事故合集：三轮车大爷横穿马路，货车师傅的反...</t>
  </si>
  <si>
    <t>2020-08-09上传</t>
  </si>
  <si>
    <t>https://www.iqiyi.com/v_1szb2xf920s.html</t>
  </si>
  <si>
    <t>交通事故合集：红绿灯路口分秒必争，结果秒变“碰...</t>
  </si>
  <si>
    <t>2020-08-08上传</t>
  </si>
  <si>
    <t>https://www.iqiyi.com/v_1yob5farudk.html</t>
  </si>
  <si>
    <t>交通事故合集：不会远离大货车，遇见状况刹车都来...</t>
  </si>
  <si>
    <t>2020-08-07上传</t>
  </si>
  <si>
    <t>https://www.iqiyi.com/v_2e1yt30xmt8.html</t>
  </si>
  <si>
    <t>交通事故合集：乡村小路盲目超车，结局不言而喻</t>
  </si>
  <si>
    <t>2020-08-06上传</t>
  </si>
  <si>
    <t>https://www.iqiyi.com/v_265f0af9nos.html</t>
  </si>
  <si>
    <t>交通事故合集：疲劳驾驶偏离车道，遇见大货车怎么...</t>
  </si>
  <si>
    <t>2020-08-05上传</t>
  </si>
  <si>
    <t>https://www.iqiyi.com/v_15e65ytntjc.html</t>
  </si>
  <si>
    <t>交通事故合集：随心所欲的变道超车，马路当客厅结...</t>
  </si>
  <si>
    <t>2020-08-04上传</t>
  </si>
  <si>
    <t>https://www.iqiyi.com/v_evn6pi97j8.html</t>
  </si>
  <si>
    <t>交通事故合集：奇葩的新手上路，不会判断车距太尴...</t>
  </si>
  <si>
    <t>2020-08-03上传</t>
  </si>
  <si>
    <t>https://www.iqiyi.com/v_1suvuwo1pww.html</t>
  </si>
  <si>
    <t>交通事故合集：停车忘记拉手刹，大家已尽力了</t>
  </si>
  <si>
    <t>2020-08-02上传</t>
  </si>
  <si>
    <t>https://www.iqiyi.com/v_14iqdjktfg4.html</t>
  </si>
  <si>
    <t>交通事故合集：不看后视镜连续变道，这一次悲剧了</t>
  </si>
  <si>
    <t>2020-08-01上传</t>
  </si>
  <si>
    <t>https://www.iqiyi.com/v_kk9mycd3bg.html</t>
  </si>
  <si>
    <t>交通事故合集：开车走神不注意车距，连环追尾让人...</t>
  </si>
  <si>
    <t>2020-07-31上传</t>
  </si>
  <si>
    <t>https://www.iqiyi.com/v_qio7ua6m2k.html</t>
  </si>
  <si>
    <t>交通事故合集：红绿灯路口争分夺秒，这一次怎么破？</t>
  </si>
  <si>
    <t>2020-07-30上传</t>
  </si>
  <si>
    <t>https://www.iqiyi.com/v_2gmdfjydjd0.html</t>
  </si>
  <si>
    <t>交通事故合集：高速路上跟车太近，遇见状况刹车都...</t>
  </si>
  <si>
    <t>2020-07-29上传</t>
  </si>
  <si>
    <t>https://www.iqiyi.com/v_1voh7nydqok.html</t>
  </si>
  <si>
    <t>交通事故合集：大马路上火急火燎，结局一点都不意外</t>
  </si>
  <si>
    <t>2020-07-28上传</t>
  </si>
  <si>
    <t>https://www.iqiyi.com/v_19rz4qa1uw.html</t>
  </si>
  <si>
    <t>交通事故合集：女司机不听劝阻，路口不减速结果悲...</t>
  </si>
  <si>
    <t>2020-07-27上传</t>
  </si>
  <si>
    <t>https://www.iqiyi.com/v_19rz4dgza4.html</t>
  </si>
  <si>
    <t>交通事故合集：临近斑马线超速行驶，想避让都来不及</t>
  </si>
  <si>
    <t>2020-07-26上传</t>
  </si>
  <si>
    <t>https://www.iqiyi.com/v_19rz4j2euw.html</t>
  </si>
  <si>
    <t>斑马线上，外卖小哥的举动真是太帅了！交通事故合集</t>
  </si>
  <si>
    <t>2020-07-25上传</t>
  </si>
  <si>
    <t>https://www.iqiyi.com/v_19rz3xbhdk.html</t>
  </si>
  <si>
    <t>交通事故合集：不断地鸣笛提醒，可大货车依旧我行...</t>
  </si>
  <si>
    <t>2020-07-24上传</t>
  </si>
  <si>
    <t>https://www.iqiyi.com/v_19rz3cjs64.html</t>
  </si>
  <si>
    <t>交通事故合集：时速100通过路口，遇见状况能反...</t>
  </si>
  <si>
    <t>2020-07-23上传</t>
  </si>
  <si>
    <t>https://www.iqiyi.com/v_19rz7gk198.html</t>
  </si>
  <si>
    <t>交通事故合集：面包车走神冲破隔离栏，让人防不胜防</t>
  </si>
  <si>
    <t>2020-07-22上传</t>
  </si>
  <si>
    <t>https://www.iqiyi.com/v_2ffkwy9nfwk.html</t>
  </si>
  <si>
    <t>交通事故合集：前车刹车灯亮好久了，追尾了才后悔...</t>
  </si>
  <si>
    <t>2020-07-21上传</t>
  </si>
  <si>
    <t>https://www.iqiyi.com/v_19rz6w0ngw.html</t>
  </si>
  <si>
    <t>交通事故合集：女司机上路不观察路况，这次长记性了</t>
  </si>
  <si>
    <t>2020-07-20上传</t>
  </si>
  <si>
    <t>https://www.iqiyi.com/v_19rz5yoa6o.html</t>
  </si>
  <si>
    <t>交通事故合集：临近路口超速行驶，“起飞”失败就...</t>
  </si>
  <si>
    <t>https://www.iqiyi.com/v_19rz68mq6w.html</t>
  </si>
  <si>
    <t>交通事故合集：下雨天超速过弯，这下尴尬了吧？</t>
  </si>
  <si>
    <t>2020-07-19上传</t>
  </si>
  <si>
    <t>https://www.iqiyi.com/v_19rz5l6d4c.html</t>
  </si>
  <si>
    <t>交通事故合集：好任性的右侧超车，遇见大货车变道...</t>
  </si>
  <si>
    <t>2020-07-18上传</t>
  </si>
  <si>
    <t>https://www.iqiyi.com/v_19rzibxf20.html</t>
  </si>
  <si>
    <t>交通事故合集：雨天路滑漂移过弯，头文字D都不敢...</t>
  </si>
  <si>
    <t>2020-07-17上传</t>
  </si>
  <si>
    <t>https://www.iqiyi.com/v_19rzhyt4sg.html</t>
  </si>
  <si>
    <t>交通事故合集：不观察路况任性掉头，大货车刹车已...</t>
  </si>
  <si>
    <t>2020-07-16上传</t>
  </si>
  <si>
    <t>https://www.iqiyi.com/v_2ffkwycop50.html</t>
  </si>
  <si>
    <t>交通事故合集： 好肆意的弯道超车，大货车避让不...</t>
  </si>
  <si>
    <t>2020-07-15上传</t>
  </si>
  <si>
    <t>https://www.iqiyi.com/v_2ffkwyf6w4c.html</t>
  </si>
  <si>
    <t>交通事故合集：红绿灯路口跟车太近，可怜了宝马的...</t>
  </si>
  <si>
    <t>2020-07-14上传</t>
  </si>
  <si>
    <t>https://www.iqiyi.com/v_2ffkwtkwkig.html</t>
  </si>
  <si>
    <t>交通事故合集：不看后视镜随意变道，还好ESP给力</t>
  </si>
  <si>
    <t>2020-07-13上传</t>
  </si>
  <si>
    <t>https://www.iqiyi.com/v_19rzgsub0w.html</t>
  </si>
  <si>
    <t>交通事故合集：雨天路滑，排水渠过弯让人伤不起</t>
  </si>
  <si>
    <t>2020-07-12上传</t>
  </si>
  <si>
    <t>https://www.iqiyi.com/v_19rzkarjy8.html</t>
  </si>
  <si>
    <t>交通事故合集：错过路口随意变道，想避让都来不及</t>
  </si>
  <si>
    <t>2020-07-11上传</t>
  </si>
  <si>
    <t>https://www.iqiyi.com/v_19rzjxnnw4.html</t>
  </si>
  <si>
    <t>交通事故合集：“路怒症”发作挑战大货车，结局不...</t>
  </si>
  <si>
    <t>2020-07-10上传</t>
  </si>
  <si>
    <t>https://www.iqiyi.com/v_19rzjae8pk.html</t>
  </si>
  <si>
    <t>交通事故合集：盲目掉头不观察路况，结局一点都不...</t>
  </si>
  <si>
    <t>2020-07-09上传</t>
  </si>
  <si>
    <t>https://www.iqiyi.com/v_19rzjiums4.html</t>
  </si>
  <si>
    <t>交通事故合集：好任性的弯道超车，不曾想大货车呼...</t>
  </si>
  <si>
    <t>2020-07-08上传</t>
  </si>
  <si>
    <t>https://www.iqiyi.com/v_19rzipld9o.html</t>
  </si>
  <si>
    <t>交通事故合集：不观察路况任性变道，这一次尴尬了</t>
  </si>
  <si>
    <t>2020-07-07上传</t>
  </si>
  <si>
    <t>https://www.iqiyi.com/v_2ffkwsiz3q4.html</t>
  </si>
  <si>
    <t>交通事故合集：大货车盲目变道超车，小车避让不及...</t>
  </si>
  <si>
    <t>2020-07-06上传</t>
  </si>
  <si>
    <t>https://www.iqiyi.com/v_19rzdxsh18.html</t>
  </si>
  <si>
    <t>交通事故合集：雨天路滑，大货车占道超车就惊艳了</t>
  </si>
  <si>
    <t>2020-07-05上传</t>
  </si>
  <si>
    <t>https://www.iqiyi.com/v_19rzdjjn6g.html</t>
  </si>
  <si>
    <t>交通事故合集：错过路口连续变道，下一秒追悔莫及</t>
  </si>
  <si>
    <t>2020-07-04上传</t>
  </si>
  <si>
    <t>https://www.iqiyi.com/v_19rzcl1lig.html</t>
  </si>
  <si>
    <t>交通事故合集：开车走神无视刹车灯，结局一点都不...</t>
  </si>
  <si>
    <t>2020-07-03上传</t>
  </si>
  <si>
    <t>https://www.iqiyi.com/v_19rzc6gebs.html</t>
  </si>
  <si>
    <t>交通事故合集：十字路口不观察路况，这一回长教训了</t>
  </si>
  <si>
    <t>2020-07-02上传</t>
  </si>
  <si>
    <t>https://www.iqiyi.com/v_19rzcb4ccc.html</t>
  </si>
  <si>
    <t>交通事故合集：小车疲劳驾驶偏离车道，下一秒后悔...</t>
  </si>
  <si>
    <t>https://www.iqiyi.com/v_2ffkwt1vf64.html</t>
  </si>
  <si>
    <t>交通事故合集：货车师傅开车走神，结局让人伤不起</t>
  </si>
  <si>
    <t>2020-06-30上传</t>
  </si>
  <si>
    <t>https://www.iqiyi.com/v_2ffkwsvwxnk.html</t>
  </si>
  <si>
    <t>交通事故合集：不观察后视镜盲目转弯，让人防不胜防</t>
  </si>
  <si>
    <t>2020-06-29上传</t>
  </si>
  <si>
    <t>https://www.iqiyi.com/v_19rzfnq03k.html</t>
  </si>
  <si>
    <t>交通事故合集：下雨天跟车太近，ABS也爱莫能助</t>
  </si>
  <si>
    <t>2020-06-28上传</t>
  </si>
  <si>
    <t>https://www.iqiyi.com/v_19rzeddq38.html</t>
  </si>
  <si>
    <t>交通事故合集：端午节新手上路，奇葩车技让人无力...</t>
  </si>
  <si>
    <t>2020-06-27上传</t>
  </si>
  <si>
    <t>https://www.iqiyi.com/v_19rxs1u5d4.html</t>
  </si>
  <si>
    <t>交通事故合集：端午佳节车水马龙，保持车距铭记心中</t>
  </si>
  <si>
    <t>2020-06-25上传</t>
  </si>
  <si>
    <t>https://www.iqiyi.com/v_19rxs7eqmw.html</t>
  </si>
  <si>
    <t>交通事故合集：小车盲目变道挑战大货车，结果秒变...</t>
  </si>
  <si>
    <t>2020-06-24上传</t>
  </si>
  <si>
    <t>https://www.iqiyi.com/v_19rxrsz924.html</t>
  </si>
  <si>
    <t>交通事故合集：好任性的弯道超车，避让失败撞成一...</t>
  </si>
  <si>
    <t>2020-06-23上传</t>
  </si>
  <si>
    <t>https://www.iqiyi.com/v_19rxquu19k.html</t>
  </si>
  <si>
    <t>交通事故合集：新手手动挡，遇见上坡就尴尬了</t>
  </si>
  <si>
    <t>2020-06-22上传</t>
  </si>
  <si>
    <t>https://www.iqiyi.com/v_19rxqguw1g.html</t>
  </si>
  <si>
    <t>交通事故合集：好任性的连续变道，导致追尾怎么看？</t>
  </si>
  <si>
    <t>2020-06-21上传</t>
  </si>
  <si>
    <t>https://www.iqiyi.com/v_19rxu66dqw.html</t>
  </si>
  <si>
    <t>交通事故合集：行驶在大货车盲区内，遇上突然变道...</t>
  </si>
  <si>
    <t>2020-06-20上传</t>
  </si>
  <si>
    <t>https://www.iqiyi.com/v_19rxtsnxjw.html</t>
  </si>
  <si>
    <t>交通事故合集：好随意的任性加塞，却无奈车技太逊</t>
  </si>
  <si>
    <t>2020-06-19上传</t>
  </si>
  <si>
    <t>https://www.iqiyi.com/v_19rxty8jio.html</t>
  </si>
  <si>
    <t>交通事故合集：面包小哥跟车太近，急刹侧滑就尴尬了</t>
  </si>
  <si>
    <t>2020-06-18上传</t>
  </si>
  <si>
    <t>https://www.iqiyi.com/v_19rxsmdl1s.html</t>
  </si>
  <si>
    <t>交通事故合集：天气炎热易犯困，疲劳驾驶让人伤不起</t>
  </si>
  <si>
    <t>2020-06-17上传</t>
  </si>
  <si>
    <t>https://www.iqiyi.com/v_19rxsyvqus.html</t>
  </si>
  <si>
    <t>交通事故合集：下雨天急打方向，侧滑失控就尴尬了</t>
  </si>
  <si>
    <t>2020-06-16上传</t>
  </si>
  <si>
    <t>https://www.iqiyi.com/v_19rxni8eqc.html</t>
  </si>
  <si>
    <t>交通事故合集：两车上演“叠罗汉”，奇葩造型是怎...</t>
  </si>
  <si>
    <t>2020-06-14上传</t>
  </si>
  <si>
    <t>https://www.iqiyi.com/v_19rxn2gu2w.html</t>
  </si>
  <si>
    <t>交通事故合集：好奇葩的新手上路，倒挡起步让人防...</t>
  </si>
  <si>
    <t>2020-06-13上传</t>
  </si>
  <si>
    <t>https://www.iqiyi.com/v_19rxn837wo.html</t>
  </si>
  <si>
    <t>交通事故合集：自行车大叔横穿马路，小车避让失败...</t>
  </si>
  <si>
    <t>2020-06-12上传</t>
  </si>
  <si>
    <t>https://www.iqiyi.com/v_19rxmtikc8.html</t>
  </si>
  <si>
    <t>交通事故合集：大货车正常行驶中，没想到路面突然...</t>
  </si>
  <si>
    <t>2020-06-11上传</t>
  </si>
  <si>
    <t>https://www.iqiyi.com/v_19rxlst5cs.html</t>
  </si>
  <si>
    <t>交通事故合集：大货车过弯不鸣笛，占道行驶结果悲...</t>
  </si>
  <si>
    <t>2020-06-10上传</t>
  </si>
  <si>
    <t>https://www.iqiyi.com/v_19rxpttwds.html</t>
  </si>
  <si>
    <t>交通事故合集：高速路上随意变道，急打方向结果瞬...</t>
  </si>
  <si>
    <t>2020-06-09上传</t>
  </si>
  <si>
    <t>https://www.iqiyi.com/v_19rxq7hesw.html</t>
  </si>
  <si>
    <t>交通事故合集：新手上路油门当刹车，可怜了崭新的...</t>
  </si>
  <si>
    <t>2020-06-08上传</t>
  </si>
  <si>
    <t>https://www.iqiyi.com/v_19rxp7al60.html</t>
  </si>
  <si>
    <t>交通事故合集：争分夺秒的右侧超车，结果却意想不到</t>
  </si>
  <si>
    <t>2020-06-07上传</t>
  </si>
  <si>
    <t>https://www.iqiyi.com/v_19rxosfscg.html</t>
  </si>
  <si>
    <t>交通事故合集：小车走神占道过弯，不曾想大货车呼...</t>
  </si>
  <si>
    <t>2020-06-06上传</t>
  </si>
  <si>
    <t>https://www.iqiyi.com/v_19rxoxxcsg.html</t>
  </si>
  <si>
    <t>交通事故合集：小车疲劳驾驶偏离车道，不是每一次...</t>
  </si>
  <si>
    <t>2020-06-05上传</t>
  </si>
  <si>
    <t>https://www.iqiyi.com/v_19rxoiakp4.html</t>
  </si>
  <si>
    <t>交通事故合集：十字路口不观察，右侧来车就尴尬了</t>
  </si>
  <si>
    <t>https://www.iqiyi.com/v_19ry0u8yr8.html</t>
  </si>
  <si>
    <t>交通事故合集：开车走神玩手机，“哐当”一声长记...</t>
  </si>
  <si>
    <t>2020-06-03上传</t>
  </si>
  <si>
    <t>https://www.iqiyi.com/v_19ry0cvmg8.html</t>
  </si>
  <si>
    <t>交通事故合集：红绿灯路口争分夺秒，遇见状况避让...</t>
  </si>
  <si>
    <t>https://www.iqiyi.com/v_19ry0ih6w4.html</t>
  </si>
  <si>
    <t>交通事故合集：马路当成赛车场，任性飙车结果悲剧了</t>
  </si>
  <si>
    <t>2020-06-01上传</t>
  </si>
  <si>
    <t>https://www.iqiyi.com/v_19ry02siu0.html</t>
  </si>
  <si>
    <t>交通事故合集：远离大货车盲区，谁也猜不出他的行...</t>
  </si>
  <si>
    <t>2020-05-31上传</t>
  </si>
  <si>
    <t>https://www.iqiyi.com/v_19rxz547qc.html</t>
  </si>
  <si>
    <t>交通事故合集：好随意的变道转弯，下一秒后悔莫及</t>
  </si>
  <si>
    <t>2020-05-30上传</t>
  </si>
  <si>
    <t>https://www.iqiyi.com/v_19ry36uzks.html</t>
  </si>
  <si>
    <t>交通事故合集：盲目转弯不让直行，给我们好好上了...</t>
  </si>
  <si>
    <t>2020-05-29上传</t>
  </si>
  <si>
    <t>https://www.iqiyi.com/v_19ry3byfiw.html</t>
  </si>
  <si>
    <t>交通事故合集：不观察路况随意变道，结局一点都不...</t>
  </si>
  <si>
    <t>2020-05-28上传</t>
  </si>
  <si>
    <t>https://www.iqiyi.com/v_19ry2x3nu4.html</t>
  </si>
  <si>
    <t>交通事故合集：小车无视鸣笛随意转弯，你高估了大...</t>
  </si>
  <si>
    <t>2020-05-27上传</t>
  </si>
  <si>
    <t>https://www.iqiyi.com/v_19ry1x18xo.html</t>
  </si>
  <si>
    <t>交通事故合集：大客车随意变道，小车避让失败怎么...</t>
  </si>
  <si>
    <t>2020-05-26上传</t>
  </si>
  <si>
    <t>https://www.iqiyi.com/v_19ry1iqqsk.html</t>
  </si>
  <si>
    <t>交通事故合集：小车随意变道挑战大货车，结果却自...</t>
  </si>
  <si>
    <t>2020-05-25上传</t>
  </si>
  <si>
    <t>https://www.iqiyi.com/v_19ry1myf34.html</t>
  </si>
  <si>
    <t>交通事故合集：临近路口超速行驶，货车师傅让人无...</t>
  </si>
  <si>
    <t>https://www.iqiyi.com/v_19rxwu5lz8.html</t>
  </si>
  <si>
    <t>交通事故合集：不保持车距任性加塞，这一回长经验了</t>
  </si>
  <si>
    <t>2020-05-23上传</t>
  </si>
  <si>
    <t>https://www.iqiyi.com/v_19rxw36hv8.html</t>
  </si>
  <si>
    <t>好任性的弯道超车，让人防不胜防，远离大货车合集</t>
  </si>
  <si>
    <t>2020-05-22上传</t>
  </si>
  <si>
    <t>https://www.iqiyi.com/v_19rxv8o6v4.html</t>
  </si>
  <si>
    <t>交通事故合集：小车路口怼上摩托车，幸亏大叔身手...</t>
  </si>
  <si>
    <t>2020-05-21上传</t>
  </si>
  <si>
    <t>https://www.iqiyi.com/v_19rxuuuikc.html</t>
  </si>
  <si>
    <t>交通事故合集：SUV走神冲破隔离带，想避让都来...</t>
  </si>
  <si>
    <t>2020-05-20上传</t>
  </si>
  <si>
    <t>https://www.iqiyi.com/v_19rxuzufg8.html</t>
  </si>
  <si>
    <t>交通事故合集：好任性的实线超车，结果避让不及两...</t>
  </si>
  <si>
    <t>2020-05-19上传</t>
  </si>
  <si>
    <t>https://www.iqiyi.com/v_19rxz2unfg.html</t>
  </si>
  <si>
    <t>交通事故合集：不保持车距任性变道，挑战大货车却...</t>
  </si>
  <si>
    <t>2020-05-18上传</t>
  </si>
  <si>
    <t>https://www.iqiyi.com/v_19rxy4cukc.html</t>
  </si>
  <si>
    <t>交通事故合集：红绿灯路口不减速，女司机这下尴尬了</t>
  </si>
  <si>
    <t>2020-05-17上传</t>
  </si>
  <si>
    <t>https://www.iqiyi.com/v_19rxxgvhkc.html</t>
  </si>
  <si>
    <t>交通事故合集：新手上路不听劝阻，副驾驶内心绝望了</t>
  </si>
  <si>
    <t>2020-05-16上传</t>
  </si>
  <si>
    <t>https://www.iqiyi.com/v_19rxxaovq8.html</t>
  </si>
  <si>
    <t>交通事故合集：大马路上争分夺秒，遇见大货车就悲...</t>
  </si>
  <si>
    <t>2020-05-14上传</t>
  </si>
  <si>
    <t>https://www.iqiyi.com/v_19ry9ivekc.html</t>
  </si>
  <si>
    <t>交通事故合集：大货车过限高杆，奇葩造型怎样做到...</t>
  </si>
  <si>
    <t>2020-05-12上传</t>
  </si>
  <si>
    <t>https://www.iqiyi.com/v_19ry8lel70.html</t>
  </si>
  <si>
    <t>交通事故合集：小轿车任性变道超车，遇见泥罐车就...</t>
  </si>
  <si>
    <t>2020-05-11上传</t>
  </si>
  <si>
    <t>https://www.iqiyi.com/v_19ry88tsa0.html</t>
  </si>
  <si>
    <t>交通事故合集：三轮车大叔任性闯红灯，这一下迷糊了</t>
  </si>
  <si>
    <t>2020-05-10上传</t>
  </si>
  <si>
    <t>https://www.iqiyi.com/v_19rybyix3c.html</t>
  </si>
  <si>
    <t>交通事故合集：下雨天超速过弯，结局让人伤不起</t>
  </si>
  <si>
    <t>2020-05-09上传</t>
  </si>
  <si>
    <t>https://www.iqiyi.com/v_19rybdi0as.html</t>
  </si>
  <si>
    <t>交通事故合集：临近路口超速行驶，遇见状况刹车都...</t>
  </si>
  <si>
    <t>2020-05-08上传</t>
  </si>
  <si>
    <t>https://www.iqiyi.com/v_19rya8bqt0.html</t>
  </si>
  <si>
    <t>交通事故合集：高速路上宝马跟车太近，紧急避让却...</t>
  </si>
  <si>
    <t>2020-05-06上传</t>
  </si>
  <si>
    <t>https://www.iqiyi.com/v_19ry5ebah8.html</t>
  </si>
  <si>
    <t>交通事故合集：高速路上盲目并线，急打方向结果瞬...</t>
  </si>
  <si>
    <t>2020-05-05上传</t>
  </si>
  <si>
    <t>https://www.iqiyi.com/v_19ry5m50do.html</t>
  </si>
  <si>
    <t>交通事故合集：高速路上疲劳驾驶，不是每一次都这...</t>
  </si>
  <si>
    <t>2020-05-04上传</t>
  </si>
  <si>
    <t>https://www.iqiyi.com/v_19ry4zpais.html</t>
  </si>
  <si>
    <t>交通事故合集：高速路上跟车太近，连环追尾才追悔...</t>
  </si>
  <si>
    <t>2020-05-03上传</t>
  </si>
  <si>
    <t>https://www.iqiyi.com/v_19ry4n9m60.html</t>
  </si>
  <si>
    <t>大马路上超速行驶，“黑人抬棺”一点都不意外</t>
  </si>
  <si>
    <t>2020-05-02上传</t>
  </si>
  <si>
    <t>https://www.iqiyi.com/v_19ry3l8dm0.html</t>
  </si>
  <si>
    <t>交通事故合集：五一假期车水马龙，连环追尾让人伤...</t>
  </si>
  <si>
    <t>2020-05-01上传</t>
  </si>
  <si>
    <t>https://www.iqiyi.com/v_19ry7mbr3k.html</t>
  </si>
  <si>
    <t>交通事故合集：不保持车距盲目超车，想避让都来不及</t>
  </si>
  <si>
    <t>2020-04-30上传</t>
  </si>
  <si>
    <t>https://www.iqiyi.com/v_19ry7229uc.html</t>
  </si>
  <si>
    <t>交通事故合集：两车同时左转弯，发生事故怎么判？</t>
  </si>
  <si>
    <t>2020-04-29上传</t>
  </si>
  <si>
    <t>https://www.iqiyi.com/v_19ry79a4pw.html</t>
  </si>
  <si>
    <t>交通事故合集：高速路口随意变道，大货车刹不住怎...</t>
  </si>
  <si>
    <t>2020-04-28上传</t>
  </si>
  <si>
    <t>https://www.iqiyi.com/v_19ry68uigs.html</t>
  </si>
  <si>
    <t>交通事故合集：不观察路况盲目掉头，悲剧来得有点快</t>
  </si>
  <si>
    <t>2020-04-27上传</t>
  </si>
  <si>
    <t>https://www.iqiyi.com/v_19ryj19bc0.html</t>
  </si>
  <si>
    <t>交通事故合集：避让小狗急打方向，导致失控怎么看？</t>
  </si>
  <si>
    <t>2020-04-25上传</t>
  </si>
  <si>
    <t>https://www.iqiyi.com/v_19ryhy3h10.html</t>
  </si>
  <si>
    <t>交通事故合集：货车师傅走神追尾，驾驶室瞬间没有了</t>
  </si>
  <si>
    <t>2020-04-23上传</t>
  </si>
  <si>
    <t>https://www.iqiyi.com/v_19ryky3nvk.html</t>
  </si>
  <si>
    <t>交通事故合集：雨天超速行驶，“漂移”失控就在一...</t>
  </si>
  <si>
    <t>2020-04-22上传</t>
  </si>
  <si>
    <t>https://www.iqiyi.com/v_19rykd8qyk.html</t>
  </si>
  <si>
    <t>交通事故合集：十字路口不守交规，想要避让太难了</t>
  </si>
  <si>
    <t>2020-04-21上传</t>
  </si>
  <si>
    <t>https://www.iqiyi.com/v_19ryjqp7po.html</t>
  </si>
  <si>
    <t>交通事故合集：山路上开车走神，“起飞”失败就在...</t>
  </si>
  <si>
    <t>2020-04-20上传</t>
  </si>
  <si>
    <t>https://www.iqiyi.com/v_19ryj7jd00.html</t>
  </si>
  <si>
    <t>交通事故合集：好强势的占道超车，全责一点都不意外</t>
  </si>
  <si>
    <t>2020-04-19上传</t>
  </si>
  <si>
    <t>https://www.iqiyi.com/v_19rydnq4dw.html</t>
  </si>
  <si>
    <t>交通事故合集：好奇葩的追尾，不知道怎样做到的？</t>
  </si>
  <si>
    <t>2020-04-17上传</t>
  </si>
  <si>
    <t>https://www.iqiyi.com/v_19ryci57g0.html</t>
  </si>
  <si>
    <t>交通事故合集：高速跟车无视刹车灯，连环追尾就尴...</t>
  </si>
  <si>
    <t>2020-04-14上传</t>
  </si>
  <si>
    <t>https://www.iqiyi.com/v_19ryfvpwug.html</t>
  </si>
  <si>
    <t>交通事故合集：下雨天跟车太近，大货车急刹上演惊...</t>
  </si>
  <si>
    <t>2020-04-12上传</t>
  </si>
  <si>
    <t>https://www.iqiyi.com/v_19ryfklsa8.html</t>
  </si>
  <si>
    <t>交通事故合集：小车掉头遇上了盲目超车，这种情况...</t>
  </si>
  <si>
    <t>2020-04-11上传</t>
  </si>
  <si>
    <t>https://www.iqiyi.com/v_19rwsinzzw.html</t>
  </si>
  <si>
    <t>交通事故合集：货车师傅开车走神，遇上限高杆就尴...</t>
  </si>
  <si>
    <t>2020-04-10上传</t>
  </si>
  <si>
    <t>https://www.iqiyi.com/v_19rws42fkk.html</t>
  </si>
  <si>
    <t>交通事故合集：红绿灯路口任性抢行，遇上状况刹车...</t>
  </si>
  <si>
    <t>2020-04-08上传</t>
  </si>
  <si>
    <t>https://www.iqiyi.com/v_19rwr15ees.html</t>
  </si>
  <si>
    <t>交通事故合集：重载大货车超速行驶，临近路口刹车...</t>
  </si>
  <si>
    <t>2020-04-06上传</t>
  </si>
  <si>
    <t>https://www.iqiyi.com/v_19rwud9pfg.html</t>
  </si>
  <si>
    <t>交通事故合集：下雨天高速超车，遭遇“水滑”怎么...</t>
  </si>
  <si>
    <t>2020-04-05上传</t>
  </si>
  <si>
    <t>https://www.iqiyi.com/v_19rwsz9fhw.html</t>
  </si>
  <si>
    <t>交通事故合集：高速事故不放警示牌，这一次长教训了</t>
  </si>
  <si>
    <t>2020-04-04上传</t>
  </si>
  <si>
    <t>https://www.iqiyi.com/v_19rwo1ra24.html</t>
  </si>
  <si>
    <t>交通事故合集：高速快车道任性加塞，结果车技太逊...</t>
  </si>
  <si>
    <t>2020-04-03上传</t>
  </si>
  <si>
    <t>https://www.iqiyi.com/v_19rwnnyuh8.html</t>
  </si>
  <si>
    <t>交通事故合集：电动车弯道停车，不曾想大货车已刹...</t>
  </si>
  <si>
    <t>2020-04-02上传</t>
  </si>
  <si>
    <t>https://www.iqiyi.com/v_19rwqapafc.html</t>
  </si>
  <si>
    <t>交通事故合集：好任性的随意转弯，遇上直行车就狼...</t>
  </si>
  <si>
    <t>2020-03-30上传</t>
  </si>
  <si>
    <t>https://www.iqiyi.com/v_19rwphkcjc.html</t>
  </si>
  <si>
    <t>交通事故合集：不保持车距的大货车，高速追尾让人...</t>
  </si>
  <si>
    <t>2020-03-28上传</t>
  </si>
  <si>
    <t>https://www.iqiyi.com/v_19rx0qfqxw.html</t>
  </si>
  <si>
    <t>交通事故合集：行驶在大货车盲区，遇上突然变道就...</t>
  </si>
  <si>
    <t>2020-03-26上传</t>
  </si>
  <si>
    <t>https://www.iqiyi.com/v_19rx3mqccc.html</t>
  </si>
  <si>
    <t>交通事故合集：高速路上跟车太近，连环追尾来得一...</t>
  </si>
  <si>
    <t>2020-03-24上传</t>
  </si>
  <si>
    <t>https://www.iqiyi.com/v_19rx2e7lxs.html</t>
  </si>
  <si>
    <t>交通事故合集：马路上斗气飙车，没想到最后一秒却...</t>
  </si>
  <si>
    <t>2020-03-22上传</t>
  </si>
  <si>
    <t>https://www.iqiyi.com/v_19rx29pneg.html</t>
  </si>
  <si>
    <t>交通事故合集：好任性的占道超车，不会预判车距害...</t>
  </si>
  <si>
    <t>2020-03-21上传</t>
  </si>
  <si>
    <t>https://www.iqiyi.com/v_19rwwl9m7c.html</t>
  </si>
  <si>
    <t>交通事故合集：下雨天跟车距离太近，急刹失控就在...</t>
  </si>
  <si>
    <t>2020-03-20上传</t>
  </si>
  <si>
    <t>https://www.iqiyi.com/v_19rwzanb88.html</t>
  </si>
  <si>
    <t>交通事故合集：大货车弯道会车，不会提前减速结果...</t>
  </si>
  <si>
    <t>2020-03-17上传</t>
  </si>
  <si>
    <t>https://www.iqiyi.com/v_19rwyivfuw.html</t>
  </si>
  <si>
    <t>交通事故合集：不文明的任性加塞，遇见大货车就尴...</t>
  </si>
  <si>
    <t>2020-03-16上传</t>
  </si>
  <si>
    <t>https://www.iqiyi.com/v_19rwxsnx2c.html</t>
  </si>
  <si>
    <t>交通事故合集：好肆意的占道超车，大货车呼啸而来...</t>
  </si>
  <si>
    <t>2020-03-14上传</t>
  </si>
  <si>
    <t>https://www.iqiyi.com/v_19rx97of8w.html</t>
  </si>
  <si>
    <t>交通事故合集：不练好车技盲目“过桩”，这一次长...</t>
  </si>
  <si>
    <t>2020-03-12上传</t>
  </si>
  <si>
    <t>https://www.iqiyi.com/v_19rxcw5xqc.html</t>
  </si>
  <si>
    <t>交通事故合集：红绿灯路口争分夺秒，超速失控让人...</t>
  </si>
  <si>
    <t>2020-03-10上传</t>
  </si>
  <si>
    <t>https://www.iqiyi.com/v_19rxavwfo4.html</t>
  </si>
  <si>
    <t>交通事故合集：高速路上跟车太近，大货车急刹失控...</t>
  </si>
  <si>
    <t>2020-03-08上传</t>
  </si>
  <si>
    <t>https://www.iqiyi.com/v_19rx5pe4nw.html</t>
  </si>
  <si>
    <t>交通事故合集：好随意的路边起步，“前脸”一下就...</t>
  </si>
  <si>
    <t>2020-03-07上传</t>
  </si>
  <si>
    <t>https://www.iqiyi.com/v_19rx4v2rk0.html</t>
  </si>
  <si>
    <t>交通事故合集：高速路上车水马龙，保持车距牢记心中</t>
  </si>
  <si>
    <t>2020-03-05上传</t>
  </si>
  <si>
    <t>https://www.iqiyi.com/v_19rx7mm4as.html</t>
  </si>
  <si>
    <t>交通事故合集：红绿灯路口抢行，这一次却遇上了“...</t>
  </si>
  <si>
    <t>2020-03-03上传</t>
  </si>
  <si>
    <t>https://www.iqiyi.com/v_19rx6dftak.html</t>
  </si>
  <si>
    <t>交通事故合集：高速路上盲目变道超车，连环追尾就...</t>
  </si>
  <si>
    <t>2020-03-02上传</t>
  </si>
  <si>
    <t>https://www.iqiyi.com/v_19rxi4717k.html</t>
  </si>
  <si>
    <t>交通事故合集：弯道任性超车，却低估了大货车的盲区</t>
  </si>
  <si>
    <t>2020-02-28上传</t>
  </si>
  <si>
    <t>https://www.iqiyi.com/v_19rxhe8n7k.html</t>
  </si>
  <si>
    <t>交通事故合集：雨天道路湿滑，超速过弯让人伤不起</t>
  </si>
  <si>
    <t>2020-02-27上传</t>
  </si>
  <si>
    <t>https://www.iqiyi.com/v_19rxkbbcj0.html</t>
  </si>
  <si>
    <t>交通事故合集：高速路上疲劳驾驶，追尾大货车才后...</t>
  </si>
  <si>
    <t>2020-02-25上传</t>
  </si>
  <si>
    <t>https://www.iqiyi.com/v_19rxf2bwtk.html</t>
  </si>
  <si>
    <t>交通事故合集：大客车师傅开车走神，一头扎向了限...</t>
  </si>
  <si>
    <t>2020-02-23上传</t>
  </si>
  <si>
    <t>https://www.iqiyi.com/v_19rxd0r2vs.html</t>
  </si>
  <si>
    <t>交通事故合集：路边起步不看后视镜，这一次长经验...</t>
  </si>
  <si>
    <t>2020-02-21上传</t>
  </si>
  <si>
    <t>https://www.iqiyi.com/v_19rxfrq63c.html</t>
  </si>
  <si>
    <t>交通事故合集：任性宝马超速过弯，结果帅不过三秒</t>
  </si>
  <si>
    <t>2020-02-19上传</t>
  </si>
  <si>
    <t>https://www.iqiyi.com/v_19rvscwqy4.html</t>
  </si>
  <si>
    <t>交通事故合集：不观察路况连续变道，谁知道车技太...</t>
  </si>
  <si>
    <t>2020-02-17上传</t>
  </si>
  <si>
    <t>https://www.iqiyi.com/v_19rvvk02hw.html</t>
  </si>
  <si>
    <t>交通事故合集：雨雪天超速行驶，方向失控就在一瞬间</t>
  </si>
  <si>
    <t>2020-02-15上传</t>
  </si>
  <si>
    <t>https://www.iqiyi.com/v_19rvth02ts.html</t>
  </si>
  <si>
    <t>交通事故合集：高速快车道，随意变道上演惊险一幕</t>
  </si>
  <si>
    <t>2020-02-13上传</t>
  </si>
  <si>
    <t>https://www.iqiyi.com/v_19rvnh66sg.html</t>
  </si>
  <si>
    <t>高速路上疲劳驾驶，超速追尾让人猝不及防，交通事...</t>
  </si>
  <si>
    <t>2020-02-11上传</t>
  </si>
  <si>
    <t>https://www.iqiyi.com/v_19rvqyxqec.html</t>
  </si>
  <si>
    <t>交通事故合集：乡村道路超速行驶，遇见状况ABS...</t>
  </si>
  <si>
    <t>2020-02-09上传</t>
  </si>
  <si>
    <t>https://www.iqiyi.com/v_19rvphg95s.html</t>
  </si>
  <si>
    <t>判断车距太难了，奇葩新手上路合集2</t>
  </si>
  <si>
    <t>2020-02-07上传</t>
  </si>
  <si>
    <t>https://www.iqiyi.com/v_19rw11sr2g.html</t>
  </si>
  <si>
    <t>交通事故合集：神出鬼没的外卖小哥，车技再好也不...</t>
  </si>
  <si>
    <t>2020-02-05上传</t>
  </si>
  <si>
    <t>https://www.iqiyi.com/v_19rw3gzj94.html</t>
  </si>
  <si>
    <t>交通事故合集：好奇葩的高速倒车，导致追尾怎么看？</t>
  </si>
  <si>
    <t>2020-02-03上传</t>
  </si>
  <si>
    <t>https://www.iqiyi.com/v_19rw3ebbj8.html</t>
  </si>
  <si>
    <t>油门刹车分不清楚，奇葩新手上路合集</t>
  </si>
  <si>
    <t>2020-02-02上传</t>
  </si>
  <si>
    <t>https://www.iqiyi.com/v_19rvwz43yc.html</t>
  </si>
  <si>
    <t>交通事故合集：好肆意的超速过弯，让我们避无可避</t>
  </si>
  <si>
    <t>2020-01-31上传</t>
  </si>
  <si>
    <t>https://www.iqiyi.com/v_19rvw4ef2g.html</t>
  </si>
  <si>
    <t>交通事故合集：路况不熟超速行驶，悲剧来得有点快</t>
  </si>
  <si>
    <t>2020-01-29上传</t>
  </si>
  <si>
    <t>https://www.iqiyi.com/v_19rvzi28s4.html</t>
  </si>
  <si>
    <t>交通事故合集：春节假期疲劳驾驶，连环事故让人伤...</t>
  </si>
  <si>
    <t>2020-01-27上传</t>
  </si>
  <si>
    <t>https://www.iqiyi.com/v_19rvxuquv8.html</t>
  </si>
  <si>
    <t>交通事故合集：下雨天超速过弯，连环事故就在一瞬间</t>
  </si>
  <si>
    <t>2020-01-26上传</t>
  </si>
  <si>
    <t>https://www.iqiyi.com/v_19rwa7xi5s.html</t>
  </si>
  <si>
    <t>交通事故合集：春节假期新手上路，奇葩车技让人哭...</t>
  </si>
  <si>
    <t>2020-01-23上传</t>
  </si>
  <si>
    <t>https://www.iqiyi.com/v_19rw9prb6g.html</t>
  </si>
  <si>
    <t>交通事故合集：过年回家归心似箭，谨慎驾驶勿忘安...</t>
  </si>
  <si>
    <t>2020-01-22上传</t>
  </si>
  <si>
    <t>https://www.iqiyi.com/v_19rw99vlf4.html</t>
  </si>
  <si>
    <t>交通事故合集：面对随心所欲的大货车，谁也预判不...</t>
  </si>
  <si>
    <t>2020-01-21上传</t>
  </si>
  <si>
    <t>https://www.iqiyi.com/v_19rwbw0hzc.html</t>
  </si>
  <si>
    <t>交通事故合集：春节假期悄然而至，长途路上莫要疲...</t>
  </si>
  <si>
    <t>2020-01-19上传</t>
  </si>
  <si>
    <t>https://www.iqiyi.com/v_19rwbfcgbg.html</t>
  </si>
  <si>
    <t>交通事故合集：肆无忌惮的逆行超车，这下好了吧？</t>
  </si>
  <si>
    <t>2020-01-18上传</t>
  </si>
  <si>
    <t>https://www.iqiyi.com/v_19rw679yyo.html</t>
  </si>
  <si>
    <t>交通事故合集：大马路上斗气飙车，结局不言而喻</t>
  </si>
  <si>
    <t>2020-01-17上传</t>
  </si>
  <si>
    <t>https://www.iqiyi.com/v_19rw631qos.html</t>
  </si>
  <si>
    <t>交通事故合集：开车走神玩手机，翻车那一刻才后悔...</t>
  </si>
  <si>
    <t>2020-01-16上传</t>
  </si>
  <si>
    <t>https://www.iqiyi.com/v_19rw5egrpg.html</t>
  </si>
  <si>
    <t>交通事故合集：电动车随意变道，油罐车避让不及很...</t>
  </si>
  <si>
    <t>2020-01-15上传</t>
  </si>
  <si>
    <t>https://www.iqiyi.com/v_19rw8ndy0k.html</t>
  </si>
  <si>
    <t>交通事故合集：不按导向车道任性转弯，这次全责没...</t>
  </si>
  <si>
    <t>2020-01-14上传</t>
  </si>
  <si>
    <t>https://www.iqiyi.com/v_19rw7tbkrk.html</t>
  </si>
  <si>
    <t>交通事故合集：不保持安全车距，连环追尾来得有点快</t>
  </si>
  <si>
    <t>2020-01-12上传</t>
  </si>
  <si>
    <t>https://www.iqiyi.com/v_19rw79yoh8.html</t>
  </si>
  <si>
    <t>交通事故合集：不会判断左右车距，新手上路莫要着急</t>
  </si>
  <si>
    <t>2020-01-11上传</t>
  </si>
  <si>
    <t>https://www.iqiyi.com/v_19rwjs0clc.html</t>
  </si>
  <si>
    <t>交通事故合集：好强势的转弯变道，没想到下一秒自...</t>
  </si>
  <si>
    <t>2020-01-10上传</t>
  </si>
  <si>
    <t>https://www.iqiyi.com/v_19rwjazshw.html</t>
  </si>
  <si>
    <t>交通事故合集：高速快车道随意停车，连环追尾来得...</t>
  </si>
  <si>
    <t>2020-01-08上传</t>
  </si>
  <si>
    <t>https://www.iqiyi.com/v_19rwm6g7rw.html</t>
  </si>
  <si>
    <t>交通事故合集：大雪纷飞路面湿滑，“漂移大赛”一...</t>
  </si>
  <si>
    <t>2020-01-06上传</t>
  </si>
  <si>
    <t>https://www.iqiyi.com/v_19rwlh4gno.html</t>
  </si>
  <si>
    <t>交通事故合集：山路过弯不减速，大货车“神龙摆尾...</t>
  </si>
  <si>
    <t>2020-01-05上传</t>
  </si>
  <si>
    <t>https://www.iqiyi.com/v_19rwkyc0hk.html</t>
  </si>
  <si>
    <t>交通事故合集：小车“飞”上了电线杆，奇葩车技是...</t>
  </si>
  <si>
    <t>2020-01-04上传</t>
  </si>
  <si>
    <t>https://www.iqiyi.com/v_19rwkdkpm0.html</t>
  </si>
  <si>
    <t>交通事故合集：不会预判盲目超车，遇见大货车已经...</t>
  </si>
  <si>
    <t>2020-01-03上传</t>
  </si>
  <si>
    <t>https://www.iqiyi.com/v_19rwepycsw.html</t>
  </si>
  <si>
    <t>交通事故合集：新年第一场雪，超速过弯让人无力吐槽</t>
  </si>
  <si>
    <t>2020-01-01上传</t>
  </si>
  <si>
    <t>https://www.iqiyi.com/v_19rwegpmig.html</t>
  </si>
  <si>
    <t>交通事故合集：身处大货车盲区，遇上突然变道就悲...</t>
  </si>
  <si>
    <t>2019-12-31上传</t>
  </si>
  <si>
    <t>https://www.iqiyi.com/v_19rwdxejz8.html</t>
  </si>
  <si>
    <t>交通事故合集：大客车走神过限高杆，车顶瞬间没有了</t>
  </si>
  <si>
    <t>2019-12-30上传</t>
  </si>
  <si>
    <t>https://www.iqiyi.com/v_19rwhqdd0k.html</t>
  </si>
  <si>
    <t>交通事故合集：货车师傅粗心大意，“道具赛”让人...</t>
  </si>
  <si>
    <t>2019-12-29上传</t>
  </si>
  <si>
    <t>https://www.iqiyi.com/v_19rwgt5g84.html</t>
  </si>
  <si>
    <t>交通事故合集：很小心的驾驶，没想到还是防不胜防</t>
  </si>
  <si>
    <t>2019-12-28上传</t>
  </si>
  <si>
    <t>https://www.iqiyi.com/v_19rwgltnn8.html</t>
  </si>
  <si>
    <t>交通事故合集：不观察路况任性转弯，教训来得有点快</t>
  </si>
  <si>
    <t>2019-12-27上传</t>
  </si>
  <si>
    <t>https://www.iqiyi.com/w_19sb4lzkmt.html</t>
  </si>
  <si>
    <t>交通事故合集：好奇葩的随意变道，引发追尾怎么判？</t>
  </si>
  <si>
    <t>2019-12-26上传</t>
  </si>
  <si>
    <t>https://www.iqiyi.com/v_19ruttgfkk.html</t>
  </si>
  <si>
    <t>交通事故合集：能把车开出这造型，是怎样做到的？</t>
  </si>
  <si>
    <t>2019-12-25上传</t>
  </si>
  <si>
    <t>https://www.iqiyi.com/v_19rutanrgc.html</t>
  </si>
  <si>
    <t>交通事故合集：冰天雪地勿超速，一不小心就漂移失败</t>
  </si>
  <si>
    <t>2019-12-23上传</t>
  </si>
  <si>
    <t>https://www.iqiyi.com/v_19rusrws34.html</t>
  </si>
  <si>
    <t>交通事故合集：又见经典“碰瓷”，拙劣演技被车主...</t>
  </si>
  <si>
    <t>2019-12-22上传</t>
  </si>
  <si>
    <t>https://www.iqiyi.com/v_19rus5zy0s.html</t>
  </si>
  <si>
    <t>交通事故合集：好奇葩的转弯技术，我能说什么呢？</t>
  </si>
  <si>
    <t>2019-12-21上传</t>
  </si>
  <si>
    <t>https://www.iqiyi.com/v_19ruvv0mps.html</t>
  </si>
  <si>
    <t>交通事故合集：无视交规的电动车，好运不会一直降临</t>
  </si>
  <si>
    <t>2019-12-20上传</t>
  </si>
  <si>
    <t>https://www.iqiyi.com/v_19ruvany5w.html</t>
  </si>
  <si>
    <t>交通事故合集：雨雪天道路湿滑，谁给你的勇气弯道...</t>
  </si>
  <si>
    <t>2019-12-19上传</t>
  </si>
  <si>
    <t>https://www.iqiyi.com/v_19ruuzmngk.html</t>
  </si>
  <si>
    <t>交通事故合集：大货车跟车距离太近，紧急避让却为...</t>
  </si>
  <si>
    <t>2019-12-18上传</t>
  </si>
  <si>
    <t>https://www.iqiyi.com/v_19ruu6dv00.html</t>
  </si>
  <si>
    <t>交通事故合集：下雪路滑，女司机不顾劝阻超速过弯...</t>
  </si>
  <si>
    <t>2019-12-17上传</t>
  </si>
  <si>
    <t>https://www.iqiyi.com/v_19ruorjloc.html</t>
  </si>
  <si>
    <t>交通事故合集：新手开车遇见突发状况，反应真让人...</t>
  </si>
  <si>
    <t>2019-12-16上传</t>
  </si>
  <si>
    <t>https://www.iqiyi.com/v_19runvngr4.html</t>
  </si>
  <si>
    <t>交通事故合集：疲劳驾驶偏离车道，大树也挡不住他...</t>
  </si>
  <si>
    <t>2019-12-15上传</t>
  </si>
  <si>
    <t>https://www.iqiyi.com/w_19sb44no4p.html</t>
  </si>
  <si>
    <t>交通事故合集:开车走神跨越双黄线，“过关斩将”...</t>
  </si>
  <si>
    <t>2019-12-14上传</t>
  </si>
  <si>
    <t>https://www.iqiyi.com/v_19rurmq14s.html</t>
  </si>
  <si>
    <t>交通事故合集：路口走神挑战大货车，不曾想是鸡蛋...</t>
  </si>
  <si>
    <t>2019-12-12上传</t>
  </si>
  <si>
    <t>https://www.iqiyi.com/v_19rur2009c.html</t>
  </si>
  <si>
    <t>交通事故合集：马路上任性飙车，遇见状况ESP也...</t>
  </si>
  <si>
    <t>2019-12-11上传</t>
  </si>
  <si>
    <t>https://www.iqiyi.com/v_19ruqh9xac.html</t>
  </si>
  <si>
    <t>想躲也躲不掉，奇葩的道具赛合集</t>
  </si>
  <si>
    <t>2019-12-10上传</t>
  </si>
  <si>
    <t>https://www.iqiyi.com/v_19rupxygwk.html</t>
  </si>
  <si>
    <t>交通事故合集：奇葩的开车大神，眼瞅着撞上了却不...</t>
  </si>
  <si>
    <t>2019-12-09上传</t>
  </si>
  <si>
    <t>https://www.iqiyi.com/v_19rv2nphb0.html</t>
  </si>
  <si>
    <t>交通事故合集：电动车“神出鬼没”，小车避让不及...</t>
  </si>
  <si>
    <t>2019-12-08上传</t>
  </si>
  <si>
    <t>https://www.iqiyi.com/v_19rv1sdtss.html</t>
  </si>
  <si>
    <t>交通事故合集：十字路口喇叭当刹车，这一次没那么...</t>
  </si>
  <si>
    <t>2019-12-07上传</t>
  </si>
  <si>
    <t>https://www.iqiyi.com/v_19rv1ju6rw.html</t>
  </si>
  <si>
    <t>交通事故合集：在大货车盲区内行驶，这回长教训了</t>
  </si>
  <si>
    <t>2019-12-06上传</t>
  </si>
  <si>
    <t>https://www.iqiyi.com/v_19rv12n6a8.html</t>
  </si>
  <si>
    <t>交通事故合集：一起惨烈的连环事故，告诫我们超车...</t>
  </si>
  <si>
    <t>2019-12-05上传</t>
  </si>
  <si>
    <t>https://www.iqiyi.com/v_19rv4x7dog.html</t>
  </si>
  <si>
    <t>交通事故合集：把车开进大货车肚子里，不知道女司...</t>
  </si>
  <si>
    <t>2019-12-04上传</t>
  </si>
  <si>
    <t>https://www.iqiyi.com/v_19rv4cc960.html</t>
  </si>
  <si>
    <t>交通事故合集：不打转向灯直接转弯，这次麻烦大了</t>
  </si>
  <si>
    <t>2019-12-03上传</t>
  </si>
  <si>
    <t>https://www.iqiyi.com/v_19rv3r4d24.html</t>
  </si>
  <si>
    <t>交通事故合集：盲目转弯不看路况，交警叔叔来教你...</t>
  </si>
  <si>
    <t>2019-12-02上传</t>
  </si>
  <si>
    <t>https://www.iqiyi.com/v_19rv2vvt24.html</t>
  </si>
  <si>
    <t>交通事故合集：大货车占道超车，无辜小车很受伤</t>
  </si>
  <si>
    <t>2019-12-01上传</t>
  </si>
  <si>
    <t>https://www.iqiyi.com/v_19ruxu3130.html</t>
  </si>
  <si>
    <t>交通事故合集：下雪天超速过弯，ABS也爱莫能助</t>
  </si>
  <si>
    <t>2019-11-30上传</t>
  </si>
  <si>
    <t>https://www.iqiyi.com/v_19ruxbsgdo.html</t>
  </si>
  <si>
    <t>交通事故合集：令人匪夷所思的事故，空载大货车是...</t>
  </si>
  <si>
    <t>2019-11-29上传</t>
  </si>
  <si>
    <t>https://www.iqiyi.com/v_19ruwrltik.html</t>
  </si>
  <si>
    <t>交通事故合集：毫无顾忌的强势加塞，没想到惹怒了...</t>
  </si>
  <si>
    <t>2019-11-28上传</t>
  </si>
  <si>
    <t>https://www.iqiyi.com/v_19ruw7ko58.html</t>
  </si>
  <si>
    <t>交通事故合集：开车走神撞向防护栏，这一下才知道...</t>
  </si>
  <si>
    <t>2019-11-27上传</t>
  </si>
  <si>
    <t>https://www.iqiyi.com/v_19rv03yw8k.html</t>
  </si>
  <si>
    <t>交通事故合集：货车师傅开车走神，连环追尾让人伤...</t>
  </si>
  <si>
    <t>2019-11-26上传</t>
  </si>
  <si>
    <t>https://www.iqiyi.com/v_19ruzjjoig.html</t>
  </si>
  <si>
    <t>交通事故合集：好任性的随意掉头，给人反应的机会...</t>
  </si>
  <si>
    <t>2019-11-25上传</t>
  </si>
  <si>
    <t>https://www.iqiyi.com/v_19ruyw82g0.html</t>
  </si>
  <si>
    <t>交通事故合集：眼瞅着大货车越来越近，执意挑战后...</t>
  </si>
  <si>
    <t>2019-11-24上传</t>
  </si>
  <si>
    <t>https://www.iqiyi.com/v_19ruyj4kyw.html</t>
  </si>
  <si>
    <t>交通事故合集：随心所欲的三轮车，突然转弯让人猝...</t>
  </si>
  <si>
    <t>2019-11-23上传</t>
  </si>
  <si>
    <t>https://www.iqiyi.com/v_19rvbawuk4.html</t>
  </si>
  <si>
    <t>交通事故合集：懂得预判和保持车距，这才是睿智的...</t>
  </si>
  <si>
    <t>2019-11-22上传</t>
  </si>
  <si>
    <t>https://www.iqiyi.com/v_19rvata0jc.html</t>
  </si>
  <si>
    <t>交通事故合集：小车起步不看后视镜，下一秒被大客...</t>
  </si>
  <si>
    <t>2019-11-21上传</t>
  </si>
  <si>
    <t>https://www.iqiyi.com/v_19rv9ztmts.html</t>
  </si>
  <si>
    <t>交通事故合集：好尴尬的走神追尾，电动车大叔都笑了</t>
  </si>
  <si>
    <t>2019-11-20上传</t>
  </si>
  <si>
    <t>https://www.iqiyi.com/v_19rv9ggwuc.html</t>
  </si>
  <si>
    <t>交通事故合集：临近斑马线不减速，撞飞护栏才知道...</t>
  </si>
  <si>
    <t>2019-11-19上传</t>
  </si>
  <si>
    <t>https://www.iqiyi.com/v_19rvddk0fs.html</t>
  </si>
  <si>
    <t>交通事故合集：随心所欲的变道超车，共享汽车这下...</t>
  </si>
  <si>
    <t>2019-11-18上传</t>
  </si>
  <si>
    <t>https://www.iqiyi.com/v_19rvcvtda0.html</t>
  </si>
  <si>
    <t>交通事故合集：看似潇洒的连续超车，下一秒彻底悲...</t>
  </si>
  <si>
    <t>2019-11-17上传</t>
  </si>
  <si>
    <t>https://www.iqiyi.com/v_19rvcc6mec.html</t>
  </si>
  <si>
    <t>交通事故合集：不保持安全车距，随意转弯让人措手...</t>
  </si>
  <si>
    <t>2019-11-16上传</t>
  </si>
  <si>
    <t>https://www.iqiyi.com/v_19rvbygcqg.html</t>
  </si>
  <si>
    <t>交通事故合集：高速公路跟车太近，紧急避让上演惊...</t>
  </si>
  <si>
    <t>2019-11-15上传</t>
  </si>
  <si>
    <t>https://www.iqiyi.com/v_19rv6b4ct0.html</t>
  </si>
  <si>
    <t>交通事故合集：自行车大爷挑战大卡车，不知道谁的...</t>
  </si>
  <si>
    <t>2019-11-14上传</t>
  </si>
  <si>
    <t>https://www.iqiyi.com/v_19rv5sehs0.html</t>
  </si>
  <si>
    <t>交通事故合集：不守交规抢行红绿灯，不曾想教训来...</t>
  </si>
  <si>
    <t>2019-11-13上传</t>
  </si>
  <si>
    <t>https://www.iqiyi.com/v_19rv56tfs4.html</t>
  </si>
  <si>
    <t>交通事故合集：“路怒症”发作故意别车，这一次却...</t>
  </si>
  <si>
    <t>2019-11-12上传</t>
  </si>
  <si>
    <t>https://www.iqiyi.com/v_19rv5e3e2k.html</t>
  </si>
  <si>
    <t>交通事故合集：又见“马路杀手”上路，连环事故让...</t>
  </si>
  <si>
    <t>2019-11-11上传</t>
  </si>
  <si>
    <t>https://www.iqiyi.com/v_19rv9cqy4k.html</t>
  </si>
  <si>
    <t>交通事故合集：好随意的占道过弯，车速太快让人避...</t>
  </si>
  <si>
    <t>2019-11-10上传</t>
  </si>
  <si>
    <t>https://www.iqiyi.com/v_19rv8k6lpw.html</t>
  </si>
  <si>
    <t>交通事故合集：遇见嚣张的路怒症，让警察叔叔来教...</t>
  </si>
  <si>
    <t>2019-11-09上传</t>
  </si>
  <si>
    <t>https://www.iqiyi.com/v_19rv7zq5mc.html</t>
  </si>
  <si>
    <t>交通事故合集：肆无忌惮的大货车，超速追尾让人防...</t>
  </si>
  <si>
    <t>2019-11-08上传</t>
  </si>
  <si>
    <t>https://www.iqiyi.com/v_19rv7g9ts8.html</t>
  </si>
  <si>
    <t>交通事故合集：挑战渣土车盲区，电动小哥不敢有下...</t>
  </si>
  <si>
    <t>2019-11-07上传</t>
  </si>
  <si>
    <t>https://www.iqiyi.com/v_19rv7lhutg.html</t>
  </si>
  <si>
    <t>交通事故合集：停车礼让却造成了“鬼探头”，莫要...</t>
  </si>
  <si>
    <t>2019-11-06上传</t>
  </si>
  <si>
    <t>https://www.iqiyi.com/v_19rvkh88q4.html</t>
  </si>
  <si>
    <t>交通事故合集：无视老司机点刹提醒，连环追尾只怪...</t>
  </si>
  <si>
    <t>2019-11-05上传</t>
  </si>
  <si>
    <t>https://www.iqiyi.com/v_19rvjgzlsk.html</t>
  </si>
  <si>
    <t>交通事故合集：油门刹车分不清楚，起飞失败撞断了...</t>
  </si>
  <si>
    <t>2019-11-03上传</t>
  </si>
  <si>
    <t>https://www.iqiyi.com/v_19rvjpclq4.html</t>
  </si>
  <si>
    <t>交通事故合集：小身板挑战油罐车，五菱“神车”有...</t>
  </si>
  <si>
    <t>https://www.iqiyi.com/v_19rviyvsec.html</t>
  </si>
  <si>
    <t>交通事故合集：路口会车我行我素，不会礼让谁也走...</t>
  </si>
  <si>
    <t>2019-11-02上传</t>
  </si>
  <si>
    <t>https://www.iqiyi.com/v_19rvjc34qg.html</t>
  </si>
  <si>
    <t>交通事故合集：当加塞遇见了路怒症，算不算自食其...</t>
  </si>
  <si>
    <t>2019-11-01上传</t>
  </si>
  <si>
    <t>https://www.iqiyi.com/v_19rvmd3f7c.html</t>
  </si>
  <si>
    <t>交通事故合集：牢记远离大货车，谁也猜不出下一秒...</t>
  </si>
  <si>
    <t>2019-10-30上传</t>
  </si>
  <si>
    <t>https://www.iqiyi.com/v_19rvmly3dc.html</t>
  </si>
  <si>
    <t>交通事故合集：乡村小路加速过弯，“惊喜”来得一...</t>
  </si>
  <si>
    <t>2019-10-29上传</t>
  </si>
  <si>
    <t>https://www.iqiyi.com/v_19rvm172ec.html</t>
  </si>
  <si>
    <t>交通事故合集：任性货车超载行驶，连环追尾来得防...</t>
  </si>
  <si>
    <t>2019-10-28上传</t>
  </si>
  <si>
    <t>https://www.iqiyi.com/v_19rvkosxrk.html</t>
  </si>
  <si>
    <t>交通事故合集：面对不文明的压线行驶，提醒未果瞬...</t>
  </si>
  <si>
    <t>2019-10-27上传</t>
  </si>
  <si>
    <t>https://www.iqiyi.com/v_19rvkvpz1c.html</t>
  </si>
  <si>
    <t>交通事故合集：随意变道不看后视镜，这一次教训有...</t>
  </si>
  <si>
    <t>2019-10-26上传</t>
  </si>
  <si>
    <t>https://www.iqiyi.com/v_19rvfvrcqk.html</t>
  </si>
  <si>
    <t>想要刹车太难了，奇葩的女司机合集</t>
  </si>
  <si>
    <t>2019-10-25上传</t>
  </si>
  <si>
    <t>https://www.iqiyi.com/v_19rvfbb0os.html</t>
  </si>
  <si>
    <t>交通事故合集：不看路况随意转弯，出租车师傅这下...</t>
  </si>
  <si>
    <t>2019-10-24上传</t>
  </si>
  <si>
    <t>https://www.iqiyi.com/v_19rvex6x4w.html</t>
  </si>
  <si>
    <t>交通事故合集：错过路口急刹车，连环追尾让人猝不...</t>
  </si>
  <si>
    <t>2019-10-23上传</t>
  </si>
  <si>
    <t>https://www.iqiyi.com/v_19rvedd360.html</t>
  </si>
  <si>
    <t>交通事故合集：临近路口不减速，遇上“鬼探头”刹...</t>
  </si>
  <si>
    <t>2019-10-22上传</t>
  </si>
  <si>
    <t>https://www.iqiyi.com/v_19rvi3iqo0.html</t>
  </si>
  <si>
    <t>交通事故合集：红绿灯路口不保持车距，实习奥迪无...</t>
  </si>
  <si>
    <t>2019-10-20上传</t>
  </si>
  <si>
    <t>https://www.iqiyi.com/v_19rvha5kgg.html</t>
  </si>
  <si>
    <t>交通事故合集：小车不守交规随意掉头，大货车避让...</t>
  </si>
  <si>
    <t>2019-10-19上传</t>
  </si>
  <si>
    <t>https://www.iqiyi.com/v_19rvgu320o.html</t>
  </si>
  <si>
    <t>交通事故合集：高速路口随意转弯，奥迪司机这下长...</t>
  </si>
  <si>
    <t>2019-10-18上传</t>
  </si>
  <si>
    <t>https://www.iqiyi.com/v_19rvg8iygg.html</t>
  </si>
  <si>
    <t>交通事故合集：变道加塞急刹车，导致追尾怎么办？</t>
  </si>
  <si>
    <t>2019-10-17上传</t>
  </si>
  <si>
    <t>https://www.iqiyi.com/v_19rvggpk9k.html</t>
  </si>
  <si>
    <t>交通事故合集：依维柯超速过弯，结果失控撞向栏杆</t>
  </si>
  <si>
    <t>2019-10-16上传</t>
  </si>
  <si>
    <t>https://www.iqiyi.com/v_19rtu671p0.html</t>
  </si>
  <si>
    <t>交通事故合集：高速路口突然停车，连环追尾让人防...</t>
  </si>
  <si>
    <t>2019-10-15上传</t>
  </si>
  <si>
    <t>https://www.iqiyi.com/v_19rttmc5fs.html</t>
  </si>
  <si>
    <t>交通事故合集：好任性的占道过弯，发现状况刹车已...</t>
  </si>
  <si>
    <t>2019-10-14上传</t>
  </si>
  <si>
    <t>https://www.iqiyi.com/v_19rtt1fm78.html</t>
  </si>
  <si>
    <t>交通事故合集：随意转弯不看后视镜，教训来得有点快</t>
  </si>
  <si>
    <t>2019-10-13上传</t>
  </si>
  <si>
    <t>https://www.iqiyi.com/v_19rtsngpdc.html</t>
  </si>
  <si>
    <t>交通事故合集：女司机任性超车，却低估了大货车的...</t>
  </si>
  <si>
    <t>2019-10-12上传</t>
  </si>
  <si>
    <t>https://www.iqiyi.com/v_19rtw5y89w.html</t>
  </si>
  <si>
    <t>交通事故合集：一次失败的漂移过弯，告诫我们下雨...</t>
  </si>
  <si>
    <t>2019-10-11上传</t>
  </si>
  <si>
    <t>https://www.iqiyi.com/v_19rtvibvds.html</t>
  </si>
  <si>
    <t>交通事故合集：不会判断车距的女司机，窄路会车就...</t>
  </si>
  <si>
    <t>2019-10-10上传</t>
  </si>
  <si>
    <t>https://www.iqiyi.com/v_19rtuz0l34.html</t>
  </si>
  <si>
    <t>交通事故合集：两辆大货车路口相遇，互不相让结果...</t>
  </si>
  <si>
    <t>2019-10-09上传</t>
  </si>
  <si>
    <t>https://www.iqiyi.com/v_19rtuvlqdc.html</t>
  </si>
  <si>
    <t>交通事故合集：SUV司机疲劳驾驶，结果空中翻滚...</t>
  </si>
  <si>
    <t>2019-10-08上传</t>
  </si>
  <si>
    <t>https://www.iqiyi.com/v_19rtpr74wc.html</t>
  </si>
  <si>
    <t>交通事故合集：下雨天超速行驶，侧滑失控就在一瞬间</t>
  </si>
  <si>
    <t>2019-10-07上传</t>
  </si>
  <si>
    <t>https://www.iqiyi.com/v_19rtogj5z8.html</t>
  </si>
  <si>
    <t>交通事故合集：开车走神偏离车道，路边轿车无辜躺枪</t>
  </si>
  <si>
    <t>2019-10-06上传</t>
  </si>
  <si>
    <t>https://www.iqiyi.com/v_19rtnxpsq0.html</t>
  </si>
  <si>
    <t>交通事故合集：高速路上随意停车，导致追尾谁之过？</t>
  </si>
  <si>
    <t>2019-10-05上传</t>
  </si>
  <si>
    <t>https://www.iqiyi.com/v_19rtrurzuk.html</t>
  </si>
  <si>
    <t>交通事故合集：高速路上“挑战”大货车，结果轿车...</t>
  </si>
  <si>
    <t>2019-10-04上传</t>
  </si>
  <si>
    <t>https://www.iqiyi.com/v_19rtr25t34.html</t>
  </si>
  <si>
    <t>交通事故合集：高速路上不会保持车距，连环追尾让...</t>
  </si>
  <si>
    <t>2019-10-03上传</t>
  </si>
  <si>
    <t>https://www.iqiyi.com/v_19rtqiefac.html</t>
  </si>
  <si>
    <t>交通事故合集：错过路口随意停车，大货车刹车不及...</t>
  </si>
  <si>
    <t>2019-10-02上传</t>
  </si>
  <si>
    <t>https://www.iqiyi.com/v_19rtq6r1m8.html</t>
  </si>
  <si>
    <t>交通事故合集：行驶在大货车盲区，下一秒措手不及</t>
  </si>
  <si>
    <t>2019-10-01上传</t>
  </si>
  <si>
    <t>https://www.iqiyi.com/v_19ru2wa6xo.html</t>
  </si>
  <si>
    <t>交通事故合集：十一假期悄然而至，谨慎行车远离疲...</t>
  </si>
  <si>
    <t>2019-09-30上传</t>
  </si>
  <si>
    <t>https://www.iqiyi.com/v_19ru26qmgo.html</t>
  </si>
  <si>
    <t>交通事故合集：任性转弯不让直行，遇上大货车就好...</t>
  </si>
  <si>
    <t>2019-09-29上传</t>
  </si>
  <si>
    <t>https://www.iqiyi.com/v_19ru23xdf4.html</t>
  </si>
  <si>
    <t>交通事故合集：不守交规任性超车，这一下长教训了</t>
  </si>
  <si>
    <t>2019-09-28上传</t>
  </si>
  <si>
    <t>https://www.iqiyi.com/v_19ru1eiiro.html</t>
  </si>
  <si>
    <t>交通事故合集：红绿灯路口分秒必争，遇见状况刹车...</t>
  </si>
  <si>
    <t>2019-09-27上传</t>
  </si>
  <si>
    <t>https://www.iqiyi.com/v_19ru4e8pjc.html</t>
  </si>
  <si>
    <t>交通事故合集：新手上路遇见随意变道，这反应速度...</t>
  </si>
  <si>
    <t>2019-09-26上传</t>
  </si>
  <si>
    <t>https://www.iqiyi.com/v_19ru4cgszk.html</t>
  </si>
  <si>
    <t>交通事故合集：高速路上跟车太近，遇上突然变道已...</t>
  </si>
  <si>
    <t>2019-09-25上传</t>
  </si>
  <si>
    <t>https://www.iqiyi.com/v_19rtyhqywc.html</t>
  </si>
  <si>
    <t>交通事故合集：不会预判车距，这技术加塞太难了</t>
  </si>
  <si>
    <t>2019-09-24上传</t>
  </si>
  <si>
    <t>https://www.iqiyi.com/v_19rty7kv7w.html</t>
  </si>
  <si>
    <t>交通事故合集：面对猝不及防的弯道超车，大货师傅...</t>
  </si>
  <si>
    <t>2019-09-23上传</t>
  </si>
  <si>
    <t>https://www.iqiyi.com/v_19rtwrsjl0.html</t>
  </si>
  <si>
    <t>交通事故合集：不文明的实线加塞，宝马车主这下尴...</t>
  </si>
  <si>
    <t>2019-09-22上传</t>
  </si>
  <si>
    <t>https://www.iqiyi.com/v_19ru0pkbu0.html</t>
  </si>
  <si>
    <t>交通事故合集：高速上盲目变道，引发连环事故谁之...</t>
  </si>
  <si>
    <t>2019-09-21上传</t>
  </si>
  <si>
    <t>https://www.iqiyi.com/v_19ru0dxri4.html</t>
  </si>
  <si>
    <t>交通事故合集：新手新车，这技术上路太难了！</t>
  </si>
  <si>
    <t>2019-09-20上传</t>
  </si>
  <si>
    <t>https://www.iqiyi.com/v_19rtyysv3c.html</t>
  </si>
  <si>
    <t>交通事故合集：自作聪明的任性超车，真的能够快人...</t>
  </si>
  <si>
    <t>2019-09-19上传</t>
  </si>
  <si>
    <t>https://www.iqiyi.com/v_19rub4n35o.html</t>
  </si>
  <si>
    <t>交通事故合集：SUV疲劳驾驶，撞上隔离桩瞬间翻车</t>
  </si>
  <si>
    <t>2019-09-18上传</t>
  </si>
  <si>
    <t>https://www.iqiyi.com/v_19rudyydkw.html</t>
  </si>
  <si>
    <t>交通事故合集：好随意的变道超车，不看路况让人防...</t>
  </si>
  <si>
    <t>2019-09-17上传</t>
  </si>
  <si>
    <t>https://www.iqiyi.com/v_19rud7xtkk.html</t>
  </si>
  <si>
    <t>交通事故合集：大马路上随心所欲的驾驶，没想到最...</t>
  </si>
  <si>
    <t>2019-09-16上传</t>
  </si>
  <si>
    <t>https://www.iqiyi.com/v_19ru6syiro.html</t>
  </si>
  <si>
    <t>交通事故合集：看看这奇葩的造型，“高超”的车技...</t>
  </si>
  <si>
    <t>2019-09-15上传</t>
  </si>
  <si>
    <t>https://www.iqiyi.com/v_19ru5o6d00.html</t>
  </si>
  <si>
    <t>交通事故合集：中秋佳节，大货车送来的“礼物”让...</t>
  </si>
  <si>
    <t>2019-09-14上传</t>
  </si>
  <si>
    <t>https://www.iqiyi.com/v_19ru91o9rk.html</t>
  </si>
  <si>
    <t>交通事故合集：大货车恣意占道过弯，结果避让不及...</t>
  </si>
  <si>
    <t>2019-09-13上传</t>
  </si>
  <si>
    <t>https://www.iqiyi.com/v_19ru875y34.html</t>
  </si>
  <si>
    <t>交通事故合集：中秋佳节归心似箭，谨慎驾驶莫忘安全</t>
  </si>
  <si>
    <t>2019-09-12上传</t>
  </si>
  <si>
    <t>https://www.iqiyi.com/v_19ruk80k5o.html</t>
  </si>
  <si>
    <t>交通事故合集：高速错过路口，连续变道自食其果</t>
  </si>
  <si>
    <t>2019-09-11上传</t>
  </si>
  <si>
    <t>https://www.iqiyi.com/v_19ruitgz9s.html</t>
  </si>
  <si>
    <t>交通事故合集：肆无忌惮的变道加塞，教训来得有点快</t>
  </si>
  <si>
    <t>2019-09-10上传</t>
  </si>
  <si>
    <t>https://www.iqiyi.com/v_19rumck84k.html</t>
  </si>
  <si>
    <t>交通事故合集：路口不会减速礼让，这一撞谁也走不了</t>
  </si>
  <si>
    <t>2019-09-09上传</t>
  </si>
  <si>
    <t>https://www.iqiyi.com/v_19ruluk5l4.html</t>
  </si>
  <si>
    <t>交通事故合集：高速快车道龟速行驶，连环追尾来得...</t>
  </si>
  <si>
    <t>2019-09-08上传</t>
  </si>
  <si>
    <t>https://www.iqiyi.com/v_19rufm3zno.html</t>
  </si>
  <si>
    <t>交通事故合集：新手上路车技太逊，奇葩的过弯技术...</t>
  </si>
  <si>
    <t>2019-09-07上传</t>
  </si>
  <si>
    <t>https://www.iqiyi.com/v_19rueesqq0.html</t>
  </si>
  <si>
    <t>交通事故合集：面对随心所欲的电动车，大货车司机...</t>
  </si>
  <si>
    <t>2019-09-06上传</t>
  </si>
  <si>
    <t>https://www.iqiyi.com/v_19rui0uafw.html</t>
  </si>
  <si>
    <t>交通事故合集：面对如此任性的女司机，副驾驶内心...</t>
  </si>
  <si>
    <t>2019-09-05上传</t>
  </si>
  <si>
    <t>https://www.iqiyi.com/v_19rsud0fhs.html</t>
  </si>
  <si>
    <t>交通事故合集：好任性的变道加塞，这一次却挑错了...</t>
  </si>
  <si>
    <t>2019-09-04上传</t>
  </si>
  <si>
    <t>https://www.iqiyi.com/v_19rst2r06w.html</t>
  </si>
  <si>
    <t>交通事故合集：不看后视镜盲目变道，大货车避让不...</t>
  </si>
  <si>
    <t>2019-09-03上传</t>
  </si>
  <si>
    <t>https://www.iqiyi.com/v_19rswcf9vk.html</t>
  </si>
  <si>
    <t>交通事故合集：车技“高超”的出租车，我们尽量要...</t>
  </si>
  <si>
    <t>2019-09-02上传</t>
  </si>
  <si>
    <t>https://www.iqiyi.com/v_19rsvd3me4.html</t>
  </si>
  <si>
    <t>交通事故合集：盲区不会预判鸣笛，“鬼探头”害人...</t>
  </si>
  <si>
    <t>2019-09-01上传</t>
  </si>
  <si>
    <t>https://www.iqiyi.com/v_19rspoixq8.html</t>
  </si>
  <si>
    <t>交通事故合集：新手盲目上路，遇到“限宽桩”才知...</t>
  </si>
  <si>
    <t>2019-08-31上传</t>
  </si>
  <si>
    <t>https://www.iqiyi.com/v_19rss50d2s.html</t>
  </si>
  <si>
    <t>交通事故合集：弯道超车突然失控，上演360度大...</t>
  </si>
  <si>
    <t>2019-08-30上传</t>
  </si>
  <si>
    <t>https://www.iqiyi.com/v_19rsr8d56k.html</t>
  </si>
  <si>
    <t>交通事故合集：不会远离大货车，新车上路很受伤</t>
  </si>
  <si>
    <t>2019-08-29上传</t>
  </si>
  <si>
    <t>https://www.iqiyi.com/v_19rt3apwg8.html</t>
  </si>
  <si>
    <t>交通事故合集：女司机开车太紧张，大脚油门把祸闯</t>
  </si>
  <si>
    <t>2019-08-28上传</t>
  </si>
  <si>
    <t>https://www.iqiyi.com/v_19rt2lv9wc.html</t>
  </si>
  <si>
    <t>交通事故合集：一次惨痛的追尾，告诫我们开车勿走神</t>
  </si>
  <si>
    <t>2019-08-27上传</t>
  </si>
  <si>
    <t>https://www.iqiyi.com/v_19rt5qrb0k.html</t>
  </si>
  <si>
    <t>交通事故合集：疲劳驾驶偏离车道，不会每一次都这...</t>
  </si>
  <si>
    <t>2019-08-26上传</t>
  </si>
  <si>
    <t>https://www.iqiyi.com/v_19rt3wwok8.html</t>
  </si>
  <si>
    <t>交通事故合集：乡村小路超速行驶，“起飞”失败不...</t>
  </si>
  <si>
    <t>2019-08-25上传</t>
  </si>
  <si>
    <t>https://www.iqiyi.com/v_19rsyfrljo.html</t>
  </si>
  <si>
    <t>交通事故合集：红绿灯路口争分夺秒，悲剧来得一点...</t>
  </si>
  <si>
    <t>2019-08-24上传</t>
  </si>
  <si>
    <t>https://www.iqiyi.com/v_19rsx35u9w.html</t>
  </si>
  <si>
    <t>交通事故合集：好任性的超速过弯，可惜帅不过三秒！</t>
  </si>
  <si>
    <t>2019-08-23上传</t>
  </si>
  <si>
    <t>https://www.iqiyi.com/v_19rt0rdsbw.html</t>
  </si>
  <si>
    <t>交通事故合集：看着“四脚朝天”的小轿车，女司机...</t>
  </si>
  <si>
    <t>2019-08-22上传</t>
  </si>
  <si>
    <t>https://www.iqiyi.com/v_19rtbw1iw8.html</t>
  </si>
  <si>
    <t>交通事故合集：挑战大货车盲区，奔驰有点自不量力</t>
  </si>
  <si>
    <t>2019-08-20上传</t>
  </si>
  <si>
    <t>https://www.iqiyi.com/v_19rteh9upo.html</t>
  </si>
  <si>
    <t>交通事故合集：远离大货车，谁也猜不出它会给你怎...</t>
  </si>
  <si>
    <t>2019-08-19上传</t>
  </si>
  <si>
    <t>https://www.iqiyi.com/v_19rtdfegm0.html</t>
  </si>
  <si>
    <t>交通事故合集：路口谨记减速慢行，“鬼探头”让我...</t>
  </si>
  <si>
    <t>2019-08-18上传</t>
  </si>
  <si>
    <t>https://www.iqiyi.com/v_19rt7u072g.html</t>
  </si>
  <si>
    <t>交通事故合集：高速公路任性加塞，下一秒长教训了</t>
  </si>
  <si>
    <t>2019-08-17上传</t>
  </si>
  <si>
    <t>https://www.iqiyi.com/v_19rt6rzc34.html</t>
  </si>
  <si>
    <t>交通事故合集：明知道要远离大货车，电动车大姐却...</t>
  </si>
  <si>
    <t>2019-08-16上传</t>
  </si>
  <si>
    <t>https://www.iqiyi.com/v_19rt9y5mt8.html</t>
  </si>
  <si>
    <t>交通事故合集：好任性的变道转弯，再好的车技也难...</t>
  </si>
  <si>
    <t>2019-08-15上传</t>
  </si>
  <si>
    <t>https://www.iqiyi.com/v_19rt978sck.html</t>
  </si>
  <si>
    <t>交通事故合集：路口不看来往车辆，盲目自信害人害己</t>
  </si>
  <si>
    <t>2019-08-14上传</t>
  </si>
  <si>
    <t>https://www.iqiyi.com/v_19rtl872g4.html</t>
  </si>
  <si>
    <t>交通事故合集：三轮车横穿马路，SUV避让不及很...</t>
  </si>
  <si>
    <t>2019-08-13上传</t>
  </si>
  <si>
    <t>https://www.iqiyi.com/v_19rtjf7gsw.html</t>
  </si>
  <si>
    <t>交通事故合集：高速跟车距离太近，连环追尾撞成“...</t>
  </si>
  <si>
    <t>2019-08-12上传</t>
  </si>
  <si>
    <t>https://www.iqiyi.com/v_19rtmr1q60.html</t>
  </si>
  <si>
    <t>交通事故合集：胸有成竹的强行加塞，结果却让人大...</t>
  </si>
  <si>
    <t>2019-08-11上传</t>
  </si>
  <si>
    <t>https://www.iqiyi.com/v_19rtmfa67g.html</t>
  </si>
  <si>
    <t>交通事故合集：很小心的转弯，遇上超速剐蹭怎么办？</t>
  </si>
  <si>
    <t>2019-08-10上传</t>
  </si>
  <si>
    <t>https://www.iqiyi.com/v_19rtgfh0j8.html</t>
  </si>
  <si>
    <t>交通事故合集：眼瞅着大货车失控侧翻，重载货车真...</t>
  </si>
  <si>
    <t>2019-08-09上传</t>
  </si>
  <si>
    <t>https://www.iqiyi.com/v_19rtf8ayag.html</t>
  </si>
  <si>
    <t>交通事故合集：吊车师傅盲目倒车，女司机手忙脚乱...</t>
  </si>
  <si>
    <t>2019-08-08上传</t>
  </si>
  <si>
    <t>https://www.iqiyi.com/v_19rthk5wjc.html</t>
  </si>
  <si>
    <t>交通事故合集：高速上随意变道加塞，车技太逊瞬间...</t>
  </si>
  <si>
    <t>2019-08-06上传</t>
  </si>
  <si>
    <t>https://www.iqiyi.com/v_19rrun1nnk.html</t>
  </si>
  <si>
    <t>交通事故合集：高速公路不保持车距，走神追尾一赔三</t>
  </si>
  <si>
    <t>2019-08-05上传</t>
  </si>
  <si>
    <t>https://www.iqiyi.com/v_19rrtfmi0c.html</t>
  </si>
  <si>
    <t>交通事故合集：我行我素的强行加塞，谁知道女司机...</t>
  </si>
  <si>
    <t>2019-08-04上传</t>
  </si>
  <si>
    <t>https://www.iqiyi.com/v_19rrxd3ntc.html</t>
  </si>
  <si>
    <t>交通事故合集：不保持车距的重载大货车，该不该为...</t>
  </si>
  <si>
    <t>2019-08-03上传</t>
  </si>
  <si>
    <t>https://www.iqiyi.com/v_19rrw53s9o.html</t>
  </si>
  <si>
    <t>交通事故合集：面对大爷的摆手提醒，这“鬼探头”...</t>
  </si>
  <si>
    <t>2019-08-02上传</t>
  </si>
  <si>
    <t>https://www.iqiyi.com/v_19rrvumi44.html</t>
  </si>
  <si>
    <t>交通事故合集：路口走神追尾，眼瞅着“车屁股”一...</t>
  </si>
  <si>
    <t>2019-08-01上传</t>
  </si>
  <si>
    <t>https://www.iqiyi.com/v_19rrpyabak.html</t>
  </si>
  <si>
    <t>交通事故合集：十字路口争先恐后，砰砰一声，谁也...</t>
  </si>
  <si>
    <t>2019-07-31上传</t>
  </si>
  <si>
    <t>https://www.iqiyi.com/v_19rrpa7fo4.html</t>
  </si>
  <si>
    <t>交通事故合集：一看见三轮车大叔这姿势，当时心里...</t>
  </si>
  <si>
    <t>2019-07-30上传</t>
  </si>
  <si>
    <t>https://www.iqiyi.com/v_19rrp6ijkk.html</t>
  </si>
  <si>
    <t>交通事故合集：开车走神怼上大货车，这一下子就清...</t>
  </si>
  <si>
    <t>2019-07-29上传</t>
  </si>
  <si>
    <t>https://www.iqiyi.com/v_19rrsvsk4s.html</t>
  </si>
  <si>
    <t>交通事故合集：路口抢行又后悔 ，两车玩起了“碰...</t>
  </si>
  <si>
    <t>2019-07-28上传</t>
  </si>
  <si>
    <t>https://www.iqiyi.com/v_19rrskmf40.html</t>
  </si>
  <si>
    <t>交通事故合集：开车走神撞向工程车，不是每一次都...</t>
  </si>
  <si>
    <t>2019-07-27上传</t>
  </si>
  <si>
    <t>https://www.iqiyi.com/v_19rrrr0aeg.html</t>
  </si>
  <si>
    <t>交通事故合集：不看路况突然转弯，你高估了大货车...</t>
  </si>
  <si>
    <t>2019-07-26上传</t>
  </si>
  <si>
    <t>https://www.iqiyi.com/v_19rs3u5ohs.html</t>
  </si>
  <si>
    <t>交通事故合集：一次尴尬的连环事故，让我们牢记“...</t>
  </si>
  <si>
    <t>2019-07-25上传</t>
  </si>
  <si>
    <t>https://www.iqiyi.com/v_19rs3caq74.html</t>
  </si>
  <si>
    <t>交通事故合集：大货车闯红灯撞碎出租车，女司机当...</t>
  </si>
  <si>
    <t>2019-07-24上传</t>
  </si>
  <si>
    <t>https://www.iqiyi.com/v_19rs2mfs00.html</t>
  </si>
  <si>
    <t>交通事故合集：路口远离大货车盲区，我们猜不出它...</t>
  </si>
  <si>
    <t>2019-07-23上传</t>
  </si>
  <si>
    <t>https://www.iqiyi.com/v_19rs5zh2lk.html</t>
  </si>
  <si>
    <t>交通事故合集：红绿灯路口超速行驶，不曾想电动车...</t>
  </si>
  <si>
    <t>2019-07-21上传</t>
  </si>
  <si>
    <t>https://www.iqiyi.com/v_19rs5gwbz4.html</t>
  </si>
  <si>
    <t>交通事故合集：红绿灯路口，直行剐蹭了右转弯，这...</t>
  </si>
  <si>
    <t>2019-07-20上传</t>
  </si>
  <si>
    <t>https://www.iqiyi.com/v_19rs5bebkc.html</t>
  </si>
  <si>
    <t>交通事故合集：不守规矩的盲目超车，悲伤的结局值...</t>
  </si>
  <si>
    <t>2019-07-19上传</t>
  </si>
  <si>
    <t>https://www.iqiyi.com/v_19rrzdqgl4.html</t>
  </si>
  <si>
    <t>交通事故合集：眼瞅着宝马过来了，女司机的刹车真...</t>
  </si>
  <si>
    <t>2019-07-18上传</t>
  </si>
  <si>
    <t>https://www.iqiyi.com/v_19rryri1os.html</t>
  </si>
  <si>
    <t>交通事故合集：任性转弯不看来往车辆，小车“前脸...</t>
  </si>
  <si>
    <t>2019-07-17上传</t>
  </si>
  <si>
    <t>https://www.iqiyi.com/v_19rryjef2k.html</t>
  </si>
  <si>
    <t>交通事故合集：转弯不会让直行，这一次有点尴尬了！</t>
  </si>
  <si>
    <t>2019-07-15上传</t>
  </si>
  <si>
    <t>https://www.iqiyi.com/v_19rry0t8t4.html</t>
  </si>
  <si>
    <t>交通事故合集：高速路上不保持车距，连环追尾让人...</t>
  </si>
  <si>
    <t>2019-07-14上传</t>
  </si>
  <si>
    <t>https://www.iqiyi.com/v_19rs1ymkhg.html</t>
  </si>
  <si>
    <t>交通事故合集：眼瞅着小车撞向了大树，时刻告诫自...</t>
  </si>
  <si>
    <t>2019-07-12上传</t>
  </si>
  <si>
    <t>https://www.iqiyi.com/v_19rs0yl1ng.html</t>
  </si>
  <si>
    <t>交通事故合集：旁车碾飞石块，导致保险杠破碎，这...</t>
  </si>
  <si>
    <t>2019-07-11上传</t>
  </si>
  <si>
    <t>https://www.iqiyi.com/v_19rs0ifvxs.html</t>
  </si>
  <si>
    <t>交通事故合集：不看后视镜随意变道，奥迪女司机这...</t>
  </si>
  <si>
    <t>2019-07-10上传</t>
  </si>
  <si>
    <t>https://www.iqiyi.com/v_19rs0v8d3s.html</t>
  </si>
  <si>
    <t>交通事故合集：面对不依不饶的加塞，车主的路怒症...</t>
  </si>
  <si>
    <t>2019-07-09上传</t>
  </si>
  <si>
    <t>https://www.iqiyi.com/v_19rrzuairs.html</t>
  </si>
  <si>
    <t>交通事故合集：下雨路滑，谁给你的勇气超速过弯？</t>
  </si>
  <si>
    <t>2019-07-08上传</t>
  </si>
  <si>
    <t>https://www.iqiyi.com/v_19rs06rx0o.html</t>
  </si>
  <si>
    <t>交通事故合集：眼睛只会看前方，女司机的一番话，...</t>
  </si>
  <si>
    <t>2019-07-07上传</t>
  </si>
  <si>
    <t>https://www.iqiyi.com/v_19rscu1808.html</t>
  </si>
  <si>
    <t>交通事故合集：真是防不胜防，乡村小路一匹骏马来...</t>
  </si>
  <si>
    <t>2019-07-06上传</t>
  </si>
  <si>
    <t>https://www.iqiyi.com/v_19rsc0loxg.html</t>
  </si>
  <si>
    <t>交通事故合集：自信满满的和大货车较量，不曾想倒...</t>
  </si>
  <si>
    <t>2019-07-05上传</t>
  </si>
  <si>
    <t>https://www.iqiyi.com/v_19rscdsh2g.html</t>
  </si>
  <si>
    <t>交通事故合集：一次失败的右侧超车，告诫我们开车...</t>
  </si>
  <si>
    <t>2019-07-04上传</t>
  </si>
  <si>
    <t>https://www.iqiyi.com/v_19rsbzpfxk.html</t>
  </si>
  <si>
    <t>交通事故合集：又见新手上路，奇葩的倒车技术，让...</t>
  </si>
  <si>
    <t>2019-07-03上传</t>
  </si>
  <si>
    <t>https://www.iqiyi.com/v_19rsaztck4.html</t>
  </si>
  <si>
    <t>交通事故合集：两车过弯都不会鸣笛，发现不对劲已...</t>
  </si>
  <si>
    <t>2019-07-02上传</t>
  </si>
  <si>
    <t>https://www.iqiyi.com/v_19rsex9u5g.html</t>
  </si>
  <si>
    <t>交通事故合集：好任性的大货车，占道过弯让人防不...</t>
  </si>
  <si>
    <t>2019-06-30上传</t>
  </si>
  <si>
    <t>https://www.iqiyi.com/v_19rseuemg0.html</t>
  </si>
  <si>
    <t>交通事故合集：能把车开上围墙，这需要“多好”的...</t>
  </si>
  <si>
    <t>2019-06-29上传</t>
  </si>
  <si>
    <t>https://www.iqiyi.com/v_19rsf4345g.html</t>
  </si>
  <si>
    <t>交通事故合集：三轮车盲目变道，油罐车避让不及，...</t>
  </si>
  <si>
    <t>2019-06-28上传</t>
  </si>
  <si>
    <t>https://www.iqiyi.com/v_19rse9n520.html</t>
  </si>
  <si>
    <t>交通事故合集：乡村小路，大货车超速过弯，让人措...</t>
  </si>
  <si>
    <t>2019-06-27上传</t>
  </si>
  <si>
    <t>https://www.iqiyi.com/v_19rsel2v2s.html</t>
  </si>
  <si>
    <t>交通事故合集：出入路口牢记减速慢行，切莫当了“...</t>
  </si>
  <si>
    <t>2019-06-26上传</t>
  </si>
  <si>
    <t>https://www.iqiyi.com/v_19rsdrzd4o.html</t>
  </si>
  <si>
    <t>交通事故合集：看着女司机尴尬的表情，车技果然“...</t>
  </si>
  <si>
    <t>2019-06-25上传</t>
  </si>
  <si>
    <t>https://www.iqiyi.com/v_19rsdcefk4.html</t>
  </si>
  <si>
    <t>交通事故合集：又见油门当刹车，奥迪Q5一跃而起...</t>
  </si>
  <si>
    <t>2019-06-24上传</t>
  </si>
  <si>
    <t>https://www.iqiyi.com/v_19rsdemf54.html</t>
  </si>
  <si>
    <t>交通事故合集：红绿灯路口超速行驶，想刹车已经来...</t>
  </si>
  <si>
    <t>2019-06-22上传</t>
  </si>
  <si>
    <t>https://www.iqiyi.com/v_19rs8f75ak.html</t>
  </si>
  <si>
    <t>交通事故合集：电动车盲目闯红灯，幸亏小哥身手好！</t>
  </si>
  <si>
    <t>2019-06-20上传</t>
  </si>
  <si>
    <t>https://www.iqiyi.com/v_19rs7ljnl4.html</t>
  </si>
  <si>
    <t>交通事故合集：SUV撞上花坛导致侧翻，告诫我们...</t>
  </si>
  <si>
    <t>2019-06-19上传</t>
  </si>
  <si>
    <t>https://www.iqiyi.com/v_19rs7w0qlc.html</t>
  </si>
  <si>
    <t>交通事故合集：高速上时速120，马自达盲目变道...</t>
  </si>
  <si>
    <t>2019-06-18上传</t>
  </si>
  <si>
    <t>https://www.iqiyi.com/v_19rs728li8.html</t>
  </si>
  <si>
    <t>交通事故合集：女司机开车找手机，不曾想大客车呼...</t>
  </si>
  <si>
    <t>2019-06-17上传</t>
  </si>
  <si>
    <t>https://www.iqiyi.com/v_19rs6o9f08.html</t>
  </si>
  <si>
    <t>交通事故合集：疲劳驾驶撞上护墙，连环车祸一触即发</t>
  </si>
  <si>
    <t>2019-06-15上传</t>
  </si>
  <si>
    <t>https://www.iqiyi.com/v_19rsaihae8.html</t>
  </si>
  <si>
    <t>交通事故合集：路口毫无顾忌的抢行，这一下都满意...</t>
  </si>
  <si>
    <t>2019-06-13上传</t>
  </si>
  <si>
    <t>https://www.iqiyi.com/v_19rs9y2xd0.html</t>
  </si>
  <si>
    <t>交通事故合集：货车师傅不看路况盲目转弯，小车刹...</t>
  </si>
  <si>
    <t>2019-06-11上传</t>
  </si>
  <si>
    <t>https://www.iqiyi.com/v_19rsa6in38.html</t>
  </si>
  <si>
    <t>交通事故合集：超速过弯不鸣笛，结局让人伤不起！</t>
  </si>
  <si>
    <t>2019-06-09上传</t>
  </si>
  <si>
    <t>https://www.iqiyi.com/v_19rs9qw374.html</t>
  </si>
  <si>
    <t>交通事故合集：肆无忌惮的随意变道，端午节的好心...</t>
  </si>
  <si>
    <t>2019-06-07上传</t>
  </si>
  <si>
    <t>https://www.iqiyi.com/v_19rs8xnyug.html</t>
  </si>
  <si>
    <t>众多事故教训告诉我们，远离大货车要牢记！交通事...</t>
  </si>
  <si>
    <t>2019-06-06上传</t>
  </si>
  <si>
    <t>https://www.iqiyi.com/v_19rs94h5xo.html</t>
  </si>
  <si>
    <t>交通事故合集：女司机又闯祸了，面对不断的提醒，...</t>
  </si>
  <si>
    <t>2019-06-05上传</t>
  </si>
  <si>
    <t>https://www.iqiyi.com/v_19rsllcxwg.html</t>
  </si>
  <si>
    <t>新手上路囧事多，奇葩的事故让人哭笑不得!</t>
  </si>
  <si>
    <t>2019-06-04上传</t>
  </si>
  <si>
    <t>https://www.iqiyi.com/v_19rslyzmns.html</t>
  </si>
  <si>
    <t>交通事故合集：自信满满的右侧超车，出事了才知道...</t>
  </si>
  <si>
    <t>2019-06-02上传</t>
  </si>
  <si>
    <t>https://www.iqiyi.com/v_19rslb1pk8.html</t>
  </si>
  <si>
    <t>交通事故合集：高速快车道，开车走神上演惊险一幕</t>
  </si>
  <si>
    <t>2019-05-31上传</t>
  </si>
  <si>
    <t>https://www.iqiyi.com/v_19rskf6sj0.html</t>
  </si>
  <si>
    <t>交通事故合集：宝骏大哥开车走神，冲破护栏让人防...</t>
  </si>
  <si>
    <t>2019-05-29上传</t>
  </si>
  <si>
    <t>https://www.iqiyi.com/v_19rsjs8h08.html</t>
  </si>
  <si>
    <t>交通事故合集：下雨过弯不减速，车辆侧滑瞬间失控</t>
  </si>
  <si>
    <t>2019-05-27上传</t>
  </si>
  <si>
    <t>https://www.iqiyi.com/v_19rsnsiqqo.html</t>
  </si>
  <si>
    <t>避让加塞急刹车，导致追尾谁之过？交通事故合集</t>
  </si>
  <si>
    <t>2019-05-25上传</t>
  </si>
  <si>
    <t>https://www.iqiyi.com/v_19rsnysgpk.html</t>
  </si>
  <si>
    <t>交通事故合集：路口不听劝阻执意抢行，这样的结果...</t>
  </si>
  <si>
    <t>2019-05-23上传</t>
  </si>
  <si>
    <t>https://www.iqiyi.com/v_19rsnkfzz8.html</t>
  </si>
  <si>
    <t>交通事故合集：一次失败的排水渠过弯，告诫我们弯...</t>
  </si>
  <si>
    <t>2019-05-21上传</t>
  </si>
  <si>
    <t>https://www.iqiyi.com/v_19rsmjxbgs.html</t>
  </si>
  <si>
    <t>交通事故合集：十字路口不减速，不观察，这次代价...</t>
  </si>
  <si>
    <t>2019-05-19上传</t>
  </si>
  <si>
    <t>https://www.iqiyi.com/v_19rsmwi4tw.html</t>
  </si>
  <si>
    <t>交通事故合集：前方车辆急刹车，避让不及谁担责？</t>
  </si>
  <si>
    <t>2019-05-17上传</t>
  </si>
  <si>
    <t>https://www.iqiyi.com/v_19rsmhan1o.html</t>
  </si>
  <si>
    <t>交通事故合集：新手上路还是走神失误？可怜了小车...</t>
  </si>
  <si>
    <t>2019-05-15上传</t>
  </si>
  <si>
    <t>https://www.iqiyi.com/v_19rsh5jdos.html</t>
  </si>
  <si>
    <t>早知道车技这么差，我该不该帮她倒车入库？最新交...</t>
  </si>
  <si>
    <t>2019-05-12上传</t>
  </si>
  <si>
    <t>https://www.iqiyi.com/v_19rsh0i8f4.html</t>
  </si>
  <si>
    <t>交通事故合集：不约而同的弯道超车，这样的结果怎...</t>
  </si>
  <si>
    <t>2019-05-11上传</t>
  </si>
  <si>
    <t>https://www.iqiyi.com/v_19rshh7bgg.html</t>
  </si>
  <si>
    <t>交通事故合集：不看路况随意转弯变道，让人无力吐槽</t>
  </si>
  <si>
    <t>2019-05-08上传</t>
  </si>
  <si>
    <t>https://www.iqiyi.com/v_19rsglr0n8.html</t>
  </si>
  <si>
    <t>交通事故合集：不会保持车距的出租车，给我们上了...</t>
  </si>
  <si>
    <t>2019-05-06上传</t>
  </si>
  <si>
    <t>https://www.iqiyi.com/v_19rsgfssvg.html</t>
  </si>
  <si>
    <t>交通事故合集：压飞起来的树枝，导致玻璃全碎，这...</t>
  </si>
  <si>
    <t>2019-05-04上传</t>
  </si>
  <si>
    <t>https://www.iqiyi.com/v_19rsgjlcqo.html</t>
  </si>
  <si>
    <t>阳光明媚的五一假期，“马路杀手”纷纷上路，让人...</t>
  </si>
  <si>
    <t>2019-05-02上传</t>
  </si>
  <si>
    <t>https://www.iqiyi.com/v_19rsgxow3s.html</t>
  </si>
  <si>
    <t>交通事故合集：随意转弯挑战大货车，再好的SUV...</t>
  </si>
  <si>
    <t>2019-04-30上传</t>
  </si>
  <si>
    <t>https://www.iqiyi.com/v_19rsgte9xk.html</t>
  </si>
  <si>
    <t>交通事故合集：高速路上，大货车的轮胎飞奔而来，...</t>
  </si>
  <si>
    <t>2019-04-28上传</t>
  </si>
  <si>
    <t>https://www.iqiyi.com/v_19rsg389lg.html</t>
  </si>
  <si>
    <t>交通事故合集：货车加塞引发连环追尾，这种情况谁...</t>
  </si>
  <si>
    <t>2019-04-26上传</t>
  </si>
  <si>
    <t>https://www.iqiyi.com/v_19rsfyzkh4.html</t>
  </si>
  <si>
    <t>交通事故合集：红绿灯路口，鲁莽的司机让人瑟瑟发抖</t>
  </si>
  <si>
    <t>2019-04-24上传</t>
  </si>
  <si>
    <t>https://www.iqiyi.com/v_19rsg65h6g.html</t>
  </si>
  <si>
    <t>交通事故合集：电动车失控冲上花坛，车速太快撞断...</t>
  </si>
  <si>
    <t>2019-04-22上传</t>
  </si>
  <si>
    <t>https://www.iqiyi.com/v_19rsg9i4mc.html</t>
  </si>
  <si>
    <t>交通事故合集：无视鸣笛的大众途观，变道被怼怎么...</t>
  </si>
  <si>
    <t>2019-04-20上传</t>
  </si>
  <si>
    <t>https://www.iqiyi.com/v_19rsflb5gw.html</t>
  </si>
  <si>
    <t>交通事故合集：被怼的莫名其妙，女司机的车技让我...</t>
  </si>
  <si>
    <t>2019-04-18上传</t>
  </si>
  <si>
    <t>https://www.iqiyi.com/v_19rsfqzmr8.html</t>
  </si>
  <si>
    <t>交通事故合集：本田思域太过“霸道”，随意变道让...</t>
  </si>
  <si>
    <t>2019-04-16上传</t>
  </si>
  <si>
    <t>https://www.iqiyi.com/v_19rsfn8n7g.html</t>
  </si>
  <si>
    <t>交通事故合集：跟车太近酿悲剧，保持车距要牢记</t>
  </si>
  <si>
    <t>2019-04-14上传</t>
  </si>
  <si>
    <t>https://www.iqiyi.com/v_19rsjeeth0.html</t>
  </si>
  <si>
    <t>交通事故合集：大货车刹车失控引发追尾，高速路口...</t>
  </si>
  <si>
    <t>2019-04-12上传</t>
  </si>
  <si>
    <t>https://www.iqiyi.com/v_19rsjameys.html</t>
  </si>
  <si>
    <t>交通事故合集：下雨天，面对失控而来的大卡车，看...</t>
  </si>
  <si>
    <t>2019-04-10上传</t>
  </si>
  <si>
    <t>https://www.iqiyi.com/v_19rsjq84fg.html</t>
  </si>
  <si>
    <t>交通事故合集：随心所欲的出租车，不看后视镜害人...</t>
  </si>
  <si>
    <t>2019-04-08上传</t>
  </si>
  <si>
    <t>https://www.iqiyi.com/v_19rsjkagf8.html</t>
  </si>
  <si>
    <t>交通事故合集：就发生在眼前，SUV摔了个底朝天...</t>
  </si>
  <si>
    <t>2019-04-06上传</t>
  </si>
  <si>
    <t>https://www.iqiyi.com/v_19rsiux420.html</t>
  </si>
  <si>
    <t>挡位刹车分不清楚，新手切莫着急上路！最新交通事...</t>
  </si>
  <si>
    <t>2019-04-05上传</t>
  </si>
  <si>
    <t>https://www.iqiyi.com/v_19rsir5zzk.html</t>
  </si>
  <si>
    <t>交通事故合集：转弯不会礼让直行，结果赔了夫人又...</t>
  </si>
  <si>
    <t>2019-04-02上传</t>
  </si>
  <si>
    <t>https://www.iqiyi.com/v_19rsj7cx8o.html</t>
  </si>
  <si>
    <t>交通事故合集：大货车刹车失灵冲出路口，无辜SU...</t>
  </si>
  <si>
    <t>2019-03-31上传</t>
  </si>
  <si>
    <t>https://www.iqiyi.com/v_19rsizz4a0.html</t>
  </si>
  <si>
    <t>交通事故合集：面包车腾空撞上护栏，这是有多走神？</t>
  </si>
  <si>
    <t>2019-03-30上传</t>
  </si>
  <si>
    <t>https://www.iqiyi.com/v_19rsi96o6c.html</t>
  </si>
  <si>
    <t>交通事故合集：不会预判大车的转弯半径，切莫任性...</t>
  </si>
  <si>
    <t>2019-03-29上传</t>
  </si>
  <si>
    <t>https://www.iqiyi.com/v_19rsildwp8.html</t>
  </si>
  <si>
    <t>交通事故合集：电动车右侧超车，引发连环事故，大...</t>
  </si>
  <si>
    <t>2019-03-26上传</t>
  </si>
  <si>
    <t>https://www.iqiyi.com/v_19rsifc7ks.html</t>
  </si>
  <si>
    <t>交通事故合集：无视大货车盲区，盲目加塞不可取</t>
  </si>
  <si>
    <t>2019-03-24上传</t>
  </si>
  <si>
    <t>https://www.iqiyi.com/v_19rshqsx9g.html</t>
  </si>
  <si>
    <t>交通事故合集：崭新的“神车”思域，撞电线杆都不...</t>
  </si>
  <si>
    <t>2019-03-22上传</t>
  </si>
  <si>
    <t>https://www.iqiyi.com/v_19rshnf64g.html</t>
  </si>
  <si>
    <t>不看路况盲目转弯，面对呼啸而来的大货车，你有何...</t>
  </si>
  <si>
    <t>2019-03-20上传</t>
  </si>
  <si>
    <t>https://www.iqiyi.com/v_19rshuiqxo.html</t>
  </si>
  <si>
    <t>堂而皇之的闯红灯，这样的结果，大家满不满意？最...</t>
  </si>
  <si>
    <t>2019-03-18上传</t>
  </si>
  <si>
    <t>https://www.iqiyi.com/v_19rqvhd9cs.html</t>
  </si>
  <si>
    <t>交通事故合集：奇葩的新手自信上路，牛叉的车技让...</t>
  </si>
  <si>
    <t>2019-03-16上传</t>
  </si>
  <si>
    <t>https://www.iqiyi.com/v_19rqvd5218.html</t>
  </si>
  <si>
    <t>交通事故合集：毫无顾忌的加塞，却不曾想到，女司...</t>
  </si>
  <si>
    <t>2019-03-14上传</t>
  </si>
  <si>
    <t>https://www.iqiyi.com/v_19rqvkoybs.html</t>
  </si>
  <si>
    <t>交通事故合集：开车别走神，连环追尾让人伤不起</t>
  </si>
  <si>
    <t>2019-03-12上传</t>
  </si>
  <si>
    <t>https://www.iqiyi.com/v_19rquy4irg.html</t>
  </si>
  <si>
    <t>交通事故合集：法拉利上演“叠罗汉”，这车速是有...</t>
  </si>
  <si>
    <t>2019-03-10上传</t>
  </si>
  <si>
    <t>https://www.iqiyi.com/v_19rquti048.html</t>
  </si>
  <si>
    <t>交通事故合集：奇葩的卡罗拉车主，油门刹车傻傻分...</t>
  </si>
  <si>
    <t>2019-03-08上传</t>
  </si>
  <si>
    <t>https://www.iqiyi.com/v_19rqv72qec.html</t>
  </si>
  <si>
    <t>行车记录仪实拍：任性的SUV，底盘高就能不守交...</t>
  </si>
  <si>
    <t>2019-03-07上传</t>
  </si>
  <si>
    <t>https://www.iqiyi.com/v_19rqv9ijgw.html</t>
  </si>
  <si>
    <t>交通事故合集：三厢车变成一堆废铁，深刻的教训让...</t>
  </si>
  <si>
    <t>2019-03-06上传</t>
  </si>
  <si>
    <t>https://www.iqiyi.com/v_19rquc0x7s.html</t>
  </si>
  <si>
    <t>交通事故合集：自作聪明的随意变道，交警叔叔的举...</t>
  </si>
  <si>
    <t>2019-03-05上传</t>
  </si>
  <si>
    <t>https://www.iqiyi.com/v_19rquez3vw.html</t>
  </si>
  <si>
    <t>交通事故合集：不保持车距，任性超车的结局，值得...</t>
  </si>
  <si>
    <t>2019-03-03上传</t>
  </si>
  <si>
    <t>https://www.iqiyi.com/v_19rqua66io.html</t>
  </si>
  <si>
    <t>交通事故合集：五菱神车左转弯，神奇的驾驶技术，...</t>
  </si>
  <si>
    <t>2019-03-01上传</t>
  </si>
  <si>
    <t>https://www.iqiyi.com/v_19rquim6og.html</t>
  </si>
  <si>
    <t>交通事故合集：大马路上，看似很帅的溜冰，结局可...</t>
  </si>
  <si>
    <t>2019-02-27上传</t>
  </si>
  <si>
    <t>https://www.iqiyi.com/v_19rqtsefb4.html</t>
  </si>
  <si>
    <t>行车记录仪实拍：路口直接冲出来，你真不看看路况？</t>
  </si>
  <si>
    <t>2019-02-25上传</t>
  </si>
  <si>
    <t>https://www.iqiyi.com/v_19rqtvqnwg.html</t>
  </si>
  <si>
    <t>交通事故合集：奇葩的事故贻笑大方，真不会练好车...</t>
  </si>
  <si>
    <t>2019-02-24上传</t>
  </si>
  <si>
    <t>https://www.iqiyi.com/v_19rqtqoe5k.html</t>
  </si>
  <si>
    <t>交通事故合集：好心礼让却引发事故，视频车主该不...</t>
  </si>
  <si>
    <t>2019-02-22上传</t>
  </si>
  <si>
    <t>https://www.iqiyi.com/v_19rqtxt0v0.html</t>
  </si>
  <si>
    <t>交通事故合集：疲劳驾驶惹的祸，轿车秒变碰碰车</t>
  </si>
  <si>
    <t>2019-02-20上传</t>
  </si>
  <si>
    <t>https://www.iqiyi.com/v_19rqxp52m0.html</t>
  </si>
  <si>
    <t>交通事故合集：村里能把车开成这样，你有多少包“...</t>
  </si>
  <si>
    <t>2019-02-18上传</t>
  </si>
  <si>
    <t>https://www.iqiyi.com/v_19rqxkbpyc.html</t>
  </si>
  <si>
    <t>交通事故合集：电动车横穿马路，小车避让不及，瞬...</t>
  </si>
  <si>
    <t>2019-02-16上传</t>
  </si>
  <si>
    <t>https://www.iqiyi.com/v_19rqxmejqo.html</t>
  </si>
  <si>
    <t>交通事故合集：“马路杀手”即将上路，可怜了崭新...</t>
  </si>
  <si>
    <t>2019-02-15上传</t>
  </si>
  <si>
    <t>https://www.iqiyi.com/v_19rqy0h5eg.html</t>
  </si>
  <si>
    <t>交通事故合集：三轮车打滑侧翻，好司机救人于危难</t>
  </si>
  <si>
    <t>2019-02-14上传</t>
  </si>
  <si>
    <t>https://www.iqiyi.com/v_19rqxsz7xg.html</t>
  </si>
  <si>
    <t>交通事故合集：SUV任性掉头，紧急避让已来不及</t>
  </si>
  <si>
    <t>2019-02-13上传</t>
  </si>
  <si>
    <t>https://www.iqiyi.com/v_19rqxv2xk8.html</t>
  </si>
  <si>
    <t>交通事故合集：别嫌老婆太啰嗦，谨慎驾驶少犯错！</t>
  </si>
  <si>
    <t>2019-02-12上传</t>
  </si>
  <si>
    <t>https://www.iqiyi.com/v_19rqx6rzo4.html</t>
  </si>
  <si>
    <t>交通事故合集：新年第一场雪，车技好，不如减速好！</t>
  </si>
  <si>
    <t>2019-02-10上传</t>
  </si>
  <si>
    <t>https://www.iqiyi.com/v_19rqwzzzk8.html</t>
  </si>
  <si>
    <t>交通事故合集：春节假期勿酒驾，莫要以身来试法！</t>
  </si>
  <si>
    <t>2019-02-08上传</t>
  </si>
  <si>
    <t>https://www.iqiyi.com/v_19rqxeko0o.html</t>
  </si>
  <si>
    <t>交通事故合集：新年假期新手上路，紧握方向切莫超速</t>
  </si>
  <si>
    <t>2019-02-06上传</t>
  </si>
  <si>
    <t>https://www.iqiyi.com/v_19rqx9rfos.html</t>
  </si>
  <si>
    <t>交通事故合集：好奇围观交通事故，没想到自己变成...</t>
  </si>
  <si>
    <t>2019-02-03上传</t>
  </si>
  <si>
    <t>https://www.iqiyi.com/v_19rqxaytj8.html</t>
  </si>
  <si>
    <t>行车记录仪实拍：转弯不会让直行，小车瞬间就变形</t>
  </si>
  <si>
    <t>2019-02-02上传</t>
  </si>
  <si>
    <t>https://www.iqiyi.com/v_19rqwkec2s.html</t>
  </si>
  <si>
    <t>交通事故合集：下雪路滑，接二连三的超速事故，值...</t>
  </si>
  <si>
    <t>2019-02-01上传</t>
  </si>
  <si>
    <t>https://www.iqiyi.com/v_19rqwev0o8.html</t>
  </si>
  <si>
    <t>行车记录仪实拍：不守规矩的新手新车，这车技让交...</t>
  </si>
  <si>
    <t>2019-01-30上传</t>
  </si>
  <si>
    <t>https://www.iqiyi.com/v_19rqwi0zvo.html</t>
  </si>
  <si>
    <t>交通事故合集：高速路上随意变道，连环事故一触即发</t>
  </si>
  <si>
    <t>2019-01-29上传</t>
  </si>
  <si>
    <t>https://www.iqiyi.com/v_19rqwq6i60.html</t>
  </si>
  <si>
    <t>交通事故合集：过年回家切勿心急，连环追尾让人伤...</t>
  </si>
  <si>
    <t>2019-01-27上传</t>
  </si>
  <si>
    <t>https://www.iqiyi.com/v_19rqw16iq8.html</t>
  </si>
  <si>
    <t>交通事故合集：当不文明的加塞，遇见了路怒症，结...</t>
  </si>
  <si>
    <t>2019-01-26上传</t>
  </si>
  <si>
    <t>https://www.iqiyi.com/v_19rqvycexg.html</t>
  </si>
  <si>
    <t>交通事故合集：过年了，不守交规的电动车，用完了...</t>
  </si>
  <si>
    <t>2019-01-24上传</t>
  </si>
  <si>
    <t>https://www.iqiyi.com/v_19rqwc92f0.html</t>
  </si>
  <si>
    <t>行车记录仪实拍：右转弯不观察路况，大货车刹车已...</t>
  </si>
  <si>
    <t>2019-01-22上传</t>
  </si>
  <si>
    <t>https://www.iqiyi.com/v_19rqw6bnn0.html</t>
  </si>
  <si>
    <t>交通事故合集：好任性的丰田霸道，占道过弯让人猝...</t>
  </si>
  <si>
    <t>2019-01-21上传</t>
  </si>
  <si>
    <t>https://www.iqiyi.com/v_19rqr0x738.html</t>
  </si>
  <si>
    <t>行车记录仪实拍：肆无忌惮的加塞，这样的结果算不...</t>
  </si>
  <si>
    <t>2019-01-20上传</t>
  </si>
  <si>
    <t>https://www.iqiyi.com/v_19rqqvv48g.html</t>
  </si>
  <si>
    <t>交通事故合集：路口请勿超速，危险来临,，你连反...</t>
  </si>
  <si>
    <t>2019-01-19上传</t>
  </si>
  <si>
    <t>https://www.iqiyi.com/v_19rqqwgyic.html</t>
  </si>
  <si>
    <t>行车记录仪实拍：盲目的右侧超车，这次教训有点深刻</t>
  </si>
  <si>
    <t>2019-01-18上传</t>
  </si>
  <si>
    <t>https://www.iqiyi.com/v_19rqrcpyi8.html</t>
  </si>
  <si>
    <t>交通事故合集：不看后视镜随意变道，这个全责一点...</t>
  </si>
  <si>
    <t>2019-01-17上传</t>
  </si>
  <si>
    <t>https://www.iqiyi.com/v_19rqr6b0l8.html</t>
  </si>
  <si>
    <t>行车记录仪实拍：女司机走神导致追尾，心态不错让...</t>
  </si>
  <si>
    <t>2019-01-15上传</t>
  </si>
  <si>
    <t>https://www.iqiyi.com/v_19rqqioemk.html</t>
  </si>
  <si>
    <t>交通事故合集：超车不加速，缺乏预判的宝骏大哥，...</t>
  </si>
  <si>
    <t>2019-01-14上传</t>
  </si>
  <si>
    <t>https://www.iqiyi.com/v_19rqqthg6c.html</t>
  </si>
  <si>
    <t>行车记录仪实拍: 看看这奇葩的碰瓷, 真让人大...</t>
  </si>
  <si>
    <t>2019-01-10上传</t>
  </si>
  <si>
    <t>https://www.iqiyi.com/v_19rqqp6kno.html</t>
  </si>
  <si>
    <t>交通事故合集：下雨超车失控，车主太高估了SUV...</t>
  </si>
  <si>
    <t>2019-01-09上传</t>
  </si>
  <si>
    <t>https://www.iqiyi.com/v_19rqpyiv48.html</t>
  </si>
  <si>
    <t>行车记录仪实拍: 无妄之灾, 大货车弯道超车,...</t>
  </si>
  <si>
    <t>2019-01-07上传</t>
  </si>
  <si>
    <t>https://www.iqiyi.com/v_19rqps3mdo.html</t>
  </si>
  <si>
    <t>交通事故合集：三轮车任性转弯，引发连环事故，这...</t>
  </si>
  <si>
    <t>2019-01-06上传</t>
  </si>
  <si>
    <t>https://www.iqiyi.com/v_19rqpuyhag.html</t>
  </si>
  <si>
    <t>行车记录仪实拍：SUV双黄线掉头，大货车紧急刹...</t>
  </si>
  <si>
    <t>2019-01-05上传</t>
  </si>
  <si>
    <t>https://www.iqiyi.com/v_19rqq0ty8g.html</t>
  </si>
  <si>
    <t>交通事故合集：占道超车导致追尾，你凭什么扬长而...</t>
  </si>
  <si>
    <t>2019-01-04上传</t>
  </si>
  <si>
    <t>https://www.iqiyi.com/v_19rqq0xpb8.html</t>
  </si>
  <si>
    <t>行车记录仪实拍: 面对大货车急刹失控, 老司机...</t>
  </si>
  <si>
    <t>2019-01-03上传</t>
  </si>
  <si>
    <t>https://www.iqiyi.com/v_19rqq50wz0.html</t>
  </si>
  <si>
    <t>交通事故合集：开车勿斗气，和远光灯较量，没想到...</t>
  </si>
  <si>
    <t>2019-01-02上传</t>
  </si>
  <si>
    <t>https://www.iqiyi.com/v_19rqpdqwd0.html</t>
  </si>
  <si>
    <t>行车记录仪实拍：司机路口走神，一紧张错把油门当...</t>
  </si>
  <si>
    <t>2019-01-01上传</t>
  </si>
  <si>
    <t>https://www.iqiyi.com/v_19rqpeftak.html</t>
  </si>
  <si>
    <t>交通事故合集: 下雪路滑, 眼睁睁的撞上去, ...</t>
  </si>
  <si>
    <t>2018-12-31上传</t>
  </si>
  <si>
    <t>https://www.iqiyi.com/v_19rqp70zqw.html</t>
  </si>
  <si>
    <t>行车记录仪实拍：看看这失败的紧急避让，你真不会...</t>
  </si>
  <si>
    <t>2018-12-30上传</t>
  </si>
  <si>
    <t>https://www.iqiyi.com/v_19rqpauy80.html</t>
  </si>
  <si>
    <t>交通事故合集: 重载大货车, 临近路口才知道刹...</t>
  </si>
  <si>
    <t>2018-12-29上传</t>
  </si>
  <si>
    <t>https://www.iqiyi.com/v_19rqpm5yds.html</t>
  </si>
  <si>
    <t>行车记录仪实拍：路口冲出来的“鬼探头”，让我措...</t>
  </si>
  <si>
    <t>2018-12-28上传</t>
  </si>
  <si>
    <t>https://www.iqiyi.com/v_19rqppw8rs.html</t>
  </si>
  <si>
    <t>交通事故合集: 三轮车漂移侧翻, 好小伙的做法...</t>
  </si>
  <si>
    <t>2018-12-27上传</t>
  </si>
  <si>
    <t>https://www.iqiyi.com/v_19rqpiivik.html</t>
  </si>
  <si>
    <t>行车记录仪实拍：好惊险的漂移过弯，真担心小车的...</t>
  </si>
  <si>
    <t>2018-12-26上传</t>
  </si>
  <si>
    <t>https://www.iqiyi.com/v_19rqt7gd9k.html</t>
  </si>
  <si>
    <t>交通事故合集：货车师傅粗心大意，敞开的后墙板让...</t>
  </si>
  <si>
    <t>2018-12-25上传</t>
  </si>
  <si>
    <t>https://www.iqiyi.com/v_19rqtasbso.html</t>
  </si>
  <si>
    <t>行车记录仪实拍：正常行驶中，花坛里冲出一只“拦...</t>
  </si>
  <si>
    <t>2018-12-24上传</t>
  </si>
  <si>
    <t>https://www.iqiyi.com/v_19rqt3x0b4.html</t>
  </si>
  <si>
    <t>交通事故合集：撞了就撞了，女司机的好心态让人绝望</t>
  </si>
  <si>
    <t>2018-12-23上传</t>
  </si>
  <si>
    <t>https://www.iqiyi.com/v_19rqt417fo.html</t>
  </si>
  <si>
    <t>行车记录仪实拍：下雨路滑，谁给你的勇气在高速上...</t>
  </si>
  <si>
    <t>2018-12-22上传</t>
  </si>
  <si>
    <t>https://www.iqiyi.com/v_19rqtiaq5s.html</t>
  </si>
  <si>
    <t>交通事故合集：宁停三分不抢一秒，盲目的实线变道...</t>
  </si>
  <si>
    <t>2018-12-21上传</t>
  </si>
  <si>
    <t>https://www.iqiyi.com/v_19rqtkanuk.html</t>
  </si>
  <si>
    <t>行车记录仪实拍：大货车路口侧翻，小轿车遭遇无妄...</t>
  </si>
  <si>
    <t>2018-12-20上传</t>
  </si>
  <si>
    <t>https://www.iqiyi.com/v_19rqtfu0cw.html</t>
  </si>
  <si>
    <t>交通事故合集：女司机的行车轨迹，让我们捉摸不透</t>
  </si>
  <si>
    <t>2018-12-19上传</t>
  </si>
  <si>
    <t>https://www.iqiyi.com/v_19rqtg96dc.html</t>
  </si>
  <si>
    <t>行车记录仪实拍：前方连环事故，女司机的反应真让...</t>
  </si>
  <si>
    <t>2018-12-18上传</t>
  </si>
  <si>
    <t>https://www.iqiyi.com/v_19rqsojebs.html</t>
  </si>
  <si>
    <t>行车记录仪实拍：前车盲目变道，我想刹车已经来不及</t>
  </si>
  <si>
    <t>2018-12-17上传</t>
  </si>
  <si>
    <t>https://www.iqiyi.com/v_19rqsik3rw.html</t>
  </si>
  <si>
    <t>交通事故合集：红绿灯路口不减速，面对突发状况你...</t>
  </si>
  <si>
    <t>2018-12-16上传</t>
  </si>
  <si>
    <t>https://www.iqiyi.com/v_19rqskd9ag.html</t>
  </si>
  <si>
    <t>行车记录仪实拍：高速车距太近，一瞬间撞成“一锅...</t>
  </si>
  <si>
    <t>2018-12-15上传</t>
  </si>
  <si>
    <t>https://www.iqiyi.com/v_19rqsy49l4.html</t>
  </si>
  <si>
    <t>交通事故合集：走神追尾大货车，万万没想到大货车...</t>
  </si>
  <si>
    <t>2018-12-14上传</t>
  </si>
  <si>
    <t>https://www.iqiyi.com/v_19rqszf88s.html</t>
  </si>
  <si>
    <t>行车记录仪实拍：不断地故意别车，车主的路怒症一...</t>
  </si>
  <si>
    <t>2018-12-13上传</t>
  </si>
  <si>
    <t>https://www.iqiyi.com/v_19rqst3rdo.html</t>
  </si>
  <si>
    <t>交通事故合集：冰天雪地，刚伸手接电话，没想到导...</t>
  </si>
  <si>
    <t>2018-12-12上传</t>
  </si>
  <si>
    <t>https://www.iqiyi.com/v_19rqstgmws.html</t>
  </si>
  <si>
    <t>行车记录仪实拍：保时捷911任性闯红灯，结果赔...</t>
  </si>
  <si>
    <t>2018-12-11上传</t>
  </si>
  <si>
    <t>https://www.iqiyi.com/v_19rqs6st04.html</t>
  </si>
  <si>
    <t>行车记录仪实拍：雨雪天谨慎慢行，一不小心就漂移...</t>
  </si>
  <si>
    <t>2018-12-09上传</t>
  </si>
  <si>
    <t>https://www.iqiyi.com/v_19rqryz9qc.html</t>
  </si>
  <si>
    <t>交通事故合集：看看这神奇的驾驶技巧，三轮车大叔...</t>
  </si>
  <si>
    <t>2018-12-08上传</t>
  </si>
  <si>
    <t>https://www.iqiyi.com/v_19rqs0p6jg.html</t>
  </si>
  <si>
    <t>行车记录仪实拍：弯道超车的宝骏大哥，给我们好好...</t>
  </si>
  <si>
    <t>2018-12-07上传</t>
  </si>
  <si>
    <t>https://www.iqiyi.com/v_19rqsdf31k.html</t>
  </si>
  <si>
    <t>交通事故合集：雪天路滑，遭遇这样的无妄之灾，真...</t>
  </si>
  <si>
    <t>2018-12-06上传</t>
  </si>
  <si>
    <t>https://www.iqiyi.com/v_19rqsge1mw.html</t>
  </si>
  <si>
    <t>行车记录仪实拍：众人劝说无效后，小伙子挑战大货...</t>
  </si>
  <si>
    <t>2018-12-05上传</t>
  </si>
  <si>
    <t>https://www.iqiyi.com/v_19rqsal5lc.html</t>
  </si>
  <si>
    <t>交通事故合集：下雪勿超速，刹不住的大客车，令人...</t>
  </si>
  <si>
    <t>2018-12-04上传</t>
  </si>
  <si>
    <t>https://www.iqiyi.com/v_19rqscy7qk.html</t>
  </si>
  <si>
    <t>行车记录仪实拍：不看路况的鬼探头，让人防不胜防</t>
  </si>
  <si>
    <t>2018-12-03上传</t>
  </si>
  <si>
    <t>https://www.iqiyi.com/v_19rqrne8sk.html</t>
  </si>
  <si>
    <t>行车记录仪实拍：前车刹车灯亮了好久，这位大哥在...</t>
  </si>
  <si>
    <t>2018-12-01上传</t>
  </si>
  <si>
    <t>https://www.iqiyi.com/v_19rqri6ueg.html</t>
  </si>
  <si>
    <t>交通事故合集：拒绝疲劳驾驶，这位大哥用完了半辈...</t>
  </si>
  <si>
    <t>2018-11-30上传</t>
  </si>
  <si>
    <t>https://www.iqiyi.com/v_19rqrtwy9s.html</t>
  </si>
  <si>
    <t>行车记录仪实拍：路口车速太快，刹车到底已经来不及</t>
  </si>
  <si>
    <t>2018-11-29上传</t>
  </si>
  <si>
    <t>https://www.iqiyi.com/v_19rqrx78rg.html</t>
  </si>
  <si>
    <t>交通事故合集：任性加塞的马自达，下一秒糗大了！</t>
  </si>
  <si>
    <t>2018-11-28上传</t>
  </si>
  <si>
    <t>https://www.iqiyi.com/v_19rqrpmue4.html</t>
  </si>
  <si>
    <t>行车记录仪实拍：高速前车急停，小伙高呼刹死，却...</t>
  </si>
  <si>
    <t>2018-11-27上传</t>
  </si>
  <si>
    <t>https://www.iqiyi.com/v_19rqrsdk34.html</t>
  </si>
  <si>
    <t>交通事故合集：电动车任性变道，大货车避让不及，...</t>
  </si>
  <si>
    <t>2018-11-26上传</t>
  </si>
  <si>
    <t>https://www.iqiyi.com/v_19rr4bc9po.html</t>
  </si>
  <si>
    <t>行车记录仪实拍：惊魂未定，大货车躲避电动车，直...</t>
  </si>
  <si>
    <t>2018-11-25上传</t>
  </si>
  <si>
    <t>https://www.iqiyi.com/v_19rr4cihuc.html</t>
  </si>
  <si>
    <t>行车记录仪实拍：小车盲目转弯，大货车速度太快，...</t>
  </si>
  <si>
    <t>https://www.iqiyi.com/v_19rr4kr7z8.html</t>
  </si>
  <si>
    <t>交通事故合集：能把车开成这样，这是啥技术？</t>
  </si>
  <si>
    <t>2018-11-22上传</t>
  </si>
  <si>
    <t>https://www.iqiyi.com/v_19rr4m0n0c.html</t>
  </si>
  <si>
    <t>行车记录仪实拍：高速路口发生连环事故，看老司机...</t>
  </si>
  <si>
    <t>2018-11-21上传</t>
  </si>
  <si>
    <t>https://www.iqiyi.com/v_19rr4lxa84.html</t>
  </si>
  <si>
    <t>行车记录仪实拍：高速不保持车距，刹车不及时上演...</t>
  </si>
  <si>
    <t>https://www.iqiyi.com/v_19rr4gmyc8.html</t>
  </si>
  <si>
    <t>交通事故合集：大货车送来的“结婚礼物”，我们真...</t>
  </si>
  <si>
    <t>2018-11-20上传</t>
  </si>
  <si>
    <t>https://www.iqiyi.com/v_19rr4i6y2c.html</t>
  </si>
  <si>
    <t>行车记录仪实拍：小车司机过路口不观察，下一秒很...</t>
  </si>
  <si>
    <t>2018-11-19上传</t>
  </si>
  <si>
    <t>https://www.iqiyi.com/v_19rr3rtgvg.html</t>
  </si>
  <si>
    <t>交通事故合集：不观察路况的出租车，鬼探头让人防...</t>
  </si>
  <si>
    <t>2018-11-18上传</t>
  </si>
  <si>
    <t>https://www.iqiyi.com/v_19rr3sod5g.html</t>
  </si>
  <si>
    <t>行车记录仪实拍：女司机路口右转弯，没想到大货车...</t>
  </si>
  <si>
    <t>2018-11-17上传</t>
  </si>
  <si>
    <t>https://www.iqiyi.com/v_19rr3v8kno.html</t>
  </si>
  <si>
    <t>交通事故合集：不文明的随意停车开门，值得深思反省</t>
  </si>
  <si>
    <t>2018-11-16上传</t>
  </si>
  <si>
    <t>https://www.iqiyi.com/v_19rr4298wg.html</t>
  </si>
  <si>
    <t>交通事故合集：一次失败的甩尾漂移，告诫我们路口...</t>
  </si>
  <si>
    <t>2018-11-14上传</t>
  </si>
  <si>
    <t>https://www.iqiyi.com/v_19rr3yirac.html</t>
  </si>
  <si>
    <t>交通事故合集：看似很帅的单手开车，一出状况就傻...</t>
  </si>
  <si>
    <t>2018-11-12上传</t>
  </si>
  <si>
    <t>https://www.iqiyi.com/v_19rr37y6f4.html</t>
  </si>
  <si>
    <t>交通事故合集：追尾奥迪Q7气囊弹出，这是有多走...</t>
  </si>
  <si>
    <t>2018-11-10上传</t>
  </si>
  <si>
    <t>https://www.iqiyi.com/w_19s35bu2mh.html</t>
  </si>
  <si>
    <t>交通事故合集：大货车避让三轮车导致侧翻，大家怎...</t>
  </si>
  <si>
    <t>2018-11-08上传</t>
  </si>
  <si>
    <t>https://www.iqiyi.com/w_19s3gajk3h.html</t>
  </si>
  <si>
    <t>交通事故合集：不文明的实线变道，害人又害己</t>
  </si>
  <si>
    <t>2018-11-06上传</t>
  </si>
  <si>
    <t>https://www.iqiyi.com/w_19s3es4n0l.html</t>
  </si>
  <si>
    <t>遇上不文明的加塞，一脚油门怼上去，大家怎么看？</t>
  </si>
  <si>
    <t>2018-11-04上传</t>
  </si>
  <si>
    <t>https://www.iqiyi.com/w_19s3dmd97t.html</t>
  </si>
  <si>
    <t>交通事故合集：电动车撞上了宾利，究竟谁的责任更...</t>
  </si>
  <si>
    <t>2018-10-29上传</t>
  </si>
  <si>
    <t>https://www.iqiyi.com/w_19s1pi21o9.html</t>
  </si>
  <si>
    <t>交通事故合集：倒挡起步的宝马,让人防不胜防！</t>
  </si>
  <si>
    <t>2018-10-27上传</t>
  </si>
  <si>
    <t>https://www.iqiyi.com/w_19s1r6zn2h.html</t>
  </si>
  <si>
    <t>交通事故合集：层出不穷的超速追尾，值得我们反思！</t>
  </si>
  <si>
    <t>2018-10-24上传</t>
  </si>
  <si>
    <t>https://www.iqiyi.com/w_19s1lebaad.html</t>
  </si>
  <si>
    <t>交通事故合集：随心所欲的变道，驾照该不该吊销？</t>
  </si>
  <si>
    <t>2018-10-22上传</t>
  </si>
  <si>
    <t>https://www.iqiyi.com/w_19s1nx990d.html</t>
  </si>
  <si>
    <t>交通事故合集：突如其来的鬼探头，怎样才能来预防？</t>
  </si>
  <si>
    <t>2018-10-20上传</t>
  </si>
  <si>
    <t>https://www.iqiyi.com/w_19s1z0hccx.html</t>
  </si>
  <si>
    <t>交通事故合集：不观察路况的驾驶习惯，害人又害己！</t>
  </si>
  <si>
    <t>2018-10-18上传</t>
  </si>
  <si>
    <t>https://www.iqiyi.com/w_19s1xvi8vt.html</t>
  </si>
  <si>
    <t>持之以恒的礼让行人，这位司机让人暖心！</t>
  </si>
  <si>
    <t>2018-10-16上传</t>
  </si>
  <si>
    <t>https://www.iqiyi.com/w_19s1zxt7up.html</t>
  </si>
  <si>
    <t>交通事故合集：高速急刹车，追尾怎样算？</t>
  </si>
  <si>
    <t>2018-10-14上传</t>
  </si>
  <si>
    <t>https://www.iqiyi.com/w_19s1u6tsu9.html</t>
  </si>
  <si>
    <t>交通事故合集：远离大货车盲区，众多教训值得铭记！</t>
  </si>
  <si>
    <t>2018-10-12上传</t>
  </si>
  <si>
    <t>https://www.iqiyi.com/w_19s1x2pnox.html</t>
  </si>
  <si>
    <t>交通事故合集：突如其来的氮气加速，瞬间致盲危机...</t>
  </si>
  <si>
    <t>2018-10-10上传</t>
  </si>
  <si>
    <t>https://www.iqiyi.com/w_19s1uzdash.html</t>
  </si>
  <si>
    <t>交通事故合集：帅不过5秒，活生生的案例，下雨勿...</t>
  </si>
  <si>
    <t>2018-10-08上传</t>
  </si>
  <si>
    <t>https://www.iqiyi.com/w_19s271eqet.html</t>
  </si>
  <si>
    <t>交通事故合集：前车急刹导致追尾，大家怎么看？</t>
  </si>
  <si>
    <t>2018-10-06上传</t>
  </si>
  <si>
    <t>https://www.iqiyi.com/w_19s29w9ogx.html</t>
  </si>
  <si>
    <t>交通事故合集：不放警示牌引发二次事故，责任怎么...</t>
  </si>
  <si>
    <t>2018-10-04上传</t>
  </si>
  <si>
    <t>https://www.iqiyi.com/w_19s23lfcs1.html</t>
  </si>
  <si>
    <t>交通事故合集：十一假期新手上路，谨防追尾保持车速</t>
  </si>
  <si>
    <t>2018-10-02上传</t>
  </si>
  <si>
    <t>https://www.iqiyi.com/w_19s0q7utp9.html</t>
  </si>
  <si>
    <t>目瞪口呆，这奥迪司机怎样考的驾照？</t>
  </si>
  <si>
    <t>2018-09-13上传</t>
  </si>
  <si>
    <t>https://www.iqiyi.com/w_19s0r29mgx.html</t>
  </si>
  <si>
    <t>就算是宝马，也不该这样随心所欲吧？</t>
  </si>
  <si>
    <t>2018-09-08上传</t>
  </si>
  <si>
    <t>https://www.iqiyi.com/w_19s0lvze69.html</t>
  </si>
  <si>
    <t>看看这坑人的鬼探头，小车失控该谁买单？</t>
  </si>
  <si>
    <t>2018-09-07上传</t>
  </si>
  <si>
    <t>https://www.iqiyi.com/w_19s0oink2d.html</t>
  </si>
  <si>
    <t>盲目超车的哈弗，失控冲向对面车道</t>
  </si>
  <si>
    <t>2018-09-05上传</t>
  </si>
  <si>
    <t>https://www.iqiyi.com/w_19s0ohxay1.html</t>
  </si>
  <si>
    <t>一个小小的意外，也可能导致车辆着火</t>
  </si>
  <si>
    <t>https://www.iqiyi.com/w_19s0nsjr15.html</t>
  </si>
  <si>
    <t>过弯占道超车，这回长记性了，不会有下次！</t>
  </si>
  <si>
    <t>2018-09-04上传</t>
  </si>
  <si>
    <t>https://www.iqiyi.com/w_19s0o330k1.html</t>
  </si>
  <si>
    <t>老司机分析下，无路可走的追尾，大客车该不该担责？</t>
  </si>
  <si>
    <t>https://www.iqiyi.com/w_19s0o1xz3t.html</t>
  </si>
  <si>
    <t>压水花导致追尾奥迪，大家怎么看？</t>
  </si>
  <si>
    <t>https://www.iqiyi.com/w_19s0nezkrx.html</t>
  </si>
  <si>
    <t>盲目超车，一石二鸟，这样的结果值得反省！</t>
  </si>
  <si>
    <t>2018-09-03上传</t>
  </si>
  <si>
    <t>https://www.iqiyi.com/w_19s0mrkuzt.html</t>
  </si>
  <si>
    <t>没那本事，你凭什么逆行？</t>
  </si>
  <si>
    <t>https://www.iqiyi.com/w_19s0zkijcl.html</t>
  </si>
  <si>
    <t>大车面前 ， 一定要三思而后行！</t>
  </si>
  <si>
    <t>2018-09-02上传</t>
  </si>
  <si>
    <t>https://www.iqiyi.com/w_19s0z1i341.html</t>
  </si>
  <si>
    <t>隧道闪灯逆行，这是梁静茹给你的勇气？</t>
  </si>
  <si>
    <t>2018-09-01上传</t>
  </si>
  <si>
    <t>https://www.iqiyi.com/w_19s0y0zcv5.html</t>
  </si>
  <si>
    <t>好惊险的大货车侧翻，SUV岌岌可危</t>
  </si>
  <si>
    <t>2018-08-31上传</t>
  </si>
  <si>
    <t>https://www.iqiyi.com/w_19s11ocbpp.html</t>
  </si>
  <si>
    <t>不会保持车距，这次追尾太坑人了！</t>
  </si>
  <si>
    <t>https://www.iqiyi.com/w_19s11fdx61.html</t>
  </si>
  <si>
    <t>实在忍不住了，大叔，您加的是柴油啊！</t>
  </si>
  <si>
    <t>2018-08-30上传</t>
  </si>
  <si>
    <t>https://www.iqiyi.com/w_19s11df1bp.html</t>
  </si>
  <si>
    <t>不让加塞引发双方斗气，这就是路怒症的前兆，文明...</t>
  </si>
  <si>
    <t>https://www.iqiyi.com/w_19s10v4q4h.html</t>
  </si>
  <si>
    <t>没想到对方弯道超车，走神追尾了宝马，引以为戒吧！</t>
  </si>
  <si>
    <t>https://www.iqiyi.com/w_19s0v2reod.html</t>
  </si>
  <si>
    <t>奔驰女司机超车后急刹，这种追尾会怎样判？</t>
  </si>
  <si>
    <t>2018-08-29上传</t>
  </si>
  <si>
    <t>https://www.iqiyi.com/w_19s0vca349.html</t>
  </si>
  <si>
    <t>撞得有点懵，这种情况下出租车无责吧？</t>
  </si>
  <si>
    <t>https://www.iqiyi.com/w_19s0txi4xl.html</t>
  </si>
  <si>
    <t>死里逃生，老司机说说看，半挂车的转弯半径需要这...</t>
  </si>
  <si>
    <t>2018-08-28上传</t>
  </si>
  <si>
    <t>https://www.iqiyi.com/w_19s0tsqm0d.html</t>
  </si>
  <si>
    <t>牛人过马路，看得我一身汗水！</t>
  </si>
  <si>
    <t>https://www.iqiyi.com/w_19s0twbqf1.html</t>
  </si>
  <si>
    <t>没想到电动车突然冲出来，这个事故怎么判？</t>
  </si>
  <si>
    <t>https://www.iqiyi.com/w_19s0xeh715.html</t>
  </si>
  <si>
    <t>神出鬼没的电动车，路口绿灯也要慢行！</t>
  </si>
  <si>
    <t>2018-08-27上传</t>
  </si>
  <si>
    <t>https://www.iqiyi.com/w_19s0xff7hl.html</t>
  </si>
  <si>
    <t>不老老实实排队，这下高兴了吧？</t>
  </si>
  <si>
    <t>https://www.iqiyi.com/w_19s0wi66cl.html</t>
  </si>
  <si>
    <t>油门当刹车的司机，让我们说什么好？</t>
  </si>
  <si>
    <t>2018-08-26上传</t>
  </si>
  <si>
    <t>https://www.iqiyi.com/w_19s0wja761.html</t>
  </si>
  <si>
    <t>经常停车挡车库门口，这么做有错吗？</t>
  </si>
  <si>
    <t>https://www.iqiyi.com/w_19s18pi1rd.html</t>
  </si>
  <si>
    <t>不保持车距的泥罐车，危急时刻变身马路杀手</t>
  </si>
  <si>
    <t>2018-08-25上传</t>
  </si>
  <si>
    <t>https://www.iqiyi.com/w_19s17tcrh5.html</t>
  </si>
  <si>
    <t>引以为戒，盲目超车太危险！</t>
  </si>
  <si>
    <t>https://www.iqiyi.com/w_19s17yvla1.html</t>
  </si>
  <si>
    <t>随意变道的电动车，这起事故该担责吗？</t>
  </si>
  <si>
    <t>2018-08-24上传</t>
  </si>
  <si>
    <t>https://www.iqiyi.com/w_19s1815r0h.html</t>
  </si>
  <si>
    <t>当时就懵了，小面包隧道失控，变身拦路虎</t>
  </si>
  <si>
    <t>https://www.iqiyi.com/w_19s17e269h.html</t>
  </si>
  <si>
    <t>好尴尬，三只脚走路的桑塔纳</t>
  </si>
  <si>
    <t>https://www.iqiyi.com/w_19s16t3dwl.html</t>
  </si>
  <si>
    <t>好心办坏事，有时候真不该礼让行人的</t>
  </si>
  <si>
    <t>2018-08-23上传</t>
  </si>
  <si>
    <t>https://www.iqiyi.com/w_19s1abd87d.html</t>
  </si>
  <si>
    <t>惨烈的追尾，根本就没有刹车的机会！</t>
  </si>
  <si>
    <t>2018-08-22上传</t>
  </si>
  <si>
    <t>https://www.iqiyi.com/w_19s1ab7n19.html</t>
  </si>
  <si>
    <t>匝道停车害我被追尾，不能让他溜走，大家说对吗？</t>
  </si>
  <si>
    <t>https://www.iqiyi.com/w_19s19l8jpp.html</t>
  </si>
  <si>
    <t>错过路口高速倒车，大家说说看，该不该扣12分？</t>
  </si>
  <si>
    <t>https://www.iqiyi.com/w_19s192ssat.html</t>
  </si>
  <si>
    <t>突如其来的鬼探头，ABS都踩出来，还是刹不住！</t>
  </si>
  <si>
    <t>2018-08-21上传</t>
  </si>
  <si>
    <t>https://www.iqiyi.com/w_19s13yoy0p.html</t>
  </si>
  <si>
    <t>真惊险，我要是开快一点点，会是什么结果？</t>
  </si>
  <si>
    <t>https://www.iqiyi.com/w_19s1476v15.html</t>
  </si>
  <si>
    <t>就这水平的碰瓷，大家遇见会怎样？</t>
  </si>
  <si>
    <t>https://www.iqiyi.com/w_19s13d853t.html</t>
  </si>
  <si>
    <t>红绿灯抢行，盲目挑战大客车，这需要多大的勇气？</t>
  </si>
  <si>
    <t>https://www.iqiyi.com/w_19s12xihr1.html</t>
  </si>
  <si>
    <t>电动车自杀式逆行，该不该认全责？</t>
  </si>
  <si>
    <t>2018-08-20上传</t>
  </si>
  <si>
    <t>https://www.iqiyi.com/w_19s129ep5d.html</t>
  </si>
  <si>
    <t>超车后引发故意别车，这样的交通事故，老司机们怎...</t>
  </si>
  <si>
    <t>https://www.iqiyi.com/w_19s12adnwx.html</t>
  </si>
  <si>
    <t>玩手机还是疲劳驾驶？就这样冲出了公路！</t>
  </si>
  <si>
    <t>https://www.iqiyi.com/w_19s15fwvqx.html</t>
  </si>
  <si>
    <t>太坑了，变道就急刹，关键是没见到刹车灯啊！</t>
  </si>
  <si>
    <t>2018-08-19上传</t>
  </si>
  <si>
    <t>https://www.iqiyi.com/w_19s14xzsmd.html</t>
  </si>
  <si>
    <t>奇葩女司机，我想告诉你：胎压监测很重要</t>
  </si>
  <si>
    <t>2018-08-18上传</t>
  </si>
  <si>
    <t>https://www.iqiyi.com/w_19s14ip8ol.html</t>
  </si>
  <si>
    <t>高速勿疲劳驾驶，车辆报废也就一瞬间！</t>
  </si>
  <si>
    <t>https://www.iqiyi.com/w_19s14kjfst.html</t>
  </si>
  <si>
    <t>祸不单行，崭新的宝马，不用我赔吧？</t>
  </si>
  <si>
    <t>https://www.iqiyi.com/w_19s14d37nx.html</t>
  </si>
  <si>
    <t>又见教科书式碰瓷，报警是最好的选择！</t>
  </si>
  <si>
    <t>https://www.iqiyi.com/w_19s14oc0vl.html</t>
  </si>
  <si>
    <t>电动车闯红灯，这样的结果令人惋惜</t>
  </si>
  <si>
    <t>2018-08-17上传</t>
  </si>
  <si>
    <t>https://www.iqiyi.com/w_19s1h8dah1.html</t>
  </si>
  <si>
    <t>好尴尬，真心走神了，漂亮的妹子让我无地自容</t>
  </si>
  <si>
    <t>https://www.iqiyi.com/w_19s1h9j69h.html</t>
  </si>
  <si>
    <t>水花致盲，这种追尾怎么判？</t>
  </si>
  <si>
    <t>https://www.iqiyi.com/w_19s1fwtto1.html</t>
  </si>
  <si>
    <t>看看莫名其妙的交通事故，真让人感叹，驾照怎么考...</t>
  </si>
  <si>
    <t>2018-08-15上传</t>
  </si>
  <si>
    <t>https://www.iqiyi.com/w_19s1jnll01.html</t>
  </si>
  <si>
    <t>压线行驶太可恶，车辆失控只能算活该吧？</t>
  </si>
  <si>
    <t>https://www.iqiyi.com/w_19s1iqxnjp.html</t>
  </si>
  <si>
    <t>就这么撞过来，交警叔叔都蒙圈了吧？</t>
  </si>
  <si>
    <t>https://www.iqiyi.com/w_19s1ifi63t.html</t>
  </si>
  <si>
    <t>防不胜防的碰瓷，还好记录仪还原真相！</t>
  </si>
  <si>
    <t>2018-08-14上传</t>
  </si>
  <si>
    <t>https://www.iqiyi.com/w_19s1io266x.html</t>
  </si>
  <si>
    <t>雨天驾驶，不文明的压水花，真是害人害己</t>
  </si>
  <si>
    <t>https://www.iqiyi.com/w_19s1comzd5.html</t>
  </si>
  <si>
    <t>防不胜防的鬼探头，丰田大哥有点冤</t>
  </si>
  <si>
    <t>2018-08-13上传</t>
  </si>
  <si>
    <t>https://www.iqiyi.com/w_19s1c9qy1d.html</t>
  </si>
  <si>
    <t>路口超速，来不及反应的连环事故，值得我们反思！</t>
  </si>
  <si>
    <t>https://www.iqiyi.com/w_19s1c5okt1.html</t>
  </si>
  <si>
    <t>无牌SUV，高速倒车追尾，要不要下车揍他一顿？</t>
  </si>
  <si>
    <t>https://www.iqiyi.com/w_19s1cg8zy5.html</t>
  </si>
  <si>
    <t>加塞是吧？女司机闪亮登场</t>
  </si>
  <si>
    <t>2018-08-12上传</t>
  </si>
  <si>
    <t>https://www.iqiyi.com/w_19s1ch18cl.html</t>
  </si>
  <si>
    <t>不带刹车的撞树，酒驾还是盲目？</t>
  </si>
  <si>
    <t>https://www.iqiyi.com/w_19s1bmyui9.html</t>
  </si>
  <si>
    <t>不看路况的驾驶习惯，吊销驾照也不为过</t>
  </si>
  <si>
    <t>https://www.iqiyi.com/w_19s1c12bel.html</t>
  </si>
  <si>
    <t>没想到她跑着过马路，这种情况责任怎么判？</t>
  </si>
  <si>
    <t>https://www.iqiyi.com/w_19s1f2wvmx.html</t>
  </si>
  <si>
    <t>看着美女司机从容的表情，霸道车开习惯了吧？</t>
  </si>
  <si>
    <t>2018-08-11上传</t>
  </si>
  <si>
    <t>https://www.iqiyi.com/w_19s1euugqx.html</t>
  </si>
  <si>
    <t>大货司机走神了，刹不住急打方向，还是撞上了</t>
  </si>
  <si>
    <t>https://www.iqiyi.com/w_19s1ejb1wl.html</t>
  </si>
  <si>
    <t>摩托车卷入车轮下，你用完了一辈子的运气！</t>
  </si>
  <si>
    <t>https://www.iqiyi.com/w_19s1dyww15.html</t>
  </si>
  <si>
    <t>使劲起步的手动挡，不知道要等到什么时候</t>
  </si>
  <si>
    <t>2018-08-10上传</t>
  </si>
  <si>
    <t>https://www.iqiyi.com/w_19s1e2ny8h.html</t>
  </si>
  <si>
    <t>弯道会车，这样的车技，你这是谋杀吧？</t>
  </si>
  <si>
    <t>https://www.iqiyi.com/w_19s1e4v4v1.html</t>
  </si>
  <si>
    <t>买得起车，3元停车费都不给？难为小哥了</t>
  </si>
  <si>
    <t>https://www.iqiyi.com/w_19s1e54ful.html</t>
  </si>
  <si>
    <t>电影里才有的镜头，路口100码紧急避让</t>
  </si>
  <si>
    <t>https://www.iqiyi.com/w_19rzr90sc9.html</t>
  </si>
  <si>
    <t>任性的路怒症，摄像头下拿根棒子真理亏</t>
  </si>
  <si>
    <t>2018-08-09上传</t>
  </si>
  <si>
    <t>https://www.iqiyi.com/w_19rzrb1h3d.html</t>
  </si>
  <si>
    <t>明明一脚刹车可以避免，女司机真不让人省心</t>
  </si>
  <si>
    <t>https://www.iqiyi.com/w_19rznijh51.html</t>
  </si>
  <si>
    <t>技不如人让你加塞，你竖个中指啥意思？</t>
  </si>
  <si>
    <t>2018-07-31上传</t>
  </si>
  <si>
    <t>https://www.iqiyi.com/w_19rzzwa7q5.html</t>
  </si>
  <si>
    <t>加塞遇见路怒症，撞了十几米，也只能算你活该吧？</t>
  </si>
  <si>
    <t>https://www.iqiyi.com/w_19rzzwy4lt.html</t>
  </si>
  <si>
    <t>直接冲过来，你这是碰瓷还是醉酒？</t>
  </si>
  <si>
    <t>https://www.iqiyi.com/w_19rzzwpyvh.html</t>
  </si>
  <si>
    <t>早知道不礼让了，小姑娘过马路太危险了</t>
  </si>
  <si>
    <t>https://www.iqiyi.com/w_19rzzjwh8l.html</t>
  </si>
  <si>
    <t>十字路口，这个责任怎么算？</t>
  </si>
  <si>
    <t>2018-07-30上传</t>
  </si>
  <si>
    <t>https://www.iqiyi.com/w_19rzzmrzp5.html</t>
  </si>
  <si>
    <t>任性超车的丰田，你的保险杠呢？</t>
  </si>
  <si>
    <t>https://www.iqiyi.com/w_19rzyuf7s1.html</t>
  </si>
  <si>
    <t>斑马线，老太太不知道站了多久，奔驰大哥素质高</t>
  </si>
  <si>
    <t>https://www.iqiyi.com/w_19s00pok8x.html</t>
  </si>
  <si>
    <t>要不要去追他？三轮车占道太吓人了！</t>
  </si>
  <si>
    <t>2018-07-26上传</t>
  </si>
  <si>
    <t>https://www.iqiyi.com/w_19rzvhljp9.html</t>
  </si>
  <si>
    <t>这是刹车失灵？直接冲进了收费站</t>
  </si>
  <si>
    <t>https://www.iqiyi.com/w_19rzvshhjd.html</t>
  </si>
  <si>
    <t>突如其来的鬼探头，一笑泯恩仇</t>
  </si>
  <si>
    <t>https://www.iqiyi.com/w_19rzv73cdh.html</t>
  </si>
  <si>
    <t>开车走神害人害己，小车失控翻下公路</t>
  </si>
  <si>
    <t>2018-07-25上传</t>
  </si>
  <si>
    <t>https://www.iqiyi.com/w_19rzui2kmd.html</t>
  </si>
  <si>
    <t>疲劳驾驶的大货车，这次追尾太可怕</t>
  </si>
  <si>
    <t>https://www.iqiyi.com/w_19rzuqkyhd.html</t>
  </si>
  <si>
    <t>超车怼上左转，责任怎么算？</t>
  </si>
  <si>
    <t>https://www.iqiyi.com/w_19rztrd4z9.html</t>
  </si>
  <si>
    <t>今天的台风太可怕，这算得上福大命大吧？</t>
  </si>
  <si>
    <t>2018-07-24上传</t>
  </si>
  <si>
    <t>https://www.iqiyi.com/w_19rzxilrjh.html</t>
  </si>
  <si>
    <t>毫无顾忌的变道，刹车抱死也救不了</t>
  </si>
  <si>
    <t>2018-07-23上传</t>
  </si>
  <si>
    <t>https://www.iqiyi.com/w_19rzxbva4l.html</t>
  </si>
  <si>
    <t>夏季开车勿烦躁，一点小剐蹭，就上演拳王争霸赛？</t>
  </si>
  <si>
    <t>https://www.iqiyi.com/w_19rzxd8rr5.html</t>
  </si>
  <si>
    <t>任性的宝马大哥，这个走位有点牛！</t>
  </si>
  <si>
    <t>https://www.iqiyi.com/w_19rzw5nfad.html</t>
  </si>
  <si>
    <t>闯红灯的大货车，该不该吊销驾照？</t>
  </si>
  <si>
    <t>2018-07-22上传</t>
  </si>
  <si>
    <t>https://www.iqiyi.com/w_19rzvy93wt.html</t>
  </si>
  <si>
    <t>挖机加塞，谁敢不服？</t>
  </si>
  <si>
    <t>https://www.iqiyi.com/w_19rzwc50r1.html</t>
  </si>
  <si>
    <t>绿灯正常起步，电动车迂回包抄，一不小心就中招</t>
  </si>
  <si>
    <t>https://www.iqiyi.com/w_19rzwd0d9x.html</t>
  </si>
  <si>
    <t>出租车太任性，不考虑大货车的刹车距离</t>
  </si>
  <si>
    <t>https://www.iqiyi.com/w_19s08te12x.html</t>
  </si>
  <si>
    <t>一直尾随的远光灯，让他超车后我跟了一路</t>
  </si>
  <si>
    <t>2018-07-21上传</t>
  </si>
  <si>
    <t>https://www.iqiyi.com/w_19s08vnv5x.html</t>
  </si>
  <si>
    <t>夜晚跑偏的三轮车，好心司机助您一臂之力！</t>
  </si>
  <si>
    <t>https://www.iqiyi.com/w_19s0976qut.html</t>
  </si>
  <si>
    <t>没有条件的盲目超车，ABS都踩出来了</t>
  </si>
  <si>
    <t>https://www.iqiyi.com/w_19s07xius1.html</t>
  </si>
  <si>
    <t>大货车司机走神，高压电线杆被撞倒</t>
  </si>
  <si>
    <t>2018-07-20上传</t>
  </si>
  <si>
    <t>https://www.iqiyi.com/w_19s075v821.html</t>
  </si>
  <si>
    <t>任性挑战大货车，一开始你就输了！文明驾驶靠大家</t>
  </si>
  <si>
    <t>https://www.iqiyi.com/w_19s07jf3e5.html</t>
  </si>
  <si>
    <t>斑马线，三轮车熄火了，宝马大哥挺身而出</t>
  </si>
  <si>
    <t>2018-07-19上传</t>
  </si>
  <si>
    <t>https://www.iqiyi.com/w_19s0a192ml.html</t>
  </si>
  <si>
    <t>看看这位女司机的神操作，我也是心惊肉跳</t>
  </si>
  <si>
    <t>2018-07-18上传</t>
  </si>
  <si>
    <t>https://www.iqiyi.com/w_19s09uuko9.html</t>
  </si>
  <si>
    <t>被怼的莫名其妙，大哥你骑车真不看路？</t>
  </si>
  <si>
    <t>https://www.iqiyi.com/w_19s09k7jwd.html</t>
  </si>
  <si>
    <t>哪位货车司机解释下，这是什么情况？</t>
  </si>
  <si>
    <t>2018-07-17上传</t>
  </si>
  <si>
    <t>https://www.iqiyi.com/w_19s02sfpid.html</t>
  </si>
  <si>
    <t>举手之劳，飞度大哥小动作，暖人心！</t>
  </si>
  <si>
    <t>2018-07-15上传</t>
  </si>
  <si>
    <t>https://www.iqiyi.com/w_19s02uhzml.html</t>
  </si>
  <si>
    <t>违章逃逸的奔驰，吊销驾照不过分！</t>
  </si>
  <si>
    <t>https://www.iqiyi.com/w_19s0657ret.html</t>
  </si>
  <si>
    <t>占道过弯的电动车，让人怎么防？</t>
  </si>
  <si>
    <t>2018-07-14上传</t>
  </si>
  <si>
    <t>https://www.iqiyi.com/w_19s05we4et.html</t>
  </si>
  <si>
    <t>远离马路杀手，一紧张油门刹车分不清！</t>
  </si>
  <si>
    <t>2018-07-13上传</t>
  </si>
  <si>
    <t>https://www.iqiyi.com/w_19s0h2rq29.html</t>
  </si>
  <si>
    <t>面对加塞的福特，女司机真霸气！</t>
  </si>
  <si>
    <t>2018-07-11上传</t>
  </si>
  <si>
    <t>https://www.iqiyi.com/w_19rz1mi22d.html</t>
  </si>
  <si>
    <t>这台起亚K3，马路是你家的，究竟会不会开车？</t>
  </si>
  <si>
    <t>2018-06-16上传</t>
  </si>
  <si>
    <t>https://www.iqiyi.com/w_19rz1x7cyp.html</t>
  </si>
  <si>
    <t>不保持车距，连环车祸发生在一瞬间！</t>
  </si>
  <si>
    <t>2018-06-15上传</t>
  </si>
  <si>
    <t>https://www.iqiyi.com/w_19rz172u0x.html</t>
  </si>
  <si>
    <t>小车斑马线超速，应该不会有下次了！</t>
  </si>
  <si>
    <t>https://www.iqiyi.com/w_19rz0w963t.html</t>
  </si>
  <si>
    <t>幸亏刹车及时，妹子你让我好尴尬！</t>
  </si>
  <si>
    <t>https://www.iqiyi.com/w_19rz0x6ocp.html</t>
  </si>
  <si>
    <t>转弯不让直行，悲剧发生在下一秒</t>
  </si>
  <si>
    <t>https://www.iqiyi.com/w_19rz16n4jp.html</t>
  </si>
  <si>
    <t>前车货物散落，直接冲过去，也许是最好的选择！</t>
  </si>
  <si>
    <t>2018-06-14上传</t>
  </si>
  <si>
    <t>https://www.iqiyi.com/w_19ryvwodtx.html</t>
  </si>
  <si>
    <t>这破导航，也不说清楚，多少车友被坑过？</t>
  </si>
  <si>
    <t>https://www.iqiyi.com/w_19ryvg1cn1.html</t>
  </si>
  <si>
    <t>好尴尬，这位电动车大叔，还教我怎样开车</t>
  </si>
  <si>
    <t>https://www.iqiyi.com/w_19ryw8cmup.html</t>
  </si>
  <si>
    <t>比亚迪宋，这驾照是怎么拿的？</t>
  </si>
  <si>
    <t>https://www.iqiyi.com/w_19ryw9sswd.html</t>
  </si>
  <si>
    <t>堵车了，真羡慕那些高底盘的SUV</t>
  </si>
  <si>
    <t>https://www.iqiyi.com/w_19ryuvosvd.html</t>
  </si>
  <si>
    <t>难以置信，这么大的蜘蛛从天而降！</t>
  </si>
  <si>
    <t>2018-06-13上传</t>
  </si>
  <si>
    <t>https://www.iqiyi.com/w_19ryvslxkh.html</t>
  </si>
  <si>
    <t>十字路口，宝马怼上了宝来</t>
  </si>
  <si>
    <t>https://www.iqiyi.com/w_19rwpq68gd.html</t>
  </si>
  <si>
    <t>对向车应该睡着了，撞的毫不犹豫！</t>
  </si>
  <si>
    <t>2018-06-12上传</t>
  </si>
  <si>
    <t>https://www.iqiyi.com/w_19rwq8p7qt.html</t>
  </si>
  <si>
    <t>霸气的大货车，能不能给我一秒钟？</t>
  </si>
  <si>
    <t>https://www.iqiyi.com/w_19rwmbvj7d.html</t>
  </si>
  <si>
    <t>让速不让道，我真的做到了！</t>
  </si>
  <si>
    <t>2018-06-11上传</t>
  </si>
  <si>
    <t>https://www.iqiyi.com/w_19rwnad269.html</t>
  </si>
  <si>
    <t>突然飞出来的车，让我无法防备</t>
  </si>
  <si>
    <t>https://www.iqiyi.com/w_19rwmy032d.html</t>
  </si>
  <si>
    <t>高速，疲劳驾驶，轿车瞬间失控</t>
  </si>
  <si>
    <t>https://www.iqiyi.com/w_19rwo7p8dp.html</t>
  </si>
  <si>
    <t>加塞还挑衅，竖个中指你会怎么办？</t>
  </si>
  <si>
    <t>2018-06-10上传</t>
  </si>
  <si>
    <t>https://www.iqiyi.com/w_19rwo1szph.html</t>
  </si>
  <si>
    <t>没让你超车，激发了你的路怒症？</t>
  </si>
  <si>
    <t>https://www.iqiyi.com/w_19rwue8d19.html</t>
  </si>
  <si>
    <t>路口超速，两辆车才挡住你起飞？</t>
  </si>
  <si>
    <t>https://www.iqiyi.com/w_19rwuwdp9l.html</t>
  </si>
  <si>
    <t>突然的一把方向，让我无处可藏</t>
  </si>
  <si>
    <t>2018-06-09上传</t>
  </si>
  <si>
    <t>https://www.iqiyi.com/w_19rwv430oh.html</t>
  </si>
  <si>
    <t>大意的家长，后备箱门开了！</t>
  </si>
  <si>
    <t>https://www.iqiyi.com/w_19rwr6xmpt.html</t>
  </si>
  <si>
    <t>扎心了，这水平还是告别摩托车吧！</t>
  </si>
  <si>
    <t>https://www.iqiyi.com/w_19rwr64kh9.html</t>
  </si>
  <si>
    <t>心急火燎的宝马，得不偿失</t>
  </si>
  <si>
    <t>https://www.iqiyi.com/w_19rwrbmkn1.html</t>
  </si>
  <si>
    <t>逆行狗不知错，还嚣张得不行</t>
  </si>
  <si>
    <t>2018-06-08上传</t>
  </si>
  <si>
    <t>https://www.iqiyi.com/w_19rwrhj6rt.html</t>
  </si>
  <si>
    <t>这样算没礼让行人？</t>
  </si>
  <si>
    <t>https://www.iqiyi.com/w_19rwsr78l5.html</t>
  </si>
  <si>
    <t>开车要谨慎，你永远不会知道对方的下一步</t>
  </si>
  <si>
    <t>https://www.iqiyi.com/w_19rwse8mat.html</t>
  </si>
  <si>
    <t>逆行的凯迪拉克，追了我一路</t>
  </si>
  <si>
    <t>2018-06-07上传</t>
  </si>
  <si>
    <t>https://www.iqiyi.com/w_19ryf5j5yx.html</t>
  </si>
  <si>
    <t>高速，遇见这样的小姐姐，要不要停车帮忙？</t>
  </si>
  <si>
    <t>https://www.iqiyi.com/w_19rwudsxa9.html</t>
  </si>
  <si>
    <t>前面无路可走，旁边轿运车，这个算我全责？</t>
  </si>
  <si>
    <t>https://www.iqiyi.com/w_19rwmskpwl.html</t>
  </si>
  <si>
    <t>红灯过线，可以倒回来？长见识了！</t>
  </si>
  <si>
    <t>https://www.iqiyi.com/w_19rwqknva5.html</t>
  </si>
  <si>
    <t>没ESP，速度不快，车怎会开成这样？</t>
  </si>
  <si>
    <t>https://www.iqiyi.com/w_19rwhw6t8l.html</t>
  </si>
  <si>
    <t>防不胜防的追尾，长记性了</t>
  </si>
  <si>
    <t>2018-01-10上传</t>
  </si>
  <si>
    <t>https://www.iqiyi.com/w_19rwhwr7i5.html</t>
  </si>
  <si>
    <t>哎，不打转向灯的加塞不能让，真是憋屈</t>
  </si>
  <si>
    <t>https://www.iqiyi.com/w_19rwhwpjb1.html</t>
  </si>
  <si>
    <t>女孩开车，技术烂的没话说，素质可是棒棒哒！</t>
  </si>
  <si>
    <t>https://www.iqiyi.com/w_19rwhxyjol.html</t>
  </si>
  <si>
    <t>不长眼的电动车，你不是每一次都这么幸运</t>
  </si>
  <si>
    <t>https://www.iqiyi.com/w_19rwhxzem5.html</t>
  </si>
  <si>
    <t>半车水泥，砸在车上是啥结果？</t>
  </si>
  <si>
    <t>https://www.iqiyi.com/w_19rwhyptkd.html</t>
  </si>
  <si>
    <t>心疼，车被蹭掉块漆，她跑的挺快</t>
  </si>
  <si>
    <t>https://www.iqiyi.com/w_19rwid4dbt.html</t>
  </si>
  <si>
    <t>对不起了，误伤一辆崭新的天籁</t>
  </si>
  <si>
    <t>2018-01-09上传</t>
  </si>
  <si>
    <t>https://www.iqiyi.com/w_19rwidpjqd.html</t>
  </si>
  <si>
    <t>实在刹不住了，责任你担吧！</t>
  </si>
  <si>
    <t>https://www.iqiyi.com/w_19rwidqghh.html</t>
  </si>
  <si>
    <t>加塞斗气惹出大麻烦，大家看看谁的责任？</t>
  </si>
  <si>
    <t>https://www.iqiyi.com/w_19rwi5h70p.html</t>
  </si>
  <si>
    <t>刚转弯就怼了电动车，责任怎么分？</t>
  </si>
  <si>
    <t>https://www.iqiyi.com/w_19rwi5aucx.html</t>
  </si>
  <si>
    <t>雪天路滑，作死黑色车，把奥迪女车主都吓懵了</t>
  </si>
  <si>
    <t>https://www.iqiyi.com/w_19s3b0xtrh.html</t>
  </si>
  <si>
    <t>交通事故合集：遇上刹不住的水泥罐车，路虎也不堪...</t>
  </si>
  <si>
    <t>2018-10-31上传</t>
  </si>
  <si>
    <t>https://www.iqiyi.com/w_19s3gq1cvt.html</t>
  </si>
  <si>
    <t>交通事故合集：城市SUV当越野车折腾，有没有考...</t>
  </si>
  <si>
    <t>2018-11-02上传</t>
  </si>
  <si>
    <t>Vedio</t>
  </si>
  <si>
    <t>Review</t>
  </si>
  <si>
    <t>Vedio Date</t>
  </si>
  <si>
    <t>Picker</t>
  </si>
  <si>
    <t>Good/Bad</t>
  </si>
  <si>
    <t>2022-W03</t>
  </si>
  <si>
    <t>http://www.iqiyi.com/v_taip4hzqxw.html?share_sTime=68</t>
  </si>
  <si>
    <t>Good</t>
  </si>
  <si>
    <t>SceTitle</t>
  </si>
  <si>
    <t>SceDescription</t>
  </si>
  <si>
    <t>TAADS - run red light from left</t>
  </si>
  <si>
    <t>TAADS - illegal across road from right</t>
  </si>
  <si>
    <t>TAADS - illegal side pass from right</t>
  </si>
  <si>
    <t>TAADS - Illegal Tuning inside Junction</t>
  </si>
  <si>
    <t>TAADS - Illegal Cut-In</t>
  </si>
  <si>
    <t>No.</t>
  </si>
  <si>
    <t>TAADS - Not Avoid U-turn</t>
  </si>
  <si>
    <t>TAADS - Illegal Cross the Road</t>
  </si>
  <si>
    <t>TAADS - Run Red Light</t>
  </si>
  <si>
    <t>TAADS - Guilty Merge</t>
  </si>
  <si>
    <t>TAADS - Overtake by Occupying Opposite Lane</t>
  </si>
  <si>
    <t>TAADS - Rear Collision</t>
  </si>
  <si>
    <t>TAADS - Car Cutting-In Passively</t>
  </si>
  <si>
    <t>TAADS - yield to right turn vehicle from left lane</t>
  </si>
  <si>
    <t>TAADS - large vehicle cut in</t>
  </si>
  <si>
    <t>TAADS - aggressive left turn merge - ego guilty</t>
  </si>
  <si>
    <t>TAADS - High Speed with TL Change</t>
  </si>
  <si>
    <t>TAADS - U-Turn not yield straight car - Ego U-turn</t>
  </si>
  <si>
    <t>TAADS - illegal across from left</t>
  </si>
  <si>
    <t>TAADS - U-Turn not yield straight car - Actor U-turn</t>
  </si>
  <si>
    <t>TAADS - Truck U-Turning from Outside Lane</t>
  </si>
  <si>
    <t>TAADS -Actor Illegal U-Turn</t>
  </si>
  <si>
    <t>TAADS - Actor Illegal Sudden Stop in Middle of Road</t>
  </si>
  <si>
    <t>TAADS - Actor Illegal Lane Change</t>
  </si>
  <si>
    <t>TAADS - Not Yielding Right-Hand Car</t>
  </si>
  <si>
    <t>TAADS-Car turn left inside Junction</t>
  </si>
  <si>
    <t>TAADS - Illegal U-Turn from Right Lane</t>
  </si>
  <si>
    <t>TAADS - Actor Illegal Continuously Change Four Lanes</t>
  </si>
  <si>
    <t>TAADS -Truck Illegal Overtake from Opposite Lane</t>
  </si>
  <si>
    <t>TAADS - Merge With Guilty - Ego Merge</t>
  </si>
  <si>
    <t>TAADS - Right Vehicle In Blind Spot</t>
  </si>
  <si>
    <t>TAADS - High Speed to Avoid Rear-end collision</t>
  </si>
  <si>
    <t>TAADS - Actor Illegal Turn Right</t>
  </si>
  <si>
    <t>TAADS - Actor Illegal Cut-In At Junction</t>
  </si>
  <si>
    <t>TAADS-Not Avoid Going Straight inside Junction</t>
  </si>
  <si>
    <t>need delete</t>
  </si>
  <si>
    <t>TAADS-Need Lane Change In Junction</t>
  </si>
  <si>
    <t>TAADS-Illegal Lane Change</t>
  </si>
  <si>
    <t>TAADS - Illegal Turning Around From Right Lane</t>
  </si>
  <si>
    <t>TAADS-Merge With Guilty</t>
  </si>
  <si>
    <t>When</t>
  </si>
  <si>
    <t>EGO</t>
  </si>
  <si>
    <t>was</t>
  </si>
  <si>
    <t>going</t>
  </si>
  <si>
    <t>straight</t>
  </si>
  <si>
    <t>on</t>
  </si>
  <si>
    <t>the</t>
  </si>
  <si>
    <t>Right</t>
  </si>
  <si>
    <t>2rd</t>
  </si>
  <si>
    <t>lane</t>
  </si>
  <si>
    <t>of</t>
  </si>
  <si>
    <t>lanes</t>
  </si>
  <si>
    <t>urban</t>
  </si>
  <si>
    <t>cross,</t>
  </si>
  <si>
    <t>bicycle</t>
  </si>
  <si>
    <t>went</t>
  </si>
  <si>
    <t>and</t>
  </si>
  <si>
    <t>run</t>
  </si>
  <si>
    <t>red</t>
  </si>
  <si>
    <t>light</t>
  </si>
  <si>
    <t>from</t>
  </si>
  <si>
    <t>left</t>
  </si>
  <si>
    <t>hand</t>
  </si>
  <si>
    <t>direction
https://www.iqiyi.com/v_lmhkxrqwlk.html</t>
  </si>
  <si>
    <t>Car Merge Without Caring About Straight-way Vehicle At T-junction</t>
  </si>
  <si>
    <t>TAADS-Car Cutting-In from Outside Lane</t>
  </si>
  <si>
    <t>TAADS-Car Cutting-In from Outside Lane Passively</t>
  </si>
  <si>
    <t>TAADS-Illegal Turning inside Junction</t>
  </si>
  <si>
    <t>TAADS-Cut In and Speed Down</t>
  </si>
  <si>
    <t>turning</t>
  </si>
  <si>
    <t>right</t>
  </si>
  <si>
    <t>at</t>
  </si>
  <si>
    <t>a</t>
  </si>
  <si>
    <t>crossroad,</t>
  </si>
  <si>
    <t>came</t>
  </si>
  <si>
    <t>right-rear</t>
  </si>
  <si>
    <t>blind</t>
  </si>
  <si>
    <t>spot.
https://www.iqiyi.com/v_2bufryvc36k.html</t>
  </si>
  <si>
    <t>TAADS-Illegal Lane change</t>
  </si>
  <si>
    <t>TAADS-Car Cutting-In from Outside Lane - Tuning</t>
  </si>
  <si>
    <t>TAADS-Illegal Lane change - Tuning</t>
  </si>
  <si>
    <t>TAADS-Dynamic nudge pass and fail</t>
  </si>
  <si>
    <t>TAADS-illegal lane change</t>
  </si>
  <si>
    <t>TAADS - Actor Cutout Passively - Large Vehicle Behind</t>
  </si>
  <si>
    <t>TAADS - Large Vehicle Turn Left Blind Spot</t>
  </si>
  <si>
    <t>TAADS - Blind Spots At Junction，Go Slowly</t>
  </si>
  <si>
    <t>TAADS - Actor Not Turn Right In The Prescribed Lane</t>
  </si>
  <si>
    <t>TAADS - Actor Cutout Passively - Unvisible To Ego</t>
  </si>
  <si>
    <t>TAADS - Actor Cutin &amp; Brake</t>
  </si>
  <si>
    <t>TAADS - Car Turning Left from Opposite Lane With Blind-Spot</t>
  </si>
  <si>
    <t>TAADS - Bicycle Cutting-In Passively</t>
  </si>
  <si>
    <t>TAADS - Not Avoid Going Straight inside Junction</t>
  </si>
  <si>
    <t>TAADS - Cut In From 3 Lanes Away</t>
  </si>
  <si>
    <t>TAADS - Collision with reverse drinving car</t>
  </si>
  <si>
    <t>TAADS - Drift Outward Around A Curve</t>
  </si>
  <si>
    <t>TAADS - Lane Change Suddenly at Ramp</t>
  </si>
  <si>
    <t>TAADS - Lateral Moving Suddenly and Then Going Back Quickly</t>
  </si>
  <si>
    <t>Highway,</t>
  </si>
  <si>
    <t>truck</t>
  </si>
  <si>
    <t>lateral</t>
  </si>
  <si>
    <t>moved</t>
  </si>
  <si>
    <t>suddenly</t>
  </si>
  <si>
    <t>to</t>
  </si>
  <si>
    <t>EGO's</t>
  </si>
  <si>
    <t>with</t>
  </si>
  <si>
    <t>small</t>
  </si>
  <si>
    <t>distance</t>
  </si>
  <si>
    <t>middle</t>
  </si>
  <si>
    <t>then</t>
  </si>
  <si>
    <t>back</t>
  </si>
  <si>
    <t>quickly.
https://www.iqiyi.com/v_28ir6fn3f9w.html</t>
  </si>
  <si>
    <t>TAADS - Change Lane before Miss Ramp</t>
  </si>
  <si>
    <t>TAADS - Continuously Changing Lane With a Constant Speed</t>
  </si>
  <si>
    <t>leftmost</t>
  </si>
  <si>
    <t>3-lanes</t>
  </si>
  <si>
    <t>road,</t>
  </si>
  <si>
    <t>car</t>
  </si>
  <si>
    <t>continuously</t>
  </si>
  <si>
    <t>changed</t>
  </si>
  <si>
    <t>constant</t>
  </si>
  <si>
    <t>speed</t>
  </si>
  <si>
    <t>rightmost</t>
  </si>
  <si>
    <t>lane.
https://www.iqiyi.com/v_1p6eeku8olw.html</t>
  </si>
  <si>
    <t>TAADS - Suddenly Pull Out and U-turn</t>
  </si>
  <si>
    <t>2-lanes</t>
  </si>
  <si>
    <t>2-ways</t>
  </si>
  <si>
    <t>pulled</t>
  </si>
  <si>
    <t>out</t>
  </si>
  <si>
    <t>U-turn</t>
  </si>
  <si>
    <t>bick</t>
  </si>
  <si>
    <t>TAADS - Wildly Passing Through the Gap of Two Cars</t>
  </si>
  <si>
    <t>rear</t>
  </si>
  <si>
    <t>road</t>
  </si>
  <si>
    <t>,</t>
  </si>
  <si>
    <t>another</t>
  </si>
  <si>
    <t>behind</t>
  </si>
  <si>
    <t>ego</t>
  </si>
  <si>
    <t>wildly</t>
  </si>
  <si>
    <t>passed</t>
  </si>
  <si>
    <t>through</t>
  </si>
  <si>
    <t>gap</t>
  </si>
  <si>
    <t>between</t>
  </si>
  <si>
    <t>two</t>
  </si>
  <si>
    <t>cars.
https://www.iqiyi.com/v_1p6eeku8olw.html</t>
  </si>
  <si>
    <t>TAADS - Merging With a Constant Speed from Right Ramp</t>
  </si>
  <si>
    <t>merged</t>
  </si>
  <si>
    <t>ramp.
https://www.iqiyi.com/v_1p6eeku8olw.html</t>
  </si>
  <si>
    <t>TAADS - Intruded into EGO's Lane from the Opposite Lane to Overtake</t>
  </si>
  <si>
    <t>(8:01</t>
  </si>
  <si>
    <t>time)
When</t>
  </si>
  <si>
    <t>4-lanes</t>
  </si>
  <si>
    <t>rural</t>
  </si>
  <si>
    <t>fast-moving</t>
  </si>
  <si>
    <t>in</t>
  </si>
  <si>
    <t>opposite</t>
  </si>
  <si>
    <t>intruded</t>
  </si>
  <si>
    <t>into</t>
  </si>
  <si>
    <t>overtake</t>
  </si>
  <si>
    <t>series</t>
  </si>
  <si>
    <t>big</t>
  </si>
  <si>
    <t>trucks.</t>
  </si>
  <si>
    <t>TAADS - Turn across the yellow line</t>
  </si>
  <si>
    <t>TAADS - Suddenly Lane Change When Traffic Jam</t>
  </si>
  <si>
    <t>TAADS - Crossing the Road from the T-junction</t>
  </si>
  <si>
    <t>6-lanes</t>
  </si>
  <si>
    <t>crossed</t>
  </si>
  <si>
    <t>main</t>
  </si>
  <si>
    <t>T-junction</t>
  </si>
  <si>
    <t>front</t>
  </si>
  <si>
    <t>right.
https://www.iqiyi.com/v_2bvr40ahqls.html</t>
  </si>
  <si>
    <t>TAADS - Cars turn right and change lanes continuously</t>
  </si>
  <si>
    <t>TAADS - Lane Change Aggressive</t>
  </si>
  <si>
    <t>TAADS - Drive on line</t>
  </si>
  <si>
    <t>Deprecated - TAADS - Continuous Lane Change</t>
  </si>
  <si>
    <t>Lane Change Aggressive</t>
  </si>
  <si>
    <t>TAADS - Reversing</t>
  </si>
  <si>
    <t>TAADS - Cut in Aggressive</t>
  </si>
  <si>
    <t>TAADS - Follow Close</t>
  </si>
  <si>
    <t>TAADS - No Traffic Light Junction</t>
  </si>
  <si>
    <t>TAADS - Lane Change and brake</t>
  </si>
  <si>
    <t>TAADS - Turning Not Avoid Going Straight</t>
  </si>
  <si>
    <t>TAADS - Borrow lane and overtake</t>
  </si>
  <si>
    <t>TAADS - Cross Line Lane Change</t>
  </si>
  <si>
    <t>TAADS - U-Turn Aggressive</t>
  </si>
  <si>
    <t>TAADS - Highway Cone Black Lane</t>
  </si>
  <si>
    <t>TAADS - Close Crosswalk Brake</t>
  </si>
  <si>
    <t>TAADS - Continuously Lane Change and Cutin Aggressively at Highway</t>
  </si>
  <si>
    <t>TAADS - Cross the road</t>
  </si>
  <si>
    <t>TAADS - Truck Lane Change at Soild Line</t>
  </si>
  <si>
    <t>TAADS - Turn left suddenly between the two vehicles</t>
  </si>
  <si>
    <t>TAADS - Lane Change by Crossing Solid Line</t>
  </si>
  <si>
    <t>TAADS - Cross lane U-Turn</t>
  </si>
  <si>
    <t>TAADS - Continuous Lane Change</t>
  </si>
  <si>
    <t>TAADS - Illegal Lane Driving</t>
  </si>
  <si>
    <t>TAADS - Emergency lane change</t>
  </si>
  <si>
    <t>TAADS - Merge Aggressive</t>
  </si>
  <si>
    <t>Aggressively Turn Left When Going Straight</t>
  </si>
  <si>
    <t>single</t>
  </si>
  <si>
    <t>passing</t>
  </si>
  <si>
    <t>crossroads</t>
  </si>
  <si>
    <t>without</t>
  </si>
  <si>
    <t>traffic</t>
  </si>
  <si>
    <t>light,a</t>
  </si>
  <si>
    <t>turned</t>
  </si>
  <si>
    <t>turn</t>
  </si>
  <si>
    <t>intersection
https://www.iqiyi.com/v_g1ofle6l90.html</t>
  </si>
  <si>
    <t>Slowly Change Lane And Then Turn Back the Original Lane</t>
  </si>
  <si>
    <t>road,a</t>
  </si>
  <si>
    <t>slowly</t>
  </si>
  <si>
    <t>returned</t>
  </si>
  <si>
    <t>Aggressively Cuted into Middle Lane When Going Side by Side With Another Car</t>
  </si>
  <si>
    <t>highway,</t>
  </si>
  <si>
    <t>cuted</t>
  </si>
  <si>
    <t>side</t>
  </si>
  <si>
    <t>by</t>
  </si>
  <si>
    <t>jam</t>
  </si>
  <si>
    <t>static</t>
  </si>
  <si>
    <t>TAADS - Cross Solid line Lane Change</t>
  </si>
  <si>
    <t>TAADS - Traffic light Blink to pass</t>
  </si>
  <si>
    <t>an</t>
  </si>
  <si>
    <t>ego's</t>
  </si>
  <si>
    <t>that</t>
  </si>
  <si>
    <t>far</t>
  </si>
  <si>
    <t>Actor U-turn Aggressive</t>
  </si>
  <si>
    <t>light,</t>
  </si>
  <si>
    <t>cut</t>
  </si>
  <si>
    <t>aggressively</t>
  </si>
  <si>
    <t>crossing</t>
  </si>
  <si>
    <t>lane
https://www.iqiyi.com/v_1s40j847frg.html</t>
  </si>
  <si>
    <t>TAADS - EGO Merge</t>
  </si>
  <si>
    <t>TAADS - Highway Across Solid Line to go</t>
  </si>
  <si>
    <t>TAADS - Solid Line Lane Change</t>
  </si>
  <si>
    <t>TAADS - Actor Turn Left Aggressive</t>
  </si>
  <si>
    <t>TAADS - Suddenly Lane Change to go</t>
  </si>
  <si>
    <t>TAADS - Junction pass aggressive</t>
  </si>
  <si>
    <t>TAADS - Actor UTurn Aggressive</t>
  </si>
  <si>
    <t>TAADS - Cross Solid Line Lane Change</t>
  </si>
  <si>
    <t>TAADS - Highway Leave Lane Change Continuous</t>
  </si>
  <si>
    <t>TAADS - Not Avoid Going Straight</t>
  </si>
  <si>
    <t>TAADS - Junction going Straight Aggressive</t>
  </si>
  <si>
    <t>TAADS - Lane Change Continuous</t>
  </si>
  <si>
    <t>TAADS - Opposite Vehicle Uturn</t>
  </si>
  <si>
    <t>No.17*</t>
  </si>
  <si>
    <t>TAADS - Opposite Vehicle Uturn Aggressive inside junction</t>
  </si>
  <si>
    <t>TAADS - Suddently Lane Change at Solidline of Cross</t>
  </si>
  <si>
    <t>No.40
When</t>
  </si>
  <si>
    <t>EDO</t>
  </si>
  <si>
    <t>solidline</t>
  </si>
  <si>
    <t>suddently</t>
  </si>
  <si>
    <t>change</t>
  </si>
  <si>
    <t>stop</t>
  </si>
  <si>
    <t>ego,another</t>
  </si>
  <si>
    <t>up</t>
  </si>
  <si>
    <t>beyond</t>
  </si>
  <si>
    <t>lane.</t>
  </si>
  <si>
    <t>TAADS - suddently appear and fastly through unprojected cross form left to right</t>
  </si>
  <si>
    <t>No.6
When</t>
  </si>
  <si>
    <t>unprojected</t>
  </si>
  <si>
    <t>cross</t>
  </si>
  <si>
    <t>appear</t>
  </si>
  <si>
    <t>fastly</t>
  </si>
  <si>
    <t>same</t>
  </si>
  <si>
    <t>form</t>
  </si>
  <si>
    <t>right.</t>
  </si>
  <si>
    <t>TAADS - Aaggressively Crossing 2 Lanes to CutIn</t>
  </si>
  <si>
    <t>No.10
when</t>
  </si>
  <si>
    <t>close</t>
  </si>
  <si>
    <t>entrance</t>
  </si>
  <si>
    <t>cutin</t>
  </si>
  <si>
    <t>3rd</t>
  </si>
  <si>
    <t>TAADS - Slowly Uturn on the Crosswalk</t>
  </si>
  <si>
    <t>No.15
when</t>
  </si>
  <si>
    <t>crosswalk,a</t>
  </si>
  <si>
    <t>uturn</t>
  </si>
  <si>
    <t>Clockwisely</t>
  </si>
  <si>
    <t>rightside</t>
  </si>
  <si>
    <t>crosswalk</t>
  </si>
  <si>
    <t>dark</t>
  </si>
  <si>
    <t>but</t>
  </si>
  <si>
    <t>lighted</t>
  </si>
  <si>
    <t>TAADS - Suddently LeftTurn from Waiting Area</t>
  </si>
  <si>
    <t>No.16
when</t>
  </si>
  <si>
    <t>junction,a</t>
  </si>
  <si>
    <t>waiting</t>
  </si>
  <si>
    <t>area</t>
  </si>
  <si>
    <t>when</t>
  </si>
  <si>
    <t>junction</t>
  </si>
  <si>
    <t>TAADS - Aaggressively Crossing 2 Lanes to Lanechange</t>
  </si>
  <si>
    <t>No.17
when</t>
  </si>
  <si>
    <t>5-lanes</t>
  </si>
  <si>
    <t>uturn,a</t>
  </si>
  <si>
    <t>aggresively</t>
  </si>
  <si>
    <t>lanechange</t>
  </si>
  <si>
    <t>cars</t>
  </si>
  <si>
    <t>it</t>
  </si>
  <si>
    <t>fourth</t>
  </si>
  <si>
    <t>fifth</t>
  </si>
  <si>
    <t>TAADS - Aaggressively Crossing 1 Lanes to Lanechange</t>
  </si>
  <si>
    <t>No.18
when</t>
  </si>
  <si>
    <t>original</t>
  </si>
  <si>
    <t>after</t>
  </si>
  <si>
    <t>dynamitic</t>
  </si>
  <si>
    <t>nudge,a</t>
  </si>
  <si>
    <t>TAADS - Aaggressively Crossing 1 Lanes to CutIn</t>
  </si>
  <si>
    <t>No.22
when</t>
  </si>
  <si>
    <t>uburn,a</t>
  </si>
  <si>
    <t>aggresssively</t>
  </si>
  <si>
    <t>No.34
when</t>
  </si>
  <si>
    <t>uburn</t>
  </si>
  <si>
    <t>enter</t>
  </si>
  <si>
    <t>lane,the</t>
  </si>
  <si>
    <t>ahead</t>
  </si>
  <si>
    <t>can't</t>
  </si>
  <si>
    <t>drive,</t>
  </si>
  <si>
    <t>can</t>
  </si>
  <si>
    <t>only</t>
  </si>
  <si>
    <t>TAADS-Aaggressively Crossing 2 Lanes to CutIn</t>
  </si>
  <si>
    <t>No.36
when</t>
  </si>
  <si>
    <t>gradually</t>
  </si>
  <si>
    <t>ego,</t>
  </si>
  <si>
    <t>bus</t>
  </si>
  <si>
    <t>TAADS - Opposite-way Car's Unprotected Left Turning Abort</t>
  </si>
  <si>
    <t>TAADS - Lane Change very Aggressive</t>
  </si>
  <si>
    <t>TAADS - Turn Right Aggressive</t>
  </si>
  <si>
    <t>TAADS - Illegal Cut in</t>
  </si>
  <si>
    <t>TAADS - Not Avoid Going Straight inside junction</t>
  </si>
  <si>
    <t>TAADS - Actor Left Aggressive</t>
  </si>
  <si>
    <t>TAADS - Going Straight Aggressive inside junction</t>
  </si>
  <si>
    <t>TAADS - Actor Cutting-In Passively</t>
  </si>
  <si>
    <t>TAADS - Not Avoid Right-Turning Vehicles</t>
  </si>
  <si>
    <t>TAADS - Not Avoid U-Turning Vehicles</t>
  </si>
  <si>
    <t>TAADS - Get Started Cut in</t>
  </si>
  <si>
    <t>TAADS - Nudge Aggressive</t>
  </si>
  <si>
    <t>TAADS - Actor Borrow Lane</t>
  </si>
  <si>
    <t>TAADS - Car Emergency Cutting-In</t>
  </si>
  <si>
    <t>TAADS - Truck Cutting-In from Outside Lane</t>
  </si>
  <si>
    <t>TAADS - Crowded Traffic Cut in Aggressive</t>
  </si>
  <si>
    <t>Risk from Main Road When Driving on Relief Road</t>
  </si>
  <si>
    <t>relief</t>
  </si>
  <si>
    <t>belt</t>
  </si>
  <si>
    <t>,a</t>
  </si>
  <si>
    <t>road
https://www.iqiyi.com/v_1smrdalxvck.html</t>
  </si>
  <si>
    <t>Deccelerated To Change Lane When Going Straight</t>
  </si>
  <si>
    <t>deccelerated</t>
  </si>
  <si>
    <t>lane
https://www.iqiyi.com/v_1smrdalxvck.html</t>
  </si>
  <si>
    <t>Aggressively Cut In When Going Straight Through the Intersection</t>
  </si>
  <si>
    <t>yellow</t>
  </si>
  <si>
    <t>turns</t>
  </si>
  <si>
    <t>,EGO</t>
  </si>
  <si>
    <t>intersection</t>
  </si>
  <si>
    <t>No.last</t>
  </si>
  <si>
    <t>one</t>
  </si>
  <si>
    <t>TAADS - Motorbike Run Red Light From Blind Spot</t>
  </si>
  <si>
    <t>TAADS - Cross Solid Line Lane Change Continuous</t>
  </si>
  <si>
    <t>TAADS - Actor Sidepass Then Merge Aggressivily</t>
  </si>
  <si>
    <t>TAADS - Aggressive Uturn</t>
  </si>
  <si>
    <t>TAADS - Actor Retrograde Overtaking</t>
  </si>
  <si>
    <t>TAADS - Turn Left Not Avoid Going Straight</t>
  </si>
  <si>
    <t>TAADS - Pull Out Actor Cut in</t>
  </si>
  <si>
    <t>TAADS - Truck Curve Retrograde</t>
  </si>
  <si>
    <t>TAADS - Car Illegal Cutting In</t>
  </si>
  <si>
    <t>TAADS - Crosswalk Heavy Brake</t>
  </si>
  <si>
    <t>TAADS - Sandwich ego in the middle</t>
  </si>
  <si>
    <t>TAADS - Car Turn Left Passively</t>
  </si>
  <si>
    <t>TAADS - Car Illegal Cross the Road</t>
  </si>
  <si>
    <t>TAADS - Merging from The Gap of Belt</t>
  </si>
  <si>
    <t>overtakes</t>
  </si>
  <si>
    <t>left-hand</t>
  </si>
  <si>
    <t>large</t>
  </si>
  <si>
    <t>vehicle</t>
  </si>
  <si>
    <t>belt,</t>
  </si>
  <si>
    <t>lane.
https://www.iqiyi.com/v_fnv2jl6aqc.html</t>
  </si>
  <si>
    <t>TAADS - Illegal U-Turn From Middle Straight Lane</t>
  </si>
  <si>
    <t>U-Turn</t>
  </si>
  <si>
    <t>junction,</t>
  </si>
  <si>
    <t>illegally.
https://www.iqiyi.com/v_1u0x3rzzbjs.html</t>
  </si>
  <si>
    <t>TAADS - Changing Lanes Across 4 Lanes</t>
  </si>
  <si>
    <t>speedup</t>
  </si>
  <si>
    <t>suddenly.
https://www.iqiyi.com/v_1u0x3rzzbjs.html</t>
  </si>
  <si>
    <t>TAADS - Ego Straight Yield To Turn Left Car</t>
  </si>
  <si>
    <t>TAADS - Cutting-in From Left Lane Aggressively Sandwich EGO</t>
  </si>
  <si>
    <t>lane,</t>
  </si>
  <si>
    <t>cutting-in</t>
  </si>
  <si>
    <t>aggressively,</t>
  </si>
  <si>
    <t>meanwhile</t>
  </si>
  <si>
    <t>lanes.
https://www.iqiyi.com/v_1u0x3rzzbjs.html</t>
  </si>
  <si>
    <t>TAADS - Car PullOut Passively</t>
  </si>
  <si>
    <t>TAADS - Cross the Road From Blind Spot Suddenly</t>
  </si>
  <si>
    <t>slowdown</t>
  </si>
  <si>
    <t>emerge</t>
  </si>
  <si>
    <t>spot</t>
  </si>
  <si>
    <t>aggressively.
https://www.iqiyi.com/v_1u0x3rzzbjs.html</t>
  </si>
  <si>
    <t>TAADS - Lane Change Suddenly before Junction</t>
  </si>
  <si>
    <t>TAADS - Change 3 Lanes in a Row to Get Off Highway</t>
  </si>
  <si>
    <t>highway</t>
  </si>
  <si>
    <t>exit,</t>
  </si>
  <si>
    <t>continuous</t>
  </si>
  <si>
    <t>get</t>
  </si>
  <si>
    <t>off</t>
  </si>
  <si>
    <t>highway.
https://www.iqiyi.com/v_105jzk25f38.html</t>
  </si>
  <si>
    <t>TAADS - Wildly Crossing 2 Lanes to Lanechange</t>
  </si>
  <si>
    <t>lane.
https://www.iqiyi.com/v_105jzk25f38.html</t>
  </si>
  <si>
    <t>TAADS - Aggressive Left Cutting-in When EGO Following Front Car</t>
  </si>
  <si>
    <t>following</t>
  </si>
  <si>
    <t>range</t>
  </si>
  <si>
    <t>aggressively.
https://www.iqiyi.com/v_105jzk25f38.html</t>
  </si>
  <si>
    <t>TAADS - Not Avoid Going Straight Inside Junction</t>
  </si>
  <si>
    <t>vertical</t>
  </si>
  <si>
    <t>direction,</t>
  </si>
  <si>
    <t>line.
https://www.iqiyi.com/v_105jzk25f38.html</t>
  </si>
  <si>
    <t>TAADS - Sudden Lane Change</t>
  </si>
  <si>
    <t>TAADS - Turn Right Not Avoid Going Straight Inside Junction</t>
  </si>
  <si>
    <t>TAADS - Actor Counterflow Driving</t>
  </si>
  <si>
    <t>time</t>
  </si>
  <si>
    <t>=</t>
  </si>
  <si>
    <t>s</t>
  </si>
  <si>
    <t>last</t>
  </si>
  <si>
    <t>TAADS - Motorbike Counterflow Driving</t>
  </si>
  <si>
    <t>TAADS - Vehicle Cutting-In At High-Speed Exit</t>
  </si>
  <si>
    <t>TAADS - Vehicle Counterflow Driving</t>
  </si>
  <si>
    <t>TAADS - Vehicle Dangerous Cutting-In</t>
  </si>
  <si>
    <t>TAADS - Car Illegal Lane Change At Roundabout</t>
  </si>
  <si>
    <t>TAADS - Uturn Not Avoid Going Straight</t>
  </si>
  <si>
    <t>TAADS - Left Nudge Aggressive</t>
  </si>
  <si>
    <t>TAADS - Actor Attempts Changing Lane Twice</t>
  </si>
  <si>
    <t>TAADS - Turn Not Avoid Going Straight</t>
  </si>
  <si>
    <t>TAADS - Actor Lane Change Aggressively After Crossroad</t>
  </si>
  <si>
    <t>TAADS - Highway Miss Exit and Lane Change Continuous</t>
  </si>
  <si>
    <t>(Min.7:47)</t>
  </si>
  <si>
    <t>TAADS - Car Turn Left Passively - Invisible at first</t>
  </si>
  <si>
    <t>TAADS - Continuously Left Change When Ego Go Straight At The Junction</t>
  </si>
  <si>
    <t>TAADS - Cut In Out Of Control</t>
  </si>
  <si>
    <t>TAADS - Crowded Traffic Lane Change with guilty</t>
  </si>
  <si>
    <t>TAADS - Behind Car Follows Close</t>
  </si>
  <si>
    <t>TAADS - Actor Overtake and Nudge</t>
  </si>
  <si>
    <t>TAADS - Go Straight At Unprotected Intersection</t>
  </si>
  <si>
    <t>TAADS - Truck Run Red Light And Turn Left</t>
  </si>
  <si>
    <t>TAADS - Ego Drive Out Of Roundabout From Inner Ring</t>
  </si>
  <si>
    <t>TAADS - Car Illegal U-Turn</t>
  </si>
  <si>
    <t>TAADS - Actor Continuous Lane Change</t>
  </si>
  <si>
    <t>slow</t>
  </si>
  <si>
    <t>down</t>
  </si>
  <si>
    <t>aggressively
https://www.iqiyi.com/v_2993z2f1klc.html</t>
  </si>
  <si>
    <t>TAADS - Car Gap Cutting In</t>
  </si>
  <si>
    <t>TAADS - NO Traffic Light Junction</t>
  </si>
  <si>
    <t>TAADS - Not Avoid Turn Left Vehicle</t>
  </si>
  <si>
    <t>tricycle</t>
  </si>
  <si>
    <t>which</t>
  </si>
  <si>
    <t>covered</t>
  </si>
  <si>
    <t>direction
https://www.iqiyi.com/v_2993z2f1klc.html</t>
  </si>
  <si>
    <t>Merge after U Turn</t>
  </si>
  <si>
    <t>U</t>
  </si>
  <si>
    <t>turn.
https://www.iqiyi.com/v_2993z2f1klc.html</t>
  </si>
  <si>
    <t>TAADS - Not Avoid Going Straight inside unprotected junction</t>
  </si>
  <si>
    <t>TAADS - Uturn Not Avoid Going Straight inside junction</t>
  </si>
  <si>
    <t>(min:2:00)</t>
  </si>
  <si>
    <t>TAADS - U-turn Aggressive Not Avoid Going Straight</t>
  </si>
  <si>
    <t>https://www.iqiyi.com/v_1kzf2cy2qq4.html(min:5:50)</t>
  </si>
  <si>
    <t>TAADS - Aggressive Overtake to EGO</t>
  </si>
  <si>
    <t>https://www.iqiyi.com/v_1kzf2cy2qq4.html(min:7:16)</t>
  </si>
  <si>
    <t>TAADS - Pull Out Not Avoid Going straight inside parking space</t>
  </si>
  <si>
    <t>(min:5:10)</t>
  </si>
  <si>
    <t>TAADS - Flower fence blind spot</t>
  </si>
  <si>
    <t>(min:</t>
  </si>
  <si>
    <t>2:56)</t>
  </si>
  <si>
    <t>TAADS - Sudden Brake to avoid Crosswalk pedestrian</t>
  </si>
  <si>
    <t>4:03)</t>
  </si>
  <si>
    <t>TAADS - Ego Unprotected Turn Left</t>
  </si>
  <si>
    <t>TAADS - Turn Left Cross the Road Passively</t>
  </si>
  <si>
    <t>TAADS - Vehicle Curve Counterflow Driving</t>
  </si>
  <si>
    <t>TAADS - Car Nudge Cutting In</t>
  </si>
  <si>
    <t>TAADS - Car Cutting In Passively</t>
  </si>
  <si>
    <t>TAADS - Unprotected Junction Yield Turn Left Car</t>
  </si>
  <si>
    <t>TAADS - Motorbike Crossing Diagonally</t>
  </si>
  <si>
    <t>TAADS - Vehicle Junction Wrong-Way Driving</t>
  </si>
  <si>
    <t>Time</t>
  </si>
  <si>
    <t>TAADS - Car Run Red Light</t>
  </si>
  <si>
    <t>TAADS - Crowded traffic Cut in Aggressive</t>
  </si>
  <si>
    <t>1:49)</t>
  </si>
  <si>
    <t>TAADS - Cut in When EGO Starting with the Front Car</t>
  </si>
  <si>
    <t>starting</t>
  </si>
  <si>
    <t>lane.
https://www.iqiyi.com/v_17l6d2qrdv0.html</t>
  </si>
  <si>
    <t>4:27)</t>
  </si>
  <si>
    <t>TAADS - Motorbike Run Red Light</t>
  </si>
  <si>
    <t>TAADS - Car Turn Left From Outside Lane</t>
  </si>
  <si>
    <t>TAADS - Car Continuously ChangeLane Cutting-In</t>
  </si>
  <si>
    <t>TAADS -Crossing the Road from the Traffic Jam</t>
  </si>
  <si>
    <t>4:57)</t>
  </si>
  <si>
    <t>TAADS - Front Car HarshBrake</t>
  </si>
  <si>
    <t>TAADS - Motorbike Crossing Crosswalk</t>
  </si>
  <si>
    <t>TAADS - Overtake and Change Lanes in the Solid Area</t>
  </si>
  <si>
    <t>(min</t>
  </si>
  <si>
    <t>6:00)</t>
  </si>
  <si>
    <t>TAADS - Aggressive Overtake During Left Turn</t>
  </si>
  <si>
    <t>TAADS - Merge on highway</t>
  </si>
  <si>
    <t>TAADS - Bus Continuously ChangeLane Cutting-In</t>
  </si>
  <si>
    <t>TAADS - Car Drive On Road Centerline</t>
  </si>
  <si>
    <t>TAADS - Truck Cross the Road Passively</t>
  </si>
  <si>
    <t>TAADS - Pullout Slowly When Ego Turning Right</t>
  </si>
  <si>
    <t>TAADS - Lane Change Aggressive from Narrow Gap of Cars</t>
  </si>
  <si>
    <t>TAADS - Turning Not Avoid Going Straight Inside Junction</t>
  </si>
  <si>
    <t>TAADS - Car Cross the Road Passively</t>
  </si>
  <si>
    <t>TAADS - Car Merge Passively</t>
  </si>
  <si>
    <t>TAADS - Truck Illegal LaneChange</t>
  </si>
  <si>
    <t>TAADS - Truck Illegal Cutting-In</t>
  </si>
  <si>
    <t>TAADS - Vehicle Cut-Out With Stationary Vehicle Ahead</t>
  </si>
  <si>
    <t>TAADS - Vehicle Illegal Lane Change</t>
  </si>
  <si>
    <t>TAADS - Vehicle Illegal U-Turn</t>
  </si>
  <si>
    <t>TAADS - Vehicle Illegal Cutting-In</t>
  </si>
  <si>
    <t>TAADS - Ego Turn Right While Car Go Straight On Biking Lane</t>
  </si>
  <si>
    <t>TAADS - Vehicle U-Turn Aggressive</t>
  </si>
  <si>
    <t>time=4:40</t>
  </si>
  <si>
    <t>TAADS - Car Illegal Merge</t>
  </si>
  <si>
    <t>TAADS - Ego Turns Left Between Car Gaps</t>
  </si>
  <si>
    <t>TAADS - Car Illegal Lane Change</t>
  </si>
  <si>
    <t>:</t>
  </si>
  <si>
    <t>TAADS - Leave the highway Aggressive- Modify</t>
  </si>
  <si>
    <t>TAADS - Illegal Lane Driving_modify</t>
  </si>
  <si>
    <t>TAADS - Lane Change Continuous-modify</t>
  </si>
  <si>
    <t>TAADS - Swapping Lanes</t>
  </si>
  <si>
    <t>TAADS - Aggressive U-Turn from The Right</t>
  </si>
  <si>
    <t>TAADS - Tricycles Illegal Crossing</t>
  </si>
  <si>
    <t>TAADS - Crash The Coming Truck at Unprotected Left Turn</t>
  </si>
  <si>
    <t>TAADS - Car Lane Change Aggressive</t>
  </si>
  <si>
    <t>TAADS - Junction Merge Aggressive-EGO-Modify-Draft</t>
  </si>
  <si>
    <t>No.24
Twins</t>
  </si>
  <si>
    <t>Scenario</t>
  </si>
  <si>
    <t>TAADS - Large Truck Changes Lane Aggressively</t>
  </si>
  <si>
    <t>TAADS - Not Avoid Going Straight inside junction(Jump the red light)</t>
  </si>
  <si>
    <t>TAADS - Actors pass by when pulling out</t>
  </si>
  <si>
    <t>did</t>
  </si>
  <si>
    <t>lane.
https://www.iqiyi.com/v_g1ofle6l90.html</t>
  </si>
  <si>
    <t>TAADS - Lane change aggressively at heavy traffic-COPY</t>
  </si>
  <si>
    <t>TAADS-Need Lane Change In Junction_2</t>
  </si>
  <si>
    <t>TAADS - Overtake Aggressive</t>
  </si>
  <si>
    <t>TAADS-Suddenly Lane Change When EGO in Lane Changing Status</t>
  </si>
  <si>
    <t>changing</t>
  </si>
  <si>
    <t>slowed</t>
  </si>
  <si>
    <t>due</t>
  </si>
  <si>
    <t>jam.
https://www.iqiyi.com/v_2bvr40ahqls.html</t>
  </si>
  <si>
    <t>TAADS - Actor Lane Change Aggressively After Crossroad - Left Lane</t>
  </si>
  <si>
    <t>目前feature</t>
  </si>
  <si>
    <t>Lane Follow,Pull Over,Nudge,Side Pass,Crosswalk,Lane Change,Merge,Pull Out,Junction,Traffic Light,Dynamic  Routing,Occlusion,Cut In</t>
  </si>
  <si>
    <t>Common Scenario/Feature/cutin</t>
  </si>
  <si>
    <t>Common Scenario/Feature/Junction</t>
  </si>
  <si>
    <t>现有规则</t>
  </si>
  <si>
    <t xml:space="preserve">1、路测标记tag应该是根据问题标记，可以借鉴 </t>
  </si>
  <si>
    <t>2、PM回复：目前在做场景管理工具，一个场景可以属于两个features；根据scenario和功能区分</t>
  </si>
  <si>
    <t>目标feature</t>
  </si>
  <si>
    <t>feature标记出发点：根据测试目标决定feature，划分scenario与function</t>
  </si>
  <si>
    <t>http://www.iqiyi.com/v_2b7dt657dgg.html?share_sTime=271</t>
  </si>
  <si>
    <t>Q：</t>
  </si>
  <si>
    <t>1、merge划分？interaction</t>
  </si>
  <si>
    <t>2、planning有部分功能未开发，feature建议保留</t>
  </si>
  <si>
    <t>3、nudge是否需要细分，static/dynanic？</t>
  </si>
  <si>
    <t>4、prediction中先划分障碍物类型，再划分intent还是直接划分intent？直接划分</t>
  </si>
  <si>
    <t>5、planning action与interaction是否划分？不分</t>
  </si>
  <si>
    <t>6、部分feature需要进一步细分</t>
  </si>
  <si>
    <t>7、planning acenario与prediction acenario是否区分？不区分</t>
  </si>
  <si>
    <t>planning action test feature：主动功能</t>
  </si>
  <si>
    <t>planning interaction test feature：被动功能或者交互</t>
  </si>
  <si>
    <t>prediction test feature</t>
  </si>
  <si>
    <t>Test Feature/Planning/Action/Lane Change</t>
  </si>
  <si>
    <t>Test Feature/Planning/Interaction/Cut In</t>
  </si>
  <si>
    <t>Test Feature/Planning/Action/Side Pass</t>
  </si>
  <si>
    <t>Test Feature/Planning/Interaction/Cut Out</t>
  </si>
  <si>
    <t>Test Feature/prediction/Lane Following</t>
  </si>
  <si>
    <t>Test Feature/Planning/Action/Dynamic Routing</t>
  </si>
  <si>
    <t>Test Feature/Planning/Interaction/Merge</t>
  </si>
  <si>
    <t>Test Feature/prediction/Lane Change</t>
  </si>
  <si>
    <t>cutin是LC的children value，划分：是否开启转向灯、fast or slow cutin</t>
  </si>
  <si>
    <t>Test Feature/Planning/Action/Nudge</t>
  </si>
  <si>
    <t>Path Decider Improvement</t>
  </si>
  <si>
    <t>Super Nudge</t>
  </si>
  <si>
    <t>Test Feature/Planning/Interaction/Cross</t>
  </si>
  <si>
    <t>Test Feature/prediction/Multi Lane Change</t>
  </si>
  <si>
    <t>Test Feature/Planning/Action/Pull Out</t>
  </si>
  <si>
    <t>Test Feature/prediction/opposite lane</t>
  </si>
  <si>
    <t>Test Feature/Planning/Action/Pull Over</t>
  </si>
  <si>
    <t>Test Feature/prediction/Crossing</t>
  </si>
  <si>
    <t>Test Feature/Planning/Action/Merge</t>
  </si>
  <si>
    <t>Test Feature/prediction/Towards ADC</t>
  </si>
  <si>
    <t>Test Feature/Planning/Action/Reverse</t>
  </si>
  <si>
    <t>Test Feature/prediction/Away From ADC</t>
  </si>
  <si>
    <t>Test Feature/Planning/Action/Open Space</t>
  </si>
  <si>
    <t>Test Feature/prediction/Moving</t>
  </si>
  <si>
    <t>Test Feature/Planning/Action/Speed Control</t>
  </si>
  <si>
    <t>Test Feature/prediction/Stationary</t>
  </si>
  <si>
    <t xml:space="preserve">Test Feature/Planning/Action/Speed Decision </t>
  </si>
  <si>
    <t>Test Feature/prediction/Parked</t>
  </si>
  <si>
    <t>Test Feature/Planning/Action/Face-Off</t>
  </si>
  <si>
    <t>TBD</t>
  </si>
  <si>
    <t>Test Feature/prediction/U Turn</t>
  </si>
  <si>
    <t>Test Feature/Planning/Action/Fallback</t>
  </si>
  <si>
    <t>Test Feature/prediction/Left Turn</t>
  </si>
  <si>
    <t>Test Feature/prediction/Right Turn</t>
  </si>
  <si>
    <t>planning scenario test feature</t>
  </si>
  <si>
    <t>prediction scenario test feature</t>
  </si>
  <si>
    <t>Test Feature/prediction/No Turn</t>
  </si>
  <si>
    <t>Test Feature/planning/scenario/Junction</t>
  </si>
  <si>
    <t>车祸出现频次高</t>
  </si>
  <si>
    <t>value: Park
            children:
              - value: Controlled Traffic Junction
              - value: Congestion Series
              - value: Parked Series
              - value: Large Vehicle Occlusion
              - value: Construction Vehicle
              - value: Abnormal Parking Space
              - value: Vehicle Person Interaction
              - value: Suddenly Moving</t>
  </si>
  <si>
    <t>Test Feature/planning/scenario/Traffic Light</t>
  </si>
  <si>
    <t>Test Feature/planning/scenario/Stop Sign</t>
  </si>
  <si>
    <t>Test Feature/planning/scenario/Yield Sign</t>
  </si>
  <si>
    <t>Test Feature/planning/scenario/Crosswalk</t>
  </si>
  <si>
    <t>Test Feature/planning/scenario/Keep Clear</t>
  </si>
  <si>
    <t>Test Feature/planning/scenario/Backside</t>
  </si>
  <si>
    <t>Test Feature/planning/scenario/Traffic Flow</t>
  </si>
  <si>
    <t>Test Feature/planning/scenario/Occlusion</t>
  </si>
  <si>
    <t>Test Feature/planning/scenario/Merge</t>
  </si>
  <si>
    <r>
      <rPr>
        <u/>
        <sz val="11"/>
        <color rgb="FF1155CC"/>
        <rFont val="Arial"/>
        <family val="2"/>
      </rPr>
      <t>LINK</t>
    </r>
    <r>
      <rPr>
        <u/>
        <sz val="11"/>
        <color rgb="FF000000"/>
        <rFont val="Arial"/>
        <family val="2"/>
      </rPr>
      <t xml:space="preserve"> </t>
    </r>
    <r>
      <rPr>
        <u/>
        <sz val="11"/>
        <color rgb="FF1155CC"/>
        <rFont val="Arial"/>
        <family val="2"/>
      </rPr>
      <t>https://drive.google.com/drive/folders/1Yj-JF7kcA4tuI9lGTIDT9KZW2gp6q5IC</t>
    </r>
    <r>
      <rPr>
        <u/>
        <sz val="11"/>
        <color rgb="FF000000"/>
        <rFont val="Arial"/>
        <family val="2"/>
      </rPr>
      <t xml:space="preserve"> </t>
    </r>
  </si>
  <si>
    <r>
      <rPr>
        <sz val="10"/>
        <color theme="1"/>
        <rFont val="Calibri"/>
        <family val="2"/>
      </rPr>
      <t xml:space="preserve">1.title:-&gt; </t>
    </r>
    <r>
      <rPr>
        <b/>
        <sz val="10"/>
        <color theme="1"/>
        <rFont val="Calibri"/>
        <family val="2"/>
      </rPr>
      <t>aggressively</t>
    </r>
    <r>
      <rPr>
        <sz val="10"/>
        <color theme="1"/>
        <rFont val="Calibri"/>
        <family val="2"/>
      </rPr>
      <t xml:space="preserve"> cut in </t>
    </r>
    <r>
      <rPr>
        <b/>
        <sz val="10"/>
        <color theme="1"/>
        <rFont val="Calibri"/>
        <family val="2"/>
      </rPr>
      <t xml:space="preserve">before </t>
    </r>
    <r>
      <rPr>
        <sz val="10"/>
        <color theme="1"/>
        <rFont val="Calibri"/>
        <family val="2"/>
      </rPr>
      <t>traffic light
2. 切入trigger可调整为前车与ego距离&amp;与ego距离</t>
    </r>
  </si>
  <si>
    <r>
      <rPr>
        <sz val="10"/>
        <color theme="1"/>
        <rFont val="Calibri"/>
        <family val="2"/>
      </rPr>
      <t xml:space="preserve">1. 视频中红色左转车及其前面的白色SUV挡住了左侧直行车辆，导致后者只能闯红灯通过路口。建议在场景中添加白色SUV，使场景更合理。（讨论结果：路口很宽，因此很可能红色左转车是有保护左转，按闯红灯还原场景，无需修改）
2. </t>
    </r>
    <r>
      <rPr>
        <strike/>
        <sz val="10"/>
        <color theme="1"/>
        <rFont val="Calibri"/>
        <family val="2"/>
      </rPr>
      <t>应将Red Light Jumper设置为Obey Traffic Light，而非Left car。</t>
    </r>
    <r>
      <rPr>
        <sz val="10"/>
        <color theme="1"/>
        <rFont val="Calibri"/>
        <family val="2"/>
      </rPr>
      <t xml:space="preserve">（reviewer 误解了Obey Traffic Light 的意思，无需修改）
3. 目前将ego的目的地设为右一车道，会触发ego在路口内向右换道而非直行。建议将ego目的地设为右二车道。（已修改）
4. ACT - Start 的触发条件应为交通灯r236746变绿，而非w30129（此处应为交通灯r87274）变绿。（已修改）
5. </t>
    </r>
    <r>
      <rPr>
        <strike/>
        <sz val="10"/>
        <color theme="1"/>
        <rFont val="Calibri"/>
        <family val="2"/>
      </rPr>
      <t>ACT - Jumper Shows Up Suddenly 里 Maneuver Group - Red Light Jumper 的触发条件 Relative Speed Condition 13 在Left Car减速至停止的过程中无法实现。</t>
    </r>
    <r>
      <rPr>
        <sz val="10"/>
        <color theme="1"/>
        <rFont val="Calibri"/>
        <family val="2"/>
      </rPr>
      <t>（reviewer 对 Relative Speed Condition 的理解有误，无需修改）
----
1. [optional] 能否在ego与 Red Light Jumper 发生碰撞时结束仿真？(已修改)
2. [optional] 能否让 Left car在 Red Light Jumper 通过后继续前行，从而保证场景的完整性？(已修改)</t>
    </r>
  </si>
  <si>
    <t>URL</t>
  </si>
  <si>
    <t>http://www.iqiyi.com/v_fnv2jl6aqc.html</t>
  </si>
  <si>
    <t>share_sTime=144</t>
  </si>
  <si>
    <t>http://www.iqiyi.com/v_1u0x3rzzbjs.html</t>
  </si>
  <si>
    <t>share_sTime=187</t>
  </si>
  <si>
    <t>share_sTime=199</t>
  </si>
  <si>
    <t>share_sTime=223</t>
  </si>
  <si>
    <t>share_sTime=306</t>
  </si>
  <si>
    <t>http://www.iqiyi.com/v_105jzk25f38.html</t>
  </si>
  <si>
    <t>share_sTime=28</t>
  </si>
  <si>
    <t>share_sTime=73</t>
  </si>
  <si>
    <t>share_sTime=98</t>
  </si>
  <si>
    <t>share_sTime=213</t>
  </si>
  <si>
    <t>share_sTime=252</t>
  </si>
  <si>
    <t>http://www.iqiyi.com/v_lmhkxrqwlk.html</t>
  </si>
  <si>
    <t>share_sTime=394</t>
  </si>
  <si>
    <t>share_sTime=436</t>
  </si>
  <si>
    <t>http://www.iqiyi.com/v_2bufryvc36k.html</t>
  </si>
  <si>
    <t>share_sTime=160</t>
  </si>
  <si>
    <t>share_sTime=266</t>
  </si>
  <si>
    <t>share_sTime=361</t>
  </si>
  <si>
    <t>http://www.iqiyi.com/v_1c7atnuhsr4.html</t>
  </si>
  <si>
    <t>share_sTime=435</t>
  </si>
  <si>
    <t>share_sTime=595</t>
  </si>
  <si>
    <t>http://www.iqiyi.com/v_2docnt7jyw8.html</t>
  </si>
  <si>
    <t>share_sTime=299</t>
  </si>
  <si>
    <t>share_sTime=311</t>
  </si>
  <si>
    <t>share_sTime=440</t>
  </si>
  <si>
    <t>share_sTime=481</t>
  </si>
  <si>
    <t>http://www.iqiyi.com/v_uscurycmg8.html</t>
  </si>
  <si>
    <t>share_sTime=67</t>
  </si>
  <si>
    <t>share_sTime=80</t>
  </si>
  <si>
    <t>share_sTime=93</t>
  </si>
  <si>
    <t>share_sTime=165</t>
  </si>
  <si>
    <t>share_sTime=202</t>
  </si>
  <si>
    <t>share_sTime=360</t>
  </si>
  <si>
    <t>http://www.iqiyi.com/v_1qc2dhhf17c.html</t>
  </si>
  <si>
    <t>share_sTime=32</t>
  </si>
  <si>
    <t>share_sTime=296</t>
  </si>
  <si>
    <t>share_sTime=325</t>
  </si>
  <si>
    <t>http://www.iqiyi.com/v_17b2rc6qcw0.html</t>
  </si>
  <si>
    <t>share_sTime=136</t>
  </si>
  <si>
    <t>https://www.iqiyi.com/v_2bx0gdxkbbo.htmll</t>
  </si>
  <si>
    <t>https://www.iqiyi.com/v_v9pgkqlzt8.htmll</t>
  </si>
  <si>
    <t>http://www.iqiyi.com/v_13zv6vx492s.html</t>
  </si>
  <si>
    <t>share_sTime=14</t>
  </si>
  <si>
    <t>share_sTime=164</t>
  </si>
  <si>
    <t>share_sTime=232</t>
  </si>
  <si>
    <t>share_sTime=255</t>
  </si>
  <si>
    <t>share_sTime=269</t>
  </si>
  <si>
    <t>share_sTime=295</t>
  </si>
  <si>
    <t>share_sTime=309</t>
  </si>
  <si>
    <t>share_sTime=446</t>
  </si>
  <si>
    <t>http://www.iqiyi.com/v_14006zhf2uo.html</t>
  </si>
  <si>
    <t>share_sTime=137</t>
  </si>
  <si>
    <t>http://www.iqiyi.com/v_17l6d2qrdv0.html</t>
  </si>
  <si>
    <t>share_sTime=109</t>
  </si>
  <si>
    <t>share_sTime=149</t>
  </si>
  <si>
    <t>share_sTime=251</t>
  </si>
  <si>
    <t>http://www.iqiyi.com/v_2fb1s6tz13k.html</t>
  </si>
  <si>
    <t>share_sTime=0</t>
  </si>
  <si>
    <t>share_sTime=59</t>
  </si>
  <si>
    <t>URL</t>
    <phoneticPr fontId="8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</si>
</sst>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mm\-dd"/>
    <numFmt numFmtId="177" formatCode="yyyy\-m\-d"/>
    <numFmt numFmtId="178" formatCode="m/d/yyyy"/>
  </numFmts>
  <fonts count="86">
    <font>
      <sz val="10"/>
      <color rgb="FF000000"/>
      <name val="Calibri"/>
      <scheme val="minor"/>
    </font>
    <font>
      <b/>
      <sz val="10"/>
      <color theme="1"/>
      <name val="Calibri"/>
      <scheme val="minor"/>
    </font>
    <font>
      <b/>
      <sz val="12"/>
      <color theme="1"/>
      <name val="Calibri"/>
      <scheme val="minor"/>
    </font>
    <font>
      <sz val="10"/>
      <color theme="1"/>
      <name val="Calibri"/>
      <scheme val="minor"/>
    </font>
    <font>
      <b/>
      <sz val="12"/>
      <color theme="1"/>
      <name val="Arial"/>
    </font>
    <font>
      <b/>
      <sz val="10"/>
      <color rgb="FF000000"/>
      <name val="Arial"/>
    </font>
    <font>
      <b/>
      <sz val="10"/>
      <color theme="1"/>
      <name val="Calibri"/>
      <scheme val="minor"/>
    </font>
    <font>
      <b/>
      <sz val="10"/>
      <color theme="1"/>
      <name val="Arial"/>
    </font>
    <font>
      <b/>
      <sz val="11"/>
      <color theme="1"/>
      <name val="Arial"/>
    </font>
    <font>
      <sz val="12"/>
      <color theme="1"/>
      <name val="Calibri"/>
      <scheme val="minor"/>
    </font>
    <font>
      <sz val="11"/>
      <color theme="1"/>
      <name val="Calibri"/>
      <scheme val="minor"/>
    </font>
    <font>
      <u/>
      <sz val="10"/>
      <color rgb="FF1155CC"/>
      <name val="Calibri"/>
    </font>
    <font>
      <sz val="10"/>
      <color theme="1"/>
      <name val="Arial"/>
    </font>
    <font>
      <sz val="11"/>
      <color theme="1"/>
      <name val="Arial"/>
    </font>
    <font>
      <u/>
      <sz val="10"/>
      <color rgb="FF0000FF"/>
      <name val="Calibri"/>
    </font>
    <font>
      <u/>
      <sz val="10"/>
      <color rgb="FF0000FF"/>
      <name val="Calibri"/>
    </font>
    <font>
      <sz val="10"/>
      <color rgb="FF1D1C1D"/>
      <name val="Arial"/>
    </font>
    <font>
      <sz val="10"/>
      <color rgb="FF000000"/>
      <name val="Arial"/>
    </font>
    <font>
      <sz val="12"/>
      <color theme="1"/>
      <name val="Arial"/>
    </font>
    <font>
      <sz val="11"/>
      <color rgb="FF3C4043"/>
      <name val="Roboto"/>
    </font>
    <font>
      <sz val="11"/>
      <color rgb="FF000000"/>
      <name val="Calibri"/>
    </font>
    <font>
      <sz val="11"/>
      <color rgb="FF0000FF"/>
      <name val="Calibri"/>
    </font>
    <font>
      <u/>
      <sz val="10"/>
      <color rgb="FF1155CC"/>
      <name val="Calibri"/>
    </font>
    <font>
      <u/>
      <sz val="11"/>
      <color rgb="FF1155CC"/>
      <name val="Arial"/>
    </font>
    <font>
      <u/>
      <sz val="11"/>
      <color rgb="FF1155CC"/>
      <name val="Calibri"/>
    </font>
    <font>
      <sz val="11"/>
      <color theme="1"/>
      <name val="Calibri"/>
    </font>
    <font>
      <u/>
      <sz val="11"/>
      <color rgb="FF1155CC"/>
      <name val="Calibri"/>
    </font>
    <font>
      <u/>
      <sz val="10"/>
      <color rgb="FF0000FF"/>
      <name val="Calibri"/>
    </font>
    <font>
      <u/>
      <sz val="10"/>
      <color rgb="FF0000FF"/>
      <name val="Calibri"/>
    </font>
    <font>
      <u/>
      <sz val="10"/>
      <color rgb="FF1155CC"/>
      <name val="Calibri"/>
    </font>
    <font>
      <u/>
      <sz val="10"/>
      <color rgb="FF0000FF"/>
      <name val="Arial"/>
    </font>
    <font>
      <sz val="11"/>
      <color rgb="FF000000"/>
      <name val="Arial"/>
    </font>
    <font>
      <b/>
      <sz val="14"/>
      <color theme="1"/>
      <name val="Calibri"/>
      <scheme val="minor"/>
    </font>
    <font>
      <b/>
      <sz val="10"/>
      <color theme="0"/>
      <name val="Calibri"/>
      <scheme val="minor"/>
    </font>
    <font>
      <b/>
      <sz val="10"/>
      <color rgb="FF172B4D"/>
      <name val="Calibri"/>
      <scheme val="minor"/>
    </font>
    <font>
      <sz val="11"/>
      <color rgb="FF000000"/>
      <name val="Inconsolata"/>
    </font>
    <font>
      <u/>
      <sz val="10"/>
      <color theme="1"/>
      <name val="Calibri"/>
      <scheme val="minor"/>
    </font>
    <font>
      <sz val="12"/>
      <color rgb="FF172B4D"/>
      <name val="-apple-system"/>
    </font>
    <font>
      <u/>
      <sz val="12"/>
      <color rgb="FF172B4D"/>
      <name val="Arial"/>
      <family val="2"/>
    </font>
    <font>
      <u/>
      <sz val="10"/>
      <color rgb="FF1155CC"/>
      <name val="Calibri"/>
      <family val="2"/>
      <scheme val="minor"/>
    </font>
    <font>
      <b/>
      <sz val="12"/>
      <color rgb="FF1D1C1D"/>
      <name val="Arial"/>
      <family val="2"/>
    </font>
    <font>
      <sz val="11"/>
      <color rgb="FF1D1C1D"/>
      <name val="Arial"/>
      <family val="2"/>
    </font>
    <font>
      <sz val="11"/>
      <color rgb="FF1D1C1D"/>
      <name val="Slack-Lato"/>
    </font>
    <font>
      <u/>
      <sz val="11"/>
      <color rgb="FF1155CC"/>
      <name val="Arial"/>
      <family val="2"/>
    </font>
    <font>
      <u/>
      <sz val="10"/>
      <color rgb="FF1155CC"/>
      <name val="Calibri"/>
      <family val="2"/>
      <scheme val="minor"/>
    </font>
    <font>
      <sz val="14"/>
      <color theme="1"/>
      <name val="Calibri"/>
      <family val="2"/>
      <scheme val="minor"/>
    </font>
    <font>
      <sz val="14"/>
      <color rgb="FF000000"/>
      <name val="Inconsolata"/>
    </font>
    <font>
      <sz val="14"/>
      <color theme="0"/>
      <name val="Calibri"/>
      <family val="2"/>
      <scheme val="minor"/>
    </font>
    <font>
      <sz val="10"/>
      <name val="Calibri"/>
      <family val="2"/>
    </font>
    <font>
      <b/>
      <sz val="36"/>
      <color rgb="FFFF0000"/>
      <name val="Arial"/>
      <family val="2"/>
    </font>
    <font>
      <strike/>
      <sz val="10"/>
      <color rgb="FFFF0000"/>
      <name val="Arial"/>
      <family val="2"/>
    </font>
    <font>
      <sz val="10"/>
      <color rgb="FFFF0000"/>
      <name val="Arial"/>
      <family val="2"/>
    </font>
    <font>
      <sz val="10"/>
      <color rgb="FFFFFF00"/>
      <name val="Arial"/>
      <family val="2"/>
    </font>
    <font>
      <sz val="10"/>
      <color rgb="FFFFFF00"/>
      <name val="Calibri"/>
      <family val="2"/>
      <scheme val="minor"/>
    </font>
    <font>
      <sz val="10"/>
      <color rgb="FF1D1C1D"/>
      <name val="Calibri"/>
      <family val="2"/>
      <scheme val="minor"/>
    </font>
    <font>
      <b/>
      <sz val="11"/>
      <color rgb="FF000000"/>
      <name val="Calibri"/>
      <family val="2"/>
    </font>
    <font>
      <u/>
      <sz val="11"/>
      <color rgb="FF000000"/>
      <name val="Calibri"/>
      <family val="2"/>
    </font>
    <font>
      <b/>
      <sz val="18"/>
      <color theme="1"/>
      <name val="Arial"/>
      <family val="2"/>
    </font>
    <font>
      <b/>
      <sz val="18"/>
      <color rgb="FF1D1C1D"/>
      <name val="Arial"/>
      <family val="2"/>
    </font>
    <font>
      <b/>
      <sz val="11"/>
      <color rgb="FF1D1C1D"/>
      <name val="Arial"/>
      <family val="2"/>
    </font>
    <font>
      <b/>
      <sz val="11"/>
      <color theme="1"/>
      <name val="Calibri"/>
      <family val="2"/>
      <scheme val="minor"/>
    </font>
    <font>
      <sz val="10"/>
      <color theme="1"/>
      <name val="Calibri"/>
      <family val="2"/>
      <scheme val="minor"/>
    </font>
    <font>
      <u/>
      <sz val="10"/>
      <color rgb="FF1155CC"/>
      <name val="Calibri"/>
      <family val="2"/>
    </font>
    <font>
      <sz val="10"/>
      <color rgb="FF1D1C1D"/>
      <name val="Arial"/>
      <family val="2"/>
    </font>
    <font>
      <u/>
      <sz val="10"/>
      <color rgb="FF0000FF"/>
      <name val="Arial"/>
      <family val="2"/>
    </font>
    <font>
      <b/>
      <sz val="10"/>
      <color theme="1"/>
      <name val="Arial"/>
      <family val="2"/>
    </font>
    <font>
      <u/>
      <sz val="11"/>
      <color rgb="FF1155CC"/>
      <name val="Arial"/>
      <family val="2"/>
    </font>
    <font>
      <u/>
      <sz val="10"/>
      <color rgb="FF0000FF"/>
      <name val="Calibri"/>
      <family val="2"/>
    </font>
    <font>
      <u/>
      <sz val="10"/>
      <color rgb="FF0000FF"/>
      <name val="Calibri"/>
      <family val="2"/>
      <scheme val="minor"/>
    </font>
    <font>
      <u/>
      <sz val="10"/>
      <color rgb="FF1155CC"/>
      <name val="Calibri"/>
      <family val="2"/>
      <scheme val="minor"/>
    </font>
    <font>
      <u/>
      <sz val="10"/>
      <color rgb="FF1155CC"/>
      <name val="Calibri"/>
      <family val="2"/>
      <scheme val="minor"/>
    </font>
    <font>
      <sz val="10"/>
      <color theme="1"/>
      <name val="Calibri"/>
      <family val="2"/>
    </font>
    <font>
      <sz val="12"/>
      <color theme="1"/>
      <name val="Calibri"/>
      <family val="2"/>
    </font>
    <font>
      <sz val="12"/>
      <color rgb="FFFF0000"/>
      <name val="Calibri"/>
      <family val="2"/>
    </font>
    <font>
      <sz val="10"/>
      <name val="Arial"/>
      <family val="2"/>
    </font>
    <font>
      <sz val="10"/>
      <color rgb="FF000000"/>
      <name val="Arial"/>
      <family val="2"/>
    </font>
    <font>
      <u/>
      <sz val="10"/>
      <color rgb="FF1155CC"/>
      <name val="Arial"/>
      <family val="2"/>
    </font>
    <font>
      <sz val="10"/>
      <color theme="1"/>
      <name val="Arial"/>
      <family val="2"/>
    </font>
    <font>
      <sz val="12"/>
      <color rgb="FFF9CB9C"/>
      <name val="Calibri"/>
      <family val="2"/>
    </font>
    <font>
      <sz val="10"/>
      <color rgb="FF980000"/>
      <name val="Arial"/>
      <family val="2"/>
    </font>
    <font>
      <sz val="12"/>
      <color rgb="FFF6B26B"/>
      <name val="Calibri"/>
      <family val="2"/>
    </font>
    <font>
      <strike/>
      <sz val="10"/>
      <color theme="1"/>
      <name val="Calibri"/>
      <family val="2"/>
    </font>
    <font>
      <b/>
      <sz val="10"/>
      <color theme="1"/>
      <name val="Calibri"/>
      <family val="2"/>
    </font>
    <font>
      <u/>
      <sz val="11"/>
      <color rgb="FF000000"/>
      <name val="Arial"/>
      <family val="2"/>
    </font>
    <font>
      <sz val="10"/>
      <color rgb="FF000000"/>
      <name val="Calibri"/>
      <family val="2"/>
      <scheme val="minor"/>
    </font>
    <font>
      <sz val="9"/>
      <name val="Calibri"/>
      <family val="3"/>
      <charset val="134"/>
      <scheme val="minor"/>
    </font>
  </fonts>
  <fills count="34">
    <fill>
      <patternFill patternType="none"/>
    </fill>
    <fill>
      <patternFill patternType="gray125"/>
    </fill>
    <fill>
      <patternFill patternType="solid">
        <fgColor theme="0"/>
        <bgColor theme="0"/>
      </patternFill>
    </fill>
    <fill>
      <patternFill patternType="solid">
        <fgColor rgb="FFA4C2F4"/>
        <bgColor rgb="FFA4C2F4"/>
      </patternFill>
    </fill>
    <fill>
      <patternFill patternType="solid">
        <fgColor rgb="FFFFD966"/>
        <bgColor rgb="FFFFD966"/>
      </patternFill>
    </fill>
    <fill>
      <patternFill patternType="solid">
        <fgColor rgb="FF6D9EEB"/>
        <bgColor rgb="FF6D9EEB"/>
      </patternFill>
    </fill>
    <fill>
      <patternFill patternType="solid">
        <fgColor rgb="FFFF9900"/>
        <bgColor rgb="FFFF9900"/>
      </patternFill>
    </fill>
    <fill>
      <patternFill patternType="solid">
        <fgColor rgb="FFA2C4C9"/>
        <bgColor rgb="FFA2C4C9"/>
      </patternFill>
    </fill>
    <fill>
      <patternFill patternType="solid">
        <fgColor theme="7"/>
        <bgColor theme="7"/>
      </patternFill>
    </fill>
    <fill>
      <patternFill patternType="solid">
        <fgColor rgb="FFFFFFFF"/>
        <bgColor rgb="FFFFFFFF"/>
      </patternFill>
    </fill>
    <fill>
      <patternFill patternType="solid">
        <fgColor rgb="FFFFFF00"/>
        <bgColor rgb="FFFFFF00"/>
      </patternFill>
    </fill>
    <fill>
      <patternFill patternType="solid">
        <fgColor rgb="FFF6B26B"/>
        <bgColor rgb="FFF6B26B"/>
      </patternFill>
    </fill>
    <fill>
      <patternFill patternType="solid">
        <fgColor rgb="FFB6D7A8"/>
        <bgColor rgb="FFB6D7A8"/>
      </patternFill>
    </fill>
    <fill>
      <patternFill patternType="solid">
        <fgColor theme="6"/>
        <bgColor theme="6"/>
      </patternFill>
    </fill>
    <fill>
      <patternFill patternType="solid">
        <fgColor rgb="FF6AA84F"/>
        <bgColor rgb="FF6AA84F"/>
      </patternFill>
    </fill>
    <fill>
      <patternFill patternType="solid">
        <fgColor theme="5"/>
        <bgColor theme="5"/>
      </patternFill>
    </fill>
    <fill>
      <patternFill patternType="solid">
        <fgColor rgb="FFF8F8F8"/>
        <bgColor rgb="FFF8F8F8"/>
      </patternFill>
    </fill>
    <fill>
      <patternFill patternType="solid">
        <fgColor rgb="FFFFF2CC"/>
        <bgColor rgb="FFFFF2CC"/>
      </patternFill>
    </fill>
    <fill>
      <patternFill patternType="solid">
        <fgColor rgb="FFFCE5CD"/>
        <bgColor rgb="FFFCE5CD"/>
      </patternFill>
    </fill>
    <fill>
      <patternFill patternType="solid">
        <fgColor rgb="FF351C75"/>
        <bgColor rgb="FF351C75"/>
      </patternFill>
    </fill>
    <fill>
      <patternFill patternType="solid">
        <fgColor rgb="FFFF00FF"/>
        <bgColor rgb="FFFF00FF"/>
      </patternFill>
    </fill>
    <fill>
      <patternFill patternType="solid">
        <fgColor rgb="FF93C47D"/>
        <bgColor rgb="FF93C47D"/>
      </patternFill>
    </fill>
    <fill>
      <patternFill patternType="solid">
        <fgColor rgb="FF00FFFF"/>
        <bgColor rgb="FF00FFFF"/>
      </patternFill>
    </fill>
    <fill>
      <patternFill patternType="solid">
        <fgColor rgb="FF00FF00"/>
        <bgColor rgb="FF00FF00"/>
      </patternFill>
    </fill>
    <fill>
      <patternFill patternType="solid">
        <fgColor rgb="FFFF0000"/>
        <bgColor rgb="FFFF0000"/>
      </patternFill>
    </fill>
    <fill>
      <patternFill patternType="solid">
        <fgColor theme="4"/>
        <bgColor theme="4"/>
      </patternFill>
    </fill>
    <fill>
      <patternFill patternType="solid">
        <fgColor rgb="FF4A86E8"/>
        <bgColor rgb="FF4A86E8"/>
      </patternFill>
    </fill>
    <fill>
      <patternFill patternType="solid">
        <fgColor rgb="FFD9EAD3"/>
        <bgColor rgb="FFD9EAD3"/>
      </patternFill>
    </fill>
    <fill>
      <patternFill patternType="solid">
        <fgColor theme="9"/>
        <bgColor theme="9"/>
      </patternFill>
    </fill>
    <fill>
      <patternFill patternType="solid">
        <fgColor rgb="FFC9DAF8"/>
        <bgColor rgb="FFC9DAF8"/>
      </patternFill>
    </fill>
    <fill>
      <patternFill patternType="solid">
        <fgColor theme="8"/>
        <bgColor theme="8"/>
      </patternFill>
    </fill>
    <fill>
      <patternFill patternType="solid">
        <fgColor rgb="FFF4CCCC"/>
        <bgColor rgb="FFF4CCCC"/>
      </patternFill>
    </fill>
    <fill>
      <patternFill patternType="solid">
        <fgColor rgb="FFCCCCCC"/>
        <bgColor rgb="FFCCCCCC"/>
      </patternFill>
    </fill>
    <fill>
      <patternFill patternType="solid">
        <fgColor rgb="FFEA4335"/>
        <bgColor rgb="FFEA4335"/>
      </patternFill>
    </fill>
  </fills>
  <borders count="20">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n">
        <color rgb="FF000000"/>
      </left>
      <right/>
      <top/>
      <bottom/>
      <diagonal/>
    </border>
    <border>
      <left style="thick">
        <color rgb="FF000000"/>
      </left>
      <right/>
      <top/>
      <bottom/>
      <diagonal/>
    </border>
    <border>
      <left/>
      <right style="thick">
        <color rgb="FF000000"/>
      </right>
      <top/>
      <bottom/>
      <diagonal/>
    </border>
    <border>
      <left style="thin">
        <color rgb="FF000000"/>
      </left>
      <right/>
      <top/>
      <bottom style="thin">
        <color rgb="FF000000"/>
      </bottom>
      <diagonal/>
    </border>
    <border>
      <left/>
      <right/>
      <top/>
      <bottom style="thin">
        <color rgb="FF000000"/>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s>
  <cellStyleXfs count="1">
    <xf numFmtId="0" fontId="0" fillId="0" borderId="0"/>
  </cellStyleXfs>
  <cellXfs count="265">
    <xf numFmtId="0" fontId="0" fillId="0" borderId="0" xfId="0" applyFont="1" applyAlignment="1"/>
    <xf numFmtId="0" fontId="1" fillId="2" borderId="0" xfId="0" applyFont="1" applyFill="1" applyAlignment="1"/>
    <xf numFmtId="0" fontId="1" fillId="3" borderId="0" xfId="0" applyFont="1" applyFill="1" applyAlignment="1"/>
    <xf numFmtId="0" fontId="2" fillId="3" borderId="0" xfId="0" applyFont="1" applyFill="1" applyAlignment="1">
      <alignment wrapText="1"/>
    </xf>
    <xf numFmtId="0" fontId="1" fillId="4" borderId="0" xfId="0" applyFont="1" applyFill="1" applyAlignment="1"/>
    <xf numFmtId="0" fontId="1" fillId="5" borderId="0" xfId="0" applyFont="1" applyFill="1" applyAlignment="1"/>
    <xf numFmtId="0" fontId="3" fillId="6" borderId="0" xfId="0" applyFont="1" applyFill="1" applyAlignment="1"/>
    <xf numFmtId="0" fontId="3" fillId="2" borderId="0" xfId="0" applyFont="1" applyFill="1" applyAlignment="1"/>
    <xf numFmtId="0" fontId="1" fillId="0" borderId="0" xfId="0" applyFont="1" applyAlignment="1"/>
    <xf numFmtId="0" fontId="4" fillId="0" borderId="0" xfId="0" applyFont="1" applyAlignment="1"/>
    <xf numFmtId="0" fontId="1" fillId="7" borderId="0" xfId="0" applyFont="1" applyFill="1" applyAlignment="1"/>
    <xf numFmtId="0" fontId="5" fillId="7" borderId="0" xfId="0" applyFont="1" applyFill="1" applyAlignment="1">
      <alignment horizontal="left"/>
    </xf>
    <xf numFmtId="0" fontId="1" fillId="8" borderId="0" xfId="0" applyFont="1" applyFill="1" applyAlignment="1"/>
    <xf numFmtId="0" fontId="1" fillId="6" borderId="0" xfId="0" applyFont="1" applyFill="1" applyAlignment="1"/>
    <xf numFmtId="0" fontId="6" fillId="0" borderId="0" xfId="0" applyFont="1" applyAlignment="1">
      <alignment horizontal="center"/>
    </xf>
    <xf numFmtId="0" fontId="7" fillId="9" borderId="0" xfId="0" applyFont="1" applyFill="1" applyAlignment="1">
      <alignment horizontal="center"/>
    </xf>
    <xf numFmtId="0" fontId="4" fillId="10" borderId="0" xfId="0" applyFont="1" applyFill="1" applyAlignment="1"/>
    <xf numFmtId="0" fontId="1" fillId="11" borderId="0" xfId="0" applyFont="1" applyFill="1" applyAlignment="1"/>
    <xf numFmtId="0" fontId="8" fillId="12" borderId="0" xfId="0" applyFont="1" applyFill="1" applyAlignment="1"/>
    <xf numFmtId="0" fontId="8" fillId="12" borderId="0" xfId="0" applyFont="1" applyFill="1" applyAlignment="1"/>
    <xf numFmtId="0" fontId="1" fillId="13" borderId="0" xfId="0" applyFont="1" applyFill="1" applyAlignment="1"/>
    <xf numFmtId="0" fontId="3" fillId="14" borderId="0" xfId="0" applyFont="1" applyFill="1" applyAlignment="1"/>
    <xf numFmtId="0" fontId="3" fillId="0" borderId="0" xfId="0" applyFont="1" applyAlignment="1"/>
    <xf numFmtId="0" fontId="9" fillId="0" borderId="0" xfId="0" applyFont="1" applyAlignment="1">
      <alignment wrapText="1"/>
    </xf>
    <xf numFmtId="0" fontId="10" fillId="0" borderId="0" xfId="0" applyFont="1" applyAlignment="1"/>
    <xf numFmtId="0" fontId="3" fillId="0" borderId="0" xfId="0" applyFont="1"/>
    <xf numFmtId="0" fontId="11" fillId="0" borderId="0" xfId="0" applyFont="1" applyAlignment="1"/>
    <xf numFmtId="0" fontId="3" fillId="0" borderId="0" xfId="0" applyFont="1" applyAlignment="1">
      <alignment horizontal="left"/>
    </xf>
    <xf numFmtId="0" fontId="12" fillId="0" borderId="1" xfId="0" applyFont="1" applyBorder="1" applyAlignment="1"/>
    <xf numFmtId="0" fontId="12" fillId="0" borderId="1" xfId="0" applyFont="1" applyBorder="1" applyAlignment="1"/>
    <xf numFmtId="0" fontId="13" fillId="0" borderId="0" xfId="0" applyFont="1" applyAlignment="1"/>
    <xf numFmtId="0" fontId="14" fillId="0" borderId="0" xfId="0" applyFont="1" applyAlignment="1"/>
    <xf numFmtId="0" fontId="12" fillId="0" borderId="1" xfId="0" applyFont="1" applyBorder="1" applyAlignment="1"/>
    <xf numFmtId="0" fontId="12" fillId="0" borderId="0" xfId="0" applyFont="1" applyAlignment="1"/>
    <xf numFmtId="0" fontId="12" fillId="0" borderId="0" xfId="0" applyFont="1" applyAlignment="1"/>
    <xf numFmtId="0" fontId="15" fillId="0" borderId="0" xfId="0" applyFont="1" applyAlignment="1"/>
    <xf numFmtId="0" fontId="12" fillId="2" borderId="0" xfId="0" applyFont="1" applyFill="1" applyAlignment="1"/>
    <xf numFmtId="0" fontId="3" fillId="0" borderId="0" xfId="0" applyFont="1" applyAlignment="1"/>
    <xf numFmtId="0" fontId="16" fillId="2" borderId="0" xfId="0" applyFont="1" applyFill="1" applyAlignment="1"/>
    <xf numFmtId="0" fontId="16" fillId="2" borderId="0" xfId="0" applyFont="1" applyFill="1" applyAlignment="1"/>
    <xf numFmtId="0" fontId="17" fillId="9" borderId="0" xfId="0" applyFont="1" applyFill="1" applyAlignment="1">
      <alignment horizontal="left"/>
    </xf>
    <xf numFmtId="0" fontId="3" fillId="2" borderId="0" xfId="0" applyFont="1" applyFill="1" applyAlignment="1"/>
    <xf numFmtId="0" fontId="9" fillId="2" borderId="0" xfId="0" applyFont="1" applyFill="1" applyAlignment="1">
      <alignment wrapText="1"/>
    </xf>
    <xf numFmtId="0" fontId="3" fillId="9" borderId="0" xfId="0" applyFont="1" applyFill="1" applyAlignment="1"/>
    <xf numFmtId="0" fontId="3" fillId="0" borderId="0" xfId="0" applyFont="1" applyAlignment="1"/>
    <xf numFmtId="0" fontId="3" fillId="2" borderId="0" xfId="0" applyFont="1" applyFill="1"/>
    <xf numFmtId="0" fontId="3" fillId="9" borderId="0" xfId="0" applyFont="1" applyFill="1"/>
    <xf numFmtId="0" fontId="3" fillId="15" borderId="0" xfId="0" applyFont="1" applyFill="1" applyAlignment="1"/>
    <xf numFmtId="0" fontId="12" fillId="2" borderId="0" xfId="0" applyFont="1" applyFill="1" applyAlignment="1"/>
    <xf numFmtId="0" fontId="18" fillId="0" borderId="0" xfId="0" applyFont="1" applyAlignment="1">
      <alignment wrapText="1"/>
    </xf>
    <xf numFmtId="0" fontId="19" fillId="9" borderId="0" xfId="0" applyFont="1" applyFill="1" applyAlignment="1">
      <alignment horizontal="left"/>
    </xf>
    <xf numFmtId="0" fontId="20" fillId="2" borderId="0" xfId="0" applyFont="1" applyFill="1" applyAlignment="1"/>
    <xf numFmtId="0" fontId="12" fillId="9" borderId="0" xfId="0" applyFont="1" applyFill="1" applyAlignment="1"/>
    <xf numFmtId="0" fontId="21" fillId="0" borderId="0" xfId="0" applyFont="1" applyAlignment="1"/>
    <xf numFmtId="0" fontId="21" fillId="0" borderId="0" xfId="0" applyFont="1" applyAlignment="1"/>
    <xf numFmtId="0" fontId="12" fillId="13" borderId="0" xfId="0" applyFont="1" applyFill="1" applyAlignment="1"/>
    <xf numFmtId="0" fontId="3" fillId="13" borderId="0" xfId="0" applyFont="1" applyFill="1" applyAlignment="1"/>
    <xf numFmtId="0" fontId="9" fillId="13" borderId="0" xfId="0" applyFont="1" applyFill="1" applyAlignment="1">
      <alignment wrapText="1"/>
    </xf>
    <xf numFmtId="0" fontId="3" fillId="13" borderId="0" xfId="0" applyFont="1" applyFill="1"/>
    <xf numFmtId="0" fontId="22" fillId="13" borderId="0" xfId="0" applyFont="1" applyFill="1" applyAlignment="1"/>
    <xf numFmtId="0" fontId="3" fillId="13" borderId="0" xfId="0" applyFont="1" applyFill="1" applyAlignment="1">
      <alignment horizontal="left"/>
    </xf>
    <xf numFmtId="0" fontId="12" fillId="13" borderId="0" xfId="0" applyFont="1" applyFill="1" applyAlignment="1"/>
    <xf numFmtId="0" fontId="23" fillId="16" borderId="0" xfId="0" applyFont="1" applyFill="1" applyAlignment="1"/>
    <xf numFmtId="0" fontId="10" fillId="0" borderId="0" xfId="0" applyFont="1" applyAlignment="1">
      <alignment horizontal="left"/>
    </xf>
    <xf numFmtId="0" fontId="10" fillId="0" borderId="0" xfId="0" applyFont="1" applyAlignment="1">
      <alignment wrapText="1"/>
    </xf>
    <xf numFmtId="0" fontId="13" fillId="0" borderId="0" xfId="0" applyFont="1" applyAlignment="1"/>
    <xf numFmtId="0" fontId="12" fillId="0" borderId="0" xfId="0" applyFont="1" applyAlignment="1"/>
    <xf numFmtId="0" fontId="20" fillId="2" borderId="0" xfId="0" applyFont="1" applyFill="1" applyAlignment="1"/>
    <xf numFmtId="0" fontId="20" fillId="0" borderId="0" xfId="0" applyFont="1" applyAlignment="1"/>
    <xf numFmtId="0" fontId="24" fillId="0" borderId="0" xfId="0" applyFont="1" applyAlignment="1"/>
    <xf numFmtId="0" fontId="12" fillId="6" borderId="0" xfId="0" applyFont="1" applyFill="1" applyAlignment="1"/>
    <xf numFmtId="0" fontId="25" fillId="0" borderId="0" xfId="0" applyFont="1" applyAlignment="1"/>
    <xf numFmtId="0" fontId="26" fillId="0" borderId="0" xfId="0" applyFont="1" applyAlignment="1"/>
    <xf numFmtId="0" fontId="27" fillId="13" borderId="0" xfId="0" applyFont="1" applyFill="1" applyAlignment="1"/>
    <xf numFmtId="0" fontId="28" fillId="2" borderId="0" xfId="0" applyFont="1" applyFill="1" applyAlignment="1"/>
    <xf numFmtId="0" fontId="3" fillId="2" borderId="0" xfId="0" applyFont="1" applyFill="1" applyAlignment="1">
      <alignment horizontal="left"/>
    </xf>
    <xf numFmtId="0" fontId="12" fillId="10" borderId="0" xfId="0" applyFont="1" applyFill="1" applyAlignment="1"/>
    <xf numFmtId="0" fontId="29" fillId="2" borderId="0" xfId="0" applyFont="1" applyFill="1" applyAlignment="1"/>
    <xf numFmtId="20" fontId="3" fillId="0" borderId="0" xfId="0" applyNumberFormat="1" applyFont="1" applyAlignment="1">
      <alignment horizontal="left"/>
    </xf>
    <xf numFmtId="0" fontId="30" fillId="0" borderId="0" xfId="0" applyFont="1" applyAlignment="1"/>
    <xf numFmtId="0" fontId="31" fillId="0" borderId="0" xfId="0" applyFont="1" applyAlignment="1">
      <alignment horizontal="left" wrapText="1"/>
    </xf>
    <xf numFmtId="0" fontId="20" fillId="13" borderId="0" xfId="0" applyFont="1" applyFill="1" applyAlignment="1"/>
    <xf numFmtId="0" fontId="12" fillId="0" borderId="0" xfId="0" applyFont="1" applyAlignment="1"/>
    <xf numFmtId="0" fontId="3" fillId="17" borderId="0" xfId="0" applyFont="1" applyFill="1" applyAlignment="1"/>
    <xf numFmtId="0" fontId="3" fillId="18" borderId="0" xfId="0" applyFont="1" applyFill="1" applyAlignment="1"/>
    <xf numFmtId="0" fontId="9" fillId="0" borderId="0" xfId="0" applyFont="1" applyAlignment="1">
      <alignment wrapText="1"/>
    </xf>
    <xf numFmtId="0" fontId="32" fillId="0" borderId="2" xfId="0" applyFont="1" applyBorder="1" applyAlignment="1">
      <alignment horizontal="center"/>
    </xf>
    <xf numFmtId="0" fontId="32" fillId="0" borderId="2" xfId="0" applyFont="1" applyBorder="1" applyAlignment="1">
      <alignment horizontal="center"/>
    </xf>
    <xf numFmtId="0" fontId="33" fillId="2" borderId="0" xfId="0" applyFont="1" applyFill="1"/>
    <xf numFmtId="0" fontId="34" fillId="2" borderId="0" xfId="0" applyFont="1" applyFill="1" applyAlignment="1"/>
    <xf numFmtId="0" fontId="34" fillId="2" borderId="0" xfId="0" applyFont="1" applyFill="1"/>
    <xf numFmtId="0" fontId="33" fillId="19" borderId="0" xfId="0" applyFont="1" applyFill="1"/>
    <xf numFmtId="0" fontId="34" fillId="13" borderId="2" xfId="0" applyFont="1" applyFill="1" applyBorder="1" applyAlignment="1"/>
    <xf numFmtId="0" fontId="34" fillId="13" borderId="2" xfId="0" applyFont="1" applyFill="1" applyBorder="1"/>
    <xf numFmtId="0" fontId="3" fillId="20" borderId="0" xfId="0" applyFont="1" applyFill="1"/>
    <xf numFmtId="0" fontId="35" fillId="9" borderId="2" xfId="0" applyFont="1" applyFill="1" applyBorder="1"/>
    <xf numFmtId="0" fontId="3" fillId="0" borderId="2" xfId="0" applyFont="1" applyBorder="1"/>
    <xf numFmtId="0" fontId="1" fillId="21" borderId="2" xfId="0" applyFont="1" applyFill="1" applyBorder="1"/>
    <xf numFmtId="0" fontId="3" fillId="22" borderId="2" xfId="0" applyFont="1" applyFill="1" applyBorder="1"/>
    <xf numFmtId="0" fontId="3" fillId="23" borderId="2" xfId="0" applyFont="1" applyFill="1" applyBorder="1"/>
    <xf numFmtId="0" fontId="3" fillId="10" borderId="0" xfId="0" applyFont="1" applyFill="1"/>
    <xf numFmtId="0" fontId="3" fillId="23" borderId="0" xfId="0" applyFont="1" applyFill="1"/>
    <xf numFmtId="0" fontId="3" fillId="22" borderId="0" xfId="0" applyFont="1" applyFill="1"/>
    <xf numFmtId="0" fontId="1" fillId="21" borderId="2" xfId="0" applyFont="1" applyFill="1" applyBorder="1" applyAlignment="1"/>
    <xf numFmtId="0" fontId="3" fillId="24" borderId="2" xfId="0" applyFont="1" applyFill="1" applyBorder="1"/>
    <xf numFmtId="0" fontId="1" fillId="24" borderId="2" xfId="0" applyFont="1" applyFill="1" applyBorder="1"/>
    <xf numFmtId="0" fontId="1" fillId="6" borderId="2" xfId="0" applyFont="1" applyFill="1" applyBorder="1"/>
    <xf numFmtId="0" fontId="1" fillId="0" borderId="2" xfId="0" applyFont="1" applyBorder="1" applyAlignment="1"/>
    <xf numFmtId="0" fontId="3" fillId="0" borderId="2" xfId="0" applyFont="1" applyBorder="1" applyAlignment="1"/>
    <xf numFmtId="0" fontId="3" fillId="10" borderId="0" xfId="0" applyFont="1" applyFill="1" applyAlignment="1"/>
    <xf numFmtId="0" fontId="3" fillId="23" borderId="0" xfId="0" applyFont="1" applyFill="1" applyAlignment="1"/>
    <xf numFmtId="0" fontId="3" fillId="22" borderId="0" xfId="0" applyFont="1" applyFill="1" applyAlignment="1"/>
    <xf numFmtId="0" fontId="3" fillId="20" borderId="0" xfId="0" applyFont="1" applyFill="1" applyAlignment="1"/>
    <xf numFmtId="0" fontId="35" fillId="9" borderId="0" xfId="0" applyFont="1" applyFill="1"/>
    <xf numFmtId="0" fontId="33" fillId="16" borderId="0" xfId="0" applyFont="1" applyFill="1"/>
    <xf numFmtId="0" fontId="1" fillId="15" borderId="2" xfId="0" applyFont="1" applyFill="1" applyBorder="1"/>
    <xf numFmtId="0" fontId="1" fillId="0" borderId="2" xfId="0" applyFont="1" applyBorder="1" applyAlignment="1">
      <alignment horizontal="center" vertical="top"/>
    </xf>
    <xf numFmtId="0" fontId="4" fillId="10" borderId="0" xfId="0" applyFont="1" applyFill="1" applyAlignment="1"/>
    <xf numFmtId="0" fontId="2" fillId="0" borderId="0" xfId="0" applyFont="1" applyAlignment="1">
      <alignment vertical="center"/>
    </xf>
    <xf numFmtId="0" fontId="3" fillId="0" borderId="0" xfId="0" applyFont="1" applyAlignment="1">
      <alignment vertical="top" wrapText="1"/>
    </xf>
    <xf numFmtId="176" fontId="3" fillId="0" borderId="0" xfId="0" applyNumberFormat="1" applyFont="1" applyAlignment="1"/>
    <xf numFmtId="0" fontId="36" fillId="0" borderId="0" xfId="0" applyFont="1" applyAlignment="1"/>
    <xf numFmtId="176" fontId="3" fillId="2" borderId="0" xfId="0" applyNumberFormat="1" applyFont="1" applyFill="1" applyAlignment="1"/>
    <xf numFmtId="176" fontId="3" fillId="13" borderId="0" xfId="0" applyNumberFormat="1" applyFont="1" applyFill="1" applyAlignment="1"/>
    <xf numFmtId="0" fontId="37" fillId="9" borderId="0" xfId="0" applyFont="1" applyFill="1" applyAlignment="1">
      <alignment horizontal="left"/>
    </xf>
    <xf numFmtId="0" fontId="38" fillId="9" borderId="0" xfId="0" applyFont="1" applyFill="1" applyAlignment="1">
      <alignment horizontal="left"/>
    </xf>
    <xf numFmtId="0" fontId="1" fillId="21" borderId="0" xfId="0" applyFont="1" applyFill="1" applyAlignment="1"/>
    <xf numFmtId="0" fontId="25" fillId="2" borderId="0" xfId="0" applyFont="1" applyFill="1" applyAlignment="1"/>
    <xf numFmtId="0" fontId="39" fillId="0" borderId="0" xfId="0" applyFont="1" applyAlignment="1"/>
    <xf numFmtId="0" fontId="40" fillId="9" borderId="0" xfId="0" applyFont="1" applyFill="1" applyAlignment="1">
      <alignment horizontal="left" vertical="top" wrapText="1"/>
    </xf>
    <xf numFmtId="0" fontId="2" fillId="0" borderId="0" xfId="0" applyFont="1" applyAlignment="1">
      <alignment horizontal="left"/>
    </xf>
    <xf numFmtId="0" fontId="2" fillId="0" borderId="0" xfId="0" applyFont="1" applyAlignment="1">
      <alignment horizontal="left"/>
    </xf>
    <xf numFmtId="0" fontId="3" fillId="0" borderId="0" xfId="0" applyFont="1" applyAlignment="1">
      <alignment horizontal="center"/>
    </xf>
    <xf numFmtId="0" fontId="2" fillId="0" borderId="0" xfId="0" applyFont="1" applyAlignment="1">
      <alignment horizontal="center"/>
    </xf>
    <xf numFmtId="0" fontId="41" fillId="9" borderId="0" xfId="0" applyFont="1" applyFill="1" applyAlignment="1">
      <alignment horizontal="left"/>
    </xf>
    <xf numFmtId="0" fontId="42" fillId="9" borderId="0" xfId="0" applyFont="1" applyFill="1" applyAlignment="1">
      <alignment horizontal="left"/>
    </xf>
    <xf numFmtId="0" fontId="2" fillId="0" borderId="0" xfId="0" applyFont="1" applyAlignment="1">
      <alignment horizontal="left" wrapText="1"/>
    </xf>
    <xf numFmtId="176" fontId="3" fillId="0" borderId="0" xfId="0" applyNumberFormat="1" applyFont="1" applyAlignment="1">
      <alignment horizontal="center"/>
    </xf>
    <xf numFmtId="0" fontId="3" fillId="0" borderId="0" xfId="0" applyFont="1" applyAlignment="1">
      <alignment wrapText="1"/>
    </xf>
    <xf numFmtId="0" fontId="41" fillId="12" borderId="0" xfId="0" applyFont="1" applyFill="1" applyAlignment="1">
      <alignment horizontal="left"/>
    </xf>
    <xf numFmtId="0" fontId="3" fillId="12" borderId="0" xfId="0" applyFont="1" applyFill="1" applyAlignment="1">
      <alignment horizontal="left"/>
    </xf>
    <xf numFmtId="176" fontId="3" fillId="12" borderId="0" xfId="0" applyNumberFormat="1" applyFont="1" applyFill="1" applyAlignment="1">
      <alignment horizontal="center"/>
    </xf>
    <xf numFmtId="0" fontId="3" fillId="12" borderId="0" xfId="0" applyFont="1" applyFill="1" applyAlignment="1"/>
    <xf numFmtId="0" fontId="3" fillId="12" borderId="0" xfId="0" applyFont="1" applyFill="1"/>
    <xf numFmtId="0" fontId="3" fillId="12" borderId="0" xfId="0" applyFont="1" applyFill="1" applyAlignment="1">
      <alignment wrapText="1"/>
    </xf>
    <xf numFmtId="0" fontId="3" fillId="0" borderId="0" xfId="0" applyFont="1" applyAlignment="1">
      <alignment wrapText="1"/>
    </xf>
    <xf numFmtId="0" fontId="41" fillId="2" borderId="0" xfId="0" applyFont="1" applyFill="1" applyAlignment="1">
      <alignment horizontal="left"/>
    </xf>
    <xf numFmtId="0" fontId="41" fillId="16" borderId="0" xfId="0" applyFont="1" applyFill="1" applyAlignment="1">
      <alignment horizontal="left"/>
    </xf>
    <xf numFmtId="0" fontId="3" fillId="0" borderId="0" xfId="0" applyFont="1" applyAlignment="1">
      <alignment horizontal="center"/>
    </xf>
    <xf numFmtId="0" fontId="12" fillId="2" borderId="0" xfId="0" applyFont="1" applyFill="1" applyAlignment="1">
      <alignment horizontal="left" wrapText="1"/>
    </xf>
    <xf numFmtId="4" fontId="16" fillId="2" borderId="0" xfId="0" applyNumberFormat="1" applyFont="1" applyFill="1" applyAlignment="1"/>
    <xf numFmtId="4" fontId="16" fillId="2" borderId="0" xfId="0" applyNumberFormat="1" applyFont="1" applyFill="1" applyAlignment="1"/>
    <xf numFmtId="0" fontId="42" fillId="16" borderId="0" xfId="0" applyFont="1" applyFill="1" applyAlignment="1">
      <alignment horizontal="left"/>
    </xf>
    <xf numFmtId="0" fontId="3" fillId="0" borderId="0" xfId="0" applyFont="1" applyAlignment="1">
      <alignment horizontal="left"/>
    </xf>
    <xf numFmtId="177" fontId="3" fillId="0" borderId="0" xfId="0" applyNumberFormat="1" applyFont="1" applyAlignment="1">
      <alignment horizontal="center"/>
    </xf>
    <xf numFmtId="0" fontId="13" fillId="9" borderId="0" xfId="0" applyFont="1" applyFill="1" applyAlignment="1">
      <alignment horizontal="left" vertical="top" wrapText="1"/>
    </xf>
    <xf numFmtId="0" fontId="41" fillId="9" borderId="0" xfId="0" applyFont="1" applyFill="1" applyAlignment="1">
      <alignment horizontal="left" vertical="top" wrapText="1"/>
    </xf>
    <xf numFmtId="0" fontId="43" fillId="16" borderId="0" xfId="0" applyFont="1" applyFill="1" applyAlignment="1">
      <alignment horizontal="left" wrapText="1"/>
    </xf>
    <xf numFmtId="0" fontId="41" fillId="25" borderId="0" xfId="0" applyFont="1" applyFill="1" applyAlignment="1">
      <alignment horizontal="left" vertical="top" wrapText="1"/>
    </xf>
    <xf numFmtId="0" fontId="12" fillId="2" borderId="0" xfId="0" applyFont="1" applyFill="1" applyAlignment="1">
      <alignment horizontal="left"/>
    </xf>
    <xf numFmtId="0" fontId="41" fillId="10" borderId="0" xfId="0" applyFont="1" applyFill="1" applyAlignment="1">
      <alignment horizontal="left" vertical="top" wrapText="1"/>
    </xf>
    <xf numFmtId="0" fontId="41" fillId="16" borderId="0" xfId="0" applyFont="1" applyFill="1" applyAlignment="1">
      <alignment horizontal="left" vertical="top" wrapText="1"/>
    </xf>
    <xf numFmtId="0" fontId="44" fillId="0" borderId="0" xfId="0" applyFont="1" applyAlignment="1">
      <alignment wrapText="1"/>
    </xf>
    <xf numFmtId="0" fontId="41" fillId="2" borderId="0" xfId="0" applyFont="1" applyFill="1" applyAlignment="1">
      <alignment horizontal="left" vertical="top" wrapText="1"/>
    </xf>
    <xf numFmtId="0" fontId="45" fillId="0" borderId="0" xfId="0" applyFont="1" applyAlignment="1">
      <alignment horizontal="center"/>
    </xf>
    <xf numFmtId="0" fontId="45" fillId="0" borderId="0" xfId="0" applyFont="1" applyAlignment="1">
      <alignment horizontal="center"/>
    </xf>
    <xf numFmtId="0" fontId="45" fillId="0" borderId="0" xfId="0" applyFont="1"/>
    <xf numFmtId="0" fontId="45" fillId="0" borderId="2" xfId="0" applyFont="1" applyBorder="1" applyAlignment="1">
      <alignment horizontal="center"/>
    </xf>
    <xf numFmtId="0" fontId="45" fillId="0" borderId="2" xfId="0" applyFont="1" applyBorder="1" applyAlignment="1">
      <alignment horizontal="center"/>
    </xf>
    <xf numFmtId="0" fontId="46" fillId="9" borderId="0" xfId="0" applyFont="1" applyFill="1" applyAlignment="1">
      <alignment horizontal="left"/>
    </xf>
    <xf numFmtId="0" fontId="12" fillId="9" borderId="0" xfId="0" applyFont="1" applyFill="1" applyAlignment="1"/>
    <xf numFmtId="0" fontId="17" fillId="9" borderId="0" xfId="0" applyFont="1" applyFill="1" applyAlignment="1">
      <alignment horizontal="left"/>
    </xf>
    <xf numFmtId="0" fontId="50" fillId="0" borderId="0" xfId="0" applyFont="1" applyAlignment="1"/>
    <xf numFmtId="0" fontId="12" fillId="23" borderId="0" xfId="0" applyFont="1" applyFill="1" applyAlignment="1"/>
    <xf numFmtId="4" fontId="51" fillId="0" borderId="0" xfId="0" applyNumberFormat="1" applyFont="1" applyAlignment="1"/>
    <xf numFmtId="0" fontId="12" fillId="18" borderId="0" xfId="0" applyFont="1" applyFill="1" applyAlignment="1"/>
    <xf numFmtId="0" fontId="12" fillId="10" borderId="0" xfId="0" applyFont="1" applyFill="1" applyAlignment="1"/>
    <xf numFmtId="0" fontId="12" fillId="21" borderId="0" xfId="0" applyFont="1" applyFill="1" applyAlignment="1"/>
    <xf numFmtId="0" fontId="12" fillId="26" borderId="0" xfId="0" applyFont="1" applyFill="1" applyAlignment="1"/>
    <xf numFmtId="0" fontId="12" fillId="5" borderId="0" xfId="0" applyFont="1" applyFill="1" applyAlignment="1"/>
    <xf numFmtId="0" fontId="12" fillId="24" borderId="0" xfId="0" applyFont="1" applyFill="1" applyAlignment="1"/>
    <xf numFmtId="0" fontId="52" fillId="0" borderId="0" xfId="0" applyFont="1" applyAlignment="1"/>
    <xf numFmtId="0" fontId="53" fillId="0" borderId="0" xfId="0" applyFont="1"/>
    <xf numFmtId="0" fontId="16" fillId="13" borderId="0" xfId="0" applyFont="1" applyFill="1" applyAlignment="1"/>
    <xf numFmtId="0" fontId="16" fillId="12" borderId="0" xfId="0" applyFont="1" applyFill="1" applyAlignment="1"/>
    <xf numFmtId="0" fontId="16" fillId="17" borderId="0" xfId="0" applyFont="1" applyFill="1" applyAlignment="1"/>
    <xf numFmtId="0" fontId="16" fillId="21" borderId="0" xfId="0" applyFont="1" applyFill="1" applyAlignment="1"/>
    <xf numFmtId="0" fontId="16" fillId="13" borderId="0" xfId="0" applyFont="1" applyFill="1" applyAlignment="1"/>
    <xf numFmtId="0" fontId="16" fillId="21" borderId="0" xfId="0" applyFont="1" applyFill="1" applyAlignment="1"/>
    <xf numFmtId="0" fontId="16" fillId="6" borderId="0" xfId="0" applyFont="1" applyFill="1" applyAlignment="1"/>
    <xf numFmtId="0" fontId="16" fillId="27" borderId="0" xfId="0" applyFont="1" applyFill="1" applyAlignment="1"/>
    <xf numFmtId="4" fontId="16" fillId="17" borderId="0" xfId="0" applyNumberFormat="1" applyFont="1" applyFill="1" applyAlignment="1"/>
    <xf numFmtId="0" fontId="16" fillId="28" borderId="0" xfId="0" applyFont="1" applyFill="1" applyAlignment="1"/>
    <xf numFmtId="0" fontId="12" fillId="12" borderId="0" xfId="0" applyFont="1" applyFill="1" applyAlignment="1"/>
    <xf numFmtId="0" fontId="16" fillId="29" borderId="0" xfId="0" applyFont="1" applyFill="1" applyAlignment="1"/>
    <xf numFmtId="0" fontId="16" fillId="12" borderId="0" xfId="0" applyFont="1" applyFill="1" applyAlignment="1"/>
    <xf numFmtId="4" fontId="16" fillId="25" borderId="0" xfId="0" applyNumberFormat="1" applyFont="1" applyFill="1" applyAlignment="1"/>
    <xf numFmtId="4" fontId="16" fillId="30" borderId="0" xfId="0" applyNumberFormat="1" applyFont="1" applyFill="1" applyAlignment="1"/>
    <xf numFmtId="0" fontId="16" fillId="31" borderId="0" xfId="0" applyFont="1" applyFill="1" applyAlignment="1"/>
    <xf numFmtId="0" fontId="16" fillId="30" borderId="0" xfId="0" applyFont="1" applyFill="1" applyAlignment="1"/>
    <xf numFmtId="0" fontId="16" fillId="25" borderId="0" xfId="0" applyFont="1" applyFill="1" applyAlignment="1"/>
    <xf numFmtId="4" fontId="16" fillId="22" borderId="0" xfId="0" applyNumberFormat="1" applyFont="1" applyFill="1" applyAlignment="1"/>
    <xf numFmtId="0" fontId="54" fillId="2" borderId="0" xfId="0" applyFont="1" applyFill="1"/>
    <xf numFmtId="0" fontId="20" fillId="0" borderId="0" xfId="0" applyFont="1" applyAlignment="1"/>
    <xf numFmtId="0" fontId="55" fillId="0" borderId="0" xfId="0" applyFont="1" applyAlignment="1">
      <alignment horizontal="center" vertical="top"/>
    </xf>
    <xf numFmtId="0" fontId="56" fillId="0" borderId="0" xfId="0" applyFont="1" applyAlignment="1"/>
    <xf numFmtId="0" fontId="40" fillId="9" borderId="0" xfId="0" applyFont="1" applyFill="1" applyAlignment="1">
      <alignment horizontal="center" vertical="top" wrapText="1"/>
    </xf>
    <xf numFmtId="0" fontId="59" fillId="9" borderId="12" xfId="0" applyFont="1" applyFill="1" applyBorder="1" applyAlignment="1">
      <alignment horizontal="center" vertical="top" wrapText="1"/>
    </xf>
    <xf numFmtId="0" fontId="8" fillId="0" borderId="0" xfId="0" applyFont="1" applyAlignment="1">
      <alignment horizontal="center"/>
    </xf>
    <xf numFmtId="0" fontId="60" fillId="0" borderId="0" xfId="0" applyFont="1" applyAlignment="1">
      <alignment horizontal="center"/>
    </xf>
    <xf numFmtId="0" fontId="8" fillId="9" borderId="0" xfId="0" applyFont="1" applyFill="1" applyAlignment="1">
      <alignment horizontal="center"/>
    </xf>
    <xf numFmtId="0" fontId="60" fillId="0" borderId="13" xfId="0" applyFont="1" applyBorder="1" applyAlignment="1">
      <alignment horizontal="left"/>
    </xf>
    <xf numFmtId="0" fontId="60" fillId="0" borderId="0" xfId="0" applyFont="1" applyAlignment="1">
      <alignment horizontal="left"/>
    </xf>
    <xf numFmtId="0" fontId="60" fillId="0" borderId="0" xfId="0" applyFont="1" applyAlignment="1">
      <alignment horizontal="left"/>
    </xf>
    <xf numFmtId="0" fontId="60" fillId="0" borderId="14" xfId="0" applyFont="1" applyBorder="1" applyAlignment="1">
      <alignment horizontal="center"/>
    </xf>
    <xf numFmtId="0" fontId="10" fillId="0" borderId="0" xfId="0" applyFont="1"/>
    <xf numFmtId="0" fontId="10" fillId="0" borderId="0" xfId="0" applyFont="1" applyAlignment="1">
      <alignment horizontal="center"/>
    </xf>
    <xf numFmtId="0" fontId="61" fillId="0" borderId="12" xfId="0" applyFont="1" applyBorder="1" applyAlignment="1">
      <alignment horizontal="center"/>
    </xf>
    <xf numFmtId="178" fontId="61" fillId="0" borderId="0" xfId="0" applyNumberFormat="1" applyFont="1" applyAlignment="1">
      <alignment horizontal="center"/>
    </xf>
    <xf numFmtId="0" fontId="62" fillId="0" borderId="0" xfId="0" applyFont="1" applyAlignment="1"/>
    <xf numFmtId="0" fontId="61" fillId="0" borderId="0" xfId="0" applyFont="1" applyAlignment="1"/>
    <xf numFmtId="0" fontId="63" fillId="9" borderId="13" xfId="0" applyFont="1" applyFill="1" applyBorder="1" applyAlignment="1">
      <alignment horizontal="left"/>
    </xf>
    <xf numFmtId="0" fontId="61" fillId="0" borderId="0" xfId="0" applyFont="1" applyAlignment="1">
      <alignment horizontal="center"/>
    </xf>
    <xf numFmtId="0" fontId="61" fillId="0" borderId="0" xfId="0" applyFont="1"/>
    <xf numFmtId="0" fontId="61" fillId="0" borderId="14" xfId="0" applyFont="1" applyBorder="1"/>
    <xf numFmtId="0" fontId="3" fillId="0" borderId="12" xfId="0" applyFont="1" applyBorder="1" applyAlignment="1">
      <alignment horizontal="center"/>
    </xf>
    <xf numFmtId="0" fontId="3" fillId="0" borderId="13" xfId="0" applyFont="1" applyBorder="1"/>
    <xf numFmtId="0" fontId="3" fillId="0" borderId="14" xfId="0" applyFont="1" applyBorder="1"/>
    <xf numFmtId="0" fontId="3" fillId="0" borderId="15" xfId="0" applyFont="1" applyBorder="1" applyAlignment="1">
      <alignment horizontal="center"/>
    </xf>
    <xf numFmtId="0" fontId="3" fillId="0" borderId="16" xfId="0" applyFont="1" applyBorder="1" applyAlignment="1">
      <alignment horizontal="center"/>
    </xf>
    <xf numFmtId="0" fontId="3" fillId="0" borderId="16" xfId="0" applyFont="1" applyBorder="1"/>
    <xf numFmtId="0" fontId="3" fillId="0" borderId="17" xfId="0" applyFont="1" applyBorder="1"/>
    <xf numFmtId="0" fontId="3" fillId="0" borderId="18" xfId="0" applyFont="1" applyBorder="1"/>
    <xf numFmtId="0" fontId="3" fillId="0" borderId="19" xfId="0" applyFont="1" applyBorder="1"/>
    <xf numFmtId="20" fontId="20" fillId="0" borderId="0" xfId="0" applyNumberFormat="1" applyFont="1" applyAlignment="1"/>
    <xf numFmtId="0" fontId="12" fillId="0" borderId="0" xfId="0" applyFont="1" applyAlignment="1">
      <alignment horizontal="left"/>
    </xf>
    <xf numFmtId="0" fontId="12" fillId="0" borderId="0" xfId="0" applyFont="1" applyAlignment="1"/>
    <xf numFmtId="0" fontId="12" fillId="0" borderId="0" xfId="0" applyFont="1" applyAlignment="1"/>
    <xf numFmtId="0" fontId="64" fillId="0" borderId="0" xfId="0" applyFont="1" applyAlignment="1"/>
    <xf numFmtId="0" fontId="12" fillId="32" borderId="0" xfId="0" applyFont="1" applyFill="1" applyAlignment="1"/>
    <xf numFmtId="0" fontId="12" fillId="33" borderId="0" xfId="0" applyFont="1" applyFill="1" applyAlignment="1"/>
    <xf numFmtId="0" fontId="12" fillId="6" borderId="0" xfId="0" applyFont="1" applyFill="1" applyAlignment="1"/>
    <xf numFmtId="0" fontId="65" fillId="0" borderId="0" xfId="0" applyFont="1" applyAlignment="1"/>
    <xf numFmtId="0" fontId="66" fillId="16" borderId="0" xfId="0" applyFont="1" applyFill="1" applyAlignment="1">
      <alignment horizontal="left"/>
    </xf>
    <xf numFmtId="0" fontId="12" fillId="2" borderId="0" xfId="0" applyFont="1" applyFill="1" applyAlignment="1">
      <alignment horizontal="left"/>
    </xf>
    <xf numFmtId="0" fontId="67" fillId="0" borderId="0" xfId="0" applyFont="1"/>
    <xf numFmtId="0" fontId="3" fillId="0" borderId="0" xfId="0" applyFont="1" applyAlignment="1"/>
    <xf numFmtId="0" fontId="68" fillId="0" borderId="0" xfId="0" applyFont="1" applyAlignment="1"/>
    <xf numFmtId="0" fontId="69" fillId="13" borderId="0" xfId="0" applyFont="1" applyFill="1" applyAlignment="1"/>
    <xf numFmtId="0" fontId="25" fillId="0" borderId="0" xfId="0" applyFont="1" applyAlignment="1"/>
    <xf numFmtId="0" fontId="70" fillId="2" borderId="0" xfId="0" applyFont="1" applyFill="1" applyAlignment="1"/>
    <xf numFmtId="0" fontId="1" fillId="7" borderId="0" xfId="0" applyFont="1" applyFill="1" applyAlignment="1"/>
    <xf numFmtId="0" fontId="0" fillId="0" borderId="0" xfId="0" applyFont="1" applyAlignment="1"/>
    <xf numFmtId="0" fontId="47" fillId="0" borderId="3" xfId="0" applyFont="1" applyBorder="1" applyAlignment="1"/>
    <xf numFmtId="0" fontId="48" fillId="0" borderId="4" xfId="0" applyFont="1" applyBorder="1"/>
    <xf numFmtId="0" fontId="48" fillId="0" borderId="5" xfId="0" applyFont="1" applyBorder="1"/>
    <xf numFmtId="0" fontId="49" fillId="0" borderId="0" xfId="0" applyFont="1" applyAlignment="1">
      <alignment horizontal="left"/>
    </xf>
    <xf numFmtId="0" fontId="57" fillId="0" borderId="6" xfId="0" applyFont="1" applyBorder="1" applyAlignment="1">
      <alignment horizontal="center"/>
    </xf>
    <xf numFmtId="0" fontId="48" fillId="0" borderId="7" xfId="0" applyFont="1" applyBorder="1"/>
    <xf numFmtId="0" fontId="48" fillId="0" borderId="8" xfId="0" applyFont="1" applyBorder="1"/>
    <xf numFmtId="0" fontId="58" fillId="9" borderId="9" xfId="0" applyFont="1" applyFill="1" applyBorder="1" applyAlignment="1">
      <alignment horizontal="center" vertical="top" wrapText="1"/>
    </xf>
    <xf numFmtId="0" fontId="48" fillId="0" borderId="10" xfId="0" applyFont="1" applyBorder="1"/>
    <xf numFmtId="0" fontId="48" fillId="0" borderId="11" xfId="0" applyFont="1" applyBorder="1"/>
    <xf numFmtId="0" fontId="12" fillId="0" borderId="0" xfId="0" applyFont="1" applyAlignment="1">
      <alignment vertical="top"/>
    </xf>
    <xf numFmtId="0" fontId="84" fillId="0" borderId="0" xfId="0" applyFont="1" applyAlignment="1"/>
  </cellXfs>
  <cellStyles count="1">
    <cellStyle name="常规"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10</xdr:col>
      <xdr:colOff>866775</xdr:colOff>
      <xdr:row>56</xdr:row>
      <xdr:rowOff>180975</xdr:rowOff>
    </xdr:from>
    <xdr:ext cx="457200" cy="190500"/>
    <xdr:pic>
      <xdr:nvPicPr>
        <xdr:cNvPr id="2" name="image2.png" title="Image">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5238750</xdr:colOff>
      <xdr:row>13</xdr:row>
      <xdr:rowOff>200025</xdr:rowOff>
    </xdr:from>
    <xdr:ext cx="314325" cy="190500"/>
    <xdr:pic>
      <xdr:nvPicPr>
        <xdr:cNvPr id="3" name="image1.png" title="Image">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10</xdr:col>
      <xdr:colOff>866775</xdr:colOff>
      <xdr:row>58</xdr:row>
      <xdr:rowOff>180975</xdr:rowOff>
    </xdr:from>
    <xdr:ext cx="457200" cy="190500"/>
    <xdr:pic>
      <xdr:nvPicPr>
        <xdr:cNvPr id="2" name="image2.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5238750</xdr:colOff>
      <xdr:row>13</xdr:row>
      <xdr:rowOff>200025</xdr:rowOff>
    </xdr:from>
    <xdr:ext cx="314325" cy="190500"/>
    <xdr:pic>
      <xdr:nvPicPr>
        <xdr:cNvPr id="3" name="image1.png" title="Image">
          <a:extLst>
            <a:ext uri="{FF2B5EF4-FFF2-40B4-BE49-F238E27FC236}">
              <a16:creationId xmlns:a16="http://schemas.microsoft.com/office/drawing/2014/main" id="{00000000-0008-0000-1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iqiyi.com/v_2b7dt657dgg.html" TargetMode="External"/><Relationship Id="rId299" Type="http://schemas.openxmlformats.org/officeDocument/2006/relationships/hyperlink" Target="https://www.iqiyi.com/v_2bvr40ahqls.html" TargetMode="External"/><Relationship Id="rId21" Type="http://schemas.openxmlformats.org/officeDocument/2006/relationships/hyperlink" Target="https://www.iqiyi.com/v_fnv2jl6aqc.html" TargetMode="External"/><Relationship Id="rId63" Type="http://schemas.openxmlformats.org/officeDocument/2006/relationships/hyperlink" Target="https://www.iqiyi.com/v_28ir6fn3f9w.html" TargetMode="External"/><Relationship Id="rId159" Type="http://schemas.openxmlformats.org/officeDocument/2006/relationships/hyperlink" Target="http://www.iqiyi.com/v_1u0x3rzzbjs.html?share_sTime=199" TargetMode="External"/><Relationship Id="rId324" Type="http://schemas.openxmlformats.org/officeDocument/2006/relationships/hyperlink" Target="https://www.iqiyi.com/v_1s40j847frg.html" TargetMode="External"/><Relationship Id="rId366" Type="http://schemas.openxmlformats.org/officeDocument/2006/relationships/hyperlink" Target="https://www.iqiyi.com/v_lb88qku9oc.html" TargetMode="External"/><Relationship Id="rId170" Type="http://schemas.openxmlformats.org/officeDocument/2006/relationships/hyperlink" Target="https://www.iqiyi.com/v_g1ofle6l90.html" TargetMode="External"/><Relationship Id="rId226" Type="http://schemas.openxmlformats.org/officeDocument/2006/relationships/hyperlink" Target="https://www.iqiyi.com/v_msxfx2099w.html" TargetMode="External"/><Relationship Id="rId433" Type="http://schemas.openxmlformats.org/officeDocument/2006/relationships/hyperlink" Target="https://www.iqiyi.com/v_1deqcff9qko.html" TargetMode="External"/><Relationship Id="rId268" Type="http://schemas.openxmlformats.org/officeDocument/2006/relationships/hyperlink" Target="http://www.iqiyi.com/v_lmhkxrqwlk.html?share_sTime=436" TargetMode="External"/><Relationship Id="rId475" Type="http://schemas.openxmlformats.org/officeDocument/2006/relationships/hyperlink" Target="https://www.iqiyi.com/v_1kzf2cy2qq4.html" TargetMode="External"/><Relationship Id="rId32" Type="http://schemas.openxmlformats.org/officeDocument/2006/relationships/hyperlink" Target="http://www.iqiyi.com/v_2fb1s6tz13k.html" TargetMode="External"/><Relationship Id="rId74" Type="http://schemas.openxmlformats.org/officeDocument/2006/relationships/hyperlink" Target="https://www.iqiyi.com/v_1i727m0zp2g.html" TargetMode="External"/><Relationship Id="rId128" Type="http://schemas.openxmlformats.org/officeDocument/2006/relationships/hyperlink" Target="https://www.iqiyi.com/v_28ir6fn3f9w.html" TargetMode="External"/><Relationship Id="rId335" Type="http://schemas.openxmlformats.org/officeDocument/2006/relationships/hyperlink" Target="http://www.iqiyi.com/v_uscurycmg8.html?share_sTime=202" TargetMode="External"/><Relationship Id="rId377" Type="http://schemas.openxmlformats.org/officeDocument/2006/relationships/hyperlink" Target="https://www.iqiyi.com/v_v9pgkqlzt8.html" TargetMode="External"/><Relationship Id="rId5" Type="http://schemas.openxmlformats.org/officeDocument/2006/relationships/hyperlink" Target="http://www.iqiyi.com/v_13zv6vx492s.html" TargetMode="External"/><Relationship Id="rId181" Type="http://schemas.openxmlformats.org/officeDocument/2006/relationships/hyperlink" Target="http://www.iqiyi.com/v_1qc2dhhf17c.html?share_sTime=311" TargetMode="External"/><Relationship Id="rId237" Type="http://schemas.openxmlformats.org/officeDocument/2006/relationships/hyperlink" Target="http://www.iqiyi.com/v_13zv6vx492s.html?share_sTime=232" TargetMode="External"/><Relationship Id="rId402" Type="http://schemas.openxmlformats.org/officeDocument/2006/relationships/hyperlink" Target="https://www.iqiyi.com/v_1kzf2cy2qq4.html" TargetMode="External"/><Relationship Id="rId279" Type="http://schemas.openxmlformats.org/officeDocument/2006/relationships/hyperlink" Target="https://www.iqiyi.com/v_1ni7svvsz98.html" TargetMode="External"/><Relationship Id="rId444" Type="http://schemas.openxmlformats.org/officeDocument/2006/relationships/hyperlink" Target="https://www.iqiyi.com/v_1jvbmagcje4.html" TargetMode="External"/><Relationship Id="rId43" Type="http://schemas.openxmlformats.org/officeDocument/2006/relationships/hyperlink" Target="https://www.iqiyi.com/v_1rshytn0qmw.html" TargetMode="External"/><Relationship Id="rId139" Type="http://schemas.openxmlformats.org/officeDocument/2006/relationships/hyperlink" Target="https://www.iqiyi.com/v_1zj8zpc1uug.html" TargetMode="External"/><Relationship Id="rId290" Type="http://schemas.openxmlformats.org/officeDocument/2006/relationships/hyperlink" Target="https://www.iqiyi.com/v_1y4efpjcbog.html" TargetMode="External"/><Relationship Id="rId304" Type="http://schemas.openxmlformats.org/officeDocument/2006/relationships/hyperlink" Target="https://www.iqiyi.com/v_1zj8zpc1uug.html" TargetMode="External"/><Relationship Id="rId346" Type="http://schemas.openxmlformats.org/officeDocument/2006/relationships/hyperlink" Target="https://www.iqiyi.com/v_1tiq2wkvjj8.html" TargetMode="External"/><Relationship Id="rId388" Type="http://schemas.openxmlformats.org/officeDocument/2006/relationships/hyperlink" Target="https://www.iqiyi.com/v_csh1i54cfs.html" TargetMode="External"/><Relationship Id="rId85" Type="http://schemas.openxmlformats.org/officeDocument/2006/relationships/hyperlink" Target="https://www.iqiyi.com/v_1dz6udux11w.html" TargetMode="External"/><Relationship Id="rId150" Type="http://schemas.openxmlformats.org/officeDocument/2006/relationships/hyperlink" Target="http://www.iqiyi.com/v_fnv2jl6aqc.html?share_sTime=144" TargetMode="External"/><Relationship Id="rId192" Type="http://schemas.openxmlformats.org/officeDocument/2006/relationships/hyperlink" Target="https://www.iqiyi.com/v_19qcoi3tjz0.html" TargetMode="External"/><Relationship Id="rId206" Type="http://schemas.openxmlformats.org/officeDocument/2006/relationships/hyperlink" Target="https://www.iqiyi.com/v_19qcoi3tjz0.html" TargetMode="External"/><Relationship Id="rId413" Type="http://schemas.openxmlformats.org/officeDocument/2006/relationships/hyperlink" Target="http://www.iqiyi.com/v_13zv6vx492s.html?share_sTime=309" TargetMode="External"/><Relationship Id="rId248" Type="http://schemas.openxmlformats.org/officeDocument/2006/relationships/hyperlink" Target="https://www.iqiyi.com/v_hbk4n4wja8.html" TargetMode="External"/><Relationship Id="rId455" Type="http://schemas.openxmlformats.org/officeDocument/2006/relationships/hyperlink" Target="https://www.iqiyi.com/v_1ni7svvsz98.html" TargetMode="External"/><Relationship Id="rId12" Type="http://schemas.openxmlformats.org/officeDocument/2006/relationships/hyperlink" Target="https://www.iqiyi.com/v_lmhkxrqwlk.html" TargetMode="External"/><Relationship Id="rId108" Type="http://schemas.openxmlformats.org/officeDocument/2006/relationships/hyperlink" Target="https://www.iqiyi.com/v_2b7dt657dgg.html" TargetMode="External"/><Relationship Id="rId315" Type="http://schemas.openxmlformats.org/officeDocument/2006/relationships/hyperlink" Target="https://www.iqiyi.com/v_1qc2dhhf4rc.html" TargetMode="External"/><Relationship Id="rId357" Type="http://schemas.openxmlformats.org/officeDocument/2006/relationships/hyperlink" Target="https://www.iqiyi.com/v_okv7zn6jfo.html" TargetMode="External"/><Relationship Id="rId54" Type="http://schemas.openxmlformats.org/officeDocument/2006/relationships/hyperlink" Target="https://www.iqiyi.com/v_1smrdalxvck.html" TargetMode="External"/><Relationship Id="rId96" Type="http://schemas.openxmlformats.org/officeDocument/2006/relationships/hyperlink" Target="https://www.iqiyi.com/v_2b7dt657dgg.html" TargetMode="External"/><Relationship Id="rId161" Type="http://schemas.openxmlformats.org/officeDocument/2006/relationships/hyperlink" Target="https://www.iqiyi.com/v_bq95qmvkj0.html" TargetMode="External"/><Relationship Id="rId217" Type="http://schemas.openxmlformats.org/officeDocument/2006/relationships/hyperlink" Target="https://www.iqiyi.com/v_105jzk25f38.html" TargetMode="External"/><Relationship Id="rId399" Type="http://schemas.openxmlformats.org/officeDocument/2006/relationships/hyperlink" Target="https://www.iqiyi.com/v_1kzf2cy2qq4.html" TargetMode="External"/><Relationship Id="rId259" Type="http://schemas.openxmlformats.org/officeDocument/2006/relationships/hyperlink" Target="https://www.iqiyi.com/v_2fb1s6tz13k.html" TargetMode="External"/><Relationship Id="rId424" Type="http://schemas.openxmlformats.org/officeDocument/2006/relationships/hyperlink" Target="https://www.iqiyi.com/v_26obq94b7l4.html" TargetMode="External"/><Relationship Id="rId466" Type="http://schemas.openxmlformats.org/officeDocument/2006/relationships/hyperlink" Target="https://www.iqiyi.com/v_1zj8zpc1uug.html" TargetMode="External"/><Relationship Id="rId23" Type="http://schemas.openxmlformats.org/officeDocument/2006/relationships/hyperlink" Target="http://www.iqiyi.com/v_1u0x3rzzbjs.html" TargetMode="External"/><Relationship Id="rId119" Type="http://schemas.openxmlformats.org/officeDocument/2006/relationships/hyperlink" Target="https://www.iqiyi.com/v_22oj3vcj014.html" TargetMode="External"/><Relationship Id="rId270" Type="http://schemas.openxmlformats.org/officeDocument/2006/relationships/hyperlink" Target="http://www.iqiyi.com/v_2bufryvc36k.html?share_sTime=98" TargetMode="External"/><Relationship Id="rId326" Type="http://schemas.openxmlformats.org/officeDocument/2006/relationships/hyperlink" Target="https://www.iqiyi.com/v_1s40j847frg.html" TargetMode="External"/><Relationship Id="rId65" Type="http://schemas.openxmlformats.org/officeDocument/2006/relationships/hyperlink" Target="https://www.iqiyi.com/v_1d74ab1jfsk.html" TargetMode="External"/><Relationship Id="rId130" Type="http://schemas.openxmlformats.org/officeDocument/2006/relationships/hyperlink" Target="http://www.iqiyi.com/v_1c7atnuhsr4.html?share_sTime=595" TargetMode="External"/><Relationship Id="rId368" Type="http://schemas.openxmlformats.org/officeDocument/2006/relationships/hyperlink" Target="https://www.iqiyi.com/v_105jzk25f38.html" TargetMode="External"/><Relationship Id="rId172" Type="http://schemas.openxmlformats.org/officeDocument/2006/relationships/hyperlink" Target="http://www.iqiyi.com/v_uscurycmg8.html?share_sTime=360" TargetMode="External"/><Relationship Id="rId228" Type="http://schemas.openxmlformats.org/officeDocument/2006/relationships/hyperlink" Target="https://www.iqiyi.com/v_msxfx2099w.html" TargetMode="External"/><Relationship Id="rId435" Type="http://schemas.openxmlformats.org/officeDocument/2006/relationships/hyperlink" Target="https://www.iqiyi.com/v_1deqcff9qko.html" TargetMode="External"/><Relationship Id="rId477" Type="http://schemas.openxmlformats.org/officeDocument/2006/relationships/printerSettings" Target="../printerSettings/printerSettings1.bin"/><Relationship Id="rId281" Type="http://schemas.openxmlformats.org/officeDocument/2006/relationships/hyperlink" Target="https://www.iqiyi.com/v_2docnt7jyw8.html" TargetMode="External"/><Relationship Id="rId337" Type="http://schemas.openxmlformats.org/officeDocument/2006/relationships/hyperlink" Target="http://www.iqiyi.com/v_1qc2dhhf17c.html?share_sTime=32" TargetMode="External"/><Relationship Id="rId34" Type="http://schemas.openxmlformats.org/officeDocument/2006/relationships/hyperlink" Target="https://www.iqiyi.com/v_17l6d2qrdv0.html" TargetMode="External"/><Relationship Id="rId76" Type="http://schemas.openxmlformats.org/officeDocument/2006/relationships/hyperlink" Target="http://www.iqiyi.com/v_105jzk25f38.html?share_sTime=252" TargetMode="External"/><Relationship Id="rId141" Type="http://schemas.openxmlformats.org/officeDocument/2006/relationships/hyperlink" Target="https://www.iqiyi.com/v_bq95qmvkj0.html" TargetMode="External"/><Relationship Id="rId379" Type="http://schemas.openxmlformats.org/officeDocument/2006/relationships/hyperlink" Target="https://www.iqiyi.com/v_2bx0gdxkbbo.html" TargetMode="External"/><Relationship Id="rId7" Type="http://schemas.openxmlformats.org/officeDocument/2006/relationships/hyperlink" Target="https://www.iqiyi.com/v_fnv2jl6aqc.html" TargetMode="External"/><Relationship Id="rId183" Type="http://schemas.openxmlformats.org/officeDocument/2006/relationships/hyperlink" Target="https://www.iqiyi.com/v_1yt8bhslu38.html" TargetMode="External"/><Relationship Id="rId239" Type="http://schemas.openxmlformats.org/officeDocument/2006/relationships/hyperlink" Target="http://www.iqiyi.com/v_13zv6vx492s.html?share_sTime=255" TargetMode="External"/><Relationship Id="rId390" Type="http://schemas.openxmlformats.org/officeDocument/2006/relationships/hyperlink" Target="https://www.iqiyi.com/v_v9pgkqlzt8.html" TargetMode="External"/><Relationship Id="rId404" Type="http://schemas.openxmlformats.org/officeDocument/2006/relationships/hyperlink" Target="https://www.iqiyi.com/v_17l6d2qrdv0.html" TargetMode="External"/><Relationship Id="rId446" Type="http://schemas.openxmlformats.org/officeDocument/2006/relationships/hyperlink" Target="https://www.iqiyi.com/v_1jvbmagcje4.html" TargetMode="External"/><Relationship Id="rId250" Type="http://schemas.openxmlformats.org/officeDocument/2006/relationships/hyperlink" Target="https://www.iqiyi.com/v_fnv2jl6aqc.html" TargetMode="External"/><Relationship Id="rId292" Type="http://schemas.openxmlformats.org/officeDocument/2006/relationships/hyperlink" Target="https://www.iqiyi.com/v_1dz6udux11w.html" TargetMode="External"/><Relationship Id="rId306" Type="http://schemas.openxmlformats.org/officeDocument/2006/relationships/hyperlink" Target="https://www.iqiyi.com/v_1zj8zpc1uug.html" TargetMode="External"/><Relationship Id="rId45" Type="http://schemas.openxmlformats.org/officeDocument/2006/relationships/hyperlink" Target="https://www.iqiyi.com/v_g1ofle6l90.html" TargetMode="External"/><Relationship Id="rId87" Type="http://schemas.openxmlformats.org/officeDocument/2006/relationships/hyperlink" Target="https://www.iqiyi.com/v_17l6d2qrdv0.html" TargetMode="External"/><Relationship Id="rId110" Type="http://schemas.openxmlformats.org/officeDocument/2006/relationships/hyperlink" Target="https://www.iqiyi.com/v_1ymadtms6ww.html" TargetMode="External"/><Relationship Id="rId348" Type="http://schemas.openxmlformats.org/officeDocument/2006/relationships/hyperlink" Target="https://www.iqiyi.com/v_okv7zn6jfo.html" TargetMode="External"/><Relationship Id="rId152" Type="http://schemas.openxmlformats.org/officeDocument/2006/relationships/hyperlink" Target="https://www.iqiyi.com/v_2c66zp7rcp0.html" TargetMode="External"/><Relationship Id="rId194" Type="http://schemas.openxmlformats.org/officeDocument/2006/relationships/hyperlink" Target="https://www.iqiyi.com/v_v9pgkqlzt8.html" TargetMode="External"/><Relationship Id="rId208" Type="http://schemas.openxmlformats.org/officeDocument/2006/relationships/hyperlink" Target="https://www.iqiyi.com/v_19qcoi3tjz0.html" TargetMode="External"/><Relationship Id="rId415" Type="http://schemas.openxmlformats.org/officeDocument/2006/relationships/hyperlink" Target="http://www.iqiyi.com/v_14006zhf2uo.html?share_sTime=137" TargetMode="External"/><Relationship Id="rId457" Type="http://schemas.openxmlformats.org/officeDocument/2006/relationships/hyperlink" Target="https://www.iqiyi.com/v_1s40j847frg.html" TargetMode="External"/><Relationship Id="rId261" Type="http://schemas.openxmlformats.org/officeDocument/2006/relationships/hyperlink" Target="https://www.iqiyi.com/v_26obq94b7l4.html" TargetMode="External"/><Relationship Id="rId14" Type="http://schemas.openxmlformats.org/officeDocument/2006/relationships/hyperlink" Target="http://www.iqiyi.com/v_17l6d2qrdv0.html" TargetMode="External"/><Relationship Id="rId56" Type="http://schemas.openxmlformats.org/officeDocument/2006/relationships/hyperlink" Target="https://www.iqiyi.com/v_17k557yo4hc.html" TargetMode="External"/><Relationship Id="rId317" Type="http://schemas.openxmlformats.org/officeDocument/2006/relationships/hyperlink" Target="https://www.iqiyi.com/v_1qc2dhhf4rc.html" TargetMode="External"/><Relationship Id="rId359" Type="http://schemas.openxmlformats.org/officeDocument/2006/relationships/hyperlink" Target="https://www.iqiyi.com/v_tg0bzav0ko.html" TargetMode="External"/><Relationship Id="rId98" Type="http://schemas.openxmlformats.org/officeDocument/2006/relationships/hyperlink" Target="https://www.iqiyi.com/v_1smrdalxvck.html" TargetMode="External"/><Relationship Id="rId121" Type="http://schemas.openxmlformats.org/officeDocument/2006/relationships/hyperlink" Target="http://www.iqiyi.com/v_2bufryvc36k.html?share_sTime=266" TargetMode="External"/><Relationship Id="rId163" Type="http://schemas.openxmlformats.org/officeDocument/2006/relationships/hyperlink" Target="http://www.iqiyi.com/v_uscurycmg8.html?share_sTime=93" TargetMode="External"/><Relationship Id="rId219" Type="http://schemas.openxmlformats.org/officeDocument/2006/relationships/hyperlink" Target="https://www.iqiyi.com/v_1d74ab1jfsk.html" TargetMode="External"/><Relationship Id="rId370" Type="http://schemas.openxmlformats.org/officeDocument/2006/relationships/hyperlink" Target="https://www.iqiyi.com/v_lb88qku9oc.html" TargetMode="External"/><Relationship Id="rId426" Type="http://schemas.openxmlformats.org/officeDocument/2006/relationships/hyperlink" Target="https://www.iqiyi.com/v_2fb1s6tz13k.html" TargetMode="External"/><Relationship Id="rId230" Type="http://schemas.openxmlformats.org/officeDocument/2006/relationships/hyperlink" Target="https://www.iqiyi.com/v_hbk4n4wja8.html" TargetMode="External"/><Relationship Id="rId468" Type="http://schemas.openxmlformats.org/officeDocument/2006/relationships/hyperlink" Target="https://www.iqiyi.com/v_2docnt7jyw8.html" TargetMode="External"/><Relationship Id="rId25" Type="http://schemas.openxmlformats.org/officeDocument/2006/relationships/hyperlink" Target="https://www.iqiyi.com/v_1p6eeku8olw.html" TargetMode="External"/><Relationship Id="rId67" Type="http://schemas.openxmlformats.org/officeDocument/2006/relationships/hyperlink" Target="http://www.iqiyi.com/v_105jzk25f38.html?share_sTime=73" TargetMode="External"/><Relationship Id="rId272" Type="http://schemas.openxmlformats.org/officeDocument/2006/relationships/hyperlink" Target="http://www.iqiyi.com/v_2bufryvc36k.html?share_sTime=160" TargetMode="External"/><Relationship Id="rId328" Type="http://schemas.openxmlformats.org/officeDocument/2006/relationships/hyperlink" Target="http://www.iqiyi.com/v_2docnt7jyw8.html?share_sTime=311" TargetMode="External"/><Relationship Id="rId132" Type="http://schemas.openxmlformats.org/officeDocument/2006/relationships/hyperlink" Target="https://www.iqiyi.com/v_1rshytn0qmw.html" TargetMode="External"/><Relationship Id="rId174" Type="http://schemas.openxmlformats.org/officeDocument/2006/relationships/hyperlink" Target="http://www.iqiyi.com/v_105jzk25f38.html?share_sTime=98" TargetMode="External"/><Relationship Id="rId381" Type="http://schemas.openxmlformats.org/officeDocument/2006/relationships/hyperlink" Target="https://www.iqiyi.com/v_2bx0gdxkbbo.html" TargetMode="External"/><Relationship Id="rId241" Type="http://schemas.openxmlformats.org/officeDocument/2006/relationships/hyperlink" Target="https://www.iqiyi.com/v_1i727m0zp2g.html" TargetMode="External"/><Relationship Id="rId437" Type="http://schemas.openxmlformats.org/officeDocument/2006/relationships/hyperlink" Target="https://www.iqiyi.com/v_1deqcff9qko.html" TargetMode="External"/><Relationship Id="rId36" Type="http://schemas.openxmlformats.org/officeDocument/2006/relationships/hyperlink" Target="https://www.iqiyi.com/v_g1ofle6l90.html" TargetMode="External"/><Relationship Id="rId283" Type="http://schemas.openxmlformats.org/officeDocument/2006/relationships/hyperlink" Target="http://www.iqiyi.com/v_1c7atnuhsr4.html?share_sTime=595" TargetMode="External"/><Relationship Id="rId339" Type="http://schemas.openxmlformats.org/officeDocument/2006/relationships/hyperlink" Target="http://www.iqiyi.com/v_1qc2dhhf17c.html?share_sTime=311" TargetMode="External"/><Relationship Id="rId78" Type="http://schemas.openxmlformats.org/officeDocument/2006/relationships/hyperlink" Target="https://www.iqiyi.com/v_2bvr40ahqls.html" TargetMode="External"/><Relationship Id="rId101" Type="http://schemas.openxmlformats.org/officeDocument/2006/relationships/hyperlink" Target="https://www.iqiyi.com/v_1tiq2wkvjj8.html" TargetMode="External"/><Relationship Id="rId143" Type="http://schemas.openxmlformats.org/officeDocument/2006/relationships/hyperlink" Target="https://www.iqiyi.com/v_2bvr40ahqls.html" TargetMode="External"/><Relationship Id="rId185" Type="http://schemas.openxmlformats.org/officeDocument/2006/relationships/hyperlink" Target="https://www.iqiyi.com/v_okv7zn6jfo.html" TargetMode="External"/><Relationship Id="rId350" Type="http://schemas.openxmlformats.org/officeDocument/2006/relationships/hyperlink" Target="https://www.iqiyi.com/v_1tiq2wkvjj8.html" TargetMode="External"/><Relationship Id="rId406" Type="http://schemas.openxmlformats.org/officeDocument/2006/relationships/hyperlink" Target="https://www.iqiyi.com/v_109ugarkbks.html" TargetMode="External"/><Relationship Id="rId9" Type="http://schemas.openxmlformats.org/officeDocument/2006/relationships/hyperlink" Target="https://www.iqiyi.com/v_2993z2f1klc.html" TargetMode="External"/><Relationship Id="rId210" Type="http://schemas.openxmlformats.org/officeDocument/2006/relationships/hyperlink" Target="https://www.iqiyi.com/v_msxfx2099w.html" TargetMode="External"/><Relationship Id="rId392" Type="http://schemas.openxmlformats.org/officeDocument/2006/relationships/hyperlink" Target="https://www.iqiyi.com/v_v9pgkqlzt8.html" TargetMode="External"/><Relationship Id="rId448" Type="http://schemas.openxmlformats.org/officeDocument/2006/relationships/hyperlink" Target="https://www.iqiyi.com/v_174uz7e1yl0.html" TargetMode="External"/><Relationship Id="rId252" Type="http://schemas.openxmlformats.org/officeDocument/2006/relationships/hyperlink" Target="https://www.iqiyi.com/v_fnv2jl6aqc.html" TargetMode="External"/><Relationship Id="rId294" Type="http://schemas.openxmlformats.org/officeDocument/2006/relationships/hyperlink" Target="https://www.iqiyi.com/v_28ir6fn3f9w.html" TargetMode="External"/><Relationship Id="rId308" Type="http://schemas.openxmlformats.org/officeDocument/2006/relationships/hyperlink" Target="https://www.iqiyi.com/v_bq95qmvkj0.html" TargetMode="External"/><Relationship Id="rId47" Type="http://schemas.openxmlformats.org/officeDocument/2006/relationships/hyperlink" Target="https://www.iqiyi.com/v_109ugarkbks.html" TargetMode="External"/><Relationship Id="rId89" Type="http://schemas.openxmlformats.org/officeDocument/2006/relationships/hyperlink" Target="https://www.iqiyi.com/v_1qc2dhhf4rc.html" TargetMode="External"/><Relationship Id="rId112" Type="http://schemas.openxmlformats.org/officeDocument/2006/relationships/hyperlink" Target="http://www.iqiyi.com/v_lmhkxrqwlk.html?share_sTime=436" TargetMode="External"/><Relationship Id="rId154" Type="http://schemas.openxmlformats.org/officeDocument/2006/relationships/hyperlink" Target="http://www.iqiyi.com/v_2docnt7jyw8.html?share_sTime=481" TargetMode="External"/><Relationship Id="rId361" Type="http://schemas.openxmlformats.org/officeDocument/2006/relationships/hyperlink" Target="https://www.iqiyi.com/v_okv7zn6jfo.html" TargetMode="External"/><Relationship Id="rId196" Type="http://schemas.openxmlformats.org/officeDocument/2006/relationships/hyperlink" Target="https://www.iqiyi.com/v_19qcoi3tjz0.html" TargetMode="External"/><Relationship Id="rId417" Type="http://schemas.openxmlformats.org/officeDocument/2006/relationships/hyperlink" Target="http://www.iqiyi.com/v_14006zhf2uo.html?share_sTime=149" TargetMode="External"/><Relationship Id="rId459" Type="http://schemas.openxmlformats.org/officeDocument/2006/relationships/hyperlink" Target="https://www.iqiyi.com/v_2docnt7jyw8.html" TargetMode="External"/><Relationship Id="rId16" Type="http://schemas.openxmlformats.org/officeDocument/2006/relationships/hyperlink" Target="https://www.iqiyi.com/v_g1ofle6l90.html" TargetMode="External"/><Relationship Id="rId221" Type="http://schemas.openxmlformats.org/officeDocument/2006/relationships/hyperlink" Target="https://www.iqiyi.com/v_v9pgkqlzt8.html" TargetMode="External"/><Relationship Id="rId263" Type="http://schemas.openxmlformats.org/officeDocument/2006/relationships/hyperlink" Target="https://www.iqiyi.com/v_2c66zp7rcp0.html" TargetMode="External"/><Relationship Id="rId319" Type="http://schemas.openxmlformats.org/officeDocument/2006/relationships/hyperlink" Target="https://www.iqiyi.com/v_g1ofle6l90.html" TargetMode="External"/><Relationship Id="rId470" Type="http://schemas.openxmlformats.org/officeDocument/2006/relationships/hyperlink" Target="https://www.iqiyi.com/v_csh1i54cfs.html" TargetMode="External"/><Relationship Id="rId58" Type="http://schemas.openxmlformats.org/officeDocument/2006/relationships/hyperlink" Target="http://www.iqiyi.com/v_1u0x3rzzbjs.html?share_sTime=223" TargetMode="External"/><Relationship Id="rId123" Type="http://schemas.openxmlformats.org/officeDocument/2006/relationships/hyperlink" Target="https://www.iqiyi.com/v_1rshytn0qmw.html" TargetMode="External"/><Relationship Id="rId330" Type="http://schemas.openxmlformats.org/officeDocument/2006/relationships/hyperlink" Target="http://www.iqiyi.com/v_2docnt7jyw8.html?share_sTime=481" TargetMode="External"/><Relationship Id="rId165" Type="http://schemas.openxmlformats.org/officeDocument/2006/relationships/hyperlink" Target="http://www.iqiyi.com/v_1u0x3rzzbjs.html?share_sTime=306" TargetMode="External"/><Relationship Id="rId372" Type="http://schemas.openxmlformats.org/officeDocument/2006/relationships/hyperlink" Target="https://www.iqiyi.com/v_1d74ab1jfsk.html" TargetMode="External"/><Relationship Id="rId428" Type="http://schemas.openxmlformats.org/officeDocument/2006/relationships/hyperlink" Target="https://www.iqiyi.com/v_23ytugssa8c.html" TargetMode="External"/><Relationship Id="rId232" Type="http://schemas.openxmlformats.org/officeDocument/2006/relationships/hyperlink" Target="https://www.iqiyi.com/v_hbk4n4wja8.html" TargetMode="External"/><Relationship Id="rId274" Type="http://schemas.openxmlformats.org/officeDocument/2006/relationships/hyperlink" Target="http://www.iqiyi.com/v_2bufryvc36k.html?share_sTime=266" TargetMode="External"/><Relationship Id="rId27" Type="http://schemas.openxmlformats.org/officeDocument/2006/relationships/hyperlink" Target="https://www.iqiyi.com/v_1u0x3rzzbjs.html" TargetMode="External"/><Relationship Id="rId69" Type="http://schemas.openxmlformats.org/officeDocument/2006/relationships/hyperlink" Target="https://www.iqiyi.com/v_1p6eeku8olw.html" TargetMode="External"/><Relationship Id="rId134" Type="http://schemas.openxmlformats.org/officeDocument/2006/relationships/hyperlink" Target="https://www.iqiyi.com/v_2b3kfhfd7fo.html" TargetMode="External"/><Relationship Id="rId80" Type="http://schemas.openxmlformats.org/officeDocument/2006/relationships/hyperlink" Target="https://www.iqiyi.com/v_1kzf2cy2qq4.html" TargetMode="External"/><Relationship Id="rId176" Type="http://schemas.openxmlformats.org/officeDocument/2006/relationships/hyperlink" Target="https://www.iqiyi.com/v_lb88qku9oc.html" TargetMode="External"/><Relationship Id="rId341" Type="http://schemas.openxmlformats.org/officeDocument/2006/relationships/hyperlink" Target="http://www.iqiyi.com/v_17b2rc6qcw0.html?share_sTime=136" TargetMode="External"/><Relationship Id="rId383" Type="http://schemas.openxmlformats.org/officeDocument/2006/relationships/hyperlink" Target="https://www.iqiyi.com/v_okv7zn6jfo.html" TargetMode="External"/><Relationship Id="rId439" Type="http://schemas.openxmlformats.org/officeDocument/2006/relationships/hyperlink" Target="https://www.iqiyi.com/v_1ymadtms6ww.html" TargetMode="External"/><Relationship Id="rId201" Type="http://schemas.openxmlformats.org/officeDocument/2006/relationships/hyperlink" Target="https://www.iqiyi.com/v_1smrdalxvck.html" TargetMode="External"/><Relationship Id="rId243" Type="http://schemas.openxmlformats.org/officeDocument/2006/relationships/hyperlink" Target="http://www.iqiyi.com/v_13zv6vx492s.html?share_sTime=309" TargetMode="External"/><Relationship Id="rId285" Type="http://schemas.openxmlformats.org/officeDocument/2006/relationships/hyperlink" Target="https://www.iqiyi.com/v_19qcoi3tjz0.html" TargetMode="External"/><Relationship Id="rId450" Type="http://schemas.openxmlformats.org/officeDocument/2006/relationships/hyperlink" Target="https://www.iqiyi.com/v_174uz7e1yl0.html" TargetMode="External"/><Relationship Id="rId38" Type="http://schemas.openxmlformats.org/officeDocument/2006/relationships/hyperlink" Target="http://www.iqiyi.com/v_lmhkxrqwlk.html" TargetMode="External"/><Relationship Id="rId103" Type="http://schemas.openxmlformats.org/officeDocument/2006/relationships/hyperlink" Target="https://www.iqiyi.com/v_1i727m0zp2g.html" TargetMode="External"/><Relationship Id="rId310" Type="http://schemas.openxmlformats.org/officeDocument/2006/relationships/hyperlink" Target="https://www.iqiyi.com/v_bq95qmvkj0.html" TargetMode="External"/><Relationship Id="rId91" Type="http://schemas.openxmlformats.org/officeDocument/2006/relationships/hyperlink" Target="https://www.iqiyi.com/v_hbk4n4wja8.html" TargetMode="External"/><Relationship Id="rId145" Type="http://schemas.openxmlformats.org/officeDocument/2006/relationships/hyperlink" Target="http://www.iqiyi.com/v_2docnt7jyw8.html?share_sTime=299" TargetMode="External"/><Relationship Id="rId187" Type="http://schemas.openxmlformats.org/officeDocument/2006/relationships/hyperlink" Target="http://www.iqiyi.com/v_17b2rc6qcw0.html?share_sTime=136" TargetMode="External"/><Relationship Id="rId352" Type="http://schemas.openxmlformats.org/officeDocument/2006/relationships/hyperlink" Target="https://www.iqiyi.com/v_okv7zn6jfo.html" TargetMode="External"/><Relationship Id="rId394" Type="http://schemas.openxmlformats.org/officeDocument/2006/relationships/hyperlink" Target="https://www.iqiyi.com/v_v9pgkqlzt8.html" TargetMode="External"/><Relationship Id="rId408" Type="http://schemas.openxmlformats.org/officeDocument/2006/relationships/hyperlink" Target="http://www.iqiyi.com/v_13zv6vx492s.html?share_sTime=164" TargetMode="External"/><Relationship Id="rId212" Type="http://schemas.openxmlformats.org/officeDocument/2006/relationships/hyperlink" Target="https://www.iqiyi.com/v_19qcoi3tjz0.html" TargetMode="External"/><Relationship Id="rId254" Type="http://schemas.openxmlformats.org/officeDocument/2006/relationships/hyperlink" Target="https://www.iqiyi.com/v_fnv2jl6aqc.html" TargetMode="External"/><Relationship Id="rId49" Type="http://schemas.openxmlformats.org/officeDocument/2006/relationships/hyperlink" Target="http://www.iqiyi.com/v_fnv2jl6aqc.html?share_sTime=144" TargetMode="External"/><Relationship Id="rId114" Type="http://schemas.openxmlformats.org/officeDocument/2006/relationships/hyperlink" Target="https://www.iqiyi.com/v_2b7dt657dgg.html" TargetMode="External"/><Relationship Id="rId296" Type="http://schemas.openxmlformats.org/officeDocument/2006/relationships/hyperlink" Target="https://www.iqiyi.com/v_28ir6fn3f9w.html" TargetMode="External"/><Relationship Id="rId461" Type="http://schemas.openxmlformats.org/officeDocument/2006/relationships/hyperlink" Target="https://www.iqiyi.com/v_uscurycmg8.html" TargetMode="External"/><Relationship Id="rId60" Type="http://schemas.openxmlformats.org/officeDocument/2006/relationships/hyperlink" Target="https://www.iqiyi.com/v_1p6eeku8olw.html" TargetMode="External"/><Relationship Id="rId156" Type="http://schemas.openxmlformats.org/officeDocument/2006/relationships/hyperlink" Target="http://www.iqiyi.com/v_1u0x3rzzbjs.html?share_sTime=187" TargetMode="External"/><Relationship Id="rId198" Type="http://schemas.openxmlformats.org/officeDocument/2006/relationships/hyperlink" Target="https://www.iqiyi.com/v_1dz6udux11w.html" TargetMode="External"/><Relationship Id="rId321" Type="http://schemas.openxmlformats.org/officeDocument/2006/relationships/hyperlink" Target="https://www.iqiyi.com/v_g1ofle6l90.html" TargetMode="External"/><Relationship Id="rId363" Type="http://schemas.openxmlformats.org/officeDocument/2006/relationships/hyperlink" Target="https://www.iqiyi.com/v_lb88qku9oc.html" TargetMode="External"/><Relationship Id="rId419" Type="http://schemas.openxmlformats.org/officeDocument/2006/relationships/hyperlink" Target="http://www.iqiyi.com/v_14006zhf2uo.html?share_sTime=251" TargetMode="External"/><Relationship Id="rId223" Type="http://schemas.openxmlformats.org/officeDocument/2006/relationships/hyperlink" Target="https://www.iqiyi.com/v_2bx0gdxkbbo.htmll" TargetMode="External"/><Relationship Id="rId430" Type="http://schemas.openxmlformats.org/officeDocument/2006/relationships/hyperlink" Target="https://www.iqiyi.com/v_23ytugssa8c.html" TargetMode="External"/><Relationship Id="rId18" Type="http://schemas.openxmlformats.org/officeDocument/2006/relationships/hyperlink" Target="https://www.iqiyi.com/v_2993z2f1klc.html" TargetMode="External"/><Relationship Id="rId265" Type="http://schemas.openxmlformats.org/officeDocument/2006/relationships/hyperlink" Target="https://www.iqiyi.com/v_23ytugssa8c.html" TargetMode="External"/><Relationship Id="rId472" Type="http://schemas.openxmlformats.org/officeDocument/2006/relationships/hyperlink" Target="https://www.iqiyi.com/v_g1ofle6l90.html" TargetMode="External"/><Relationship Id="rId125" Type="http://schemas.openxmlformats.org/officeDocument/2006/relationships/hyperlink" Target="https://www.iqiyi.com/v_26obq94b7l4.html" TargetMode="External"/><Relationship Id="rId167" Type="http://schemas.openxmlformats.org/officeDocument/2006/relationships/hyperlink" Target="https://www.iqiyi.com/v_fnv2jl6aqc.html" TargetMode="External"/><Relationship Id="rId332" Type="http://schemas.openxmlformats.org/officeDocument/2006/relationships/hyperlink" Target="http://www.iqiyi.com/v_uscurycmg8.html?share_sTime=80" TargetMode="External"/><Relationship Id="rId374" Type="http://schemas.openxmlformats.org/officeDocument/2006/relationships/hyperlink" Target="https://www.iqiyi.com/v_1d74ab1jfsk.html" TargetMode="External"/><Relationship Id="rId71" Type="http://schemas.openxmlformats.org/officeDocument/2006/relationships/hyperlink" Target="https://www.iqiyi.com/v_1dz6udux11w.html" TargetMode="External"/><Relationship Id="rId234" Type="http://schemas.openxmlformats.org/officeDocument/2006/relationships/hyperlink" Target="http://www.iqiyi.com/v_13zv6vx492s.html?share_sTime=14" TargetMode="External"/><Relationship Id="rId2" Type="http://schemas.openxmlformats.org/officeDocument/2006/relationships/hyperlink" Target="https://www.iqiyi.com/v_2993z2f1klc.html" TargetMode="External"/><Relationship Id="rId29" Type="http://schemas.openxmlformats.org/officeDocument/2006/relationships/hyperlink" Target="http://www.iqiyi.com/v_2docnt7jyw8.html" TargetMode="External"/><Relationship Id="rId276" Type="http://schemas.openxmlformats.org/officeDocument/2006/relationships/hyperlink" Target="http://www.iqiyi.com/v_2bufryvc36k.html?share_sTime=361" TargetMode="External"/><Relationship Id="rId441" Type="http://schemas.openxmlformats.org/officeDocument/2006/relationships/hyperlink" Target="https://www.iqiyi.com/v_1ymadtms6ww.html" TargetMode="External"/><Relationship Id="rId40" Type="http://schemas.openxmlformats.org/officeDocument/2006/relationships/hyperlink" Target="https://www.iqiyi.com/v_2b7dt657dgg.html" TargetMode="External"/><Relationship Id="rId136" Type="http://schemas.openxmlformats.org/officeDocument/2006/relationships/hyperlink" Target="https://www.iqiyi.com/v_22oj3vcj014.html" TargetMode="External"/><Relationship Id="rId178" Type="http://schemas.openxmlformats.org/officeDocument/2006/relationships/hyperlink" Target="http://www.iqiyi.com/v_1qc2dhhf17c.html?share_sTime=296" TargetMode="External"/><Relationship Id="rId301" Type="http://schemas.openxmlformats.org/officeDocument/2006/relationships/hyperlink" Target="https://www.iqiyi.com/v_1zj8zpc1uug.html" TargetMode="External"/><Relationship Id="rId343" Type="http://schemas.openxmlformats.org/officeDocument/2006/relationships/hyperlink" Target="https://www.iqiyi.com/v_hbk4n4wja8.html" TargetMode="External"/><Relationship Id="rId82" Type="http://schemas.openxmlformats.org/officeDocument/2006/relationships/hyperlink" Target="https://www.iqiyi.com/v_19qcoi3tjz0.html" TargetMode="External"/><Relationship Id="rId203" Type="http://schemas.openxmlformats.org/officeDocument/2006/relationships/hyperlink" Target="https://www.iqiyi.com/v_okv7zn6jfo.html" TargetMode="External"/><Relationship Id="rId385" Type="http://schemas.openxmlformats.org/officeDocument/2006/relationships/hyperlink" Target="https://www.iqiyi.com/v_csh1i54cfs.html" TargetMode="External"/><Relationship Id="rId245" Type="http://schemas.openxmlformats.org/officeDocument/2006/relationships/hyperlink" Target="http://www.iqiyi.com/v_13zv6vx492s.html?share_sTime=446" TargetMode="External"/><Relationship Id="rId287" Type="http://schemas.openxmlformats.org/officeDocument/2006/relationships/hyperlink" Target="https://www.iqiyi.com/v_1y4efpjcbog.html" TargetMode="External"/><Relationship Id="rId410" Type="http://schemas.openxmlformats.org/officeDocument/2006/relationships/hyperlink" Target="http://www.iqiyi.com/v_13zv6vx492s.html?share_sTime=255" TargetMode="External"/><Relationship Id="rId452" Type="http://schemas.openxmlformats.org/officeDocument/2006/relationships/hyperlink" Target="https://www.iqiyi.com/v_1ni7svvsz98.html" TargetMode="External"/><Relationship Id="rId105" Type="http://schemas.openxmlformats.org/officeDocument/2006/relationships/hyperlink" Target="https://www.iqiyi.com/v_2b7dt657dgg.html" TargetMode="External"/><Relationship Id="rId147" Type="http://schemas.openxmlformats.org/officeDocument/2006/relationships/hyperlink" Target="https://www.iqiyi.com/v_bq95qmvkj0.html" TargetMode="External"/><Relationship Id="rId312" Type="http://schemas.openxmlformats.org/officeDocument/2006/relationships/hyperlink" Target="https://www.iqiyi.com/v_1qc2dhhf4rc.html" TargetMode="External"/><Relationship Id="rId354" Type="http://schemas.openxmlformats.org/officeDocument/2006/relationships/hyperlink" Target="https://www.iqiyi.com/v_tg0bzav0ko.html" TargetMode="External"/><Relationship Id="rId51" Type="http://schemas.openxmlformats.org/officeDocument/2006/relationships/hyperlink" Target="https://www.iqiyi.com/v_1smrdalxvck.html" TargetMode="External"/><Relationship Id="rId72" Type="http://schemas.openxmlformats.org/officeDocument/2006/relationships/hyperlink" Target="https://www.iqiyi.com/v_1p6eeku8olw.html" TargetMode="External"/><Relationship Id="rId93" Type="http://schemas.openxmlformats.org/officeDocument/2006/relationships/hyperlink" Target="https://www.iqiyi.com/v_2b7dt657dgg.html" TargetMode="External"/><Relationship Id="rId189" Type="http://schemas.openxmlformats.org/officeDocument/2006/relationships/hyperlink" Target="https://www.iqiyi.com/v_1yt8bhslu38.html" TargetMode="External"/><Relationship Id="rId375" Type="http://schemas.openxmlformats.org/officeDocument/2006/relationships/hyperlink" Target="https://www.iqiyi.com/v_v9pgkqlzt8.html" TargetMode="External"/><Relationship Id="rId396" Type="http://schemas.openxmlformats.org/officeDocument/2006/relationships/hyperlink" Target="https://www.iqiyi.com/v_109ugarkbks.html" TargetMode="External"/><Relationship Id="rId3" Type="http://schemas.openxmlformats.org/officeDocument/2006/relationships/hyperlink" Target="https://www.iqiyi.com/v_2993z2f1klc.html" TargetMode="External"/><Relationship Id="rId214" Type="http://schemas.openxmlformats.org/officeDocument/2006/relationships/hyperlink" Target="https://www.iqiyi.com/v_19qcoi3tjz0.html" TargetMode="External"/><Relationship Id="rId235" Type="http://schemas.openxmlformats.org/officeDocument/2006/relationships/hyperlink" Target="http://www.iqiyi.com/v_13zv6vx492s.html?share_sTime=164" TargetMode="External"/><Relationship Id="rId256" Type="http://schemas.openxmlformats.org/officeDocument/2006/relationships/hyperlink" Target="https://www.iqiyi.com/v_fnv2jl6aqc.html" TargetMode="External"/><Relationship Id="rId277" Type="http://schemas.openxmlformats.org/officeDocument/2006/relationships/hyperlink" Target="https://www.iqiyi.com/v_174uz7e1yl0.html" TargetMode="External"/><Relationship Id="rId298" Type="http://schemas.openxmlformats.org/officeDocument/2006/relationships/hyperlink" Target="https://www.iqiyi.com/v_1p6eeku8olw.html" TargetMode="External"/><Relationship Id="rId400" Type="http://schemas.openxmlformats.org/officeDocument/2006/relationships/hyperlink" Target="https://www.iqiyi.com/v_1kzf2cy2qq4.html" TargetMode="External"/><Relationship Id="rId421" Type="http://schemas.openxmlformats.org/officeDocument/2006/relationships/hyperlink" Target="http://www.iqiyi.com/v_2fb1s6tz13k.html?share_sTime=59" TargetMode="External"/><Relationship Id="rId442" Type="http://schemas.openxmlformats.org/officeDocument/2006/relationships/hyperlink" Target="https://www.iqiyi.com/v_1ymadtms6ww.html" TargetMode="External"/><Relationship Id="rId463" Type="http://schemas.openxmlformats.org/officeDocument/2006/relationships/hyperlink" Target="https://www.iqiyi.com/v_1zj8zpc1uug.html" TargetMode="External"/><Relationship Id="rId116" Type="http://schemas.openxmlformats.org/officeDocument/2006/relationships/hyperlink" Target="https://www.iqiyi.com/v_1zj8zpc1uug.html" TargetMode="External"/><Relationship Id="rId137" Type="http://schemas.openxmlformats.org/officeDocument/2006/relationships/hyperlink" Target="https://www.iqiyi.com/v_2b7dt657dgg.html" TargetMode="External"/><Relationship Id="rId158" Type="http://schemas.openxmlformats.org/officeDocument/2006/relationships/hyperlink" Target="https://www.iqiyi.com/v_2fb1s6tz13k.html" TargetMode="External"/><Relationship Id="rId302" Type="http://schemas.openxmlformats.org/officeDocument/2006/relationships/hyperlink" Target="https://www.iqiyi.com/v_1zj8zpc1uug.html" TargetMode="External"/><Relationship Id="rId323" Type="http://schemas.openxmlformats.org/officeDocument/2006/relationships/hyperlink" Target="https://www.iqiyi.com/v_1s40j847frg.html" TargetMode="External"/><Relationship Id="rId344" Type="http://schemas.openxmlformats.org/officeDocument/2006/relationships/hyperlink" Target="https://www.iqiyi.com/v_22oj3vcj014.html" TargetMode="External"/><Relationship Id="rId20" Type="http://schemas.openxmlformats.org/officeDocument/2006/relationships/hyperlink" Target="http://www.iqiyi.com/v_1qc2dhhf17c.html" TargetMode="External"/><Relationship Id="rId41" Type="http://schemas.openxmlformats.org/officeDocument/2006/relationships/hyperlink" Target="http://www.iqiyi.com/v_uscurycmg8.html" TargetMode="External"/><Relationship Id="rId62" Type="http://schemas.openxmlformats.org/officeDocument/2006/relationships/hyperlink" Target="https://www.iqiyi.com/v_19qcoi3tjz0.html" TargetMode="External"/><Relationship Id="rId83" Type="http://schemas.openxmlformats.org/officeDocument/2006/relationships/hyperlink" Target="https://www.iqiyi.com/v_1ni7svvsz98.html" TargetMode="External"/><Relationship Id="rId179" Type="http://schemas.openxmlformats.org/officeDocument/2006/relationships/hyperlink" Target="https://www.iqiyi.com/v_lmhkxrqwlk.html" TargetMode="External"/><Relationship Id="rId365" Type="http://schemas.openxmlformats.org/officeDocument/2006/relationships/hyperlink" Target="https://www.iqiyi.com/v_lb88qku9oc.html" TargetMode="External"/><Relationship Id="rId386" Type="http://schemas.openxmlformats.org/officeDocument/2006/relationships/hyperlink" Target="https://www.iqiyi.com/v_csh1i54cfs.html" TargetMode="External"/><Relationship Id="rId190" Type="http://schemas.openxmlformats.org/officeDocument/2006/relationships/hyperlink" Target="https://www.iqiyi.com/v_17b2rc6qcw0.html" TargetMode="External"/><Relationship Id="rId204" Type="http://schemas.openxmlformats.org/officeDocument/2006/relationships/hyperlink" Target="https://www.iqiyi.com/v_msxfx2099w.html" TargetMode="External"/><Relationship Id="rId225" Type="http://schemas.openxmlformats.org/officeDocument/2006/relationships/hyperlink" Target="https://www.iqiyi.com/v_csh1i54cfs.html" TargetMode="External"/><Relationship Id="rId246" Type="http://schemas.openxmlformats.org/officeDocument/2006/relationships/hyperlink" Target="http://www.iqiyi.com/v_14006zhf2uo.html?share_sTime=137" TargetMode="External"/><Relationship Id="rId267" Type="http://schemas.openxmlformats.org/officeDocument/2006/relationships/hyperlink" Target="https://www.iqiyi.com/v_23ytugssa8c.html" TargetMode="External"/><Relationship Id="rId288" Type="http://schemas.openxmlformats.org/officeDocument/2006/relationships/hyperlink" Target="https://www.iqiyi.com/v_msxfx2099w.html" TargetMode="External"/><Relationship Id="rId411" Type="http://schemas.openxmlformats.org/officeDocument/2006/relationships/hyperlink" Target="http://www.iqiyi.com/v_13zv6vx492s.html?share_sTime=269" TargetMode="External"/><Relationship Id="rId432" Type="http://schemas.openxmlformats.org/officeDocument/2006/relationships/hyperlink" Target="https://www.iqiyi.com/v_2fb1s6tz13k.html" TargetMode="External"/><Relationship Id="rId453" Type="http://schemas.openxmlformats.org/officeDocument/2006/relationships/hyperlink" Target="https://www.iqiyi.com/v_1ni7svvsz98.html" TargetMode="External"/><Relationship Id="rId474" Type="http://schemas.openxmlformats.org/officeDocument/2006/relationships/hyperlink" Target="https://www.iqiyi.com/v_105jzk25f38.html" TargetMode="External"/><Relationship Id="rId106" Type="http://schemas.openxmlformats.org/officeDocument/2006/relationships/hyperlink" Target="https://www.iqiyi.com/v_22oj3vcj014.html" TargetMode="External"/><Relationship Id="rId127" Type="http://schemas.openxmlformats.org/officeDocument/2006/relationships/hyperlink" Target="http://www.iqiyi.com/v_1c7atnuhsr4.html?share_sTime=435" TargetMode="External"/><Relationship Id="rId313" Type="http://schemas.openxmlformats.org/officeDocument/2006/relationships/hyperlink" Target="https://www.iqiyi.com/v_1qc2dhhf4rc.html" TargetMode="External"/><Relationship Id="rId10" Type="http://schemas.openxmlformats.org/officeDocument/2006/relationships/hyperlink" Target="https://www.iqiyi.com/v_2bx0gdxkbbo.html" TargetMode="External"/><Relationship Id="rId31" Type="http://schemas.openxmlformats.org/officeDocument/2006/relationships/hyperlink" Target="https://www.iqiyi.com/v_2bvr40ahqls.html" TargetMode="External"/><Relationship Id="rId52" Type="http://schemas.openxmlformats.org/officeDocument/2006/relationships/hyperlink" Target="http://www.iqiyi.com/v_1u0x3rzzbjs.html?share_sTime=187" TargetMode="External"/><Relationship Id="rId73" Type="http://schemas.openxmlformats.org/officeDocument/2006/relationships/hyperlink" Target="http://www.iqiyi.com/v_105jzk25f38.html?share_sTime=213" TargetMode="External"/><Relationship Id="rId94" Type="http://schemas.openxmlformats.org/officeDocument/2006/relationships/hyperlink" Target="https://www.iqiyi.com/v_1yt8bhslu38.html" TargetMode="External"/><Relationship Id="rId148" Type="http://schemas.openxmlformats.org/officeDocument/2006/relationships/hyperlink" Target="http://www.iqiyi.com/v_2docnt7jyw8.html?share_sTime=311" TargetMode="External"/><Relationship Id="rId169" Type="http://schemas.openxmlformats.org/officeDocument/2006/relationships/hyperlink" Target="http://www.iqiyi.com/v_uscurycmg8.html?share_sTime=202" TargetMode="External"/><Relationship Id="rId334" Type="http://schemas.openxmlformats.org/officeDocument/2006/relationships/hyperlink" Target="http://www.iqiyi.com/v_uscurycmg8.html?share_sTime=165" TargetMode="External"/><Relationship Id="rId355" Type="http://schemas.openxmlformats.org/officeDocument/2006/relationships/hyperlink" Target="https://www.iqiyi.com/v_tg0bzav0ko.html" TargetMode="External"/><Relationship Id="rId376" Type="http://schemas.openxmlformats.org/officeDocument/2006/relationships/hyperlink" Target="https://www.iqiyi.com/v_1d74ab1jfsk.html" TargetMode="External"/><Relationship Id="rId397" Type="http://schemas.openxmlformats.org/officeDocument/2006/relationships/hyperlink" Target="https://www.iqiyi.com/v_109ugarkbks.html" TargetMode="External"/><Relationship Id="rId4" Type="http://schemas.openxmlformats.org/officeDocument/2006/relationships/hyperlink" Target="https://www.iqiyi.com/v_lmhkxrqwlk.html" TargetMode="External"/><Relationship Id="rId180" Type="http://schemas.openxmlformats.org/officeDocument/2006/relationships/hyperlink" Target="http://www.iqiyi.com/v_105jzk25f38.html?share_sTime=252" TargetMode="External"/><Relationship Id="rId215" Type="http://schemas.openxmlformats.org/officeDocument/2006/relationships/hyperlink" Target="https://www.iqiyi.com/v_lb88qku9oc.html" TargetMode="External"/><Relationship Id="rId236" Type="http://schemas.openxmlformats.org/officeDocument/2006/relationships/hyperlink" Target="https://www.iqiyi.com/v_fnv2jl6aqc.html" TargetMode="External"/><Relationship Id="rId257" Type="http://schemas.openxmlformats.org/officeDocument/2006/relationships/hyperlink" Target="http://www.iqiyi.com/v_2fb1s6tz13k.html?share_sTime=59" TargetMode="External"/><Relationship Id="rId278" Type="http://schemas.openxmlformats.org/officeDocument/2006/relationships/hyperlink" Target="http://www.iqiyi.com/v_2bufryvc36k.html?share_sTime=160" TargetMode="External"/><Relationship Id="rId401" Type="http://schemas.openxmlformats.org/officeDocument/2006/relationships/hyperlink" Target="https://www.iqiyi.com/v_1kzf2cy2qq4.html" TargetMode="External"/><Relationship Id="rId422" Type="http://schemas.openxmlformats.org/officeDocument/2006/relationships/hyperlink" Target="https://www.iqiyi.com/v_2fb1s6tz13k.html" TargetMode="External"/><Relationship Id="rId443" Type="http://schemas.openxmlformats.org/officeDocument/2006/relationships/hyperlink" Target="https://www.iqiyi.com/v_1jvbmagcje4.html" TargetMode="External"/><Relationship Id="rId464" Type="http://schemas.openxmlformats.org/officeDocument/2006/relationships/hyperlink" Target="https://www.iqiyi.com/v_2bvr40ahqls.html" TargetMode="External"/><Relationship Id="rId303" Type="http://schemas.openxmlformats.org/officeDocument/2006/relationships/hyperlink" Target="https://www.iqiyi.com/v_1zj8zpc1uug.html" TargetMode="External"/><Relationship Id="rId42" Type="http://schemas.openxmlformats.org/officeDocument/2006/relationships/hyperlink" Target="https://www.iqiyi.com/v_g1ofle6l90.html" TargetMode="External"/><Relationship Id="rId84" Type="http://schemas.openxmlformats.org/officeDocument/2006/relationships/hyperlink" Target="https://www.iqiyi.com/v_17l6d2qrdv0.html" TargetMode="External"/><Relationship Id="rId138" Type="http://schemas.openxmlformats.org/officeDocument/2006/relationships/hyperlink" Target="https://www.iqiyi.com/v_bq95qmvkj0.html" TargetMode="External"/><Relationship Id="rId345" Type="http://schemas.openxmlformats.org/officeDocument/2006/relationships/hyperlink" Target="https://www.iqiyi.com/v_17b2rc6qcw0.html" TargetMode="External"/><Relationship Id="rId387" Type="http://schemas.openxmlformats.org/officeDocument/2006/relationships/hyperlink" Target="https://www.iqiyi.com/v_csh1i54cfs.html" TargetMode="External"/><Relationship Id="rId191" Type="http://schemas.openxmlformats.org/officeDocument/2006/relationships/hyperlink" Target="https://www.iqiyi.com/v_uscurycmg8.html" TargetMode="External"/><Relationship Id="rId205" Type="http://schemas.openxmlformats.org/officeDocument/2006/relationships/hyperlink" Target="https://www.iqiyi.com/v_1tiq2wkvjj8.html" TargetMode="External"/><Relationship Id="rId247" Type="http://schemas.openxmlformats.org/officeDocument/2006/relationships/hyperlink" Target="http://www.iqiyi.com/v_17l6d2qrdv0.html?share_sTime=109" TargetMode="External"/><Relationship Id="rId412" Type="http://schemas.openxmlformats.org/officeDocument/2006/relationships/hyperlink" Target="http://www.iqiyi.com/v_13zv6vx492s.html?share_sTime=295" TargetMode="External"/><Relationship Id="rId107" Type="http://schemas.openxmlformats.org/officeDocument/2006/relationships/hyperlink" Target="https://www.iqiyi.com/v_1y4efpjcbog.html" TargetMode="External"/><Relationship Id="rId289" Type="http://schemas.openxmlformats.org/officeDocument/2006/relationships/hyperlink" Target="https://www.iqiyi.com/v_hbk4n4wja8.html" TargetMode="External"/><Relationship Id="rId454" Type="http://schemas.openxmlformats.org/officeDocument/2006/relationships/hyperlink" Target="https://www.iqiyi.com/v_1ni7svvsz98.html" TargetMode="External"/><Relationship Id="rId11" Type="http://schemas.openxmlformats.org/officeDocument/2006/relationships/hyperlink" Target="http://www.iqiyi.com/v_17b2rc6qcw0.html" TargetMode="External"/><Relationship Id="rId53" Type="http://schemas.openxmlformats.org/officeDocument/2006/relationships/hyperlink" Target="https://www.iqiyi.com/v_17b2rc6qcw0.html" TargetMode="External"/><Relationship Id="rId149" Type="http://schemas.openxmlformats.org/officeDocument/2006/relationships/hyperlink" Target="https://www.iqiyi.com/v_2bx0gdxkbbo.htmll" TargetMode="External"/><Relationship Id="rId314" Type="http://schemas.openxmlformats.org/officeDocument/2006/relationships/hyperlink" Target="https://www.iqiyi.com/v_1qc2dhhf4rc.html" TargetMode="External"/><Relationship Id="rId356" Type="http://schemas.openxmlformats.org/officeDocument/2006/relationships/hyperlink" Target="https://www.iqiyi.com/v_okv7zn6jfo.html" TargetMode="External"/><Relationship Id="rId398" Type="http://schemas.openxmlformats.org/officeDocument/2006/relationships/hyperlink" Target="https://www.iqiyi.com/v_109ugarkbks.html" TargetMode="External"/><Relationship Id="rId95" Type="http://schemas.openxmlformats.org/officeDocument/2006/relationships/hyperlink" Target="https://www.iqiyi.com/v_1s40j847frg.html" TargetMode="External"/><Relationship Id="rId160" Type="http://schemas.openxmlformats.org/officeDocument/2006/relationships/hyperlink" Target="http://www.iqiyi.com/v_uscurycmg8.html?share_sTime=80" TargetMode="External"/><Relationship Id="rId216" Type="http://schemas.openxmlformats.org/officeDocument/2006/relationships/hyperlink" Target="https://www.iqiyi.com/v_19qcoi3tjz0.html" TargetMode="External"/><Relationship Id="rId423" Type="http://schemas.openxmlformats.org/officeDocument/2006/relationships/hyperlink" Target="https://www.iqiyi.com/v_2fb1s6tz13k.html" TargetMode="External"/><Relationship Id="rId258" Type="http://schemas.openxmlformats.org/officeDocument/2006/relationships/hyperlink" Target="https://www.iqiyi.com/v_fnv2jl6aqc.html" TargetMode="External"/><Relationship Id="rId465" Type="http://schemas.openxmlformats.org/officeDocument/2006/relationships/hyperlink" Target="https://www.iqiyi.com/v_2bvr40ahqls.html" TargetMode="External"/><Relationship Id="rId22" Type="http://schemas.openxmlformats.org/officeDocument/2006/relationships/hyperlink" Target="https://www.iqiyi.com/v_1smrdalxvck.html" TargetMode="External"/><Relationship Id="rId64" Type="http://schemas.openxmlformats.org/officeDocument/2006/relationships/hyperlink" Target="http://www.iqiyi.com/v_105jzk25f38.html?share_sTime=28" TargetMode="External"/><Relationship Id="rId118" Type="http://schemas.openxmlformats.org/officeDocument/2006/relationships/hyperlink" Target="http://www.iqiyi.com/v_2bufryvc36k.html?share_sTime=160" TargetMode="External"/><Relationship Id="rId325" Type="http://schemas.openxmlformats.org/officeDocument/2006/relationships/hyperlink" Target="https://www.iqiyi.com/v_1s40j847frg.html" TargetMode="External"/><Relationship Id="rId367" Type="http://schemas.openxmlformats.org/officeDocument/2006/relationships/hyperlink" Target="https://www.iqiyi.com/v_1u0x3rzzbjs.html" TargetMode="External"/><Relationship Id="rId171" Type="http://schemas.openxmlformats.org/officeDocument/2006/relationships/hyperlink" Target="http://www.iqiyi.com/v_105jzk25f38.html?share_sTime=73" TargetMode="External"/><Relationship Id="rId227" Type="http://schemas.openxmlformats.org/officeDocument/2006/relationships/hyperlink" Target="https://www.iqiyi.com/v_v9pgkqlzt8.htmll" TargetMode="External"/><Relationship Id="rId269" Type="http://schemas.openxmlformats.org/officeDocument/2006/relationships/hyperlink" Target="https://www.iqiyi.com/v_17k557yo4hc.html" TargetMode="External"/><Relationship Id="rId434" Type="http://schemas.openxmlformats.org/officeDocument/2006/relationships/hyperlink" Target="https://www.iqiyi.com/v_1deqcff9qko.html" TargetMode="External"/><Relationship Id="rId476" Type="http://schemas.openxmlformats.org/officeDocument/2006/relationships/hyperlink" Target="https://www.iqiyi.com/v_2bx0gdxkbbo.html" TargetMode="External"/><Relationship Id="rId33" Type="http://schemas.openxmlformats.org/officeDocument/2006/relationships/hyperlink" Target="https://www.iqiyi.com/v_g1ofle6l90.html" TargetMode="External"/><Relationship Id="rId129" Type="http://schemas.openxmlformats.org/officeDocument/2006/relationships/hyperlink" Target="https://www.iqiyi.com/v_1rshytn0qmw.html" TargetMode="External"/><Relationship Id="rId280" Type="http://schemas.openxmlformats.org/officeDocument/2006/relationships/hyperlink" Target="http://www.iqiyi.com/v_2bufryvc36k.html?share_sTime=361" TargetMode="External"/><Relationship Id="rId336" Type="http://schemas.openxmlformats.org/officeDocument/2006/relationships/hyperlink" Target="http://www.iqiyi.com/v_uscurycmg8.html?share_sTime=360" TargetMode="External"/><Relationship Id="rId75" Type="http://schemas.openxmlformats.org/officeDocument/2006/relationships/hyperlink" Target="https://www.iqiyi.com/v_1p6eeku8olw.html" TargetMode="External"/><Relationship Id="rId140" Type="http://schemas.openxmlformats.org/officeDocument/2006/relationships/hyperlink" Target="https://www.iqiyi.com/v_2bufryvc36k.html" TargetMode="External"/><Relationship Id="rId182" Type="http://schemas.openxmlformats.org/officeDocument/2006/relationships/hyperlink" Target="https://www.iqiyi.com/v_msxfx2099w.html" TargetMode="External"/><Relationship Id="rId378" Type="http://schemas.openxmlformats.org/officeDocument/2006/relationships/hyperlink" Target="https://www.iqiyi.com/v_2bx0gdxkbbo.html" TargetMode="External"/><Relationship Id="rId403" Type="http://schemas.openxmlformats.org/officeDocument/2006/relationships/hyperlink" Target="https://www.iqiyi.com/v_17l6d2qrdv0.html" TargetMode="External"/><Relationship Id="rId6" Type="http://schemas.openxmlformats.org/officeDocument/2006/relationships/hyperlink" Target="https://www.iqiyi.com/v_2993z2f1klc.html" TargetMode="External"/><Relationship Id="rId238" Type="http://schemas.openxmlformats.org/officeDocument/2006/relationships/hyperlink" Target="https://www.iqiyi.com/v_19qcoi3tjz0.html" TargetMode="External"/><Relationship Id="rId445" Type="http://schemas.openxmlformats.org/officeDocument/2006/relationships/hyperlink" Target="https://www.iqiyi.com/v_1jvbmagcje4.html" TargetMode="External"/><Relationship Id="rId291" Type="http://schemas.openxmlformats.org/officeDocument/2006/relationships/hyperlink" Target="https://www.iqiyi.com/v_22oj3vcj014.html" TargetMode="External"/><Relationship Id="rId305" Type="http://schemas.openxmlformats.org/officeDocument/2006/relationships/hyperlink" Target="https://www.iqiyi.com/v_1zj8zpc1uug.html" TargetMode="External"/><Relationship Id="rId347" Type="http://schemas.openxmlformats.org/officeDocument/2006/relationships/hyperlink" Target="https://www.iqiyi.com/v_1tiq2wkvjj8.html" TargetMode="External"/><Relationship Id="rId44" Type="http://schemas.openxmlformats.org/officeDocument/2006/relationships/hyperlink" Target="https://www.iqiyi.com/v_105jzk25f38.html" TargetMode="External"/><Relationship Id="rId86" Type="http://schemas.openxmlformats.org/officeDocument/2006/relationships/hyperlink" Target="https://www.iqiyi.com/v_1p6eeku8olw.html" TargetMode="External"/><Relationship Id="rId151" Type="http://schemas.openxmlformats.org/officeDocument/2006/relationships/hyperlink" Target="http://www.iqiyi.com/v_2docnt7jyw8.html?share_sTime=440" TargetMode="External"/><Relationship Id="rId389" Type="http://schemas.openxmlformats.org/officeDocument/2006/relationships/hyperlink" Target="https://www.iqiyi.com/v_v9pgkqlzt8.html" TargetMode="External"/><Relationship Id="rId193" Type="http://schemas.openxmlformats.org/officeDocument/2006/relationships/hyperlink" Target="https://www.iqiyi.com/v_17b2rc6qcw0.html" TargetMode="External"/><Relationship Id="rId207" Type="http://schemas.openxmlformats.org/officeDocument/2006/relationships/hyperlink" Target="https://www.iqiyi.com/v_1tiq2wkvjj8.html" TargetMode="External"/><Relationship Id="rId249" Type="http://schemas.openxmlformats.org/officeDocument/2006/relationships/hyperlink" Target="http://www.iqiyi.com/v_14006zhf2uo.html?share_sTime=149" TargetMode="External"/><Relationship Id="rId414" Type="http://schemas.openxmlformats.org/officeDocument/2006/relationships/hyperlink" Target="http://www.iqiyi.com/v_13zv6vx492s.html?share_sTime=446" TargetMode="External"/><Relationship Id="rId456" Type="http://schemas.openxmlformats.org/officeDocument/2006/relationships/hyperlink" Target="https://www.iqiyi.com/v_1ni7svvsz98.html" TargetMode="External"/><Relationship Id="rId13" Type="http://schemas.openxmlformats.org/officeDocument/2006/relationships/hyperlink" Target="https://www.iqiyi.com/v_1u0x3rzzbjs.html" TargetMode="External"/><Relationship Id="rId109" Type="http://schemas.openxmlformats.org/officeDocument/2006/relationships/hyperlink" Target="http://www.iqiyi.com/v_lmhkxrqwlk.html?share_sTime=394" TargetMode="External"/><Relationship Id="rId260" Type="http://schemas.openxmlformats.org/officeDocument/2006/relationships/hyperlink" Target="https://www.iqiyi.com/v_lmhkxrqwlk.html" TargetMode="External"/><Relationship Id="rId316" Type="http://schemas.openxmlformats.org/officeDocument/2006/relationships/hyperlink" Target="https://www.iqiyi.com/v_1qc2dhhf4rc.html" TargetMode="External"/><Relationship Id="rId55" Type="http://schemas.openxmlformats.org/officeDocument/2006/relationships/hyperlink" Target="http://www.iqiyi.com/v_1u0x3rzzbjs.html?share_sTime=199" TargetMode="External"/><Relationship Id="rId97" Type="http://schemas.openxmlformats.org/officeDocument/2006/relationships/hyperlink" Target="https://www.iqiyi.com/v_1i727m0zp2g.html" TargetMode="External"/><Relationship Id="rId120" Type="http://schemas.openxmlformats.org/officeDocument/2006/relationships/hyperlink" Target="https://www.iqiyi.com/v_1rshytn0qmw.html" TargetMode="External"/><Relationship Id="rId358" Type="http://schemas.openxmlformats.org/officeDocument/2006/relationships/hyperlink" Target="https://www.iqiyi.com/v_tg0bzav0ko.html" TargetMode="External"/><Relationship Id="rId162" Type="http://schemas.openxmlformats.org/officeDocument/2006/relationships/hyperlink" Target="http://www.iqiyi.com/v_1u0x3rzzbjs.html?share_sTime=223" TargetMode="External"/><Relationship Id="rId218" Type="http://schemas.openxmlformats.org/officeDocument/2006/relationships/hyperlink" Target="https://www.iqiyi.com/v_19qcoi3tjz0.html" TargetMode="External"/><Relationship Id="rId425" Type="http://schemas.openxmlformats.org/officeDocument/2006/relationships/hyperlink" Target="https://www.iqiyi.com/v_2c66zp7rcp0.html" TargetMode="External"/><Relationship Id="rId467" Type="http://schemas.openxmlformats.org/officeDocument/2006/relationships/hyperlink" Target="https://www.iqiyi.com/v_2bvr40ahqls.html" TargetMode="External"/><Relationship Id="rId271" Type="http://schemas.openxmlformats.org/officeDocument/2006/relationships/hyperlink" Target="https://www.iqiyi.com/v_1deqcff9qko.html" TargetMode="External"/><Relationship Id="rId24" Type="http://schemas.openxmlformats.org/officeDocument/2006/relationships/hyperlink" Target="https://www.iqiyi.com/v_2bx0gdxkbbo.html" TargetMode="External"/><Relationship Id="rId66" Type="http://schemas.openxmlformats.org/officeDocument/2006/relationships/hyperlink" Target="https://www.iqiyi.com/v_1p6eeku8olw.html" TargetMode="External"/><Relationship Id="rId131" Type="http://schemas.openxmlformats.org/officeDocument/2006/relationships/hyperlink" Target="https://www.iqiyi.com/v_2993z2f1klc.html" TargetMode="External"/><Relationship Id="rId327" Type="http://schemas.openxmlformats.org/officeDocument/2006/relationships/hyperlink" Target="http://www.iqiyi.com/v_2docnt7jyw8.html?share_sTime=299" TargetMode="External"/><Relationship Id="rId369" Type="http://schemas.openxmlformats.org/officeDocument/2006/relationships/hyperlink" Target="https://www.iqiyi.com/v_105jzk25f38.html" TargetMode="External"/><Relationship Id="rId173" Type="http://schemas.openxmlformats.org/officeDocument/2006/relationships/hyperlink" Target="https://www.iqiyi.com/v_hbk4n4wja8.html" TargetMode="External"/><Relationship Id="rId229" Type="http://schemas.openxmlformats.org/officeDocument/2006/relationships/hyperlink" Target="https://www.iqiyi.com/v_109ugarkbks.html" TargetMode="External"/><Relationship Id="rId380" Type="http://schemas.openxmlformats.org/officeDocument/2006/relationships/hyperlink" Target="https://www.iqiyi.com/v_2bx0gdxkbbo.html" TargetMode="External"/><Relationship Id="rId436" Type="http://schemas.openxmlformats.org/officeDocument/2006/relationships/hyperlink" Target="https://www.iqiyi.com/v_1deqcff9qko.html" TargetMode="External"/><Relationship Id="rId240" Type="http://schemas.openxmlformats.org/officeDocument/2006/relationships/hyperlink" Target="http://www.iqiyi.com/v_13zv6vx492s.html?share_sTime=269" TargetMode="External"/><Relationship Id="rId35" Type="http://schemas.openxmlformats.org/officeDocument/2006/relationships/hyperlink" Target="http://www.iqiyi.com/v_fnv2jl6aqc.html" TargetMode="External"/><Relationship Id="rId77" Type="http://schemas.openxmlformats.org/officeDocument/2006/relationships/hyperlink" Target="https://www.iqiyi.com/v_1jvbmagcje4.html" TargetMode="External"/><Relationship Id="rId100" Type="http://schemas.openxmlformats.org/officeDocument/2006/relationships/hyperlink" Target="https://www.iqiyi.com/v_hbk4n4wja8.html" TargetMode="External"/><Relationship Id="rId282" Type="http://schemas.openxmlformats.org/officeDocument/2006/relationships/hyperlink" Target="http://www.iqiyi.com/v_1c7atnuhsr4.html?share_sTime=435" TargetMode="External"/><Relationship Id="rId338" Type="http://schemas.openxmlformats.org/officeDocument/2006/relationships/hyperlink" Target="http://www.iqiyi.com/v_1qc2dhhf17c.html?share_sTime=296" TargetMode="External"/><Relationship Id="rId8" Type="http://schemas.openxmlformats.org/officeDocument/2006/relationships/hyperlink" Target="http://www.iqiyi.com/v_14006zhf2uo.html" TargetMode="External"/><Relationship Id="rId142" Type="http://schemas.openxmlformats.org/officeDocument/2006/relationships/hyperlink" Target="https://www.iqiyi.com/v_1qc2dhhf4rc.html" TargetMode="External"/><Relationship Id="rId184" Type="http://schemas.openxmlformats.org/officeDocument/2006/relationships/hyperlink" Target="http://www.iqiyi.com/v_1qc2dhhf17c.html?share_sTime=325" TargetMode="External"/><Relationship Id="rId391" Type="http://schemas.openxmlformats.org/officeDocument/2006/relationships/hyperlink" Target="https://www.iqiyi.com/v_v9pgkqlzt8.html" TargetMode="External"/><Relationship Id="rId405" Type="http://schemas.openxmlformats.org/officeDocument/2006/relationships/hyperlink" Target="https://www.iqiyi.com/v_17l6d2qrdv0.html" TargetMode="External"/><Relationship Id="rId447" Type="http://schemas.openxmlformats.org/officeDocument/2006/relationships/hyperlink" Target="https://www.iqiyi.com/v_174uz7e1yl0.html" TargetMode="External"/><Relationship Id="rId251" Type="http://schemas.openxmlformats.org/officeDocument/2006/relationships/hyperlink" Target="http://www.iqiyi.com/v_14006zhf2uo.html?share_sTime=213" TargetMode="External"/><Relationship Id="rId46" Type="http://schemas.openxmlformats.org/officeDocument/2006/relationships/hyperlink" Target="https://www.iqiyi.com/v_bq95qmvkj0.html" TargetMode="External"/><Relationship Id="rId293" Type="http://schemas.openxmlformats.org/officeDocument/2006/relationships/hyperlink" Target="https://www.iqiyi.com/v_28ir6fn3f9w.html" TargetMode="External"/><Relationship Id="rId307" Type="http://schemas.openxmlformats.org/officeDocument/2006/relationships/hyperlink" Target="https://www.iqiyi.com/v_1rshytn0qmw.html" TargetMode="External"/><Relationship Id="rId349" Type="http://schemas.openxmlformats.org/officeDocument/2006/relationships/hyperlink" Target="https://www.iqiyi.com/v_1tiq2wkvjj8.html" TargetMode="External"/><Relationship Id="rId88" Type="http://schemas.openxmlformats.org/officeDocument/2006/relationships/hyperlink" Target="https://www.iqiyi.com/v_msxfx2099w.html" TargetMode="External"/><Relationship Id="rId111" Type="http://schemas.openxmlformats.org/officeDocument/2006/relationships/hyperlink" Target="https://www.iqiyi.com/v_2b7dt657dgg.html" TargetMode="External"/><Relationship Id="rId153" Type="http://schemas.openxmlformats.org/officeDocument/2006/relationships/hyperlink" Target="http://www.iqiyi.com/v_fnv2jl6aqc.html?share_sTime=144" TargetMode="External"/><Relationship Id="rId195" Type="http://schemas.openxmlformats.org/officeDocument/2006/relationships/hyperlink" Target="https://www.iqiyi.com/v_19qcoi3tjz0.html" TargetMode="External"/><Relationship Id="rId209" Type="http://schemas.openxmlformats.org/officeDocument/2006/relationships/hyperlink" Target="https://www.iqiyi.com/v_okv7zn6jfo.html" TargetMode="External"/><Relationship Id="rId360" Type="http://schemas.openxmlformats.org/officeDocument/2006/relationships/hyperlink" Target="https://www.iqiyi.com/v_tg0bzav0ko.html" TargetMode="External"/><Relationship Id="rId416" Type="http://schemas.openxmlformats.org/officeDocument/2006/relationships/hyperlink" Target="http://www.iqiyi.com/v_17l6d2qrdv0.html?share_sTime=109" TargetMode="External"/><Relationship Id="rId220" Type="http://schemas.openxmlformats.org/officeDocument/2006/relationships/hyperlink" Target="https://www.iqiyi.com/v_19qcoi3tjz0.html" TargetMode="External"/><Relationship Id="rId458" Type="http://schemas.openxmlformats.org/officeDocument/2006/relationships/hyperlink" Target="https://www.iqiyi.com/v_2docnt7jyw8.html" TargetMode="External"/><Relationship Id="rId15" Type="http://schemas.openxmlformats.org/officeDocument/2006/relationships/hyperlink" Target="https://www.iqiyi.com/v_lmhkxrqwlk.html" TargetMode="External"/><Relationship Id="rId57" Type="http://schemas.openxmlformats.org/officeDocument/2006/relationships/hyperlink" Target="https://www.iqiyi.com/v_1smrdalxvck.html" TargetMode="External"/><Relationship Id="rId262" Type="http://schemas.openxmlformats.org/officeDocument/2006/relationships/hyperlink" Target="https://www.iqiyi.com/v_lmhkxrqwlk.html" TargetMode="External"/><Relationship Id="rId318" Type="http://schemas.openxmlformats.org/officeDocument/2006/relationships/hyperlink" Target="https://www.iqiyi.com/v_1qc2dhhf4rc.html" TargetMode="External"/><Relationship Id="rId99" Type="http://schemas.openxmlformats.org/officeDocument/2006/relationships/hyperlink" Target="https://www.iqiyi.com/v_2b7dt657dgg.html" TargetMode="External"/><Relationship Id="rId122" Type="http://schemas.openxmlformats.org/officeDocument/2006/relationships/hyperlink" Target="https://www.iqiyi.com/v_23ytugssa8c.html" TargetMode="External"/><Relationship Id="rId164" Type="http://schemas.openxmlformats.org/officeDocument/2006/relationships/hyperlink" Target="https://www.iqiyi.com/v_csh1i54cfs.html" TargetMode="External"/><Relationship Id="rId371" Type="http://schemas.openxmlformats.org/officeDocument/2006/relationships/hyperlink" Target="https://www.iqiyi.com/v_lb88qku9oc.html" TargetMode="External"/><Relationship Id="rId427" Type="http://schemas.openxmlformats.org/officeDocument/2006/relationships/hyperlink" Target="https://www.iqiyi.com/v_2c66zp7rcp0.html" TargetMode="External"/><Relationship Id="rId469" Type="http://schemas.openxmlformats.org/officeDocument/2006/relationships/hyperlink" Target="https://www.iqiyi.com/v_2bx0gdxkbbo.html" TargetMode="External"/><Relationship Id="rId26" Type="http://schemas.openxmlformats.org/officeDocument/2006/relationships/hyperlink" Target="http://www.iqiyi.com/v_2bufryvc36k.html" TargetMode="External"/><Relationship Id="rId231" Type="http://schemas.openxmlformats.org/officeDocument/2006/relationships/hyperlink" Target="https://www.iqiyi.com/v_1kzf2cy2qq4.html" TargetMode="External"/><Relationship Id="rId273" Type="http://schemas.openxmlformats.org/officeDocument/2006/relationships/hyperlink" Target="https://www.iqiyi.com/v_1ymadtms6ww.html" TargetMode="External"/><Relationship Id="rId329" Type="http://schemas.openxmlformats.org/officeDocument/2006/relationships/hyperlink" Target="http://www.iqiyi.com/v_2docnt7jyw8.html?share_sTime=440" TargetMode="External"/><Relationship Id="rId68" Type="http://schemas.openxmlformats.org/officeDocument/2006/relationships/hyperlink" Target="https://www.iqiyi.com/v_1deqcff9qko.html" TargetMode="External"/><Relationship Id="rId133" Type="http://schemas.openxmlformats.org/officeDocument/2006/relationships/hyperlink" Target="https://www.iqiyi.com/v_1y4efpjcbog.html" TargetMode="External"/><Relationship Id="rId175" Type="http://schemas.openxmlformats.org/officeDocument/2006/relationships/hyperlink" Target="http://www.iqiyi.com/v_1qc2dhhf17c.html?share_sTime=32" TargetMode="External"/><Relationship Id="rId340" Type="http://schemas.openxmlformats.org/officeDocument/2006/relationships/hyperlink" Target="http://www.iqiyi.com/v_1qc2dhhf17c.html?share_sTime=325" TargetMode="External"/><Relationship Id="rId200" Type="http://schemas.openxmlformats.org/officeDocument/2006/relationships/hyperlink" Target="https://www.iqiyi.com/v_msxfx2099w.html" TargetMode="External"/><Relationship Id="rId382" Type="http://schemas.openxmlformats.org/officeDocument/2006/relationships/hyperlink" Target="https://www.iqiyi.com/v_2bx0gdxkbbo.html" TargetMode="External"/><Relationship Id="rId438" Type="http://schemas.openxmlformats.org/officeDocument/2006/relationships/hyperlink" Target="https://www.iqiyi.com/v_1ymadtms6ww.html" TargetMode="External"/><Relationship Id="rId242" Type="http://schemas.openxmlformats.org/officeDocument/2006/relationships/hyperlink" Target="http://www.iqiyi.com/v_13zv6vx492s.html?share_sTime=295" TargetMode="External"/><Relationship Id="rId284" Type="http://schemas.openxmlformats.org/officeDocument/2006/relationships/hyperlink" Target="https://www.iqiyi.com/v_msxfx2099w.html" TargetMode="External"/><Relationship Id="rId37" Type="http://schemas.openxmlformats.org/officeDocument/2006/relationships/hyperlink" Target="https://www.iqiyi.com/v_uscurycmg8.html" TargetMode="External"/><Relationship Id="rId79" Type="http://schemas.openxmlformats.org/officeDocument/2006/relationships/hyperlink" Target="https://www.iqiyi.com/v_1yt8bhslu38.html" TargetMode="External"/><Relationship Id="rId102" Type="http://schemas.openxmlformats.org/officeDocument/2006/relationships/hyperlink" Target="https://www.iqiyi.com/v_2b7dt657dgg.html" TargetMode="External"/><Relationship Id="rId144" Type="http://schemas.openxmlformats.org/officeDocument/2006/relationships/hyperlink" Target="https://www.iqiyi.com/v_bq95qmvkj0.html" TargetMode="External"/><Relationship Id="rId90" Type="http://schemas.openxmlformats.org/officeDocument/2006/relationships/hyperlink" Target="https://www.iqiyi.com/v_uscurycmg8.html" TargetMode="External"/><Relationship Id="rId186" Type="http://schemas.openxmlformats.org/officeDocument/2006/relationships/hyperlink" Target="https://www.iqiyi.com/v_1yt8bhslu38.html" TargetMode="External"/><Relationship Id="rId351" Type="http://schemas.openxmlformats.org/officeDocument/2006/relationships/hyperlink" Target="https://www.iqiyi.com/v_okv7zn6jfo.html" TargetMode="External"/><Relationship Id="rId393" Type="http://schemas.openxmlformats.org/officeDocument/2006/relationships/hyperlink" Target="https://www.iqiyi.com/v_v9pgkqlzt8.html" TargetMode="External"/><Relationship Id="rId407" Type="http://schemas.openxmlformats.org/officeDocument/2006/relationships/hyperlink" Target="http://www.iqiyi.com/v_13zv6vx492s.html?share_sTime=14" TargetMode="External"/><Relationship Id="rId449" Type="http://schemas.openxmlformats.org/officeDocument/2006/relationships/hyperlink" Target="https://www.iqiyi.com/v_174uz7e1yl0.html" TargetMode="External"/><Relationship Id="rId211" Type="http://schemas.openxmlformats.org/officeDocument/2006/relationships/hyperlink" Target="https://www.iqiyi.com/v_tg0bzav0ko.html" TargetMode="External"/><Relationship Id="rId253" Type="http://schemas.openxmlformats.org/officeDocument/2006/relationships/hyperlink" Target="http://www.iqiyi.com/v_14006zhf2uo.html?share_sTime=251" TargetMode="External"/><Relationship Id="rId295" Type="http://schemas.openxmlformats.org/officeDocument/2006/relationships/hyperlink" Target="https://www.iqiyi.com/v_28ir6fn3f9w.html" TargetMode="External"/><Relationship Id="rId309" Type="http://schemas.openxmlformats.org/officeDocument/2006/relationships/hyperlink" Target="https://www.iqiyi.com/v_bq95qmvkj0.html" TargetMode="External"/><Relationship Id="rId460" Type="http://schemas.openxmlformats.org/officeDocument/2006/relationships/hyperlink" Target="https://www.iqiyi.com/v_1qc2dhhf4rc.html" TargetMode="External"/><Relationship Id="rId48" Type="http://schemas.openxmlformats.org/officeDocument/2006/relationships/hyperlink" Target="https://www.iqiyi.com/v_1s40j847frg.html" TargetMode="External"/><Relationship Id="rId113" Type="http://schemas.openxmlformats.org/officeDocument/2006/relationships/hyperlink" Target="https://www.iqiyi.com/v_1yt8bhslu38.html" TargetMode="External"/><Relationship Id="rId320" Type="http://schemas.openxmlformats.org/officeDocument/2006/relationships/hyperlink" Target="https://www.iqiyi.com/v_g1ofle6l90.html" TargetMode="External"/><Relationship Id="rId155" Type="http://schemas.openxmlformats.org/officeDocument/2006/relationships/hyperlink" Target="https://www.iqiyi.com/v_2docnt7jyw8.html" TargetMode="External"/><Relationship Id="rId197" Type="http://schemas.openxmlformats.org/officeDocument/2006/relationships/hyperlink" Target="https://www.iqiyi.com/v_v9pgkqlzt8.htmll" TargetMode="External"/><Relationship Id="rId362" Type="http://schemas.openxmlformats.org/officeDocument/2006/relationships/hyperlink" Target="https://www.iqiyi.com/v_2b3kfhfd7fo.html" TargetMode="External"/><Relationship Id="rId418" Type="http://schemas.openxmlformats.org/officeDocument/2006/relationships/hyperlink" Target="http://www.iqiyi.com/v_14006zhf2uo.html?share_sTime=213" TargetMode="External"/><Relationship Id="rId222" Type="http://schemas.openxmlformats.org/officeDocument/2006/relationships/hyperlink" Target="https://www.iqiyi.com/v_msxfx2099w.html" TargetMode="External"/><Relationship Id="rId264" Type="http://schemas.openxmlformats.org/officeDocument/2006/relationships/hyperlink" Target="https://www.iqiyi.com/v_lmhkxrqwlk.html" TargetMode="External"/><Relationship Id="rId471" Type="http://schemas.openxmlformats.org/officeDocument/2006/relationships/hyperlink" Target="https://www.iqiyi.com/v_2bx0gdxkbbo.html" TargetMode="External"/><Relationship Id="rId17" Type="http://schemas.openxmlformats.org/officeDocument/2006/relationships/hyperlink" Target="http://www.iqiyi.com/v_1c7atnuhsr4.html" TargetMode="External"/><Relationship Id="rId59" Type="http://schemas.openxmlformats.org/officeDocument/2006/relationships/hyperlink" Target="https://www.iqiyi.com/v_17l6d2qrdv0.html" TargetMode="External"/><Relationship Id="rId124" Type="http://schemas.openxmlformats.org/officeDocument/2006/relationships/hyperlink" Target="http://www.iqiyi.com/v_2bufryvc36k.html?share_sTime=361" TargetMode="External"/><Relationship Id="rId70" Type="http://schemas.openxmlformats.org/officeDocument/2006/relationships/hyperlink" Target="http://www.iqiyi.com/v_105jzk25f38.html?share_sTime=98" TargetMode="External"/><Relationship Id="rId166" Type="http://schemas.openxmlformats.org/officeDocument/2006/relationships/hyperlink" Target="http://www.iqiyi.com/v_uscurycmg8.html?share_sTime=165" TargetMode="External"/><Relationship Id="rId331" Type="http://schemas.openxmlformats.org/officeDocument/2006/relationships/hyperlink" Target="http://www.iqiyi.com/v_uscurycmg8.html?share_sTime=67" TargetMode="External"/><Relationship Id="rId373" Type="http://schemas.openxmlformats.org/officeDocument/2006/relationships/hyperlink" Target="https://www.iqiyi.com/v_1d74ab1jfsk.html" TargetMode="External"/><Relationship Id="rId429" Type="http://schemas.openxmlformats.org/officeDocument/2006/relationships/hyperlink" Target="https://www.iqiyi.com/v_23ytugssa8c.html" TargetMode="External"/><Relationship Id="rId1" Type="http://schemas.openxmlformats.org/officeDocument/2006/relationships/hyperlink" Target="https://www.iqiyi.com/v_2bufryvc36k.html" TargetMode="External"/><Relationship Id="rId233" Type="http://schemas.openxmlformats.org/officeDocument/2006/relationships/hyperlink" Target="https://www.iqiyi.com/v_17l6d2qrdv0.html" TargetMode="External"/><Relationship Id="rId440" Type="http://schemas.openxmlformats.org/officeDocument/2006/relationships/hyperlink" Target="https://www.iqiyi.com/v_1ymadtms6ww.html" TargetMode="External"/><Relationship Id="rId28" Type="http://schemas.openxmlformats.org/officeDocument/2006/relationships/hyperlink" Target="https://www.iqiyi.com/v_28ir6fn3f9w.html" TargetMode="External"/><Relationship Id="rId275" Type="http://schemas.openxmlformats.org/officeDocument/2006/relationships/hyperlink" Target="https://www.iqiyi.com/v_1jvbmagcje4.html" TargetMode="External"/><Relationship Id="rId300" Type="http://schemas.openxmlformats.org/officeDocument/2006/relationships/hyperlink" Target="https://www.iqiyi.com/v_2bvr40ahqls.html" TargetMode="External"/><Relationship Id="rId81" Type="http://schemas.openxmlformats.org/officeDocument/2006/relationships/hyperlink" Target="https://www.iqiyi.com/v_2bvr40ahqls.html" TargetMode="External"/><Relationship Id="rId135" Type="http://schemas.openxmlformats.org/officeDocument/2006/relationships/hyperlink" Target="https://www.iqiyi.com/v_bq95qmvkj0.html" TargetMode="External"/><Relationship Id="rId177" Type="http://schemas.openxmlformats.org/officeDocument/2006/relationships/hyperlink" Target="http://www.iqiyi.com/v_105jzk25f38.html?share_sTime=213" TargetMode="External"/><Relationship Id="rId342" Type="http://schemas.openxmlformats.org/officeDocument/2006/relationships/hyperlink" Target="https://www.iqiyi.com/v_17b2rc6qcw0.html" TargetMode="External"/><Relationship Id="rId384" Type="http://schemas.openxmlformats.org/officeDocument/2006/relationships/hyperlink" Target="https://www.iqiyi.com/v_csh1i54cfs.html" TargetMode="External"/><Relationship Id="rId202" Type="http://schemas.openxmlformats.org/officeDocument/2006/relationships/hyperlink" Target="https://www.iqiyi.com/v_1yt8bhslu38.html" TargetMode="External"/><Relationship Id="rId244" Type="http://schemas.openxmlformats.org/officeDocument/2006/relationships/hyperlink" Target="https://www.iqiyi.com/v_hbk4n4wja8.html" TargetMode="External"/><Relationship Id="rId39" Type="http://schemas.openxmlformats.org/officeDocument/2006/relationships/hyperlink" Target="https://www.iqiyi.com/v_g1ofle6l90.html" TargetMode="External"/><Relationship Id="rId286" Type="http://schemas.openxmlformats.org/officeDocument/2006/relationships/hyperlink" Target="https://www.iqiyi.com/v_hbk4n4wja8.html" TargetMode="External"/><Relationship Id="rId451" Type="http://schemas.openxmlformats.org/officeDocument/2006/relationships/hyperlink" Target="https://www.iqiyi.com/v_174uz7e1yl0.html" TargetMode="External"/><Relationship Id="rId50" Type="http://schemas.openxmlformats.org/officeDocument/2006/relationships/hyperlink" Target="https://www.iqiyi.com/v_174uz7e1yl0.html" TargetMode="External"/><Relationship Id="rId104" Type="http://schemas.openxmlformats.org/officeDocument/2006/relationships/hyperlink" Target="https://www.iqiyi.com/v_1u0x3rzzbjs.html" TargetMode="External"/><Relationship Id="rId146" Type="http://schemas.openxmlformats.org/officeDocument/2006/relationships/hyperlink" Target="https://www.iqiyi.com/v_2bx0gdxkbbo.html" TargetMode="External"/><Relationship Id="rId188" Type="http://schemas.openxmlformats.org/officeDocument/2006/relationships/hyperlink" Target="https://www.iqiyi.com/v_tg0bzav0ko.html" TargetMode="External"/><Relationship Id="rId311" Type="http://schemas.openxmlformats.org/officeDocument/2006/relationships/hyperlink" Target="https://www.iqiyi.com/v_1qc2dhhf4rc.html" TargetMode="External"/><Relationship Id="rId353" Type="http://schemas.openxmlformats.org/officeDocument/2006/relationships/hyperlink" Target="https://www.iqiyi.com/v_tg0bzav0ko.html" TargetMode="External"/><Relationship Id="rId395" Type="http://schemas.openxmlformats.org/officeDocument/2006/relationships/hyperlink" Target="https://www.iqiyi.com/v_109ugarkbks.html" TargetMode="External"/><Relationship Id="rId409" Type="http://schemas.openxmlformats.org/officeDocument/2006/relationships/hyperlink" Target="http://www.iqiyi.com/v_13zv6vx492s.html?share_sTime=232" TargetMode="External"/><Relationship Id="rId92" Type="http://schemas.openxmlformats.org/officeDocument/2006/relationships/hyperlink" Target="https://www.iqiyi.com/v_1rshytn0qmw.html" TargetMode="External"/><Relationship Id="rId213" Type="http://schemas.openxmlformats.org/officeDocument/2006/relationships/hyperlink" Target="https://www.iqiyi.com/v_2b3kfhfd7fo.html" TargetMode="External"/><Relationship Id="rId420" Type="http://schemas.openxmlformats.org/officeDocument/2006/relationships/hyperlink" Target="http://www.iqiyi.com/v_2fb1s6tz13k.html?share_sTime=0" TargetMode="External"/><Relationship Id="rId255" Type="http://schemas.openxmlformats.org/officeDocument/2006/relationships/hyperlink" Target="http://www.iqiyi.com/v_2fb1s6tz13k.html?share_sTime=0" TargetMode="External"/><Relationship Id="rId297" Type="http://schemas.openxmlformats.org/officeDocument/2006/relationships/hyperlink" Target="https://www.iqiyi.com/v_28ir6fn3f9w.html" TargetMode="External"/><Relationship Id="rId462" Type="http://schemas.openxmlformats.org/officeDocument/2006/relationships/hyperlink" Target="https://www.iqiyi.com/v_1zj8zpc1uug.html" TargetMode="External"/><Relationship Id="rId115" Type="http://schemas.openxmlformats.org/officeDocument/2006/relationships/hyperlink" Target="http://www.iqiyi.com/v_2bufryvc36k.html?share_sTime=98" TargetMode="External"/><Relationship Id="rId157" Type="http://schemas.openxmlformats.org/officeDocument/2006/relationships/hyperlink" Target="http://www.iqiyi.com/v_uscurycmg8.html?share_sTime=67" TargetMode="External"/><Relationship Id="rId322" Type="http://schemas.openxmlformats.org/officeDocument/2006/relationships/hyperlink" Target="https://www.iqiyi.com/v_1s40j847frg.html" TargetMode="External"/><Relationship Id="rId364" Type="http://schemas.openxmlformats.org/officeDocument/2006/relationships/hyperlink" Target="https://www.iqiyi.com/v_lb88qku9oc.html" TargetMode="External"/><Relationship Id="rId61" Type="http://schemas.openxmlformats.org/officeDocument/2006/relationships/hyperlink" Target="http://www.iqiyi.com/v_1u0x3rzzbjs.html?share_sTime=306" TargetMode="External"/><Relationship Id="rId199" Type="http://schemas.openxmlformats.org/officeDocument/2006/relationships/hyperlink" Target="https://www.iqiyi.com/v_1y4efpjcbog.html" TargetMode="External"/><Relationship Id="rId19" Type="http://schemas.openxmlformats.org/officeDocument/2006/relationships/hyperlink" Target="https://www.iqiyi.com/v_1s40j847frg.html" TargetMode="External"/><Relationship Id="rId224" Type="http://schemas.openxmlformats.org/officeDocument/2006/relationships/hyperlink" Target="https://www.iqiyi.com/v_19qcoi3tjz0.html" TargetMode="External"/><Relationship Id="rId266" Type="http://schemas.openxmlformats.org/officeDocument/2006/relationships/hyperlink" Target="http://www.iqiyi.com/v_lmhkxrqwlk.html?share_sTime=394" TargetMode="External"/><Relationship Id="rId431" Type="http://schemas.openxmlformats.org/officeDocument/2006/relationships/hyperlink" Target="https://www.iqiyi.com/v_23ytugssa8c.html" TargetMode="External"/><Relationship Id="rId473" Type="http://schemas.openxmlformats.org/officeDocument/2006/relationships/hyperlink" Target="https://www.iqiyi.com/v_fnv2jl6aqc.html" TargetMode="External"/><Relationship Id="rId30" Type="http://schemas.openxmlformats.org/officeDocument/2006/relationships/hyperlink" Target="https://www.iqiyi.com/v_g1ofle6l90.html" TargetMode="External"/><Relationship Id="rId126" Type="http://schemas.openxmlformats.org/officeDocument/2006/relationships/hyperlink" Target="https://www.iqiyi.com/v_1rshytn0qmw.html" TargetMode="External"/><Relationship Id="rId168" Type="http://schemas.openxmlformats.org/officeDocument/2006/relationships/hyperlink" Target="http://www.iqiyi.com/v_105jzk25f38.html?share_sTime=28" TargetMode="External"/><Relationship Id="rId333" Type="http://schemas.openxmlformats.org/officeDocument/2006/relationships/hyperlink" Target="http://www.iqiyi.com/v_uscurycmg8.html?share_sTime=93"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www.iqiyi.com/v_28ir6fn3f9w.html" TargetMode="External"/><Relationship Id="rId299" Type="http://schemas.openxmlformats.org/officeDocument/2006/relationships/hyperlink" Target="https://www.iqiyi.com/v_105jzk25f38.html" TargetMode="External"/><Relationship Id="rId21" Type="http://schemas.openxmlformats.org/officeDocument/2006/relationships/hyperlink" Target="https://www.iqiyi.com/v_1p6eeku8olw.html" TargetMode="External"/><Relationship Id="rId63" Type="http://schemas.openxmlformats.org/officeDocument/2006/relationships/hyperlink" Target="https://www.iqiyi.com/v_1yt8bhslu38.html" TargetMode="External"/><Relationship Id="rId159" Type="http://schemas.openxmlformats.org/officeDocument/2006/relationships/hyperlink" Target="http://www.iqiyi.com/v_uscurycmg8.html?share_sTime=202" TargetMode="External"/><Relationship Id="rId170" Type="http://schemas.openxmlformats.org/officeDocument/2006/relationships/hyperlink" Target="https://www.iqiyi.com/v_1tiq2wkvjj8.html" TargetMode="External"/><Relationship Id="rId226" Type="http://schemas.openxmlformats.org/officeDocument/2006/relationships/hyperlink" Target="https://www.iqiyi.com/v_1kzf2cy2qq4.html" TargetMode="External"/><Relationship Id="rId268" Type="http://schemas.openxmlformats.org/officeDocument/2006/relationships/hyperlink" Target="https://www.iqiyi.com/v_1jvbmagcje4.html" TargetMode="External"/><Relationship Id="rId32" Type="http://schemas.openxmlformats.org/officeDocument/2006/relationships/hyperlink" Target="https://www.iqiyi.com/v_2b7dt657dgg.html" TargetMode="External"/><Relationship Id="rId74" Type="http://schemas.openxmlformats.org/officeDocument/2006/relationships/hyperlink" Target="https://www.iqiyi.com/v_19qcoi3tjz0.html" TargetMode="External"/><Relationship Id="rId128" Type="http://schemas.openxmlformats.org/officeDocument/2006/relationships/hyperlink" Target="https://www.iqiyi.com/v_1zj8zpc1uug.html" TargetMode="External"/><Relationship Id="rId5" Type="http://schemas.openxmlformats.org/officeDocument/2006/relationships/hyperlink" Target="https://www.iqiyi.com/v_lmhkxrqwlk.html" TargetMode="External"/><Relationship Id="rId181" Type="http://schemas.openxmlformats.org/officeDocument/2006/relationships/hyperlink" Target="https://www.iqiyi.com/v_okv7zn6jfo.html" TargetMode="External"/><Relationship Id="rId237" Type="http://schemas.openxmlformats.org/officeDocument/2006/relationships/hyperlink" Target="http://www.iqiyi.com/v_13zv6vx492s.html?share_sTime=295" TargetMode="External"/><Relationship Id="rId279" Type="http://schemas.openxmlformats.org/officeDocument/2006/relationships/hyperlink" Target="https://www.iqiyi.com/v_1ni7svvsz98.html" TargetMode="External"/><Relationship Id="rId43" Type="http://schemas.openxmlformats.org/officeDocument/2006/relationships/hyperlink" Target="https://www.iqiyi.com/v_1rshytn0qmw.html" TargetMode="External"/><Relationship Id="rId139" Type="http://schemas.openxmlformats.org/officeDocument/2006/relationships/hyperlink" Target="https://www.iqiyi.com/v_1qc2dhhf4rc.html" TargetMode="External"/><Relationship Id="rId290" Type="http://schemas.openxmlformats.org/officeDocument/2006/relationships/hyperlink" Target="https://www.iqiyi.com/v_2bvr40ahqls.html" TargetMode="External"/><Relationship Id="rId85" Type="http://schemas.openxmlformats.org/officeDocument/2006/relationships/hyperlink" Target="https://www.iqiyi.com/v_fnv2jl6aqc.html" TargetMode="External"/><Relationship Id="rId150" Type="http://schemas.openxmlformats.org/officeDocument/2006/relationships/hyperlink" Target="https://www.iqiyi.com/v_1s40j847frg.html" TargetMode="External"/><Relationship Id="rId192" Type="http://schemas.openxmlformats.org/officeDocument/2006/relationships/hyperlink" Target="https://www.iqiyi.com/v_105jzk25f38.html" TargetMode="External"/><Relationship Id="rId206" Type="http://schemas.openxmlformats.org/officeDocument/2006/relationships/hyperlink" Target="https://www.iqiyi.com/v_2bx0gdxkbbo.html" TargetMode="External"/><Relationship Id="rId248" Type="http://schemas.openxmlformats.org/officeDocument/2006/relationships/hyperlink" Target="https://www.iqiyi.com/v_2fb1s6tz13k.html" TargetMode="External"/><Relationship Id="rId12" Type="http://schemas.openxmlformats.org/officeDocument/2006/relationships/hyperlink" Target="https://www.iqiyi.com/v_g1ofle6l90.html" TargetMode="External"/><Relationship Id="rId108" Type="http://schemas.openxmlformats.org/officeDocument/2006/relationships/hyperlink" Target="https://www.iqiyi.com/v_msxfx2099w.html" TargetMode="External"/><Relationship Id="rId54" Type="http://schemas.openxmlformats.org/officeDocument/2006/relationships/hyperlink" Target="http://www.iqiyi.com/v_1u0x3rzzbjs.html?share_sTime=199" TargetMode="External"/><Relationship Id="rId96" Type="http://schemas.openxmlformats.org/officeDocument/2006/relationships/hyperlink" Target="https://www.iqiyi.com/v_lmhkxrqwlk.html" TargetMode="External"/><Relationship Id="rId161" Type="http://schemas.openxmlformats.org/officeDocument/2006/relationships/hyperlink" Target="http://www.iqiyi.com/v_1qc2dhhf17c.html?share_sTime=32" TargetMode="External"/><Relationship Id="rId217" Type="http://schemas.openxmlformats.org/officeDocument/2006/relationships/hyperlink" Target="https://www.iqiyi.com/v_v9pgkqlzt8.html" TargetMode="External"/><Relationship Id="rId6" Type="http://schemas.openxmlformats.org/officeDocument/2006/relationships/hyperlink" Target="https://www.iqiyi.com/v_lmhkxrqwlk.html" TargetMode="External"/><Relationship Id="rId238" Type="http://schemas.openxmlformats.org/officeDocument/2006/relationships/hyperlink" Target="http://www.iqiyi.com/v_13zv6vx492s.html?share_sTime=309" TargetMode="External"/><Relationship Id="rId259" Type="http://schemas.openxmlformats.org/officeDocument/2006/relationships/hyperlink" Target="https://www.iqiyi.com/v_1deqcff9qko.html" TargetMode="External"/><Relationship Id="rId23" Type="http://schemas.openxmlformats.org/officeDocument/2006/relationships/hyperlink" Target="https://www.iqiyi.com/v_1p6eeku8olw.html" TargetMode="External"/><Relationship Id="rId119" Type="http://schemas.openxmlformats.org/officeDocument/2006/relationships/hyperlink" Target="https://www.iqiyi.com/v_28ir6fn3f9w.html" TargetMode="External"/><Relationship Id="rId270" Type="http://schemas.openxmlformats.org/officeDocument/2006/relationships/hyperlink" Target="https://www.iqiyi.com/v_1jvbmagcje4.html" TargetMode="External"/><Relationship Id="rId291" Type="http://schemas.openxmlformats.org/officeDocument/2006/relationships/hyperlink" Target="https://www.iqiyi.com/v_1zj8zpc1uug.html" TargetMode="External"/><Relationship Id="rId44" Type="http://schemas.openxmlformats.org/officeDocument/2006/relationships/hyperlink" Target="https://www.iqiyi.com/v_1rshytn0qmw.html" TargetMode="External"/><Relationship Id="rId65" Type="http://schemas.openxmlformats.org/officeDocument/2006/relationships/hyperlink" Target="https://www.iqiyi.com/v_19qcoi3tjz0.html" TargetMode="External"/><Relationship Id="rId86" Type="http://schemas.openxmlformats.org/officeDocument/2006/relationships/hyperlink" Target="https://www.iqiyi.com/v_19qcoi3tjz0.html" TargetMode="External"/><Relationship Id="rId130" Type="http://schemas.openxmlformats.org/officeDocument/2006/relationships/hyperlink" Target="https://www.iqiyi.com/v_1zj8zpc1uug.html" TargetMode="External"/><Relationship Id="rId151" Type="http://schemas.openxmlformats.org/officeDocument/2006/relationships/hyperlink" Target="http://www.iqiyi.com/v_2docnt7jyw8.html?share_sTime=299" TargetMode="External"/><Relationship Id="rId172" Type="http://schemas.openxmlformats.org/officeDocument/2006/relationships/hyperlink" Target="https://www.iqiyi.com/v_okv7zn6jfo.html" TargetMode="External"/><Relationship Id="rId193" Type="http://schemas.openxmlformats.org/officeDocument/2006/relationships/hyperlink" Target="https://www.iqiyi.com/v_105jzk25f38.html" TargetMode="External"/><Relationship Id="rId207" Type="http://schemas.openxmlformats.org/officeDocument/2006/relationships/hyperlink" Target="https://www.iqiyi.com/v_okv7zn6jfo.html" TargetMode="External"/><Relationship Id="rId228" Type="http://schemas.openxmlformats.org/officeDocument/2006/relationships/hyperlink" Target="https://www.iqiyi.com/v_17l6d2qrdv0.html" TargetMode="External"/><Relationship Id="rId249" Type="http://schemas.openxmlformats.org/officeDocument/2006/relationships/hyperlink" Target="https://www.iqiyi.com/v_26obq94b7l4.html" TargetMode="External"/><Relationship Id="rId13" Type="http://schemas.openxmlformats.org/officeDocument/2006/relationships/hyperlink" Target="https://www.iqiyi.com/v_g1ofle6l90.html" TargetMode="External"/><Relationship Id="rId109" Type="http://schemas.openxmlformats.org/officeDocument/2006/relationships/hyperlink" Target="https://www.iqiyi.com/v_19qcoi3tjz0.html" TargetMode="External"/><Relationship Id="rId260" Type="http://schemas.openxmlformats.org/officeDocument/2006/relationships/hyperlink" Target="https://www.iqiyi.com/v_1deqcff9qko.html" TargetMode="External"/><Relationship Id="rId281" Type="http://schemas.openxmlformats.org/officeDocument/2006/relationships/hyperlink" Target="https://www.iqiyi.com/v_1ni7svvsz98.html" TargetMode="External"/><Relationship Id="rId34" Type="http://schemas.openxmlformats.org/officeDocument/2006/relationships/hyperlink" Target="https://www.iqiyi.com/v_2b7dt657dgg.html" TargetMode="External"/><Relationship Id="rId55" Type="http://schemas.openxmlformats.org/officeDocument/2006/relationships/hyperlink" Target="http://www.iqiyi.com/v_1u0x3rzzbjs.html?share_sTime=223" TargetMode="External"/><Relationship Id="rId76" Type="http://schemas.openxmlformats.org/officeDocument/2006/relationships/hyperlink" Target="https://www.iqiyi.com/v_19qcoi3tjz0.html" TargetMode="External"/><Relationship Id="rId97" Type="http://schemas.openxmlformats.org/officeDocument/2006/relationships/hyperlink" Target="https://www.iqiyi.com/v_lmhkxrqwlk.html" TargetMode="External"/><Relationship Id="rId120" Type="http://schemas.openxmlformats.org/officeDocument/2006/relationships/hyperlink" Target="https://www.iqiyi.com/v_28ir6fn3f9w.html" TargetMode="External"/><Relationship Id="rId141" Type="http://schemas.openxmlformats.org/officeDocument/2006/relationships/hyperlink" Target="https://www.iqiyi.com/v_1qc2dhhf4rc.html" TargetMode="External"/><Relationship Id="rId7" Type="http://schemas.openxmlformats.org/officeDocument/2006/relationships/hyperlink" Target="https://www.iqiyi.com/v_2993z2f1klc.html" TargetMode="External"/><Relationship Id="rId162" Type="http://schemas.openxmlformats.org/officeDocument/2006/relationships/hyperlink" Target="http://www.iqiyi.com/v_1qc2dhhf17c.html?share_sTime=296" TargetMode="External"/><Relationship Id="rId183" Type="http://schemas.openxmlformats.org/officeDocument/2006/relationships/hyperlink" Target="https://www.iqiyi.com/v_tg0bzav0ko.html" TargetMode="External"/><Relationship Id="rId218" Type="http://schemas.openxmlformats.org/officeDocument/2006/relationships/hyperlink" Target="https://www.iqiyi.com/v_v9pgkqlzt8.html" TargetMode="External"/><Relationship Id="rId239" Type="http://schemas.openxmlformats.org/officeDocument/2006/relationships/hyperlink" Target="http://www.iqiyi.com/v_13zv6vx492s.html?share_sTime=446" TargetMode="External"/><Relationship Id="rId250" Type="http://schemas.openxmlformats.org/officeDocument/2006/relationships/hyperlink" Target="https://www.iqiyi.com/v_2c66zp7rcp0.html" TargetMode="External"/><Relationship Id="rId271" Type="http://schemas.openxmlformats.org/officeDocument/2006/relationships/hyperlink" Target="https://www.iqiyi.com/v_1jvbmagcje4.html" TargetMode="External"/><Relationship Id="rId292" Type="http://schemas.openxmlformats.org/officeDocument/2006/relationships/hyperlink" Target="https://www.iqiyi.com/v_2bvr40ahqls.html" TargetMode="External"/><Relationship Id="rId24" Type="http://schemas.openxmlformats.org/officeDocument/2006/relationships/hyperlink" Target="https://www.iqiyi.com/v_1p6eeku8olw.html" TargetMode="External"/><Relationship Id="rId45" Type="http://schemas.openxmlformats.org/officeDocument/2006/relationships/hyperlink" Target="https://www.iqiyi.com/v_1rshytn0qmw.html" TargetMode="External"/><Relationship Id="rId66" Type="http://schemas.openxmlformats.org/officeDocument/2006/relationships/hyperlink" Target="https://www.iqiyi.com/v_19qcoi3tjz0.html" TargetMode="External"/><Relationship Id="rId87" Type="http://schemas.openxmlformats.org/officeDocument/2006/relationships/hyperlink" Target="https://www.iqiyi.com/v_1i727m0zp2g.html" TargetMode="External"/><Relationship Id="rId110" Type="http://schemas.openxmlformats.org/officeDocument/2006/relationships/hyperlink" Target="https://www.iqiyi.com/v_hbk4n4wja8.html" TargetMode="External"/><Relationship Id="rId131" Type="http://schemas.openxmlformats.org/officeDocument/2006/relationships/hyperlink" Target="https://www.iqiyi.com/v_1rshytn0qmw.html" TargetMode="External"/><Relationship Id="rId152" Type="http://schemas.openxmlformats.org/officeDocument/2006/relationships/hyperlink" Target="http://www.iqiyi.com/v_2docnt7jyw8.html?share_sTime=311" TargetMode="External"/><Relationship Id="rId173" Type="http://schemas.openxmlformats.org/officeDocument/2006/relationships/hyperlink" Target="https://www.iqiyi.com/v_1tiq2wkvjj8.html" TargetMode="External"/><Relationship Id="rId194" Type="http://schemas.openxmlformats.org/officeDocument/2006/relationships/hyperlink" Target="https://www.iqiyi.com/v_lb88qku9oc.html" TargetMode="External"/><Relationship Id="rId208" Type="http://schemas.openxmlformats.org/officeDocument/2006/relationships/hyperlink" Target="https://www.iqiyi.com/v_csh1i54cfs.html" TargetMode="External"/><Relationship Id="rId229" Type="http://schemas.openxmlformats.org/officeDocument/2006/relationships/hyperlink" Target="https://www.iqiyi.com/v_17l6d2qrdv0.html" TargetMode="External"/><Relationship Id="rId240" Type="http://schemas.openxmlformats.org/officeDocument/2006/relationships/hyperlink" Target="http://www.iqiyi.com/v_14006zhf2uo.html?share_sTime=137" TargetMode="External"/><Relationship Id="rId261" Type="http://schemas.openxmlformats.org/officeDocument/2006/relationships/hyperlink" Target="https://www.iqiyi.com/v_1deqcff9qko.html" TargetMode="External"/><Relationship Id="rId14" Type="http://schemas.openxmlformats.org/officeDocument/2006/relationships/hyperlink" Target="https://www.iqiyi.com/v_g1ofle6l90.html" TargetMode="External"/><Relationship Id="rId35" Type="http://schemas.openxmlformats.org/officeDocument/2006/relationships/hyperlink" Target="https://www.iqiyi.com/v_2b7dt657dgg.html" TargetMode="External"/><Relationship Id="rId56" Type="http://schemas.openxmlformats.org/officeDocument/2006/relationships/hyperlink" Target="http://www.iqiyi.com/v_1u0x3rzzbjs.html?share_sTime=306" TargetMode="External"/><Relationship Id="rId77" Type="http://schemas.openxmlformats.org/officeDocument/2006/relationships/hyperlink" Target="https://www.iqiyi.com/v_19qcoi3tjz0.html" TargetMode="External"/><Relationship Id="rId100" Type="http://schemas.openxmlformats.org/officeDocument/2006/relationships/hyperlink" Target="http://www.iqiyi.com/v_2bufryvc36k.html?share_sTime=98" TargetMode="External"/><Relationship Id="rId282" Type="http://schemas.openxmlformats.org/officeDocument/2006/relationships/hyperlink" Target="https://www.iqiyi.com/v_1s40j847frg.html" TargetMode="External"/><Relationship Id="rId8" Type="http://schemas.openxmlformats.org/officeDocument/2006/relationships/hyperlink" Target="https://www.iqiyi.com/v_fnv2jl6aqc.html" TargetMode="External"/><Relationship Id="rId98" Type="http://schemas.openxmlformats.org/officeDocument/2006/relationships/hyperlink" Target="http://www.iqiyi.com/v_lmhkxrqwlk.html?share_sTime=394" TargetMode="External"/><Relationship Id="rId121" Type="http://schemas.openxmlformats.org/officeDocument/2006/relationships/hyperlink" Target="https://www.iqiyi.com/v_28ir6fn3f9w.html" TargetMode="External"/><Relationship Id="rId142" Type="http://schemas.openxmlformats.org/officeDocument/2006/relationships/hyperlink" Target="https://www.iqiyi.com/v_1qc2dhhf4rc.html" TargetMode="External"/><Relationship Id="rId163" Type="http://schemas.openxmlformats.org/officeDocument/2006/relationships/hyperlink" Target="http://www.iqiyi.com/v_1qc2dhhf17c.html?share_sTime=311" TargetMode="External"/><Relationship Id="rId184" Type="http://schemas.openxmlformats.org/officeDocument/2006/relationships/hyperlink" Target="https://www.iqiyi.com/v_tg0bzav0ko.html" TargetMode="External"/><Relationship Id="rId219" Type="http://schemas.openxmlformats.org/officeDocument/2006/relationships/hyperlink" Target="https://www.iqiyi.com/v_109ugarkbks.html" TargetMode="External"/><Relationship Id="rId230" Type="http://schemas.openxmlformats.org/officeDocument/2006/relationships/hyperlink" Target="https://10.10.30.16:12855/vse/scenarios/611bbf7674cc1b1de37e707c/simulations?source=CLOUD" TargetMode="External"/><Relationship Id="rId251" Type="http://schemas.openxmlformats.org/officeDocument/2006/relationships/hyperlink" Target="https://www.iqiyi.com/v_2fb1s6tz13k.html" TargetMode="External"/><Relationship Id="rId25" Type="http://schemas.openxmlformats.org/officeDocument/2006/relationships/hyperlink" Target="https://www.iqiyi.com/v_1p6eeku8olw.html" TargetMode="External"/><Relationship Id="rId46" Type="http://schemas.openxmlformats.org/officeDocument/2006/relationships/hyperlink" Target="https://www.iqiyi.com/v_bq95qmvkj0.html" TargetMode="External"/><Relationship Id="rId67" Type="http://schemas.openxmlformats.org/officeDocument/2006/relationships/hyperlink" Target="https://www.iqiyi.com/v_1dz6udux11w.html" TargetMode="External"/><Relationship Id="rId272" Type="http://schemas.openxmlformats.org/officeDocument/2006/relationships/hyperlink" Target="https://www.iqiyi.com/v_174uz7e1yl0.html" TargetMode="External"/><Relationship Id="rId293" Type="http://schemas.openxmlformats.org/officeDocument/2006/relationships/hyperlink" Target="https://www.iqiyi.com/v_2docnt7jyw8.html" TargetMode="External"/><Relationship Id="rId88" Type="http://schemas.openxmlformats.org/officeDocument/2006/relationships/hyperlink" Target="https://www.iqiyi.com/v_hbk4n4wja8.html" TargetMode="External"/><Relationship Id="rId111" Type="http://schemas.openxmlformats.org/officeDocument/2006/relationships/hyperlink" Target="https://www.iqiyi.com/v_1y4efpjcbog.html" TargetMode="External"/><Relationship Id="rId132" Type="http://schemas.openxmlformats.org/officeDocument/2006/relationships/hyperlink" Target="https://www.iqiyi.com/v_bq95qmvkj0.html" TargetMode="External"/><Relationship Id="rId153" Type="http://schemas.openxmlformats.org/officeDocument/2006/relationships/hyperlink" Target="http://www.iqiyi.com/v_2docnt7jyw8.html?share_sTime=440" TargetMode="External"/><Relationship Id="rId174" Type="http://schemas.openxmlformats.org/officeDocument/2006/relationships/hyperlink" Target="https://www.iqiyi.com/v_1tiq2wkvjj8.html" TargetMode="External"/><Relationship Id="rId195" Type="http://schemas.openxmlformats.org/officeDocument/2006/relationships/hyperlink" Target="https://www.iqiyi.com/v_lb88qku9oc.html" TargetMode="External"/><Relationship Id="rId209" Type="http://schemas.openxmlformats.org/officeDocument/2006/relationships/hyperlink" Target="https://www.iqiyi.com/v_csh1i54cfs.html" TargetMode="External"/><Relationship Id="rId220" Type="http://schemas.openxmlformats.org/officeDocument/2006/relationships/hyperlink" Target="https://www.iqiyi.com/v_109ugarkbks.html" TargetMode="External"/><Relationship Id="rId241" Type="http://schemas.openxmlformats.org/officeDocument/2006/relationships/hyperlink" Target="http://www.iqiyi.com/v_17l6d2qrdv0.html?share_sTime=109" TargetMode="External"/><Relationship Id="rId15" Type="http://schemas.openxmlformats.org/officeDocument/2006/relationships/hyperlink" Target="https://www.iqiyi.com/v_g1ofle6l90.html" TargetMode="External"/><Relationship Id="rId36" Type="http://schemas.openxmlformats.org/officeDocument/2006/relationships/hyperlink" Target="https://www.iqiyi.com/v_2b7dt657dgg.html" TargetMode="External"/><Relationship Id="rId57" Type="http://schemas.openxmlformats.org/officeDocument/2006/relationships/hyperlink" Target="http://www.iqiyi.com/v_105jzk25f38.html?share_sTime=28" TargetMode="External"/><Relationship Id="rId262" Type="http://schemas.openxmlformats.org/officeDocument/2006/relationships/hyperlink" Target="https://www.iqiyi.com/v_1deqcff9qko.html" TargetMode="External"/><Relationship Id="rId283" Type="http://schemas.openxmlformats.org/officeDocument/2006/relationships/hyperlink" Target="https://www.iqiyi.com/v_2docnt7jyw8.html" TargetMode="External"/><Relationship Id="rId78" Type="http://schemas.openxmlformats.org/officeDocument/2006/relationships/hyperlink" Target="https://www.iqiyi.com/v_19qcoi3tjz0.html" TargetMode="External"/><Relationship Id="rId99" Type="http://schemas.openxmlformats.org/officeDocument/2006/relationships/hyperlink" Target="http://www.iqiyi.com/v_lmhkxrqwlk.html?share_sTime=436" TargetMode="External"/><Relationship Id="rId101" Type="http://schemas.openxmlformats.org/officeDocument/2006/relationships/hyperlink" Target="http://www.iqiyi.com/v_2bufryvc36k.html?share_sTime=160" TargetMode="External"/><Relationship Id="rId122" Type="http://schemas.openxmlformats.org/officeDocument/2006/relationships/hyperlink" Target="https://www.iqiyi.com/v_1p6eeku8olw.html" TargetMode="External"/><Relationship Id="rId143" Type="http://schemas.openxmlformats.org/officeDocument/2006/relationships/hyperlink" Target="https://www.iqiyi.com/v_g1ofle6l90.html" TargetMode="External"/><Relationship Id="rId164" Type="http://schemas.openxmlformats.org/officeDocument/2006/relationships/hyperlink" Target="http://www.iqiyi.com/v_1qc2dhhf17c.html?share_sTime=325" TargetMode="External"/><Relationship Id="rId185" Type="http://schemas.openxmlformats.org/officeDocument/2006/relationships/hyperlink" Target="https://www.iqiyi.com/v_okv7zn6jfo.html" TargetMode="External"/><Relationship Id="rId9" Type="http://schemas.openxmlformats.org/officeDocument/2006/relationships/hyperlink" Target="https://www.iqiyi.com/v_2bx0gdxkbbo.html" TargetMode="External"/><Relationship Id="rId210" Type="http://schemas.openxmlformats.org/officeDocument/2006/relationships/hyperlink" Target="https://www.iqiyi.com/v_csh1i54cfs.html" TargetMode="External"/><Relationship Id="rId26" Type="http://schemas.openxmlformats.org/officeDocument/2006/relationships/hyperlink" Target="https://www.iqiyi.com/v_1p6eeku8olw.html" TargetMode="External"/><Relationship Id="rId231" Type="http://schemas.openxmlformats.org/officeDocument/2006/relationships/hyperlink" Target="https://www.iqiyi.com/v_109ugarkbks.html" TargetMode="External"/><Relationship Id="rId252" Type="http://schemas.openxmlformats.org/officeDocument/2006/relationships/hyperlink" Target="https://www.iqiyi.com/v_2c66zp7rcp0.html" TargetMode="External"/><Relationship Id="rId273" Type="http://schemas.openxmlformats.org/officeDocument/2006/relationships/hyperlink" Target="https://www.iqiyi.com/v_174uz7e1yl0.html" TargetMode="External"/><Relationship Id="rId294" Type="http://schemas.openxmlformats.org/officeDocument/2006/relationships/hyperlink" Target="https://www.iqiyi.com/v_2bx0gdxkbbo.html" TargetMode="External"/><Relationship Id="rId47" Type="http://schemas.openxmlformats.org/officeDocument/2006/relationships/hyperlink" Target="https://www.iqiyi.com/v_bq95qmvkj0.html" TargetMode="External"/><Relationship Id="rId68" Type="http://schemas.openxmlformats.org/officeDocument/2006/relationships/hyperlink" Target="https://www.iqiyi.com/v_msxfx2099w.html" TargetMode="External"/><Relationship Id="rId89" Type="http://schemas.openxmlformats.org/officeDocument/2006/relationships/hyperlink" Target="https://www.iqiyi.com/v_hbk4n4wja8.html" TargetMode="External"/><Relationship Id="rId112" Type="http://schemas.openxmlformats.org/officeDocument/2006/relationships/hyperlink" Target="https://www.iqiyi.com/v_msxfx2099w.html" TargetMode="External"/><Relationship Id="rId133" Type="http://schemas.openxmlformats.org/officeDocument/2006/relationships/hyperlink" Target="https://www.iqiyi.com/v_bq95qmvkj0.html" TargetMode="External"/><Relationship Id="rId154" Type="http://schemas.openxmlformats.org/officeDocument/2006/relationships/hyperlink" Target="http://www.iqiyi.com/v_2docnt7jyw8.html?share_sTime=481" TargetMode="External"/><Relationship Id="rId175" Type="http://schemas.openxmlformats.org/officeDocument/2006/relationships/hyperlink" Target="https://www.iqiyi.com/v_okv7zn6jfo.html" TargetMode="External"/><Relationship Id="rId196" Type="http://schemas.openxmlformats.org/officeDocument/2006/relationships/hyperlink" Target="https://www.iqiyi.com/v_1d74ab1jfsk.html" TargetMode="External"/><Relationship Id="rId200" Type="http://schemas.openxmlformats.org/officeDocument/2006/relationships/hyperlink" Target="https://www.iqiyi.com/v_1d74ab1jfsk.html" TargetMode="External"/><Relationship Id="rId16" Type="http://schemas.openxmlformats.org/officeDocument/2006/relationships/hyperlink" Target="https://www.iqiyi.com/v_g1ofle6l90.html" TargetMode="External"/><Relationship Id="rId221" Type="http://schemas.openxmlformats.org/officeDocument/2006/relationships/hyperlink" Target="https://www.iqiyi.com/v_109ugarkbks.html" TargetMode="External"/><Relationship Id="rId242" Type="http://schemas.openxmlformats.org/officeDocument/2006/relationships/hyperlink" Target="http://www.iqiyi.com/v_14006zhf2uo.html?share_sTime=149" TargetMode="External"/><Relationship Id="rId263" Type="http://schemas.openxmlformats.org/officeDocument/2006/relationships/hyperlink" Target="https://www.iqiyi.com/v_1ymadtms6ww.html" TargetMode="External"/><Relationship Id="rId284" Type="http://schemas.openxmlformats.org/officeDocument/2006/relationships/hyperlink" Target="https://www.iqiyi.com/v_2docnt7jyw8.html" TargetMode="External"/><Relationship Id="rId37" Type="http://schemas.openxmlformats.org/officeDocument/2006/relationships/hyperlink" Target="https://www.iqiyi.com/v_2b7dt657dgg.html" TargetMode="External"/><Relationship Id="rId58" Type="http://schemas.openxmlformats.org/officeDocument/2006/relationships/hyperlink" Target="http://www.iqiyi.com/v_105jzk25f38.html?share_sTime=73" TargetMode="External"/><Relationship Id="rId79" Type="http://schemas.openxmlformats.org/officeDocument/2006/relationships/hyperlink" Target="https://www.iqiyi.com/v_msxfx2099w.html" TargetMode="External"/><Relationship Id="rId102" Type="http://schemas.openxmlformats.org/officeDocument/2006/relationships/hyperlink" Target="http://www.iqiyi.com/v_2bufryvc36k.html?share_sTime=266" TargetMode="External"/><Relationship Id="rId123" Type="http://schemas.openxmlformats.org/officeDocument/2006/relationships/hyperlink" Target="https://www.iqiyi.com/v_2bvr40ahqls.html" TargetMode="External"/><Relationship Id="rId144" Type="http://schemas.openxmlformats.org/officeDocument/2006/relationships/hyperlink" Target="https://www.iqiyi.com/v_g1ofle6l90.html" TargetMode="External"/><Relationship Id="rId90" Type="http://schemas.openxmlformats.org/officeDocument/2006/relationships/hyperlink" Target="https://www.iqiyi.com/v_fnv2jl6aqc.html" TargetMode="External"/><Relationship Id="rId165" Type="http://schemas.openxmlformats.org/officeDocument/2006/relationships/hyperlink" Target="http://www.iqiyi.com/v_17b2rc6qcw0.html?share_sTime=136" TargetMode="External"/><Relationship Id="rId186" Type="http://schemas.openxmlformats.org/officeDocument/2006/relationships/hyperlink" Target="https://www.iqiyi.com/v_2b3kfhfd7fo.html" TargetMode="External"/><Relationship Id="rId211" Type="http://schemas.openxmlformats.org/officeDocument/2006/relationships/hyperlink" Target="https://www.iqiyi.com/v_csh1i54cfs.html" TargetMode="External"/><Relationship Id="rId232" Type="http://schemas.openxmlformats.org/officeDocument/2006/relationships/hyperlink" Target="http://www.iqiyi.com/v_13zv6vx492s.html?share_sTime=14" TargetMode="External"/><Relationship Id="rId253" Type="http://schemas.openxmlformats.org/officeDocument/2006/relationships/hyperlink" Target="https://www.iqiyi.com/v_23ytugssa8c.html" TargetMode="External"/><Relationship Id="rId274" Type="http://schemas.openxmlformats.org/officeDocument/2006/relationships/hyperlink" Target="https://www.iqiyi.com/v_174uz7e1yl0.html" TargetMode="External"/><Relationship Id="rId295" Type="http://schemas.openxmlformats.org/officeDocument/2006/relationships/hyperlink" Target="https://www.iqiyi.com/v_csh1i54cfs.html" TargetMode="External"/><Relationship Id="rId27" Type="http://schemas.openxmlformats.org/officeDocument/2006/relationships/hyperlink" Target="https://www.iqiyi.com/v_2bvr40ahqls.html" TargetMode="External"/><Relationship Id="rId48" Type="http://schemas.openxmlformats.org/officeDocument/2006/relationships/hyperlink" Target="https://www.iqiyi.com/v_bq95qmvkj0.html" TargetMode="External"/><Relationship Id="rId69" Type="http://schemas.openxmlformats.org/officeDocument/2006/relationships/hyperlink" Target="https://www.iqiyi.com/v_1yt8bhslu38.html" TargetMode="External"/><Relationship Id="rId113" Type="http://schemas.openxmlformats.org/officeDocument/2006/relationships/hyperlink" Target="https://www.iqiyi.com/v_hbk4n4wja8.html" TargetMode="External"/><Relationship Id="rId134" Type="http://schemas.openxmlformats.org/officeDocument/2006/relationships/hyperlink" Target="https://www.iqiyi.com/v_bq95qmvkj0.html" TargetMode="External"/><Relationship Id="rId80" Type="http://schemas.openxmlformats.org/officeDocument/2006/relationships/hyperlink" Target="https://www.iqiyi.com/v_19qcoi3tjz0.html" TargetMode="External"/><Relationship Id="rId155" Type="http://schemas.openxmlformats.org/officeDocument/2006/relationships/hyperlink" Target="http://www.iqiyi.com/v_uscurycmg8.html?share_sTime=67" TargetMode="External"/><Relationship Id="rId176" Type="http://schemas.openxmlformats.org/officeDocument/2006/relationships/hyperlink" Target="https://www.iqiyi.com/v_okv7zn6jfo.html" TargetMode="External"/><Relationship Id="rId197" Type="http://schemas.openxmlformats.org/officeDocument/2006/relationships/hyperlink" Target="https://www.iqiyi.com/v_1d74ab1jfsk.html" TargetMode="External"/><Relationship Id="rId201" Type="http://schemas.openxmlformats.org/officeDocument/2006/relationships/hyperlink" Target="https://www.iqiyi.com/v_v9pgkqlzt8.html" TargetMode="External"/><Relationship Id="rId222" Type="http://schemas.openxmlformats.org/officeDocument/2006/relationships/hyperlink" Target="https://www.iqiyi.com/v_109ugarkbks.html" TargetMode="External"/><Relationship Id="rId243" Type="http://schemas.openxmlformats.org/officeDocument/2006/relationships/hyperlink" Target="http://www.iqiyi.com/v_14006zhf2uo.html?share_sTime=213" TargetMode="External"/><Relationship Id="rId264" Type="http://schemas.openxmlformats.org/officeDocument/2006/relationships/hyperlink" Target="https://www.iqiyi.com/v_1ymadtms6ww.html" TargetMode="External"/><Relationship Id="rId285" Type="http://schemas.openxmlformats.org/officeDocument/2006/relationships/hyperlink" Target="https://www.iqiyi.com/v_1qc2dhhf4rc.html" TargetMode="External"/><Relationship Id="rId17" Type="http://schemas.openxmlformats.org/officeDocument/2006/relationships/hyperlink" Target="https://www.iqiyi.com/v_1s40j847frg.html" TargetMode="External"/><Relationship Id="rId38" Type="http://schemas.openxmlformats.org/officeDocument/2006/relationships/hyperlink" Target="https://www.iqiyi.com/v_2b7dt657dgg.html" TargetMode="External"/><Relationship Id="rId59" Type="http://schemas.openxmlformats.org/officeDocument/2006/relationships/hyperlink" Target="http://www.iqiyi.com/v_105jzk25f38.html?share_sTime=98" TargetMode="External"/><Relationship Id="rId103" Type="http://schemas.openxmlformats.org/officeDocument/2006/relationships/hyperlink" Target="http://www.iqiyi.com/v_2bufryvc36k.html?share_sTime=361" TargetMode="External"/><Relationship Id="rId124" Type="http://schemas.openxmlformats.org/officeDocument/2006/relationships/hyperlink" Target="https://www.iqiyi.com/v_2bvr40ahqls.html" TargetMode="External"/><Relationship Id="rId70" Type="http://schemas.openxmlformats.org/officeDocument/2006/relationships/hyperlink" Target="https://www.iqiyi.com/v_msxfx2099w.html" TargetMode="External"/><Relationship Id="rId91" Type="http://schemas.openxmlformats.org/officeDocument/2006/relationships/hyperlink" Target="https://www.iqiyi.com/v_fnv2jl6aqc.html" TargetMode="External"/><Relationship Id="rId145" Type="http://schemas.openxmlformats.org/officeDocument/2006/relationships/hyperlink" Target="https://www.iqiyi.com/v_g1ofle6l90.html" TargetMode="External"/><Relationship Id="rId166" Type="http://schemas.openxmlformats.org/officeDocument/2006/relationships/hyperlink" Target="https://www.iqiyi.com/v_17b2rc6qcw0.html" TargetMode="External"/><Relationship Id="rId187" Type="http://schemas.openxmlformats.org/officeDocument/2006/relationships/hyperlink" Target="https://www.iqiyi.com/v_lb88qku9oc.html" TargetMode="External"/><Relationship Id="rId1" Type="http://schemas.openxmlformats.org/officeDocument/2006/relationships/hyperlink" Target="https://www.iqiyi.com/v_2bufryvc36k.html" TargetMode="External"/><Relationship Id="rId212" Type="http://schemas.openxmlformats.org/officeDocument/2006/relationships/hyperlink" Target="https://www.iqiyi.com/v_csh1i54cfs.html" TargetMode="External"/><Relationship Id="rId233" Type="http://schemas.openxmlformats.org/officeDocument/2006/relationships/hyperlink" Target="http://www.iqiyi.com/v_13zv6vx492s.html?share_sTime=164" TargetMode="External"/><Relationship Id="rId254" Type="http://schemas.openxmlformats.org/officeDocument/2006/relationships/hyperlink" Target="https://www.iqiyi.com/v_23ytugssa8c.html" TargetMode="External"/><Relationship Id="rId28" Type="http://schemas.openxmlformats.org/officeDocument/2006/relationships/hyperlink" Target="https://www.iqiyi.com/v_2bvr40ahqls.html" TargetMode="External"/><Relationship Id="rId49" Type="http://schemas.openxmlformats.org/officeDocument/2006/relationships/hyperlink" Target="https://www.iqiyi.com/v_bq95qmvkj0.html" TargetMode="External"/><Relationship Id="rId114" Type="http://schemas.openxmlformats.org/officeDocument/2006/relationships/hyperlink" Target="https://www.iqiyi.com/v_1y4efpjcbog.html" TargetMode="External"/><Relationship Id="rId275" Type="http://schemas.openxmlformats.org/officeDocument/2006/relationships/hyperlink" Target="https://www.iqiyi.com/v_174uz7e1yl0.html" TargetMode="External"/><Relationship Id="rId296" Type="http://schemas.openxmlformats.org/officeDocument/2006/relationships/hyperlink" Target="https://www.iqiyi.com/v_2bx0gdxkbbo.html" TargetMode="External"/><Relationship Id="rId300" Type="http://schemas.openxmlformats.org/officeDocument/2006/relationships/hyperlink" Target="https://www.iqiyi.com/v_1kzf2cy2qq4.html" TargetMode="External"/><Relationship Id="rId60" Type="http://schemas.openxmlformats.org/officeDocument/2006/relationships/hyperlink" Target="http://www.iqiyi.com/v_105jzk25f38.html?share_sTime=213" TargetMode="External"/><Relationship Id="rId81" Type="http://schemas.openxmlformats.org/officeDocument/2006/relationships/hyperlink" Target="https://www.iqiyi.com/v_msxfx2099w.html" TargetMode="External"/><Relationship Id="rId135" Type="http://schemas.openxmlformats.org/officeDocument/2006/relationships/hyperlink" Target="https://www.iqiyi.com/v_1qc2dhhf4rc.html" TargetMode="External"/><Relationship Id="rId156" Type="http://schemas.openxmlformats.org/officeDocument/2006/relationships/hyperlink" Target="http://www.iqiyi.com/v_uscurycmg8.html?share_sTime=80" TargetMode="External"/><Relationship Id="rId177" Type="http://schemas.openxmlformats.org/officeDocument/2006/relationships/hyperlink" Target="https://www.iqiyi.com/v_tg0bzav0ko.html" TargetMode="External"/><Relationship Id="rId198" Type="http://schemas.openxmlformats.org/officeDocument/2006/relationships/hyperlink" Target="https://www.iqiyi.com/v_1d74ab1jfsk.html" TargetMode="External"/><Relationship Id="rId202" Type="http://schemas.openxmlformats.org/officeDocument/2006/relationships/hyperlink" Target="https://www.iqiyi.com/v_2bx0gdxkbbo.html" TargetMode="External"/><Relationship Id="rId223" Type="http://schemas.openxmlformats.org/officeDocument/2006/relationships/hyperlink" Target="https://www.iqiyi.com/v_1kzf2cy2qq4.html" TargetMode="External"/><Relationship Id="rId244" Type="http://schemas.openxmlformats.org/officeDocument/2006/relationships/hyperlink" Target="http://www.iqiyi.com/v_14006zhf2uo.html?share_sTime=251" TargetMode="External"/><Relationship Id="rId18" Type="http://schemas.openxmlformats.org/officeDocument/2006/relationships/hyperlink" Target="https://www.iqiyi.com/v_1smrdalxvck.html" TargetMode="External"/><Relationship Id="rId39" Type="http://schemas.openxmlformats.org/officeDocument/2006/relationships/hyperlink" Target="https://www.iqiyi.com/v_2b7dt657dgg.html" TargetMode="External"/><Relationship Id="rId265" Type="http://schemas.openxmlformats.org/officeDocument/2006/relationships/hyperlink" Target="https://www.iqiyi.com/v_1ymadtms6ww.html" TargetMode="External"/><Relationship Id="rId286" Type="http://schemas.openxmlformats.org/officeDocument/2006/relationships/hyperlink" Target="https://www.iqiyi.com/v_uscurycmg8.html" TargetMode="External"/><Relationship Id="rId50" Type="http://schemas.openxmlformats.org/officeDocument/2006/relationships/hyperlink" Target="https://www.iqiyi.com/v_bq95qmvkj0.html" TargetMode="External"/><Relationship Id="rId104" Type="http://schemas.openxmlformats.org/officeDocument/2006/relationships/hyperlink" Target="http://www.iqiyi.com/v_2bufryvc36k.html?share_sTime=160" TargetMode="External"/><Relationship Id="rId125" Type="http://schemas.openxmlformats.org/officeDocument/2006/relationships/hyperlink" Target="https://www.iqiyi.com/v_1zj8zpc1uug.html" TargetMode="External"/><Relationship Id="rId146" Type="http://schemas.openxmlformats.org/officeDocument/2006/relationships/hyperlink" Target="https://www.iqiyi.com/v_1s40j847frg.html" TargetMode="External"/><Relationship Id="rId167" Type="http://schemas.openxmlformats.org/officeDocument/2006/relationships/hyperlink" Target="https://www.iqiyi.com/v_hbk4n4wja8.html" TargetMode="External"/><Relationship Id="rId188" Type="http://schemas.openxmlformats.org/officeDocument/2006/relationships/hyperlink" Target="https://www.iqiyi.com/v_lb88qku9oc.html" TargetMode="External"/><Relationship Id="rId71" Type="http://schemas.openxmlformats.org/officeDocument/2006/relationships/hyperlink" Target="https://www.iqiyi.com/v_19qcoi3tjz0.html" TargetMode="External"/><Relationship Id="rId92" Type="http://schemas.openxmlformats.org/officeDocument/2006/relationships/hyperlink" Target="https://www.iqiyi.com/v_fnv2jl6aqc.html" TargetMode="External"/><Relationship Id="rId213" Type="http://schemas.openxmlformats.org/officeDocument/2006/relationships/hyperlink" Target="https://www.iqiyi.com/v_v9pgkqlzt8.html" TargetMode="External"/><Relationship Id="rId234" Type="http://schemas.openxmlformats.org/officeDocument/2006/relationships/hyperlink" Target="http://www.iqiyi.com/v_13zv6vx492s.html?share_sTime=232" TargetMode="External"/><Relationship Id="rId2" Type="http://schemas.openxmlformats.org/officeDocument/2006/relationships/hyperlink" Target="https://www.iqiyi.com/v_2993z2f1klc.html" TargetMode="External"/><Relationship Id="rId29" Type="http://schemas.openxmlformats.org/officeDocument/2006/relationships/hyperlink" Target="https://www.iqiyi.com/v_17l6d2qrdv0.html" TargetMode="External"/><Relationship Id="rId255" Type="http://schemas.openxmlformats.org/officeDocument/2006/relationships/hyperlink" Target="https://www.iqiyi.com/v_23ytugssa8c.html" TargetMode="External"/><Relationship Id="rId276" Type="http://schemas.openxmlformats.org/officeDocument/2006/relationships/hyperlink" Target="https://www.iqiyi.com/v_174uz7e1yl0.html" TargetMode="External"/><Relationship Id="rId297" Type="http://schemas.openxmlformats.org/officeDocument/2006/relationships/hyperlink" Target="https://www.iqiyi.com/v_g1ofle6l90.html" TargetMode="External"/><Relationship Id="rId40" Type="http://schemas.openxmlformats.org/officeDocument/2006/relationships/hyperlink" Target="https://www.iqiyi.com/v_2b7dt657dgg.html" TargetMode="External"/><Relationship Id="rId115" Type="http://schemas.openxmlformats.org/officeDocument/2006/relationships/hyperlink" Target="https://www.iqiyi.com/v_22oj3vcj014.html" TargetMode="External"/><Relationship Id="rId136" Type="http://schemas.openxmlformats.org/officeDocument/2006/relationships/hyperlink" Target="https://www.iqiyi.com/v_1qc2dhhf4rc.html" TargetMode="External"/><Relationship Id="rId157" Type="http://schemas.openxmlformats.org/officeDocument/2006/relationships/hyperlink" Target="http://www.iqiyi.com/v_uscurycmg8.html?share_sTime=93" TargetMode="External"/><Relationship Id="rId178" Type="http://schemas.openxmlformats.org/officeDocument/2006/relationships/hyperlink" Target="https://www.iqiyi.com/v_tg0bzav0ko.html" TargetMode="External"/><Relationship Id="rId301" Type="http://schemas.openxmlformats.org/officeDocument/2006/relationships/hyperlink" Target="https://www.iqiyi.com/v_2bx0gdxkbbo.html" TargetMode="External"/><Relationship Id="rId61" Type="http://schemas.openxmlformats.org/officeDocument/2006/relationships/hyperlink" Target="http://www.iqiyi.com/v_105jzk25f38.html?share_sTime=252" TargetMode="External"/><Relationship Id="rId82" Type="http://schemas.openxmlformats.org/officeDocument/2006/relationships/hyperlink" Target="https://www.iqiyi.com/v_msxfx2099w.html" TargetMode="External"/><Relationship Id="rId199" Type="http://schemas.openxmlformats.org/officeDocument/2006/relationships/hyperlink" Target="https://www.iqiyi.com/v_v9pgkqlzt8.html" TargetMode="External"/><Relationship Id="rId203" Type="http://schemas.openxmlformats.org/officeDocument/2006/relationships/hyperlink" Target="https://www.iqiyi.com/v_2bx0gdxkbbo.html" TargetMode="External"/><Relationship Id="rId19" Type="http://schemas.openxmlformats.org/officeDocument/2006/relationships/hyperlink" Target="https://www.iqiyi.com/v_1smrdalxvck.html" TargetMode="External"/><Relationship Id="rId224" Type="http://schemas.openxmlformats.org/officeDocument/2006/relationships/hyperlink" Target="https://www.iqiyi.com/v_1kzf2cy2qq4.html" TargetMode="External"/><Relationship Id="rId245" Type="http://schemas.openxmlformats.org/officeDocument/2006/relationships/hyperlink" Target="http://www.iqiyi.com/v_2fb1s6tz13k.html?share_sTime=0" TargetMode="External"/><Relationship Id="rId266" Type="http://schemas.openxmlformats.org/officeDocument/2006/relationships/hyperlink" Target="https://www.iqiyi.com/v_1ymadtms6ww.html" TargetMode="External"/><Relationship Id="rId287" Type="http://schemas.openxmlformats.org/officeDocument/2006/relationships/hyperlink" Target="https://www.iqiyi.com/v_1zj8zpc1uug.html" TargetMode="External"/><Relationship Id="rId30" Type="http://schemas.openxmlformats.org/officeDocument/2006/relationships/hyperlink" Target="https://www.iqiyi.com/v_17l6d2qrdv0.html" TargetMode="External"/><Relationship Id="rId105" Type="http://schemas.openxmlformats.org/officeDocument/2006/relationships/hyperlink" Target="http://www.iqiyi.com/v_2bufryvc36k.html?share_sTime=361" TargetMode="External"/><Relationship Id="rId126" Type="http://schemas.openxmlformats.org/officeDocument/2006/relationships/hyperlink" Target="https://www.iqiyi.com/v_1zj8zpc1uug.html" TargetMode="External"/><Relationship Id="rId147" Type="http://schemas.openxmlformats.org/officeDocument/2006/relationships/hyperlink" Target="https://www.iqiyi.com/v_1s40j847frg.html" TargetMode="External"/><Relationship Id="rId168" Type="http://schemas.openxmlformats.org/officeDocument/2006/relationships/hyperlink" Target="https://www.iqiyi.com/v_22oj3vcj014.html" TargetMode="External"/><Relationship Id="rId51" Type="http://schemas.openxmlformats.org/officeDocument/2006/relationships/hyperlink" Target="http://www.iqiyi.com/v_fnv2jl6aqc.html?share_sTime=144" TargetMode="External"/><Relationship Id="rId72" Type="http://schemas.openxmlformats.org/officeDocument/2006/relationships/hyperlink" Target="https://www.iqiyi.com/v_19qcoi3tjz0.html" TargetMode="External"/><Relationship Id="rId93" Type="http://schemas.openxmlformats.org/officeDocument/2006/relationships/hyperlink" Target="https://www.iqiyi.com/v_fnv2jl6aqc.html" TargetMode="External"/><Relationship Id="rId189" Type="http://schemas.openxmlformats.org/officeDocument/2006/relationships/hyperlink" Target="https://www.iqiyi.com/v_lb88qku9oc.html" TargetMode="External"/><Relationship Id="rId3" Type="http://schemas.openxmlformats.org/officeDocument/2006/relationships/hyperlink" Target="https://www.iqiyi.com/v_2993z2f1klc.html" TargetMode="External"/><Relationship Id="rId214" Type="http://schemas.openxmlformats.org/officeDocument/2006/relationships/hyperlink" Target="https://www.iqiyi.com/v_v9pgkqlzt8.html" TargetMode="External"/><Relationship Id="rId235" Type="http://schemas.openxmlformats.org/officeDocument/2006/relationships/hyperlink" Target="http://www.iqiyi.com/v_13zv6vx492s.html?share_sTime=255" TargetMode="External"/><Relationship Id="rId256" Type="http://schemas.openxmlformats.org/officeDocument/2006/relationships/hyperlink" Target="https://www.iqiyi.com/v_23ytugssa8c.html" TargetMode="External"/><Relationship Id="rId277" Type="http://schemas.openxmlformats.org/officeDocument/2006/relationships/hyperlink" Target="https://www.iqiyi.com/v_1ni7svvsz98.html" TargetMode="External"/><Relationship Id="rId298" Type="http://schemas.openxmlformats.org/officeDocument/2006/relationships/hyperlink" Target="https://www.iqiyi.com/v_fnv2jl6aqc.html" TargetMode="External"/><Relationship Id="rId116" Type="http://schemas.openxmlformats.org/officeDocument/2006/relationships/hyperlink" Target="https://www.iqiyi.com/v_1dz6udux11w.html" TargetMode="External"/><Relationship Id="rId137" Type="http://schemas.openxmlformats.org/officeDocument/2006/relationships/hyperlink" Target="https://www.iqiyi.com/v_1qc2dhhf4rc.html" TargetMode="External"/><Relationship Id="rId158" Type="http://schemas.openxmlformats.org/officeDocument/2006/relationships/hyperlink" Target="http://www.iqiyi.com/v_uscurycmg8.html?share_sTime=165" TargetMode="External"/><Relationship Id="rId302" Type="http://schemas.openxmlformats.org/officeDocument/2006/relationships/vmlDrawing" Target="../drawings/vmlDrawing1.vml"/><Relationship Id="rId20" Type="http://schemas.openxmlformats.org/officeDocument/2006/relationships/hyperlink" Target="https://www.iqiyi.com/v_1smrdalxvck.html" TargetMode="External"/><Relationship Id="rId41" Type="http://schemas.openxmlformats.org/officeDocument/2006/relationships/hyperlink" Target="https://www.iqiyi.com/v_1rshytn0qmw.html" TargetMode="External"/><Relationship Id="rId62" Type="http://schemas.openxmlformats.org/officeDocument/2006/relationships/hyperlink" Target="https://www.iqiyi.com/v_1yt8bhslu38.html" TargetMode="External"/><Relationship Id="rId83" Type="http://schemas.openxmlformats.org/officeDocument/2006/relationships/hyperlink" Target="https://www.iqiyi.com/v_hbk4n4wja8.html" TargetMode="External"/><Relationship Id="rId179" Type="http://schemas.openxmlformats.org/officeDocument/2006/relationships/hyperlink" Target="https://www.iqiyi.com/v_tg0bzav0ko.html" TargetMode="External"/><Relationship Id="rId190" Type="http://schemas.openxmlformats.org/officeDocument/2006/relationships/hyperlink" Target="https://www.iqiyi.com/v_lb88qku9oc.html" TargetMode="External"/><Relationship Id="rId204" Type="http://schemas.openxmlformats.org/officeDocument/2006/relationships/hyperlink" Target="https://www.iqiyi.com/v_2bx0gdxkbbo.html" TargetMode="External"/><Relationship Id="rId225" Type="http://schemas.openxmlformats.org/officeDocument/2006/relationships/hyperlink" Target="https://www.iqiyi.com/v_1kzf2cy2qq4.html" TargetMode="External"/><Relationship Id="rId246" Type="http://schemas.openxmlformats.org/officeDocument/2006/relationships/hyperlink" Target="http://www.iqiyi.com/v_2fb1s6tz13k.html?share_sTime=59" TargetMode="External"/><Relationship Id="rId267" Type="http://schemas.openxmlformats.org/officeDocument/2006/relationships/hyperlink" Target="https://www.iqiyi.com/v_1ymadtms6ww.html" TargetMode="External"/><Relationship Id="rId288" Type="http://schemas.openxmlformats.org/officeDocument/2006/relationships/hyperlink" Target="https://www.iqiyi.com/v_1zj8zpc1uug.html" TargetMode="External"/><Relationship Id="rId106" Type="http://schemas.openxmlformats.org/officeDocument/2006/relationships/hyperlink" Target="http://www.iqiyi.com/v_1c7atnuhsr4.html?share_sTime=435" TargetMode="External"/><Relationship Id="rId127" Type="http://schemas.openxmlformats.org/officeDocument/2006/relationships/hyperlink" Target="https://www.iqiyi.com/v_1zj8zpc1uug.html" TargetMode="External"/><Relationship Id="rId10" Type="http://schemas.openxmlformats.org/officeDocument/2006/relationships/hyperlink" Target="https://www.iqiyi.com/v_1u0x3rzzbjs.html" TargetMode="External"/><Relationship Id="rId31" Type="http://schemas.openxmlformats.org/officeDocument/2006/relationships/hyperlink" Target="https://www.iqiyi.com/v_uscurycmg8.html" TargetMode="External"/><Relationship Id="rId52" Type="http://schemas.openxmlformats.org/officeDocument/2006/relationships/hyperlink" Target="http://www.iqiyi.com/v_fnv2jl6aqc.html?share_sTime=144" TargetMode="External"/><Relationship Id="rId73" Type="http://schemas.openxmlformats.org/officeDocument/2006/relationships/hyperlink" Target="https://www.iqiyi.com/v_msxfx2099w.html" TargetMode="External"/><Relationship Id="rId94" Type="http://schemas.openxmlformats.org/officeDocument/2006/relationships/hyperlink" Target="https://www.iqiyi.com/v_fnv2jl6aqc.html" TargetMode="External"/><Relationship Id="rId148" Type="http://schemas.openxmlformats.org/officeDocument/2006/relationships/hyperlink" Target="https://www.iqiyi.com/v_1s40j847frg.html" TargetMode="External"/><Relationship Id="rId169" Type="http://schemas.openxmlformats.org/officeDocument/2006/relationships/hyperlink" Target="https://www.iqiyi.com/v_17b2rc6qcw0.html" TargetMode="External"/><Relationship Id="rId4" Type="http://schemas.openxmlformats.org/officeDocument/2006/relationships/hyperlink" Target="https://www.iqiyi.com/v_2993z2f1klc.html" TargetMode="External"/><Relationship Id="rId180" Type="http://schemas.openxmlformats.org/officeDocument/2006/relationships/hyperlink" Target="https://www.iqiyi.com/v_okv7zn6jfo.html" TargetMode="External"/><Relationship Id="rId215" Type="http://schemas.openxmlformats.org/officeDocument/2006/relationships/hyperlink" Target="https://www.iqiyi.com/v_v9pgkqlzt8.html" TargetMode="External"/><Relationship Id="rId236" Type="http://schemas.openxmlformats.org/officeDocument/2006/relationships/hyperlink" Target="http://www.iqiyi.com/v_13zv6vx492s.html?share_sTime=269" TargetMode="External"/><Relationship Id="rId257" Type="http://schemas.openxmlformats.org/officeDocument/2006/relationships/hyperlink" Target="https://www.iqiyi.com/v_2fb1s6tz13k.html" TargetMode="External"/><Relationship Id="rId278" Type="http://schemas.openxmlformats.org/officeDocument/2006/relationships/hyperlink" Target="https://www.iqiyi.com/v_1ni7svvsz98.html" TargetMode="External"/><Relationship Id="rId303" Type="http://schemas.openxmlformats.org/officeDocument/2006/relationships/comments" Target="../comments1.xml"/><Relationship Id="rId42" Type="http://schemas.openxmlformats.org/officeDocument/2006/relationships/hyperlink" Target="https://www.iqiyi.com/v_1rshytn0qmw.html" TargetMode="External"/><Relationship Id="rId84" Type="http://schemas.openxmlformats.org/officeDocument/2006/relationships/hyperlink" Target="https://www.iqiyi.com/v_hbk4n4wja8.html" TargetMode="External"/><Relationship Id="rId138" Type="http://schemas.openxmlformats.org/officeDocument/2006/relationships/hyperlink" Target="https://www.iqiyi.com/v_1qc2dhhf4rc.html" TargetMode="External"/><Relationship Id="rId191" Type="http://schemas.openxmlformats.org/officeDocument/2006/relationships/hyperlink" Target="https://www.iqiyi.com/v_1u0x3rzzbjs.html" TargetMode="External"/><Relationship Id="rId205" Type="http://schemas.openxmlformats.org/officeDocument/2006/relationships/hyperlink" Target="https://www.iqiyi.com/v_2bx0gdxkbbo.html" TargetMode="External"/><Relationship Id="rId247" Type="http://schemas.openxmlformats.org/officeDocument/2006/relationships/hyperlink" Target="https://www.iqiyi.com/v_2fb1s6tz13k.html" TargetMode="External"/><Relationship Id="rId107" Type="http://schemas.openxmlformats.org/officeDocument/2006/relationships/hyperlink" Target="http://www.iqiyi.com/v_1c7atnuhsr4.html?share_sTime=595" TargetMode="External"/><Relationship Id="rId289" Type="http://schemas.openxmlformats.org/officeDocument/2006/relationships/hyperlink" Target="https://www.iqiyi.com/v_2bvr40ahqls.html" TargetMode="External"/><Relationship Id="rId11" Type="http://schemas.openxmlformats.org/officeDocument/2006/relationships/hyperlink" Target="https://www.iqiyi.com/v_g1ofle6l90.html" TargetMode="External"/><Relationship Id="rId53" Type="http://schemas.openxmlformats.org/officeDocument/2006/relationships/hyperlink" Target="http://www.iqiyi.com/v_1u0x3rzzbjs.html?share_sTime=187" TargetMode="External"/><Relationship Id="rId149" Type="http://schemas.openxmlformats.org/officeDocument/2006/relationships/hyperlink" Target="https://www.iqiyi.com/v_1s40j847frg.html" TargetMode="External"/><Relationship Id="rId95" Type="http://schemas.openxmlformats.org/officeDocument/2006/relationships/hyperlink" Target="https://www.iqiyi.com/v_lmhkxrqwlk.html" TargetMode="External"/><Relationship Id="rId160" Type="http://schemas.openxmlformats.org/officeDocument/2006/relationships/hyperlink" Target="http://www.iqiyi.com/v_uscurycmg8.html?share_sTime=360" TargetMode="External"/><Relationship Id="rId216" Type="http://schemas.openxmlformats.org/officeDocument/2006/relationships/hyperlink" Target="https://www.iqiyi.com/v_v9pgkqlzt8.html" TargetMode="External"/><Relationship Id="rId258" Type="http://schemas.openxmlformats.org/officeDocument/2006/relationships/hyperlink" Target="https://www.iqiyi.com/v_1deqcff9qko.html" TargetMode="External"/><Relationship Id="rId22" Type="http://schemas.openxmlformats.org/officeDocument/2006/relationships/hyperlink" Target="https://www.iqiyi.com/v_28ir6fn3f9w.html" TargetMode="External"/><Relationship Id="rId64" Type="http://schemas.openxmlformats.org/officeDocument/2006/relationships/hyperlink" Target="https://www.iqiyi.com/v_1yt8bhslu38.html" TargetMode="External"/><Relationship Id="rId118" Type="http://schemas.openxmlformats.org/officeDocument/2006/relationships/hyperlink" Target="https://www.iqiyi.com/v_28ir6fn3f9w.html" TargetMode="External"/><Relationship Id="rId171" Type="http://schemas.openxmlformats.org/officeDocument/2006/relationships/hyperlink" Target="https://www.iqiyi.com/v_1tiq2wkvjj8.html" TargetMode="External"/><Relationship Id="rId227" Type="http://schemas.openxmlformats.org/officeDocument/2006/relationships/hyperlink" Target="https://www.iqiyi.com/v_17l6d2qrdv0.html" TargetMode="External"/><Relationship Id="rId269" Type="http://schemas.openxmlformats.org/officeDocument/2006/relationships/hyperlink" Target="https://www.iqiyi.com/v_1jvbmagcje4.html" TargetMode="External"/><Relationship Id="rId33" Type="http://schemas.openxmlformats.org/officeDocument/2006/relationships/hyperlink" Target="https://www.iqiyi.com/v_2b7dt657dgg.html" TargetMode="External"/><Relationship Id="rId129" Type="http://schemas.openxmlformats.org/officeDocument/2006/relationships/hyperlink" Target="https://www.iqiyi.com/v_1zj8zpc1uug.html" TargetMode="External"/><Relationship Id="rId280" Type="http://schemas.openxmlformats.org/officeDocument/2006/relationships/hyperlink" Target="https://www.iqiyi.com/v_1ni7svvsz98.html" TargetMode="External"/><Relationship Id="rId75" Type="http://schemas.openxmlformats.org/officeDocument/2006/relationships/hyperlink" Target="https://www.iqiyi.com/v_19qcoi3tjz0.html" TargetMode="External"/><Relationship Id="rId140" Type="http://schemas.openxmlformats.org/officeDocument/2006/relationships/hyperlink" Target="https://www.iqiyi.com/v_1qc2dhhf4rc.html" TargetMode="External"/><Relationship Id="rId182" Type="http://schemas.openxmlformats.org/officeDocument/2006/relationships/hyperlink" Target="https://www.iqiyi.com/v_tg0bzav0ko.html"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10.10.30.14:9855/simwork/61ee120cfe60d36de9cfa30b/batchgradings/6243a94db9844b99f2105de6/replay/gradingresults/6243a950b9844b99f2105e88"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mailto:zhiwenwang@autox.ai" TargetMode="External"/><Relationship Id="rId2" Type="http://schemas.openxmlformats.org/officeDocument/2006/relationships/hyperlink" Target="mailto:hepengwang@autox.ai" TargetMode="External"/><Relationship Id="rId1" Type="http://schemas.openxmlformats.org/officeDocument/2006/relationships/hyperlink" Target="mailto:hanshen@autox.ai" TargetMode="External"/><Relationship Id="rId6" Type="http://schemas.openxmlformats.org/officeDocument/2006/relationships/hyperlink" Target="mailto:lingyumeng@autox.ai" TargetMode="External"/><Relationship Id="rId5" Type="http://schemas.openxmlformats.org/officeDocument/2006/relationships/hyperlink" Target="mailto:weijin@autox.ai" TargetMode="External"/><Relationship Id="rId4" Type="http://schemas.openxmlformats.org/officeDocument/2006/relationships/hyperlink" Target="mailto:lingyumeng@autox.ai"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autoxai.atlassian.net/wiki/spaces/SIM/pages/1777402501/Batchgrading+around+20220318+GenX+at+Shenzhen" TargetMode="External"/><Relationship Id="rId3" Type="http://schemas.openxmlformats.org/officeDocument/2006/relationships/hyperlink" Target="https://autoxai.atlassian.net/wiki/spaces/SIM/pages/1774322514/Batchgrading+around+20220311+GenX+at+Shenzhen" TargetMode="External"/><Relationship Id="rId7" Type="http://schemas.openxmlformats.org/officeDocument/2006/relationships/hyperlink" Target="https://autoxai.atlassian.net/wiki/spaces/SIM/pages/1777402501/Batchgrading+around+20220318+GenX+at+Shenzhen" TargetMode="External"/><Relationship Id="rId2" Type="http://schemas.openxmlformats.org/officeDocument/2006/relationships/hyperlink" Target="https://autoxai.atlassian.net/wiki/spaces/SIM/pages/1774322514/Batchgrading+around+20220311+GenX+at+Shenzhen" TargetMode="External"/><Relationship Id="rId1" Type="http://schemas.openxmlformats.org/officeDocument/2006/relationships/hyperlink" Target="https://autoxai.atlassian.net/wiki/spaces/SIM/pages/1766538759/Batchgrading+around+20220304+GenX+at+Shenzhen" TargetMode="External"/><Relationship Id="rId6" Type="http://schemas.openxmlformats.org/officeDocument/2006/relationships/hyperlink" Target="https://autoxai.atlassian.net/wiki/spaces/SIM/pages/1777402501/Batchgrading+around+20220318+GenX+at+Shenzhen" TargetMode="External"/><Relationship Id="rId5" Type="http://schemas.openxmlformats.org/officeDocument/2006/relationships/hyperlink" Target="https://autoxai.atlassian.net/wiki/spaces/SIM/pages/1774322514/Batchgrading+around+20220311+GenX+at+Shenzhen" TargetMode="External"/><Relationship Id="rId10" Type="http://schemas.openxmlformats.org/officeDocument/2006/relationships/hyperlink" Target="https://autoxai.atlassian.net/wiki/spaces/SIM/pages/1777402501/Batchgrading+around+20220318+GenX+at+Shenzhen" TargetMode="External"/><Relationship Id="rId4" Type="http://schemas.openxmlformats.org/officeDocument/2006/relationships/hyperlink" Target="https://autoxai.atlassian.net/wiki/spaces/SIM/pages/1774322514/Batchgrading+around+20220311+GenX+at+Shenzhen" TargetMode="External"/><Relationship Id="rId9" Type="http://schemas.openxmlformats.org/officeDocument/2006/relationships/hyperlink" Target="https://autoxai.atlassian.net/wiki/spaces/SIM/pages/1777402501/Batchgrading+around+20220318+GenX+at+Shenzhen"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www.iqiyi.com/v_1dz6udux11w.html" TargetMode="External"/><Relationship Id="rId299" Type="http://schemas.openxmlformats.org/officeDocument/2006/relationships/hyperlink" Target="https://www.iqiyi.com/v_csh1i54cfs.html" TargetMode="External"/><Relationship Id="rId21" Type="http://schemas.openxmlformats.org/officeDocument/2006/relationships/hyperlink" Target="https://www.iqiyi.com/v_1p6eeku8olw.html" TargetMode="External"/><Relationship Id="rId63" Type="http://schemas.openxmlformats.org/officeDocument/2006/relationships/hyperlink" Target="https://www.iqiyi.com/v_1yt8bhslu38.html" TargetMode="External"/><Relationship Id="rId159" Type="http://schemas.openxmlformats.org/officeDocument/2006/relationships/hyperlink" Target="http://www.iqiyi.com/v_uscurycmg8.html?share_sTime=67" TargetMode="External"/><Relationship Id="rId170" Type="http://schemas.openxmlformats.org/officeDocument/2006/relationships/hyperlink" Target="https://www.iqiyi.com/v_17b2rc6qcw0.html" TargetMode="External"/><Relationship Id="rId226" Type="http://schemas.openxmlformats.org/officeDocument/2006/relationships/hyperlink" Target="https://www.iqiyi.com/v_109ugarkbks.html" TargetMode="External"/><Relationship Id="rId268" Type="http://schemas.openxmlformats.org/officeDocument/2006/relationships/hyperlink" Target="https://www.iqiyi.com/v_1ymadtms6ww.html" TargetMode="External"/><Relationship Id="rId32" Type="http://schemas.openxmlformats.org/officeDocument/2006/relationships/hyperlink" Target="https://www.iqiyi.com/v_2b7dt657dgg.html" TargetMode="External"/><Relationship Id="rId74" Type="http://schemas.openxmlformats.org/officeDocument/2006/relationships/hyperlink" Target="https://www.iqiyi.com/v_msxfx2099w.html" TargetMode="External"/><Relationship Id="rId128" Type="http://schemas.openxmlformats.org/officeDocument/2006/relationships/hyperlink" Target="https://www.iqiyi.com/v_1zj8zpc1uug.html" TargetMode="External"/><Relationship Id="rId5" Type="http://schemas.openxmlformats.org/officeDocument/2006/relationships/hyperlink" Target="https://www.iqiyi.com/v_lmhkxrqwlk.html" TargetMode="External"/><Relationship Id="rId181" Type="http://schemas.openxmlformats.org/officeDocument/2006/relationships/hyperlink" Target="https://www.iqiyi.com/v_tg0bzav0ko.html" TargetMode="External"/><Relationship Id="rId237" Type="http://schemas.openxmlformats.org/officeDocument/2006/relationships/hyperlink" Target="http://www.iqiyi.com/v_13zv6vx492s.html?share_sTime=164" TargetMode="External"/><Relationship Id="rId279" Type="http://schemas.openxmlformats.org/officeDocument/2006/relationships/hyperlink" Target="https://www.iqiyi.com/v_174uz7e1yl0.html" TargetMode="External"/><Relationship Id="rId43" Type="http://schemas.openxmlformats.org/officeDocument/2006/relationships/hyperlink" Target="https://www.iqiyi.com/v_1rshytn0qmw.html" TargetMode="External"/><Relationship Id="rId139" Type="http://schemas.openxmlformats.org/officeDocument/2006/relationships/hyperlink" Target="https://www.iqiyi.com/v_1qc2dhhf4rc.html" TargetMode="External"/><Relationship Id="rId290" Type="http://schemas.openxmlformats.org/officeDocument/2006/relationships/hyperlink" Target="https://www.iqiyi.com/v_uscurycmg8.html" TargetMode="External"/><Relationship Id="rId304" Type="http://schemas.openxmlformats.org/officeDocument/2006/relationships/hyperlink" Target="https://www.iqiyi.com/v_1kzf2cy2qq4.html" TargetMode="External"/><Relationship Id="rId85" Type="http://schemas.openxmlformats.org/officeDocument/2006/relationships/hyperlink" Target="https://www.iqiyi.com/v_hbk4n4wja8.html" TargetMode="External"/><Relationship Id="rId150" Type="http://schemas.openxmlformats.org/officeDocument/2006/relationships/hyperlink" Target="https://www.iqiyi.com/v_1s40j847frg.html" TargetMode="External"/><Relationship Id="rId192" Type="http://schemas.openxmlformats.org/officeDocument/2006/relationships/hyperlink" Target="https://www.iqiyi.com/v_lb88qku9oc.html" TargetMode="External"/><Relationship Id="rId206" Type="http://schemas.openxmlformats.org/officeDocument/2006/relationships/hyperlink" Target="https://www.iqiyi.com/v_2bx0gdxkbbo.html" TargetMode="External"/><Relationship Id="rId248" Type="http://schemas.openxmlformats.org/officeDocument/2006/relationships/hyperlink" Target="http://www.iqiyi.com/v_14006zhf2uo.html?share_sTime=251" TargetMode="External"/><Relationship Id="rId12" Type="http://schemas.openxmlformats.org/officeDocument/2006/relationships/hyperlink" Target="https://www.iqiyi.com/v_g1ofle6l90.html" TargetMode="External"/><Relationship Id="rId108" Type="http://schemas.openxmlformats.org/officeDocument/2006/relationships/hyperlink" Target="http://www.iqiyi.com/v_1c7atnuhsr4.html?share_sTime=595" TargetMode="External"/><Relationship Id="rId54" Type="http://schemas.openxmlformats.org/officeDocument/2006/relationships/hyperlink" Target="http://www.iqiyi.com/v_1u0x3rzzbjs.html?share_sTime=199" TargetMode="External"/><Relationship Id="rId96" Type="http://schemas.openxmlformats.org/officeDocument/2006/relationships/hyperlink" Target="https://www.iqiyi.com/v_lmhkxrqwlk.html" TargetMode="External"/><Relationship Id="rId161" Type="http://schemas.openxmlformats.org/officeDocument/2006/relationships/hyperlink" Target="http://www.iqiyi.com/v_uscurycmg8.html?share_sTime=93" TargetMode="External"/><Relationship Id="rId217" Type="http://schemas.openxmlformats.org/officeDocument/2006/relationships/hyperlink" Target="https://www.iqiyi.com/v_v9pgkqlzt8.html" TargetMode="External"/><Relationship Id="rId259" Type="http://schemas.openxmlformats.org/officeDocument/2006/relationships/hyperlink" Target="https://www.iqiyi.com/v_23ytugssa8c.html" TargetMode="External"/><Relationship Id="rId23" Type="http://schemas.openxmlformats.org/officeDocument/2006/relationships/hyperlink" Target="https://www.iqiyi.com/v_1p6eeku8olw.html" TargetMode="External"/><Relationship Id="rId119" Type="http://schemas.openxmlformats.org/officeDocument/2006/relationships/hyperlink" Target="https://www.iqiyi.com/v_28ir6fn3f9w.html" TargetMode="External"/><Relationship Id="rId270" Type="http://schemas.openxmlformats.org/officeDocument/2006/relationships/hyperlink" Target="https://www.iqiyi.com/v_1ymadtms6ww.html" TargetMode="External"/><Relationship Id="rId291" Type="http://schemas.openxmlformats.org/officeDocument/2006/relationships/hyperlink" Target="https://www.iqiyi.com/v_1zj8zpc1uug.html" TargetMode="External"/><Relationship Id="rId305" Type="http://schemas.openxmlformats.org/officeDocument/2006/relationships/hyperlink" Target="https://www.iqiyi.com/v_2bx0gdxkbbo.html" TargetMode="External"/><Relationship Id="rId44" Type="http://schemas.openxmlformats.org/officeDocument/2006/relationships/hyperlink" Target="https://www.iqiyi.com/v_1rshytn0qmw.html" TargetMode="External"/><Relationship Id="rId65" Type="http://schemas.openxmlformats.org/officeDocument/2006/relationships/hyperlink" Target="https://www.iqiyi.com/v_19qcoi3tjz0.html" TargetMode="External"/><Relationship Id="rId86" Type="http://schemas.openxmlformats.org/officeDocument/2006/relationships/hyperlink" Target="https://www.iqiyi.com/v_fnv2jl6aqc.html" TargetMode="External"/><Relationship Id="rId130" Type="http://schemas.openxmlformats.org/officeDocument/2006/relationships/hyperlink" Target="https://www.iqiyi.com/v_1zj8zpc1uug.html" TargetMode="External"/><Relationship Id="rId151" Type="http://schemas.openxmlformats.org/officeDocument/2006/relationships/hyperlink" Target="https://www.iqiyi.com/v_1s40j847frg.html" TargetMode="External"/><Relationship Id="rId172" Type="http://schemas.openxmlformats.org/officeDocument/2006/relationships/hyperlink" Target="https://www.iqiyi.com/v_22oj3vcj014.html" TargetMode="External"/><Relationship Id="rId193" Type="http://schemas.openxmlformats.org/officeDocument/2006/relationships/hyperlink" Target="https://www.iqiyi.com/v_lb88qku9oc.html" TargetMode="External"/><Relationship Id="rId207" Type="http://schemas.openxmlformats.org/officeDocument/2006/relationships/hyperlink" Target="https://www.iqiyi.com/v_2bx0gdxkbbo.html" TargetMode="External"/><Relationship Id="rId228" Type="http://schemas.openxmlformats.org/officeDocument/2006/relationships/hyperlink" Target="https://www.iqiyi.com/v_1kzf2cy2qq4.html" TargetMode="External"/><Relationship Id="rId249" Type="http://schemas.openxmlformats.org/officeDocument/2006/relationships/hyperlink" Target="http://www.iqiyi.com/v_2fb1s6tz13k.html?share_sTime=0" TargetMode="External"/><Relationship Id="rId13" Type="http://schemas.openxmlformats.org/officeDocument/2006/relationships/hyperlink" Target="https://www.iqiyi.com/v_g1ofle6l90.html" TargetMode="External"/><Relationship Id="rId109" Type="http://schemas.openxmlformats.org/officeDocument/2006/relationships/hyperlink" Target="https://www.iqiyi.com/v_msxfx2099w.html" TargetMode="External"/><Relationship Id="rId260" Type="http://schemas.openxmlformats.org/officeDocument/2006/relationships/hyperlink" Target="https://www.iqiyi.com/v_23ytugssa8c.html" TargetMode="External"/><Relationship Id="rId281" Type="http://schemas.openxmlformats.org/officeDocument/2006/relationships/hyperlink" Target="https://www.iqiyi.com/v_1ni7svvsz98.html" TargetMode="External"/><Relationship Id="rId34" Type="http://schemas.openxmlformats.org/officeDocument/2006/relationships/hyperlink" Target="https://www.iqiyi.com/v_2b7dt657dgg.html" TargetMode="External"/><Relationship Id="rId55" Type="http://schemas.openxmlformats.org/officeDocument/2006/relationships/hyperlink" Target="http://www.iqiyi.com/v_1u0x3rzzbjs.html?share_sTime=223" TargetMode="External"/><Relationship Id="rId76" Type="http://schemas.openxmlformats.org/officeDocument/2006/relationships/hyperlink" Target="https://www.iqiyi.com/v_19qcoi3tjz0.html" TargetMode="External"/><Relationship Id="rId97" Type="http://schemas.openxmlformats.org/officeDocument/2006/relationships/hyperlink" Target="https://www.iqiyi.com/v_lmhkxrqwlk.html" TargetMode="External"/><Relationship Id="rId120" Type="http://schemas.openxmlformats.org/officeDocument/2006/relationships/hyperlink" Target="https://www.iqiyi.com/v_28ir6fn3f9w.html" TargetMode="External"/><Relationship Id="rId141" Type="http://schemas.openxmlformats.org/officeDocument/2006/relationships/hyperlink" Target="https://www.iqiyi.com/v_1qc2dhhf4rc.html" TargetMode="External"/><Relationship Id="rId7" Type="http://schemas.openxmlformats.org/officeDocument/2006/relationships/hyperlink" Target="https://www.iqiyi.com/v_2993z2f1klc.html" TargetMode="External"/><Relationship Id="rId162" Type="http://schemas.openxmlformats.org/officeDocument/2006/relationships/hyperlink" Target="http://www.iqiyi.com/v_uscurycmg8.html?share_sTime=165" TargetMode="External"/><Relationship Id="rId183" Type="http://schemas.openxmlformats.org/officeDocument/2006/relationships/hyperlink" Target="https://www.iqiyi.com/v_tg0bzav0ko.html" TargetMode="External"/><Relationship Id="rId218" Type="http://schemas.openxmlformats.org/officeDocument/2006/relationships/hyperlink" Target="https://www.iqiyi.com/v_v9pgkqlzt8.html" TargetMode="External"/><Relationship Id="rId239" Type="http://schemas.openxmlformats.org/officeDocument/2006/relationships/hyperlink" Target="http://www.iqiyi.com/v_13zv6vx492s.html?share_sTime=255" TargetMode="External"/><Relationship Id="rId250" Type="http://schemas.openxmlformats.org/officeDocument/2006/relationships/hyperlink" Target="http://www.iqiyi.com/v_2fb1s6tz13k.html?share_sTime=59" TargetMode="External"/><Relationship Id="rId271" Type="http://schemas.openxmlformats.org/officeDocument/2006/relationships/hyperlink" Target="https://www.iqiyi.com/v_1ymadtms6ww.html" TargetMode="External"/><Relationship Id="rId292" Type="http://schemas.openxmlformats.org/officeDocument/2006/relationships/hyperlink" Target="https://www.iqiyi.com/v_1zj8zpc1uug.html" TargetMode="External"/><Relationship Id="rId24" Type="http://schemas.openxmlformats.org/officeDocument/2006/relationships/hyperlink" Target="https://www.iqiyi.com/v_1p6eeku8olw.html" TargetMode="External"/><Relationship Id="rId45" Type="http://schemas.openxmlformats.org/officeDocument/2006/relationships/hyperlink" Target="https://www.iqiyi.com/v_1rshytn0qmw.html" TargetMode="External"/><Relationship Id="rId66" Type="http://schemas.openxmlformats.org/officeDocument/2006/relationships/hyperlink" Target="https://www.iqiyi.com/v_19qcoi3tjz0.html" TargetMode="External"/><Relationship Id="rId87" Type="http://schemas.openxmlformats.org/officeDocument/2006/relationships/hyperlink" Target="https://www.iqiyi.com/v_19qcoi3tjz0.html" TargetMode="External"/><Relationship Id="rId110" Type="http://schemas.openxmlformats.org/officeDocument/2006/relationships/hyperlink" Target="https://www.iqiyi.com/v_19qcoi3tjz0.html" TargetMode="External"/><Relationship Id="rId131" Type="http://schemas.openxmlformats.org/officeDocument/2006/relationships/hyperlink" Target="https://www.iqiyi.com/v_1zj8zpc1uug.html" TargetMode="External"/><Relationship Id="rId152" Type="http://schemas.openxmlformats.org/officeDocument/2006/relationships/hyperlink" Target="https://www.iqiyi.com/v_1s40j847frg.html" TargetMode="External"/><Relationship Id="rId173" Type="http://schemas.openxmlformats.org/officeDocument/2006/relationships/hyperlink" Target="https://www.iqiyi.com/v_17b2rc6qcw0.html" TargetMode="External"/><Relationship Id="rId194" Type="http://schemas.openxmlformats.org/officeDocument/2006/relationships/hyperlink" Target="https://www.iqiyi.com/v_lb88qku9oc.html" TargetMode="External"/><Relationship Id="rId208" Type="http://schemas.openxmlformats.org/officeDocument/2006/relationships/hyperlink" Target="https://www.iqiyi.com/v_2bx0gdxkbbo.html" TargetMode="External"/><Relationship Id="rId229" Type="http://schemas.openxmlformats.org/officeDocument/2006/relationships/hyperlink" Target="https://www.iqiyi.com/v_1kzf2cy2qq4.html" TargetMode="External"/><Relationship Id="rId240" Type="http://schemas.openxmlformats.org/officeDocument/2006/relationships/hyperlink" Target="http://www.iqiyi.com/v_13zv6vx492s.html?share_sTime=269" TargetMode="External"/><Relationship Id="rId261" Type="http://schemas.openxmlformats.org/officeDocument/2006/relationships/hyperlink" Target="https://www.iqiyi.com/v_2fb1s6tz13k.html" TargetMode="External"/><Relationship Id="rId14" Type="http://schemas.openxmlformats.org/officeDocument/2006/relationships/hyperlink" Target="https://www.iqiyi.com/v_g1ofle6l90.html" TargetMode="External"/><Relationship Id="rId35" Type="http://schemas.openxmlformats.org/officeDocument/2006/relationships/hyperlink" Target="https://www.iqiyi.com/v_2b7dt657dgg.html" TargetMode="External"/><Relationship Id="rId56" Type="http://schemas.openxmlformats.org/officeDocument/2006/relationships/hyperlink" Target="http://www.iqiyi.com/v_1u0x3rzzbjs.html?share_sTime=306" TargetMode="External"/><Relationship Id="rId77" Type="http://schemas.openxmlformats.org/officeDocument/2006/relationships/hyperlink" Target="https://www.iqiyi.com/v_19qcoi3tjz0.html" TargetMode="External"/><Relationship Id="rId100" Type="http://schemas.openxmlformats.org/officeDocument/2006/relationships/hyperlink" Target="http://www.iqiyi.com/v_lmhkxrqwlk.html?share_sTime=436" TargetMode="External"/><Relationship Id="rId282" Type="http://schemas.openxmlformats.org/officeDocument/2006/relationships/hyperlink" Target="https://www.iqiyi.com/v_1ni7svvsz98.html" TargetMode="External"/><Relationship Id="rId8" Type="http://schemas.openxmlformats.org/officeDocument/2006/relationships/hyperlink" Target="https://www.iqiyi.com/v_fnv2jl6aqc.html" TargetMode="External"/><Relationship Id="rId98" Type="http://schemas.openxmlformats.org/officeDocument/2006/relationships/hyperlink" Target="https://www.iqiyi.com/v_lmhkxrqwlk.html" TargetMode="External"/><Relationship Id="rId121" Type="http://schemas.openxmlformats.org/officeDocument/2006/relationships/hyperlink" Target="https://www.iqiyi.com/v_28ir6fn3f9w.html" TargetMode="External"/><Relationship Id="rId142" Type="http://schemas.openxmlformats.org/officeDocument/2006/relationships/hyperlink" Target="https://www.iqiyi.com/v_1qc2dhhf4rc.html" TargetMode="External"/><Relationship Id="rId163" Type="http://schemas.openxmlformats.org/officeDocument/2006/relationships/hyperlink" Target="http://www.iqiyi.com/v_uscurycmg8.html?share_sTime=202" TargetMode="External"/><Relationship Id="rId184" Type="http://schemas.openxmlformats.org/officeDocument/2006/relationships/hyperlink" Target="https://www.iqiyi.com/v_okv7zn6jfo.html" TargetMode="External"/><Relationship Id="rId219" Type="http://schemas.openxmlformats.org/officeDocument/2006/relationships/hyperlink" Target="https://www.iqiyi.com/v_v9pgkqlzt8.html" TargetMode="External"/><Relationship Id="rId230" Type="http://schemas.openxmlformats.org/officeDocument/2006/relationships/hyperlink" Target="https://www.iqiyi.com/v_1kzf2cy2qq4.html" TargetMode="External"/><Relationship Id="rId251" Type="http://schemas.openxmlformats.org/officeDocument/2006/relationships/hyperlink" Target="https://www.iqiyi.com/v_2fb1s6tz13k.html" TargetMode="External"/><Relationship Id="rId25" Type="http://schemas.openxmlformats.org/officeDocument/2006/relationships/hyperlink" Target="https://www.iqiyi.com/v_1p6eeku8olw.html" TargetMode="External"/><Relationship Id="rId46" Type="http://schemas.openxmlformats.org/officeDocument/2006/relationships/hyperlink" Target="https://www.iqiyi.com/v_bq95qmvkj0.html" TargetMode="External"/><Relationship Id="rId67" Type="http://schemas.openxmlformats.org/officeDocument/2006/relationships/hyperlink" Target="https://www.iqiyi.com/v_19qcoi3tjz0.html" TargetMode="External"/><Relationship Id="rId272" Type="http://schemas.openxmlformats.org/officeDocument/2006/relationships/hyperlink" Target="https://www.iqiyi.com/v_1jvbmagcje4.html" TargetMode="External"/><Relationship Id="rId293" Type="http://schemas.openxmlformats.org/officeDocument/2006/relationships/hyperlink" Target="https://www.iqiyi.com/v_2bvr40ahqls.html" TargetMode="External"/><Relationship Id="rId88" Type="http://schemas.openxmlformats.org/officeDocument/2006/relationships/hyperlink" Target="https://www.iqiyi.com/v_1i727m0zp2g.html" TargetMode="External"/><Relationship Id="rId111" Type="http://schemas.openxmlformats.org/officeDocument/2006/relationships/hyperlink" Target="https://www.iqiyi.com/v_hbk4n4wja8.html" TargetMode="External"/><Relationship Id="rId132" Type="http://schemas.openxmlformats.org/officeDocument/2006/relationships/hyperlink" Target="https://www.iqiyi.com/v_1zj8zpc1uug.html" TargetMode="External"/><Relationship Id="rId153" Type="http://schemas.openxmlformats.org/officeDocument/2006/relationships/hyperlink" Target="https://www.iqiyi.com/v_1s40j847frg.html" TargetMode="External"/><Relationship Id="rId174" Type="http://schemas.openxmlformats.org/officeDocument/2006/relationships/hyperlink" Target="https://www.iqiyi.com/v_1tiq2wkvjj8.html" TargetMode="External"/><Relationship Id="rId195" Type="http://schemas.openxmlformats.org/officeDocument/2006/relationships/hyperlink" Target="https://www.iqiyi.com/v_1u0x3rzzbjs.html" TargetMode="External"/><Relationship Id="rId209" Type="http://schemas.openxmlformats.org/officeDocument/2006/relationships/hyperlink" Target="https://www.iqiyi.com/v_2bx0gdxkbbo.html" TargetMode="External"/><Relationship Id="rId220" Type="http://schemas.openxmlformats.org/officeDocument/2006/relationships/hyperlink" Target="https://www.iqiyi.com/v_v9pgkqlzt8.html" TargetMode="External"/><Relationship Id="rId241" Type="http://schemas.openxmlformats.org/officeDocument/2006/relationships/hyperlink" Target="http://www.iqiyi.com/v_13zv6vx492s.html?share_sTime=295" TargetMode="External"/><Relationship Id="rId15" Type="http://schemas.openxmlformats.org/officeDocument/2006/relationships/hyperlink" Target="https://www.iqiyi.com/v_g1ofle6l90.html" TargetMode="External"/><Relationship Id="rId36" Type="http://schemas.openxmlformats.org/officeDocument/2006/relationships/hyperlink" Target="https://www.iqiyi.com/v_2b7dt657dgg.html" TargetMode="External"/><Relationship Id="rId57" Type="http://schemas.openxmlformats.org/officeDocument/2006/relationships/hyperlink" Target="http://www.iqiyi.com/v_105jzk25f38.html?share_sTime=28" TargetMode="External"/><Relationship Id="rId262" Type="http://schemas.openxmlformats.org/officeDocument/2006/relationships/hyperlink" Target="https://www.iqiyi.com/v_1deqcff9qko.html" TargetMode="External"/><Relationship Id="rId283" Type="http://schemas.openxmlformats.org/officeDocument/2006/relationships/hyperlink" Target="https://www.iqiyi.com/v_1ni7svvsz98.html" TargetMode="External"/><Relationship Id="rId78" Type="http://schemas.openxmlformats.org/officeDocument/2006/relationships/hyperlink" Target="https://www.iqiyi.com/v_19qcoi3tjz0.html" TargetMode="External"/><Relationship Id="rId99" Type="http://schemas.openxmlformats.org/officeDocument/2006/relationships/hyperlink" Target="http://www.iqiyi.com/v_lmhkxrqwlk.html?share_sTime=394" TargetMode="External"/><Relationship Id="rId101" Type="http://schemas.openxmlformats.org/officeDocument/2006/relationships/hyperlink" Target="http://www.iqiyi.com/v_2bufryvc36k.html?share_sTime=98" TargetMode="External"/><Relationship Id="rId122" Type="http://schemas.openxmlformats.org/officeDocument/2006/relationships/hyperlink" Target="https://www.iqiyi.com/v_28ir6fn3f9w.html" TargetMode="External"/><Relationship Id="rId143" Type="http://schemas.openxmlformats.org/officeDocument/2006/relationships/hyperlink" Target="https://www.iqiyi.com/v_1qc2dhhf4rc.html" TargetMode="External"/><Relationship Id="rId164" Type="http://schemas.openxmlformats.org/officeDocument/2006/relationships/hyperlink" Target="http://www.iqiyi.com/v_uscurycmg8.html?share_sTime=360" TargetMode="External"/><Relationship Id="rId185" Type="http://schemas.openxmlformats.org/officeDocument/2006/relationships/hyperlink" Target="https://www.iqiyi.com/v_okv7zn6jfo.html" TargetMode="External"/><Relationship Id="rId9" Type="http://schemas.openxmlformats.org/officeDocument/2006/relationships/hyperlink" Target="https://www.iqiyi.com/v_2bx0gdxkbbo.html" TargetMode="External"/><Relationship Id="rId210" Type="http://schemas.openxmlformats.org/officeDocument/2006/relationships/hyperlink" Target="https://www.iqiyi.com/v_2bx0gdxkbbo.html" TargetMode="External"/><Relationship Id="rId26" Type="http://schemas.openxmlformats.org/officeDocument/2006/relationships/hyperlink" Target="https://www.iqiyi.com/v_1p6eeku8olw.html" TargetMode="External"/><Relationship Id="rId231" Type="http://schemas.openxmlformats.org/officeDocument/2006/relationships/hyperlink" Target="https://www.iqiyi.com/v_17l6d2qrdv0.html" TargetMode="External"/><Relationship Id="rId252" Type="http://schemas.openxmlformats.org/officeDocument/2006/relationships/hyperlink" Target="https://www.iqiyi.com/v_2fb1s6tz13k.html" TargetMode="External"/><Relationship Id="rId273" Type="http://schemas.openxmlformats.org/officeDocument/2006/relationships/hyperlink" Target="https://www.iqiyi.com/v_1jvbmagcje4.html" TargetMode="External"/><Relationship Id="rId294" Type="http://schemas.openxmlformats.org/officeDocument/2006/relationships/hyperlink" Target="https://www.iqiyi.com/v_2bvr40ahqls.html" TargetMode="External"/><Relationship Id="rId47" Type="http://schemas.openxmlformats.org/officeDocument/2006/relationships/hyperlink" Target="https://www.iqiyi.com/v_bq95qmvkj0.html" TargetMode="External"/><Relationship Id="rId68" Type="http://schemas.openxmlformats.org/officeDocument/2006/relationships/hyperlink" Target="https://www.iqiyi.com/v_1dz6udux11w.html" TargetMode="External"/><Relationship Id="rId89" Type="http://schemas.openxmlformats.org/officeDocument/2006/relationships/hyperlink" Target="https://www.iqiyi.com/v_hbk4n4wja8.html" TargetMode="External"/><Relationship Id="rId112" Type="http://schemas.openxmlformats.org/officeDocument/2006/relationships/hyperlink" Target="https://www.iqiyi.com/v_1y4efpjcbog.html" TargetMode="External"/><Relationship Id="rId133" Type="http://schemas.openxmlformats.org/officeDocument/2006/relationships/hyperlink" Target="https://www.iqiyi.com/v_1zj8zpc1uug.html" TargetMode="External"/><Relationship Id="rId154" Type="http://schemas.openxmlformats.org/officeDocument/2006/relationships/hyperlink" Target="https://www.iqiyi.com/v_1s40j847frg.html" TargetMode="External"/><Relationship Id="rId175" Type="http://schemas.openxmlformats.org/officeDocument/2006/relationships/hyperlink" Target="https://www.iqiyi.com/v_1tiq2wkvjj8.html" TargetMode="External"/><Relationship Id="rId196" Type="http://schemas.openxmlformats.org/officeDocument/2006/relationships/hyperlink" Target="https://www.iqiyi.com/v_105jzk25f38.html" TargetMode="External"/><Relationship Id="rId200" Type="http://schemas.openxmlformats.org/officeDocument/2006/relationships/hyperlink" Target="https://www.iqiyi.com/v_1d74ab1jfsk.html" TargetMode="External"/><Relationship Id="rId16" Type="http://schemas.openxmlformats.org/officeDocument/2006/relationships/hyperlink" Target="https://www.iqiyi.com/v_g1ofle6l90.html" TargetMode="External"/><Relationship Id="rId221" Type="http://schemas.openxmlformats.org/officeDocument/2006/relationships/hyperlink" Target="https://www.iqiyi.com/v_v9pgkqlzt8.html" TargetMode="External"/><Relationship Id="rId242" Type="http://schemas.openxmlformats.org/officeDocument/2006/relationships/hyperlink" Target="http://www.iqiyi.com/v_13zv6vx492s.html?share_sTime=309" TargetMode="External"/><Relationship Id="rId263" Type="http://schemas.openxmlformats.org/officeDocument/2006/relationships/hyperlink" Target="https://www.iqiyi.com/v_1deqcff9qko.html" TargetMode="External"/><Relationship Id="rId284" Type="http://schemas.openxmlformats.org/officeDocument/2006/relationships/hyperlink" Target="https://www.iqiyi.com/v_1ni7svvsz98.html" TargetMode="External"/><Relationship Id="rId37" Type="http://schemas.openxmlformats.org/officeDocument/2006/relationships/hyperlink" Target="https://www.iqiyi.com/v_2b7dt657dgg.html" TargetMode="External"/><Relationship Id="rId58" Type="http://schemas.openxmlformats.org/officeDocument/2006/relationships/hyperlink" Target="http://www.iqiyi.com/v_105jzk25f38.html?share_sTime=73" TargetMode="External"/><Relationship Id="rId79" Type="http://schemas.openxmlformats.org/officeDocument/2006/relationships/hyperlink" Target="https://www.iqiyi.com/v_19qcoi3tjz0.html" TargetMode="External"/><Relationship Id="rId102" Type="http://schemas.openxmlformats.org/officeDocument/2006/relationships/hyperlink" Target="http://www.iqiyi.com/v_2bufryvc36k.html?share_sTime=160" TargetMode="External"/><Relationship Id="rId123" Type="http://schemas.openxmlformats.org/officeDocument/2006/relationships/hyperlink" Target="https://www.iqiyi.com/v_1p6eeku8olw.html" TargetMode="External"/><Relationship Id="rId144" Type="http://schemas.openxmlformats.org/officeDocument/2006/relationships/hyperlink" Target="https://www.iqiyi.com/v_1qc2dhhf4rc.html" TargetMode="External"/><Relationship Id="rId90" Type="http://schemas.openxmlformats.org/officeDocument/2006/relationships/hyperlink" Target="https://www.iqiyi.com/v_hbk4n4wja8.html" TargetMode="External"/><Relationship Id="rId165" Type="http://schemas.openxmlformats.org/officeDocument/2006/relationships/hyperlink" Target="http://www.iqiyi.com/v_1qc2dhhf17c.html?share_sTime=32" TargetMode="External"/><Relationship Id="rId186" Type="http://schemas.openxmlformats.org/officeDocument/2006/relationships/hyperlink" Target="https://www.iqiyi.com/v_tg0bzav0ko.html" TargetMode="External"/><Relationship Id="rId211" Type="http://schemas.openxmlformats.org/officeDocument/2006/relationships/hyperlink" Target="https://www.iqiyi.com/v_okv7zn6jfo.html" TargetMode="External"/><Relationship Id="rId232" Type="http://schemas.openxmlformats.org/officeDocument/2006/relationships/hyperlink" Target="https://www.iqiyi.com/v_17l6d2qrdv0.html" TargetMode="External"/><Relationship Id="rId253" Type="http://schemas.openxmlformats.org/officeDocument/2006/relationships/hyperlink" Target="https://www.iqiyi.com/v_26obq94b7l4.html" TargetMode="External"/><Relationship Id="rId274" Type="http://schemas.openxmlformats.org/officeDocument/2006/relationships/hyperlink" Target="https://www.iqiyi.com/v_1jvbmagcje4.html" TargetMode="External"/><Relationship Id="rId295" Type="http://schemas.openxmlformats.org/officeDocument/2006/relationships/hyperlink" Target="https://www.iqiyi.com/v_1zj8zpc1uug.html" TargetMode="External"/><Relationship Id="rId27" Type="http://schemas.openxmlformats.org/officeDocument/2006/relationships/hyperlink" Target="https://www.iqiyi.com/v_2bvr40ahqls.html" TargetMode="External"/><Relationship Id="rId48" Type="http://schemas.openxmlformats.org/officeDocument/2006/relationships/hyperlink" Target="https://www.iqiyi.com/v_bq95qmvkj0.html" TargetMode="External"/><Relationship Id="rId69" Type="http://schemas.openxmlformats.org/officeDocument/2006/relationships/hyperlink" Target="https://www.iqiyi.com/v_msxfx2099w.html" TargetMode="External"/><Relationship Id="rId113" Type="http://schemas.openxmlformats.org/officeDocument/2006/relationships/hyperlink" Target="https://www.iqiyi.com/v_msxfx2099w.html" TargetMode="External"/><Relationship Id="rId134" Type="http://schemas.openxmlformats.org/officeDocument/2006/relationships/hyperlink" Target="https://www.iqiyi.com/v_1rshytn0qmw.html" TargetMode="External"/><Relationship Id="rId80" Type="http://schemas.openxmlformats.org/officeDocument/2006/relationships/hyperlink" Target="https://www.iqiyi.com/v_msxfx2099w.html" TargetMode="External"/><Relationship Id="rId155" Type="http://schemas.openxmlformats.org/officeDocument/2006/relationships/hyperlink" Target="http://www.iqiyi.com/v_2docnt7jyw8.html?share_sTime=299" TargetMode="External"/><Relationship Id="rId176" Type="http://schemas.openxmlformats.org/officeDocument/2006/relationships/hyperlink" Target="https://www.iqiyi.com/v_okv7zn6jfo.html" TargetMode="External"/><Relationship Id="rId197" Type="http://schemas.openxmlformats.org/officeDocument/2006/relationships/hyperlink" Target="https://www.iqiyi.com/v_105jzk25f38.html" TargetMode="External"/><Relationship Id="rId201" Type="http://schemas.openxmlformats.org/officeDocument/2006/relationships/hyperlink" Target="https://www.iqiyi.com/v_1d74ab1jfsk.html" TargetMode="External"/><Relationship Id="rId222" Type="http://schemas.openxmlformats.org/officeDocument/2006/relationships/hyperlink" Target="https://www.iqiyi.com/v_v9pgkqlzt8.html" TargetMode="External"/><Relationship Id="rId243" Type="http://schemas.openxmlformats.org/officeDocument/2006/relationships/hyperlink" Target="http://www.iqiyi.com/v_13zv6vx492s.html?share_sTime=446" TargetMode="External"/><Relationship Id="rId264" Type="http://schemas.openxmlformats.org/officeDocument/2006/relationships/hyperlink" Target="https://www.iqiyi.com/v_1deqcff9qko.html" TargetMode="External"/><Relationship Id="rId285" Type="http://schemas.openxmlformats.org/officeDocument/2006/relationships/hyperlink" Target="https://www.iqiyi.com/v_1ni7svvsz98.html" TargetMode="External"/><Relationship Id="rId17" Type="http://schemas.openxmlformats.org/officeDocument/2006/relationships/hyperlink" Target="https://www.iqiyi.com/v_1s40j847frg.html" TargetMode="External"/><Relationship Id="rId38" Type="http://schemas.openxmlformats.org/officeDocument/2006/relationships/hyperlink" Target="https://www.iqiyi.com/v_2b7dt657dgg.html" TargetMode="External"/><Relationship Id="rId59" Type="http://schemas.openxmlformats.org/officeDocument/2006/relationships/hyperlink" Target="http://www.iqiyi.com/v_105jzk25f38.html?share_sTime=98" TargetMode="External"/><Relationship Id="rId103" Type="http://schemas.openxmlformats.org/officeDocument/2006/relationships/hyperlink" Target="http://www.iqiyi.com/v_2bufryvc36k.html?share_sTime=266" TargetMode="External"/><Relationship Id="rId124" Type="http://schemas.openxmlformats.org/officeDocument/2006/relationships/hyperlink" Target="https://www.iqiyi.com/v_2bvr40ahqls.html" TargetMode="External"/><Relationship Id="rId70" Type="http://schemas.openxmlformats.org/officeDocument/2006/relationships/hyperlink" Target="https://www.iqiyi.com/v_1yt8bhslu38.html" TargetMode="External"/><Relationship Id="rId91" Type="http://schemas.openxmlformats.org/officeDocument/2006/relationships/hyperlink" Target="https://www.iqiyi.com/v_fnv2jl6aqc.html" TargetMode="External"/><Relationship Id="rId145" Type="http://schemas.openxmlformats.org/officeDocument/2006/relationships/hyperlink" Target="https://www.iqiyi.com/v_1qc2dhhf4rc.html" TargetMode="External"/><Relationship Id="rId166" Type="http://schemas.openxmlformats.org/officeDocument/2006/relationships/hyperlink" Target="http://www.iqiyi.com/v_1qc2dhhf17c.html?share_sTime=296" TargetMode="External"/><Relationship Id="rId187" Type="http://schemas.openxmlformats.org/officeDocument/2006/relationships/hyperlink" Target="https://www.iqiyi.com/v_tg0bzav0ko.html" TargetMode="External"/><Relationship Id="rId1" Type="http://schemas.openxmlformats.org/officeDocument/2006/relationships/hyperlink" Target="https://www.iqiyi.com/v_2bufryvc36k.html" TargetMode="External"/><Relationship Id="rId212" Type="http://schemas.openxmlformats.org/officeDocument/2006/relationships/hyperlink" Target="https://www.iqiyi.com/v_csh1i54cfs.html" TargetMode="External"/><Relationship Id="rId233" Type="http://schemas.openxmlformats.org/officeDocument/2006/relationships/hyperlink" Target="https://www.iqiyi.com/v_17l6d2qrdv0.html" TargetMode="External"/><Relationship Id="rId254" Type="http://schemas.openxmlformats.org/officeDocument/2006/relationships/hyperlink" Target="https://www.iqiyi.com/v_2c66zp7rcp0.html" TargetMode="External"/><Relationship Id="rId28" Type="http://schemas.openxmlformats.org/officeDocument/2006/relationships/hyperlink" Target="https://www.iqiyi.com/v_2bvr40ahqls.html" TargetMode="External"/><Relationship Id="rId49" Type="http://schemas.openxmlformats.org/officeDocument/2006/relationships/hyperlink" Target="https://www.iqiyi.com/v_bq95qmvkj0.html" TargetMode="External"/><Relationship Id="rId114" Type="http://schemas.openxmlformats.org/officeDocument/2006/relationships/hyperlink" Target="https://www.iqiyi.com/v_hbk4n4wja8.html" TargetMode="External"/><Relationship Id="rId275" Type="http://schemas.openxmlformats.org/officeDocument/2006/relationships/hyperlink" Target="https://www.iqiyi.com/v_1jvbmagcje4.html" TargetMode="External"/><Relationship Id="rId296" Type="http://schemas.openxmlformats.org/officeDocument/2006/relationships/hyperlink" Target="https://www.iqiyi.com/v_2bvr40ahqls.html" TargetMode="External"/><Relationship Id="rId300" Type="http://schemas.openxmlformats.org/officeDocument/2006/relationships/hyperlink" Target="https://www.iqiyi.com/v_2bx0gdxkbbo.html" TargetMode="External"/><Relationship Id="rId60" Type="http://schemas.openxmlformats.org/officeDocument/2006/relationships/hyperlink" Target="http://www.iqiyi.com/v_105jzk25f38.html?share_sTime=213" TargetMode="External"/><Relationship Id="rId81" Type="http://schemas.openxmlformats.org/officeDocument/2006/relationships/hyperlink" Target="https://www.iqiyi.com/v_19qcoi3tjz0.html" TargetMode="External"/><Relationship Id="rId135" Type="http://schemas.openxmlformats.org/officeDocument/2006/relationships/hyperlink" Target="https://www.iqiyi.com/v_bq95qmvkj0.html" TargetMode="External"/><Relationship Id="rId156" Type="http://schemas.openxmlformats.org/officeDocument/2006/relationships/hyperlink" Target="http://www.iqiyi.com/v_2docnt7jyw8.html?share_sTime=311" TargetMode="External"/><Relationship Id="rId177" Type="http://schemas.openxmlformats.org/officeDocument/2006/relationships/hyperlink" Target="https://www.iqiyi.com/v_1tiq2wkvjj8.html" TargetMode="External"/><Relationship Id="rId198" Type="http://schemas.openxmlformats.org/officeDocument/2006/relationships/hyperlink" Target="https://www.iqiyi.com/v_lb88qku9oc.html" TargetMode="External"/><Relationship Id="rId202" Type="http://schemas.openxmlformats.org/officeDocument/2006/relationships/hyperlink" Target="https://www.iqiyi.com/v_1d74ab1jfsk.html" TargetMode="External"/><Relationship Id="rId223" Type="http://schemas.openxmlformats.org/officeDocument/2006/relationships/hyperlink" Target="https://www.iqiyi.com/v_109ugarkbks.html" TargetMode="External"/><Relationship Id="rId244" Type="http://schemas.openxmlformats.org/officeDocument/2006/relationships/hyperlink" Target="http://www.iqiyi.com/v_14006zhf2uo.html?share_sTime=137" TargetMode="External"/><Relationship Id="rId18" Type="http://schemas.openxmlformats.org/officeDocument/2006/relationships/hyperlink" Target="https://www.iqiyi.com/v_1smrdalxvck.html" TargetMode="External"/><Relationship Id="rId39" Type="http://schemas.openxmlformats.org/officeDocument/2006/relationships/hyperlink" Target="https://www.iqiyi.com/v_2b7dt657dgg.html" TargetMode="External"/><Relationship Id="rId265" Type="http://schemas.openxmlformats.org/officeDocument/2006/relationships/hyperlink" Target="https://www.iqiyi.com/v_1deqcff9qko.html" TargetMode="External"/><Relationship Id="rId286" Type="http://schemas.openxmlformats.org/officeDocument/2006/relationships/hyperlink" Target="https://www.iqiyi.com/v_1s40j847frg.html" TargetMode="External"/><Relationship Id="rId50" Type="http://schemas.openxmlformats.org/officeDocument/2006/relationships/hyperlink" Target="https://www.iqiyi.com/v_bq95qmvkj0.html" TargetMode="External"/><Relationship Id="rId104" Type="http://schemas.openxmlformats.org/officeDocument/2006/relationships/hyperlink" Target="http://www.iqiyi.com/v_2bufryvc36k.html?share_sTime=361" TargetMode="External"/><Relationship Id="rId125" Type="http://schemas.openxmlformats.org/officeDocument/2006/relationships/hyperlink" Target="https://www.iqiyi.com/v_2bvr40ahqls.html" TargetMode="External"/><Relationship Id="rId146" Type="http://schemas.openxmlformats.org/officeDocument/2006/relationships/hyperlink" Target="https://www.iqiyi.com/v_1qc2dhhf4rc.html" TargetMode="External"/><Relationship Id="rId167" Type="http://schemas.openxmlformats.org/officeDocument/2006/relationships/hyperlink" Target="http://www.iqiyi.com/v_1qc2dhhf17c.html?share_sTime=311" TargetMode="External"/><Relationship Id="rId188" Type="http://schemas.openxmlformats.org/officeDocument/2006/relationships/hyperlink" Target="https://www.iqiyi.com/v_tg0bzav0ko.html" TargetMode="External"/><Relationship Id="rId71" Type="http://schemas.openxmlformats.org/officeDocument/2006/relationships/hyperlink" Target="https://www.iqiyi.com/v_msxfx2099w.html" TargetMode="External"/><Relationship Id="rId92" Type="http://schemas.openxmlformats.org/officeDocument/2006/relationships/hyperlink" Target="https://www.iqiyi.com/v_fnv2jl6aqc.html" TargetMode="External"/><Relationship Id="rId213" Type="http://schemas.openxmlformats.org/officeDocument/2006/relationships/hyperlink" Target="https://www.iqiyi.com/v_csh1i54cfs.html" TargetMode="External"/><Relationship Id="rId234" Type="http://schemas.openxmlformats.org/officeDocument/2006/relationships/hyperlink" Target="https://10.10.30.16:12855/vse/scenarios/611bbf7674cc1b1de37e707c/simulations?source=CLOUD" TargetMode="External"/><Relationship Id="rId2" Type="http://schemas.openxmlformats.org/officeDocument/2006/relationships/hyperlink" Target="https://www.iqiyi.com/v_2993z2f1klc.html" TargetMode="External"/><Relationship Id="rId29" Type="http://schemas.openxmlformats.org/officeDocument/2006/relationships/hyperlink" Target="https://www.iqiyi.com/v_17l6d2qrdv0.html" TargetMode="External"/><Relationship Id="rId255" Type="http://schemas.openxmlformats.org/officeDocument/2006/relationships/hyperlink" Target="https://www.iqiyi.com/v_2fb1s6tz13k.html" TargetMode="External"/><Relationship Id="rId276" Type="http://schemas.openxmlformats.org/officeDocument/2006/relationships/hyperlink" Target="https://www.iqiyi.com/v_174uz7e1yl0.html" TargetMode="External"/><Relationship Id="rId297" Type="http://schemas.openxmlformats.org/officeDocument/2006/relationships/hyperlink" Target="https://www.iqiyi.com/v_2docnt7jyw8.html" TargetMode="External"/><Relationship Id="rId40" Type="http://schemas.openxmlformats.org/officeDocument/2006/relationships/hyperlink" Target="https://www.iqiyi.com/v_2b7dt657dgg.html" TargetMode="External"/><Relationship Id="rId115" Type="http://schemas.openxmlformats.org/officeDocument/2006/relationships/hyperlink" Target="https://www.iqiyi.com/v_1y4efpjcbog.html" TargetMode="External"/><Relationship Id="rId136" Type="http://schemas.openxmlformats.org/officeDocument/2006/relationships/hyperlink" Target="https://www.iqiyi.com/v_bq95qmvkj0.html" TargetMode="External"/><Relationship Id="rId157" Type="http://schemas.openxmlformats.org/officeDocument/2006/relationships/hyperlink" Target="http://www.iqiyi.com/v_2docnt7jyw8.html?share_sTime=440" TargetMode="External"/><Relationship Id="rId178" Type="http://schemas.openxmlformats.org/officeDocument/2006/relationships/hyperlink" Target="https://www.iqiyi.com/v_1tiq2wkvjj8.html" TargetMode="External"/><Relationship Id="rId301" Type="http://schemas.openxmlformats.org/officeDocument/2006/relationships/hyperlink" Target="https://www.iqiyi.com/v_g1ofle6l90.html" TargetMode="External"/><Relationship Id="rId61" Type="http://schemas.openxmlformats.org/officeDocument/2006/relationships/hyperlink" Target="http://www.iqiyi.com/v_105jzk25f38.html?share_sTime=252" TargetMode="External"/><Relationship Id="rId82" Type="http://schemas.openxmlformats.org/officeDocument/2006/relationships/hyperlink" Target="https://www.iqiyi.com/v_msxfx2099w.html" TargetMode="External"/><Relationship Id="rId199" Type="http://schemas.openxmlformats.org/officeDocument/2006/relationships/hyperlink" Target="https://www.iqiyi.com/v_lb88qku9oc.html" TargetMode="External"/><Relationship Id="rId203" Type="http://schemas.openxmlformats.org/officeDocument/2006/relationships/hyperlink" Target="https://www.iqiyi.com/v_v9pgkqlzt8.html" TargetMode="External"/><Relationship Id="rId19" Type="http://schemas.openxmlformats.org/officeDocument/2006/relationships/hyperlink" Target="https://www.iqiyi.com/v_1smrdalxvck.html" TargetMode="External"/><Relationship Id="rId224" Type="http://schemas.openxmlformats.org/officeDocument/2006/relationships/hyperlink" Target="https://www.iqiyi.com/v_109ugarkbks.html" TargetMode="External"/><Relationship Id="rId245" Type="http://schemas.openxmlformats.org/officeDocument/2006/relationships/hyperlink" Target="http://www.iqiyi.com/v_17l6d2qrdv0.html?share_sTime=109" TargetMode="External"/><Relationship Id="rId266" Type="http://schemas.openxmlformats.org/officeDocument/2006/relationships/hyperlink" Target="https://www.iqiyi.com/v_1deqcff9qko.html" TargetMode="External"/><Relationship Id="rId287" Type="http://schemas.openxmlformats.org/officeDocument/2006/relationships/hyperlink" Target="https://www.iqiyi.com/v_2docnt7jyw8.html" TargetMode="External"/><Relationship Id="rId30" Type="http://schemas.openxmlformats.org/officeDocument/2006/relationships/hyperlink" Target="https://www.iqiyi.com/v_17l6d2qrdv0.html" TargetMode="External"/><Relationship Id="rId105" Type="http://schemas.openxmlformats.org/officeDocument/2006/relationships/hyperlink" Target="http://www.iqiyi.com/v_2bufryvc36k.html?share_sTime=160" TargetMode="External"/><Relationship Id="rId126" Type="http://schemas.openxmlformats.org/officeDocument/2006/relationships/hyperlink" Target="https://www.iqiyi.com/v_2bvr40ahqls.html" TargetMode="External"/><Relationship Id="rId147" Type="http://schemas.openxmlformats.org/officeDocument/2006/relationships/hyperlink" Target="https://www.iqiyi.com/v_g1ofle6l90.html" TargetMode="External"/><Relationship Id="rId168" Type="http://schemas.openxmlformats.org/officeDocument/2006/relationships/hyperlink" Target="http://www.iqiyi.com/v_1qc2dhhf17c.html?share_sTime=325" TargetMode="External"/><Relationship Id="rId51" Type="http://schemas.openxmlformats.org/officeDocument/2006/relationships/hyperlink" Target="http://www.iqiyi.com/v_fnv2jl6aqc.html?share_sTime=144" TargetMode="External"/><Relationship Id="rId72" Type="http://schemas.openxmlformats.org/officeDocument/2006/relationships/hyperlink" Target="https://www.iqiyi.com/v_19qcoi3tjz0.html" TargetMode="External"/><Relationship Id="rId93" Type="http://schemas.openxmlformats.org/officeDocument/2006/relationships/hyperlink" Target="https://www.iqiyi.com/v_fnv2jl6aqc.html" TargetMode="External"/><Relationship Id="rId189" Type="http://schemas.openxmlformats.org/officeDocument/2006/relationships/hyperlink" Target="https://www.iqiyi.com/v_okv7zn6jfo.html" TargetMode="External"/><Relationship Id="rId3" Type="http://schemas.openxmlformats.org/officeDocument/2006/relationships/hyperlink" Target="https://www.iqiyi.com/v_2993z2f1klc.html" TargetMode="External"/><Relationship Id="rId214" Type="http://schemas.openxmlformats.org/officeDocument/2006/relationships/hyperlink" Target="https://www.iqiyi.com/v_csh1i54cfs.html" TargetMode="External"/><Relationship Id="rId235" Type="http://schemas.openxmlformats.org/officeDocument/2006/relationships/hyperlink" Target="https://www.iqiyi.com/v_109ugarkbks.html" TargetMode="External"/><Relationship Id="rId256" Type="http://schemas.openxmlformats.org/officeDocument/2006/relationships/hyperlink" Target="https://www.iqiyi.com/v_2c66zp7rcp0.html" TargetMode="External"/><Relationship Id="rId277" Type="http://schemas.openxmlformats.org/officeDocument/2006/relationships/hyperlink" Target="https://www.iqiyi.com/v_174uz7e1yl0.html" TargetMode="External"/><Relationship Id="rId298" Type="http://schemas.openxmlformats.org/officeDocument/2006/relationships/hyperlink" Target="https://www.iqiyi.com/v_2bx0gdxkbbo.html" TargetMode="External"/><Relationship Id="rId116" Type="http://schemas.openxmlformats.org/officeDocument/2006/relationships/hyperlink" Target="https://www.iqiyi.com/v_22oj3vcj014.html" TargetMode="External"/><Relationship Id="rId137" Type="http://schemas.openxmlformats.org/officeDocument/2006/relationships/hyperlink" Target="https://www.iqiyi.com/v_bq95qmvkj0.html" TargetMode="External"/><Relationship Id="rId158" Type="http://schemas.openxmlformats.org/officeDocument/2006/relationships/hyperlink" Target="http://www.iqiyi.com/v_2docnt7jyw8.html?share_sTime=481" TargetMode="External"/><Relationship Id="rId302" Type="http://schemas.openxmlformats.org/officeDocument/2006/relationships/hyperlink" Target="https://www.iqiyi.com/v_fnv2jl6aqc.html" TargetMode="External"/><Relationship Id="rId20" Type="http://schemas.openxmlformats.org/officeDocument/2006/relationships/hyperlink" Target="https://www.iqiyi.com/v_1smrdalxvck.html" TargetMode="External"/><Relationship Id="rId41" Type="http://schemas.openxmlformats.org/officeDocument/2006/relationships/hyperlink" Target="https://www.iqiyi.com/v_1rshytn0qmw.html" TargetMode="External"/><Relationship Id="rId62" Type="http://schemas.openxmlformats.org/officeDocument/2006/relationships/hyperlink" Target="https://www.iqiyi.com/v_1yt8bhslu38.html" TargetMode="External"/><Relationship Id="rId83" Type="http://schemas.openxmlformats.org/officeDocument/2006/relationships/hyperlink" Target="https://www.iqiyi.com/v_msxfx2099w.html" TargetMode="External"/><Relationship Id="rId179" Type="http://schemas.openxmlformats.org/officeDocument/2006/relationships/hyperlink" Target="https://www.iqiyi.com/v_okv7zn6jfo.html" TargetMode="External"/><Relationship Id="rId190" Type="http://schemas.openxmlformats.org/officeDocument/2006/relationships/hyperlink" Target="https://www.iqiyi.com/v_2b3kfhfd7fo.html" TargetMode="External"/><Relationship Id="rId204" Type="http://schemas.openxmlformats.org/officeDocument/2006/relationships/hyperlink" Target="https://www.iqiyi.com/v_1d74ab1jfsk.html" TargetMode="External"/><Relationship Id="rId225" Type="http://schemas.openxmlformats.org/officeDocument/2006/relationships/hyperlink" Target="https://www.iqiyi.com/v_109ugarkbks.html" TargetMode="External"/><Relationship Id="rId246" Type="http://schemas.openxmlformats.org/officeDocument/2006/relationships/hyperlink" Target="http://www.iqiyi.com/v_14006zhf2uo.html?share_sTime=149" TargetMode="External"/><Relationship Id="rId267" Type="http://schemas.openxmlformats.org/officeDocument/2006/relationships/hyperlink" Target="https://www.iqiyi.com/v_1ymadtms6ww.html" TargetMode="External"/><Relationship Id="rId288" Type="http://schemas.openxmlformats.org/officeDocument/2006/relationships/hyperlink" Target="https://www.iqiyi.com/v_2docnt7jyw8.html" TargetMode="External"/><Relationship Id="rId106" Type="http://schemas.openxmlformats.org/officeDocument/2006/relationships/hyperlink" Target="http://www.iqiyi.com/v_2bufryvc36k.html?share_sTime=361" TargetMode="External"/><Relationship Id="rId127" Type="http://schemas.openxmlformats.org/officeDocument/2006/relationships/hyperlink" Target="https://www.iqiyi.com/v_1zj8zpc1uug.html" TargetMode="External"/><Relationship Id="rId10" Type="http://schemas.openxmlformats.org/officeDocument/2006/relationships/hyperlink" Target="https://www.iqiyi.com/v_1u0x3rzzbjs.html" TargetMode="External"/><Relationship Id="rId31" Type="http://schemas.openxmlformats.org/officeDocument/2006/relationships/hyperlink" Target="https://www.iqiyi.com/v_uscurycmg8.html" TargetMode="External"/><Relationship Id="rId52" Type="http://schemas.openxmlformats.org/officeDocument/2006/relationships/hyperlink" Target="http://www.iqiyi.com/v_fnv2jl6aqc.html?share_sTime=144" TargetMode="External"/><Relationship Id="rId73" Type="http://schemas.openxmlformats.org/officeDocument/2006/relationships/hyperlink" Target="https://www.iqiyi.com/v_19qcoi3tjz0.html" TargetMode="External"/><Relationship Id="rId94" Type="http://schemas.openxmlformats.org/officeDocument/2006/relationships/hyperlink" Target="https://www.iqiyi.com/v_fnv2jl6aqc.html" TargetMode="External"/><Relationship Id="rId148" Type="http://schemas.openxmlformats.org/officeDocument/2006/relationships/hyperlink" Target="https://www.iqiyi.com/v_g1ofle6l90.html" TargetMode="External"/><Relationship Id="rId169" Type="http://schemas.openxmlformats.org/officeDocument/2006/relationships/hyperlink" Target="http://www.iqiyi.com/v_17b2rc6qcw0.html?share_sTime=136" TargetMode="External"/><Relationship Id="rId4" Type="http://schemas.openxmlformats.org/officeDocument/2006/relationships/hyperlink" Target="https://www.iqiyi.com/v_2993z2f1klc.html" TargetMode="External"/><Relationship Id="rId180" Type="http://schemas.openxmlformats.org/officeDocument/2006/relationships/hyperlink" Target="https://www.iqiyi.com/v_okv7zn6jfo.html" TargetMode="External"/><Relationship Id="rId215" Type="http://schemas.openxmlformats.org/officeDocument/2006/relationships/hyperlink" Target="https://www.iqiyi.com/v_csh1i54cfs.html" TargetMode="External"/><Relationship Id="rId236" Type="http://schemas.openxmlformats.org/officeDocument/2006/relationships/hyperlink" Target="http://www.iqiyi.com/v_13zv6vx492s.html?share_sTime=14" TargetMode="External"/><Relationship Id="rId257" Type="http://schemas.openxmlformats.org/officeDocument/2006/relationships/hyperlink" Target="https://www.iqiyi.com/v_23ytugssa8c.html" TargetMode="External"/><Relationship Id="rId278" Type="http://schemas.openxmlformats.org/officeDocument/2006/relationships/hyperlink" Target="https://www.iqiyi.com/v_174uz7e1yl0.html" TargetMode="External"/><Relationship Id="rId303" Type="http://schemas.openxmlformats.org/officeDocument/2006/relationships/hyperlink" Target="https://www.iqiyi.com/v_105jzk25f38.html" TargetMode="External"/><Relationship Id="rId42" Type="http://schemas.openxmlformats.org/officeDocument/2006/relationships/hyperlink" Target="https://www.iqiyi.com/v_1rshytn0qmw.html" TargetMode="External"/><Relationship Id="rId84" Type="http://schemas.openxmlformats.org/officeDocument/2006/relationships/hyperlink" Target="https://www.iqiyi.com/v_hbk4n4wja8.html" TargetMode="External"/><Relationship Id="rId138" Type="http://schemas.openxmlformats.org/officeDocument/2006/relationships/hyperlink" Target="https://www.iqiyi.com/v_1qc2dhhf4rc.html" TargetMode="External"/><Relationship Id="rId191" Type="http://schemas.openxmlformats.org/officeDocument/2006/relationships/hyperlink" Target="https://www.iqiyi.com/v_lb88qku9oc.html" TargetMode="External"/><Relationship Id="rId205" Type="http://schemas.openxmlformats.org/officeDocument/2006/relationships/hyperlink" Target="https://www.iqiyi.com/v_v9pgkqlzt8.html" TargetMode="External"/><Relationship Id="rId247" Type="http://schemas.openxmlformats.org/officeDocument/2006/relationships/hyperlink" Target="http://www.iqiyi.com/v_14006zhf2uo.html?share_sTime=213" TargetMode="External"/><Relationship Id="rId107" Type="http://schemas.openxmlformats.org/officeDocument/2006/relationships/hyperlink" Target="http://www.iqiyi.com/v_1c7atnuhsr4.html?share_sTime=435" TargetMode="External"/><Relationship Id="rId289" Type="http://schemas.openxmlformats.org/officeDocument/2006/relationships/hyperlink" Target="https://www.iqiyi.com/v_1qc2dhhf4rc.html" TargetMode="External"/><Relationship Id="rId11" Type="http://schemas.openxmlformats.org/officeDocument/2006/relationships/hyperlink" Target="https://www.iqiyi.com/v_g1ofle6l90.html" TargetMode="External"/><Relationship Id="rId53" Type="http://schemas.openxmlformats.org/officeDocument/2006/relationships/hyperlink" Target="http://www.iqiyi.com/v_1u0x3rzzbjs.html?share_sTime=187" TargetMode="External"/><Relationship Id="rId149" Type="http://schemas.openxmlformats.org/officeDocument/2006/relationships/hyperlink" Target="https://www.iqiyi.com/v_g1ofle6l90.html" TargetMode="External"/><Relationship Id="rId95" Type="http://schemas.openxmlformats.org/officeDocument/2006/relationships/hyperlink" Target="https://www.iqiyi.com/v_fnv2jl6aqc.html" TargetMode="External"/><Relationship Id="rId160" Type="http://schemas.openxmlformats.org/officeDocument/2006/relationships/hyperlink" Target="http://www.iqiyi.com/v_uscurycmg8.html?share_sTime=80" TargetMode="External"/><Relationship Id="rId216" Type="http://schemas.openxmlformats.org/officeDocument/2006/relationships/hyperlink" Target="https://www.iqiyi.com/v_csh1i54cfs.html" TargetMode="External"/><Relationship Id="rId258" Type="http://schemas.openxmlformats.org/officeDocument/2006/relationships/hyperlink" Target="https://www.iqiyi.com/v_23ytugssa8c.html" TargetMode="External"/><Relationship Id="rId22" Type="http://schemas.openxmlformats.org/officeDocument/2006/relationships/hyperlink" Target="https://www.iqiyi.com/v_28ir6fn3f9w.html" TargetMode="External"/><Relationship Id="rId64" Type="http://schemas.openxmlformats.org/officeDocument/2006/relationships/hyperlink" Target="https://www.iqiyi.com/v_1yt8bhslu38.html" TargetMode="External"/><Relationship Id="rId118" Type="http://schemas.openxmlformats.org/officeDocument/2006/relationships/hyperlink" Target="https://www.iqiyi.com/v_28ir6fn3f9w.html" TargetMode="External"/><Relationship Id="rId171" Type="http://schemas.openxmlformats.org/officeDocument/2006/relationships/hyperlink" Target="https://www.iqiyi.com/v_hbk4n4wja8.html" TargetMode="External"/><Relationship Id="rId227" Type="http://schemas.openxmlformats.org/officeDocument/2006/relationships/hyperlink" Target="https://www.iqiyi.com/v_1kzf2cy2qq4.html" TargetMode="External"/><Relationship Id="rId269" Type="http://schemas.openxmlformats.org/officeDocument/2006/relationships/hyperlink" Target="https://www.iqiyi.com/v_1ymadtms6ww.html" TargetMode="External"/><Relationship Id="rId33" Type="http://schemas.openxmlformats.org/officeDocument/2006/relationships/hyperlink" Target="https://www.iqiyi.com/v_2b7dt657dgg.html" TargetMode="External"/><Relationship Id="rId129" Type="http://schemas.openxmlformats.org/officeDocument/2006/relationships/hyperlink" Target="https://www.iqiyi.com/v_1zj8zpc1uug.html" TargetMode="External"/><Relationship Id="rId280" Type="http://schemas.openxmlformats.org/officeDocument/2006/relationships/hyperlink" Target="https://www.iqiyi.com/v_174uz7e1yl0.html" TargetMode="External"/><Relationship Id="rId75" Type="http://schemas.openxmlformats.org/officeDocument/2006/relationships/hyperlink" Target="https://www.iqiyi.com/v_19qcoi3tjz0.html" TargetMode="External"/><Relationship Id="rId140" Type="http://schemas.openxmlformats.org/officeDocument/2006/relationships/hyperlink" Target="https://www.iqiyi.com/v_1qc2dhhf4rc.html" TargetMode="External"/><Relationship Id="rId182" Type="http://schemas.openxmlformats.org/officeDocument/2006/relationships/hyperlink" Target="https://www.iqiyi.com/v_tg0bzav0ko.html" TargetMode="External"/><Relationship Id="rId6" Type="http://schemas.openxmlformats.org/officeDocument/2006/relationships/hyperlink" Target="https://www.iqiyi.com/v_lmhkxrqwlk.html" TargetMode="External"/><Relationship Id="rId238" Type="http://schemas.openxmlformats.org/officeDocument/2006/relationships/hyperlink" Target="http://www.iqiyi.com/v_13zv6vx492s.html?share_sTime=232"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iqiyi.com/v_2bx0gdxkbbo.html" TargetMode="External"/></Relationships>
</file>

<file path=xl/worksheets/_rels/sheet1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hyperlink" Target="https://10.10.82.146:8855/vse/scenarios/619b58a90b711214af97a66e/simulations?source=LOCAL" TargetMode="Externa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7.xml.rels><?xml version="1.0" encoding="UTF-8" standalone="yes"?>
<Relationships xmlns="http://schemas.openxmlformats.org/package/2006/relationships"><Relationship Id="rId21" Type="http://schemas.openxmlformats.org/officeDocument/2006/relationships/hyperlink" Target="https://www.iqiyi.com/v_23w010zgp4w.html" TargetMode="External"/><Relationship Id="rId170" Type="http://schemas.openxmlformats.org/officeDocument/2006/relationships/hyperlink" Target="https://www.iqiyi.com/v_1lsznkdwl5k.html" TargetMode="External"/><Relationship Id="rId268" Type="http://schemas.openxmlformats.org/officeDocument/2006/relationships/hyperlink" Target="https://www.iqiyi.com/v_1fqir0y6d9k.html" TargetMode="External"/><Relationship Id="rId475" Type="http://schemas.openxmlformats.org/officeDocument/2006/relationships/hyperlink" Target="https://www.iqiyi.com/v_evn6pi97j8.html" TargetMode="External"/><Relationship Id="rId682" Type="http://schemas.openxmlformats.org/officeDocument/2006/relationships/hyperlink" Target="https://www.iqiyi.com/v_19rvddk0fs.html" TargetMode="External"/><Relationship Id="rId128" Type="http://schemas.openxmlformats.org/officeDocument/2006/relationships/hyperlink" Target="https://www.iqiyi.com/v_b3o92z7c84.html" TargetMode="External"/><Relationship Id="rId335" Type="http://schemas.openxmlformats.org/officeDocument/2006/relationships/hyperlink" Target="https://www.iqiyi.com/v_1lkqyke92p0.html" TargetMode="External"/><Relationship Id="rId542" Type="http://schemas.openxmlformats.org/officeDocument/2006/relationships/hyperlink" Target="https://www.iqiyi.com/v_19ry2x3nu4.html" TargetMode="External"/><Relationship Id="rId987" Type="http://schemas.openxmlformats.org/officeDocument/2006/relationships/hyperlink" Target="https://www.iqiyi.com/w_19s0q7utp9.html" TargetMode="External"/><Relationship Id="rId402" Type="http://schemas.openxmlformats.org/officeDocument/2006/relationships/hyperlink" Target="https://www.iqiyi.com/v_ujpkw5dif8.html" TargetMode="External"/><Relationship Id="rId847" Type="http://schemas.openxmlformats.org/officeDocument/2006/relationships/hyperlink" Target="https://www.iqiyi.com/v_19rshh7bgg.html" TargetMode="External"/><Relationship Id="rId1032" Type="http://schemas.openxmlformats.org/officeDocument/2006/relationships/hyperlink" Target="https://www.iqiyi.com/w_19s14kjfst.html" TargetMode="External"/><Relationship Id="rId707" Type="http://schemas.openxmlformats.org/officeDocument/2006/relationships/hyperlink" Target="https://www.iqiyi.com/v_19rvex6x4w.html" TargetMode="External"/><Relationship Id="rId914" Type="http://schemas.openxmlformats.org/officeDocument/2006/relationships/hyperlink" Target="https://www.iqiyi.com/v_19rqqthg6c.html" TargetMode="External"/><Relationship Id="rId43" Type="http://schemas.openxmlformats.org/officeDocument/2006/relationships/hyperlink" Target="https://www.iqiyi.com/v_1ei8iy1li60.html" TargetMode="External"/><Relationship Id="rId192" Type="http://schemas.openxmlformats.org/officeDocument/2006/relationships/hyperlink" Target="https://www.iqiyi.com/v_26obq94b7l4.html" TargetMode="External"/><Relationship Id="rId497" Type="http://schemas.openxmlformats.org/officeDocument/2006/relationships/hyperlink" Target="https://www.iqiyi.com/v_2ffkwtkwkig.html" TargetMode="External"/><Relationship Id="rId357" Type="http://schemas.openxmlformats.org/officeDocument/2006/relationships/hyperlink" Target="https://www.iqiyi.com/v_1ixjchyheso.html" TargetMode="External"/><Relationship Id="rId217" Type="http://schemas.openxmlformats.org/officeDocument/2006/relationships/hyperlink" Target="https://www.iqiyi.com/v_1qc2dhhf17c.html" TargetMode="External"/><Relationship Id="rId564" Type="http://schemas.openxmlformats.org/officeDocument/2006/relationships/hyperlink" Target="https://www.iqiyi.com/v_19ry4n9m60.html" TargetMode="External"/><Relationship Id="rId771" Type="http://schemas.openxmlformats.org/officeDocument/2006/relationships/hyperlink" Target="https://www.iqiyi.com/v_19rtdfegm0.html" TargetMode="External"/><Relationship Id="rId869" Type="http://schemas.openxmlformats.org/officeDocument/2006/relationships/hyperlink" Target="https://www.iqiyi.com/v_19rsildwp8.html" TargetMode="External"/><Relationship Id="rId424" Type="http://schemas.openxmlformats.org/officeDocument/2006/relationships/hyperlink" Target="https://www.iqiyi.com/v_a546usm1j8.html" TargetMode="External"/><Relationship Id="rId631" Type="http://schemas.openxmlformats.org/officeDocument/2006/relationships/hyperlink" Target="https://www.iqiyi.com/v_19rw8ndy0k.html" TargetMode="External"/><Relationship Id="rId729" Type="http://schemas.openxmlformats.org/officeDocument/2006/relationships/hyperlink" Target="https://www.iqiyi.com/v_19ru2wa6xo.html" TargetMode="External"/><Relationship Id="rId1054" Type="http://schemas.openxmlformats.org/officeDocument/2006/relationships/hyperlink" Target="https://www.iqiyi.com/w_19s1e4v4v1.html" TargetMode="External"/><Relationship Id="rId936" Type="http://schemas.openxmlformats.org/officeDocument/2006/relationships/hyperlink" Target="https://www.iqiyi.com/v_19rqtg96dc.html" TargetMode="External"/><Relationship Id="rId1121" Type="http://schemas.openxmlformats.org/officeDocument/2006/relationships/hyperlink" Target="https://www.iqiyi.com/w_19rz1mi22d.html" TargetMode="External"/><Relationship Id="rId65" Type="http://schemas.openxmlformats.org/officeDocument/2006/relationships/hyperlink" Target="https://www.iqiyi.com/v_1k3gaw2pzgs.html" TargetMode="External"/><Relationship Id="rId281" Type="http://schemas.openxmlformats.org/officeDocument/2006/relationships/hyperlink" Target="https://www.iqiyi.com/v_1rors45f8i4.html" TargetMode="External"/><Relationship Id="rId141" Type="http://schemas.openxmlformats.org/officeDocument/2006/relationships/hyperlink" Target="https://www.iqiyi.com/v_ebkyrke5l0.html" TargetMode="External"/><Relationship Id="rId379" Type="http://schemas.openxmlformats.org/officeDocument/2006/relationships/hyperlink" Target="https://www.iqiyi.com/v_ski03g45ew.html" TargetMode="External"/><Relationship Id="rId586" Type="http://schemas.openxmlformats.org/officeDocument/2006/relationships/hyperlink" Target="https://www.iqiyi.com/v_19rwnnyuh8.html" TargetMode="External"/><Relationship Id="rId793" Type="http://schemas.openxmlformats.org/officeDocument/2006/relationships/hyperlink" Target="https://www.iqiyi.com/v_19rrrr0aeg.html" TargetMode="External"/><Relationship Id="rId7" Type="http://schemas.openxmlformats.org/officeDocument/2006/relationships/hyperlink" Target="https://www.iqiyi.com/v_pdfn55mgqk.html" TargetMode="External"/><Relationship Id="rId239" Type="http://schemas.openxmlformats.org/officeDocument/2006/relationships/hyperlink" Target="https://www.iqiyi.com/v_fnv2jl6aqc.html" TargetMode="External"/><Relationship Id="rId446" Type="http://schemas.openxmlformats.org/officeDocument/2006/relationships/hyperlink" Target="https://www.iqiyi.com/v_h377dsy4t8.html" TargetMode="External"/><Relationship Id="rId653" Type="http://schemas.openxmlformats.org/officeDocument/2006/relationships/hyperlink" Target="https://www.iqiyi.com/v_19ruuzmngk.html" TargetMode="External"/><Relationship Id="rId1076" Type="http://schemas.openxmlformats.org/officeDocument/2006/relationships/hyperlink" Target="https://www.iqiyi.com/w_19rzvy93wt.html" TargetMode="External"/><Relationship Id="rId306" Type="http://schemas.openxmlformats.org/officeDocument/2006/relationships/hyperlink" Target="https://www.iqiyi.com/v_12umn5aypio.html" TargetMode="External"/><Relationship Id="rId860" Type="http://schemas.openxmlformats.org/officeDocument/2006/relationships/hyperlink" Target="https://www.iqiyi.com/v_19rsjeeth0.html" TargetMode="External"/><Relationship Id="rId958" Type="http://schemas.openxmlformats.org/officeDocument/2006/relationships/hyperlink" Target="https://www.iqiyi.com/v_19rr4cihuc.html" TargetMode="External"/><Relationship Id="rId1143" Type="http://schemas.openxmlformats.org/officeDocument/2006/relationships/hyperlink" Target="https://www.iqiyi.com/w_19rwr6xmpt.html" TargetMode="External"/><Relationship Id="rId87" Type="http://schemas.openxmlformats.org/officeDocument/2006/relationships/hyperlink" Target="https://www.iqiyi.com/v_17rfvv1x7i8.html" TargetMode="External"/><Relationship Id="rId513" Type="http://schemas.openxmlformats.org/officeDocument/2006/relationships/hyperlink" Target="https://www.iqiyi.com/v_19rzeddq38.html" TargetMode="External"/><Relationship Id="rId720" Type="http://schemas.openxmlformats.org/officeDocument/2006/relationships/hyperlink" Target="https://www.iqiyi.com/v_19rtuz0l34.html" TargetMode="External"/><Relationship Id="rId818" Type="http://schemas.openxmlformats.org/officeDocument/2006/relationships/hyperlink" Target="https://www.iqiyi.com/v_19rse9n520.html" TargetMode="External"/><Relationship Id="rId1003" Type="http://schemas.openxmlformats.org/officeDocument/2006/relationships/hyperlink" Target="https://www.iqiyi.com/w_19s10v4q4h.html" TargetMode="External"/><Relationship Id="rId14" Type="http://schemas.openxmlformats.org/officeDocument/2006/relationships/hyperlink" Target="https://www.iqiyi.com/v_1hbsbe9rb8w.html" TargetMode="External"/><Relationship Id="rId163" Type="http://schemas.openxmlformats.org/officeDocument/2006/relationships/hyperlink" Target="https://www.iqiyi.com/v_1upi6o9yol8.html" TargetMode="External"/><Relationship Id="rId370" Type="http://schemas.openxmlformats.org/officeDocument/2006/relationships/hyperlink" Target="https://www.iqiyi.com/v_2cjqc7o89mo.html" TargetMode="External"/><Relationship Id="rId230" Type="http://schemas.openxmlformats.org/officeDocument/2006/relationships/hyperlink" Target="https://www.iqiyi.com/v_1i727m0zp2g.html" TargetMode="External"/><Relationship Id="rId468" Type="http://schemas.openxmlformats.org/officeDocument/2006/relationships/hyperlink" Target="https://www.iqiyi.com/v_19ixa29kzlo.html" TargetMode="External"/><Relationship Id="rId675" Type="http://schemas.openxmlformats.org/officeDocument/2006/relationships/hyperlink" Target="https://www.iqiyi.com/v_19ruzjjoig.html" TargetMode="External"/><Relationship Id="rId882" Type="http://schemas.openxmlformats.org/officeDocument/2006/relationships/hyperlink" Target="https://www.iqiyi.com/v_19rquez3vw.html" TargetMode="External"/><Relationship Id="rId1098" Type="http://schemas.openxmlformats.org/officeDocument/2006/relationships/hyperlink" Target="https://www.iqiyi.com/w_19rzuqkyhd.html" TargetMode="External"/><Relationship Id="rId328" Type="http://schemas.openxmlformats.org/officeDocument/2006/relationships/hyperlink" Target="https://www.iqiyi.com/v_18fb74d2rkc.html" TargetMode="External"/><Relationship Id="rId535" Type="http://schemas.openxmlformats.org/officeDocument/2006/relationships/hyperlink" Target="https://www.iqiyi.com/v_19ry0u8yr8.html" TargetMode="External"/><Relationship Id="rId742" Type="http://schemas.openxmlformats.org/officeDocument/2006/relationships/hyperlink" Target="https://www.iqiyi.com/v_19rudyydkw.html" TargetMode="External"/><Relationship Id="rId1165" Type="http://schemas.openxmlformats.org/officeDocument/2006/relationships/hyperlink" Target="https://www.iqiyi.com/w_19s3gq1cvt.html" TargetMode="External"/><Relationship Id="rId602" Type="http://schemas.openxmlformats.org/officeDocument/2006/relationships/hyperlink" Target="https://www.iqiyi.com/v_19rx7mm4as.html" TargetMode="External"/><Relationship Id="rId1025" Type="http://schemas.openxmlformats.org/officeDocument/2006/relationships/hyperlink" Target="https://www.iqiyi.com/w_19s13d853t.html" TargetMode="External"/><Relationship Id="rId907" Type="http://schemas.openxmlformats.org/officeDocument/2006/relationships/hyperlink" Target="https://www.iqiyi.com/v_19rqw6bnn0.html" TargetMode="External"/><Relationship Id="rId36" Type="http://schemas.openxmlformats.org/officeDocument/2006/relationships/hyperlink" Target="https://www.iqiyi.com/v_brhu6jt2og.html" TargetMode="External"/><Relationship Id="rId185" Type="http://schemas.openxmlformats.org/officeDocument/2006/relationships/hyperlink" Target="https://www.iqiyi.com/v_215yr6mxqh8.html" TargetMode="External"/><Relationship Id="rId392" Type="http://schemas.openxmlformats.org/officeDocument/2006/relationships/hyperlink" Target="https://www.iqiyi.com/v_u0jly5c6gk.html" TargetMode="External"/><Relationship Id="rId697" Type="http://schemas.openxmlformats.org/officeDocument/2006/relationships/hyperlink" Target="https://www.iqiyi.com/v_19rvjpclq4.html" TargetMode="External"/><Relationship Id="rId252" Type="http://schemas.openxmlformats.org/officeDocument/2006/relationships/hyperlink" Target="https://www.iqiyi.com/v_hr946p1qaw.html" TargetMode="External"/><Relationship Id="rId112" Type="http://schemas.openxmlformats.org/officeDocument/2006/relationships/hyperlink" Target="https://www.iqiyi.com/v_11rpae06s3o.html" TargetMode="External"/><Relationship Id="rId557" Type="http://schemas.openxmlformats.org/officeDocument/2006/relationships/hyperlink" Target="https://www.iqiyi.com/v_19ry88tsa0.html" TargetMode="External"/><Relationship Id="rId764" Type="http://schemas.openxmlformats.org/officeDocument/2006/relationships/hyperlink" Target="https://www.iqiyi.com/v_19rt5qrb0k.html" TargetMode="External"/><Relationship Id="rId971" Type="http://schemas.openxmlformats.org/officeDocument/2006/relationships/hyperlink" Target="https://www.iqiyi.com/w_19s3gajk3h.html" TargetMode="External"/><Relationship Id="rId417" Type="http://schemas.openxmlformats.org/officeDocument/2006/relationships/hyperlink" Target="https://www.iqiyi.com/v_u4dmth71go.html" TargetMode="External"/><Relationship Id="rId624" Type="http://schemas.openxmlformats.org/officeDocument/2006/relationships/hyperlink" Target="https://www.iqiyi.com/v_19rw9prb6g.html" TargetMode="External"/><Relationship Id="rId831" Type="http://schemas.openxmlformats.org/officeDocument/2006/relationships/hyperlink" Target="https://www.iqiyi.com/v_19rs9qw374.html" TargetMode="External"/><Relationship Id="rId1047" Type="http://schemas.openxmlformats.org/officeDocument/2006/relationships/hyperlink" Target="https://www.iqiyi.com/w_19s1bmyui9.html" TargetMode="External"/><Relationship Id="rId929" Type="http://schemas.openxmlformats.org/officeDocument/2006/relationships/hyperlink" Target="https://www.iqiyi.com/v_19rqt7gd9k.html" TargetMode="External"/><Relationship Id="rId1114" Type="http://schemas.openxmlformats.org/officeDocument/2006/relationships/hyperlink" Target="https://www.iqiyi.com/w_19s09uuko9.html" TargetMode="External"/><Relationship Id="rId58" Type="http://schemas.openxmlformats.org/officeDocument/2006/relationships/hyperlink" Target="https://www.iqiyi.com/v_15ahosvecc0.html" TargetMode="External"/><Relationship Id="rId123" Type="http://schemas.openxmlformats.org/officeDocument/2006/relationships/hyperlink" Target="https://www.iqiyi.com/v_tg0bzb1zbk.html" TargetMode="External"/><Relationship Id="rId330" Type="http://schemas.openxmlformats.org/officeDocument/2006/relationships/hyperlink" Target="https://www.iqiyi.com/v_2eii3ud5vs4.html" TargetMode="External"/><Relationship Id="rId568" Type="http://schemas.openxmlformats.org/officeDocument/2006/relationships/hyperlink" Target="https://www.iqiyi.com/v_19ry79a4pw.html" TargetMode="External"/><Relationship Id="rId775" Type="http://schemas.openxmlformats.org/officeDocument/2006/relationships/hyperlink" Target="https://www.iqiyi.com/v_19rt978sck.html" TargetMode="External"/><Relationship Id="rId982" Type="http://schemas.openxmlformats.org/officeDocument/2006/relationships/hyperlink" Target="https://www.iqiyi.com/w_19s1x2pnox.html" TargetMode="External"/><Relationship Id="rId428" Type="http://schemas.openxmlformats.org/officeDocument/2006/relationships/hyperlink" Target="https://www.iqiyi.com/v_mrxzkkqqrk.html" TargetMode="External"/><Relationship Id="rId635" Type="http://schemas.openxmlformats.org/officeDocument/2006/relationships/hyperlink" Target="https://www.iqiyi.com/v_19rwjazshw.html" TargetMode="External"/><Relationship Id="rId842" Type="http://schemas.openxmlformats.org/officeDocument/2006/relationships/hyperlink" Target="https://www.iqiyi.com/v_19rsmjxbgs.html" TargetMode="External"/><Relationship Id="rId1058" Type="http://schemas.openxmlformats.org/officeDocument/2006/relationships/hyperlink" Target="https://www.iqiyi.com/w_19rznijh51.html" TargetMode="External"/><Relationship Id="rId274" Type="http://schemas.openxmlformats.org/officeDocument/2006/relationships/hyperlink" Target="https://www.iqiyi.com/v_i8uwfmh6bs.html" TargetMode="External"/><Relationship Id="rId481" Type="http://schemas.openxmlformats.org/officeDocument/2006/relationships/hyperlink" Target="https://www.iqiyi.com/v_1voh7nydqok.html" TargetMode="External"/><Relationship Id="rId702" Type="http://schemas.openxmlformats.org/officeDocument/2006/relationships/hyperlink" Target="https://www.iqiyi.com/v_19rvm172ec.html" TargetMode="External"/><Relationship Id="rId1125" Type="http://schemas.openxmlformats.org/officeDocument/2006/relationships/hyperlink" Target="https://www.iqiyi.com/w_19rz0x6ocp.html" TargetMode="External"/><Relationship Id="rId69" Type="http://schemas.openxmlformats.org/officeDocument/2006/relationships/hyperlink" Target="https://www.iqiyi.com/v_1iyn2tl3gaw.html" TargetMode="External"/><Relationship Id="rId134" Type="http://schemas.openxmlformats.org/officeDocument/2006/relationships/hyperlink" Target="https://www.iqiyi.com/v_1di97rp0uss.html" TargetMode="External"/><Relationship Id="rId579" Type="http://schemas.openxmlformats.org/officeDocument/2006/relationships/hyperlink" Target="https://www.iqiyi.com/v_19ryfklsa8.html" TargetMode="External"/><Relationship Id="rId786" Type="http://schemas.openxmlformats.org/officeDocument/2006/relationships/hyperlink" Target="https://www.iqiyi.com/v_19rrw53s9o.html" TargetMode="External"/><Relationship Id="rId993" Type="http://schemas.openxmlformats.org/officeDocument/2006/relationships/hyperlink" Target="https://www.iqiyi.com/w_19s0o330k1.html" TargetMode="External"/><Relationship Id="rId341" Type="http://schemas.openxmlformats.org/officeDocument/2006/relationships/hyperlink" Target="https://www.iqiyi.com/v_zyig2hrlis.html" TargetMode="External"/><Relationship Id="rId439" Type="http://schemas.openxmlformats.org/officeDocument/2006/relationships/hyperlink" Target="https://www.iqiyi.com/v_1627dg4cw14.html" TargetMode="External"/><Relationship Id="rId646" Type="http://schemas.openxmlformats.org/officeDocument/2006/relationships/hyperlink" Target="https://www.iqiyi.com/w_19sb4lzkmt.html" TargetMode="External"/><Relationship Id="rId1069" Type="http://schemas.openxmlformats.org/officeDocument/2006/relationships/hyperlink" Target="https://www.iqiyi.com/w_19rzui2kmd.html" TargetMode="External"/><Relationship Id="rId201" Type="http://schemas.openxmlformats.org/officeDocument/2006/relationships/hyperlink" Target="https://www.iqiyi.com/v_2993z2f1klc.html" TargetMode="External"/><Relationship Id="rId285" Type="http://schemas.openxmlformats.org/officeDocument/2006/relationships/hyperlink" Target="https://www.iqiyi.com/v_16fs6bd7dus.html" TargetMode="External"/><Relationship Id="rId506" Type="http://schemas.openxmlformats.org/officeDocument/2006/relationships/hyperlink" Target="https://www.iqiyi.com/v_19rzdjjn6g.html" TargetMode="External"/><Relationship Id="rId853" Type="http://schemas.openxmlformats.org/officeDocument/2006/relationships/hyperlink" Target="https://www.iqiyi.com/v_19rsg389lg.html" TargetMode="External"/><Relationship Id="rId1136" Type="http://schemas.openxmlformats.org/officeDocument/2006/relationships/hyperlink" Target="https://www.iqiyi.com/w_19rwnad269.html" TargetMode="External"/><Relationship Id="rId492" Type="http://schemas.openxmlformats.org/officeDocument/2006/relationships/hyperlink" Target="https://www.iqiyi.com/v_19rz5l6d4c.html" TargetMode="External"/><Relationship Id="rId713" Type="http://schemas.openxmlformats.org/officeDocument/2006/relationships/hyperlink" Target="https://www.iqiyi.com/v_19rvggpk9k.html" TargetMode="External"/><Relationship Id="rId797" Type="http://schemas.openxmlformats.org/officeDocument/2006/relationships/hyperlink" Target="https://www.iqiyi.com/v_19rs5zh2lk.html" TargetMode="External"/><Relationship Id="rId920" Type="http://schemas.openxmlformats.org/officeDocument/2006/relationships/hyperlink" Target="https://www.iqiyi.com/v_19rqq0xpb8.html" TargetMode="External"/><Relationship Id="rId145" Type="http://schemas.openxmlformats.org/officeDocument/2006/relationships/hyperlink" Target="https://www.iqiyi.com/v_24i9g2fxgls.html" TargetMode="External"/><Relationship Id="rId352" Type="http://schemas.openxmlformats.org/officeDocument/2006/relationships/hyperlink" Target="https://www.iqiyi.com/v_12lv1yh1hj0.html" TargetMode="External"/><Relationship Id="rId212" Type="http://schemas.openxmlformats.org/officeDocument/2006/relationships/hyperlink" Target="https://www.iqiyi.com/v_1tiq2wkvjj8.html" TargetMode="External"/><Relationship Id="rId657" Type="http://schemas.openxmlformats.org/officeDocument/2006/relationships/hyperlink" Target="https://www.iqiyi.com/w_19sb44no4p.html" TargetMode="External"/><Relationship Id="rId864" Type="http://schemas.openxmlformats.org/officeDocument/2006/relationships/hyperlink" Target="https://www.iqiyi.com/v_19rsiux420.html" TargetMode="External"/><Relationship Id="rId296" Type="http://schemas.openxmlformats.org/officeDocument/2006/relationships/hyperlink" Target="https://www.iqiyi.com/v_odhya1a9x4.html" TargetMode="External"/><Relationship Id="rId517" Type="http://schemas.openxmlformats.org/officeDocument/2006/relationships/hyperlink" Target="https://www.iqiyi.com/v_19rxquu19k.html" TargetMode="External"/><Relationship Id="rId724" Type="http://schemas.openxmlformats.org/officeDocument/2006/relationships/hyperlink" Target="https://www.iqiyi.com/v_19rtnxpsq0.html" TargetMode="External"/><Relationship Id="rId931" Type="http://schemas.openxmlformats.org/officeDocument/2006/relationships/hyperlink" Target="https://www.iqiyi.com/v_19rqt3x0b4.html" TargetMode="External"/><Relationship Id="rId1147" Type="http://schemas.openxmlformats.org/officeDocument/2006/relationships/hyperlink" Target="https://www.iqiyi.com/w_19rwsr78l5.html" TargetMode="External"/><Relationship Id="rId60" Type="http://schemas.openxmlformats.org/officeDocument/2006/relationships/hyperlink" Target="https://www.iqiyi.com/v_1jxqejb43n4.html" TargetMode="External"/><Relationship Id="rId156" Type="http://schemas.openxmlformats.org/officeDocument/2006/relationships/hyperlink" Target="https://www.iqiyi.com/v_28zgfe0nbyo.html" TargetMode="External"/><Relationship Id="rId363" Type="http://schemas.openxmlformats.org/officeDocument/2006/relationships/hyperlink" Target="https://www.iqiyi.com/v_2fwi8n36mhk.html" TargetMode="External"/><Relationship Id="rId570" Type="http://schemas.openxmlformats.org/officeDocument/2006/relationships/hyperlink" Target="https://www.iqiyi.com/v_19ryj19bc0.html" TargetMode="External"/><Relationship Id="rId1007" Type="http://schemas.openxmlformats.org/officeDocument/2006/relationships/hyperlink" Target="https://www.iqiyi.com/w_19s0tsqm0d.html" TargetMode="External"/><Relationship Id="rId223" Type="http://schemas.openxmlformats.org/officeDocument/2006/relationships/hyperlink" Target="https://www.iqiyi.com/v_1qc2dhhf4rc.html" TargetMode="External"/><Relationship Id="rId430" Type="http://schemas.openxmlformats.org/officeDocument/2006/relationships/hyperlink" Target="https://www.iqiyi.com/v_jhax365on4.html" TargetMode="External"/><Relationship Id="rId668" Type="http://schemas.openxmlformats.org/officeDocument/2006/relationships/hyperlink" Target="https://www.iqiyi.com/v_19rv3r4d24.html" TargetMode="External"/><Relationship Id="rId875" Type="http://schemas.openxmlformats.org/officeDocument/2006/relationships/hyperlink" Target="https://www.iqiyi.com/v_19rqvd5218.html" TargetMode="External"/><Relationship Id="rId1060" Type="http://schemas.openxmlformats.org/officeDocument/2006/relationships/hyperlink" Target="https://www.iqiyi.com/w_19rzzwy4lt.html" TargetMode="External"/><Relationship Id="rId18" Type="http://schemas.openxmlformats.org/officeDocument/2006/relationships/hyperlink" Target="https://www.iqiyi.com/v_2d80m0oh530.html" TargetMode="External"/><Relationship Id="rId528" Type="http://schemas.openxmlformats.org/officeDocument/2006/relationships/hyperlink" Target="https://www.iqiyi.com/v_19rxlst5cs.html" TargetMode="External"/><Relationship Id="rId735" Type="http://schemas.openxmlformats.org/officeDocument/2006/relationships/hyperlink" Target="https://www.iqiyi.com/v_19rtyhqywc.html" TargetMode="External"/><Relationship Id="rId942" Type="http://schemas.openxmlformats.org/officeDocument/2006/relationships/hyperlink" Target="https://www.iqiyi.com/v_19rqst3rdo.html" TargetMode="External"/><Relationship Id="rId1158" Type="http://schemas.openxmlformats.org/officeDocument/2006/relationships/hyperlink" Target="https://www.iqiyi.com/w_19rwhyptkd.html" TargetMode="External"/><Relationship Id="rId167" Type="http://schemas.openxmlformats.org/officeDocument/2006/relationships/hyperlink" Target="https://www.iqiyi.com/v_rihasvqc8s.html" TargetMode="External"/><Relationship Id="rId374" Type="http://schemas.openxmlformats.org/officeDocument/2006/relationships/hyperlink" Target="https://www.iqiyi.com/v_1cqtntdzaa8.html" TargetMode="External"/><Relationship Id="rId581" Type="http://schemas.openxmlformats.org/officeDocument/2006/relationships/hyperlink" Target="https://www.iqiyi.com/v_19rws42fkk.html" TargetMode="External"/><Relationship Id="rId1018" Type="http://schemas.openxmlformats.org/officeDocument/2006/relationships/hyperlink" Target="https://www.iqiyi.com/w_19s16t3dwl.html" TargetMode="External"/><Relationship Id="rId71" Type="http://schemas.openxmlformats.org/officeDocument/2006/relationships/hyperlink" Target="https://www.iqiyi.com/v_1sm7i4if0ik.html" TargetMode="External"/><Relationship Id="rId234" Type="http://schemas.openxmlformats.org/officeDocument/2006/relationships/hyperlink" Target="https://www.iqiyi.com/v_22oj3vcj014.html" TargetMode="External"/><Relationship Id="rId679" Type="http://schemas.openxmlformats.org/officeDocument/2006/relationships/hyperlink" Target="https://www.iqiyi.com/v_19rvata0jc.html" TargetMode="External"/><Relationship Id="rId802" Type="http://schemas.openxmlformats.org/officeDocument/2006/relationships/hyperlink" Target="https://www.iqiyi.com/v_19rryjef2k.html" TargetMode="External"/><Relationship Id="rId886" Type="http://schemas.openxmlformats.org/officeDocument/2006/relationships/hyperlink" Target="https://www.iqiyi.com/v_19rqtvqnwg.html" TargetMode="External"/><Relationship Id="rId2" Type="http://schemas.openxmlformats.org/officeDocument/2006/relationships/hyperlink" Target="https://www.iqiyi.com/v_205j4vv3pz0.html" TargetMode="External"/><Relationship Id="rId29" Type="http://schemas.openxmlformats.org/officeDocument/2006/relationships/hyperlink" Target="https://www.iqiyi.com/v_taip4hzqxw.html" TargetMode="External"/><Relationship Id="rId441" Type="http://schemas.openxmlformats.org/officeDocument/2006/relationships/hyperlink" Target="https://www.iqiyi.com/v_17tja36foi8.html" TargetMode="External"/><Relationship Id="rId539" Type="http://schemas.openxmlformats.org/officeDocument/2006/relationships/hyperlink" Target="https://www.iqiyi.com/v_19rxz547qc.html" TargetMode="External"/><Relationship Id="rId746" Type="http://schemas.openxmlformats.org/officeDocument/2006/relationships/hyperlink" Target="https://www.iqiyi.com/v_19ru91o9rk.html" TargetMode="External"/><Relationship Id="rId1071" Type="http://schemas.openxmlformats.org/officeDocument/2006/relationships/hyperlink" Target="https://www.iqiyi.com/w_19rztrd4z9.html" TargetMode="External"/><Relationship Id="rId178" Type="http://schemas.openxmlformats.org/officeDocument/2006/relationships/hyperlink" Target="https://www.iqiyi.com/v_16wtp8dycfk.html" TargetMode="External"/><Relationship Id="rId301" Type="http://schemas.openxmlformats.org/officeDocument/2006/relationships/hyperlink" Target="https://www.iqiyi.com/v_yfc9ye5ra8.html" TargetMode="External"/><Relationship Id="rId953" Type="http://schemas.openxmlformats.org/officeDocument/2006/relationships/hyperlink" Target="https://www.iqiyi.com/v_19rqrtwy9s.html" TargetMode="External"/><Relationship Id="rId1029" Type="http://schemas.openxmlformats.org/officeDocument/2006/relationships/hyperlink" Target="https://www.iqiyi.com/w_19s15fwvqx.html" TargetMode="External"/><Relationship Id="rId82" Type="http://schemas.openxmlformats.org/officeDocument/2006/relationships/hyperlink" Target="https://www.iqiyi.com/v_17rfvv1wxa8.html" TargetMode="External"/><Relationship Id="rId385" Type="http://schemas.openxmlformats.org/officeDocument/2006/relationships/hyperlink" Target="https://www.iqiyi.com/v_1ye9butqq2o.html" TargetMode="External"/><Relationship Id="rId592" Type="http://schemas.openxmlformats.org/officeDocument/2006/relationships/hyperlink" Target="https://www.iqiyi.com/v_19rx29pneg.html" TargetMode="External"/><Relationship Id="rId606" Type="http://schemas.openxmlformats.org/officeDocument/2006/relationships/hyperlink" Target="https://www.iqiyi.com/v_19rxkbbcj0.html" TargetMode="External"/><Relationship Id="rId813" Type="http://schemas.openxmlformats.org/officeDocument/2006/relationships/hyperlink" Target="https://www.iqiyi.com/v_19rsbzpfxk.html" TargetMode="External"/><Relationship Id="rId245" Type="http://schemas.openxmlformats.org/officeDocument/2006/relationships/hyperlink" Target="https://www.iqiyi.com/v_1hjsw1ygfqg.html" TargetMode="External"/><Relationship Id="rId452" Type="http://schemas.openxmlformats.org/officeDocument/2006/relationships/hyperlink" Target="https://www.iqiyi.com/v_wraawv58yc.html" TargetMode="External"/><Relationship Id="rId897" Type="http://schemas.openxmlformats.org/officeDocument/2006/relationships/hyperlink" Target="https://www.iqiyi.com/v_19rqxeko0o.html" TargetMode="External"/><Relationship Id="rId1082" Type="http://schemas.openxmlformats.org/officeDocument/2006/relationships/hyperlink" Target="https://www.iqiyi.com/w_19s07xius1.html" TargetMode="External"/><Relationship Id="rId105" Type="http://schemas.openxmlformats.org/officeDocument/2006/relationships/hyperlink" Target="https://www.iqiyi.com/v_21hboeferj8.html" TargetMode="External"/><Relationship Id="rId312" Type="http://schemas.openxmlformats.org/officeDocument/2006/relationships/hyperlink" Target="https://www.iqiyi.com/v_25ylwb7to70.html" TargetMode="External"/><Relationship Id="rId757" Type="http://schemas.openxmlformats.org/officeDocument/2006/relationships/hyperlink" Target="https://www.iqiyi.com/v_19rswcf9vk.html" TargetMode="External"/><Relationship Id="rId964" Type="http://schemas.openxmlformats.org/officeDocument/2006/relationships/hyperlink" Target="https://www.iqiyi.com/v_19rr3rtgvg.html" TargetMode="External"/><Relationship Id="rId93" Type="http://schemas.openxmlformats.org/officeDocument/2006/relationships/hyperlink" Target="https://www.iqiyi.com/v_1268jtq3i64.html" TargetMode="External"/><Relationship Id="rId189" Type="http://schemas.openxmlformats.org/officeDocument/2006/relationships/hyperlink" Target="https://www.iqiyi.com/v_ns5pxt8q3c.html" TargetMode="External"/><Relationship Id="rId396" Type="http://schemas.openxmlformats.org/officeDocument/2006/relationships/hyperlink" Target="https://www.iqiyi.com/v_16t1e0sxbns.html" TargetMode="External"/><Relationship Id="rId617" Type="http://schemas.openxmlformats.org/officeDocument/2006/relationships/hyperlink" Target="https://www.iqiyi.com/v_19rw3gzj94.html" TargetMode="External"/><Relationship Id="rId824" Type="http://schemas.openxmlformats.org/officeDocument/2006/relationships/hyperlink" Target="https://www.iqiyi.com/v_19rs7ljnl4.html" TargetMode="External"/><Relationship Id="rId256" Type="http://schemas.openxmlformats.org/officeDocument/2006/relationships/hyperlink" Target="https://www.iqiyi.com/v_xluq0y8ino.html" TargetMode="External"/><Relationship Id="rId463" Type="http://schemas.openxmlformats.org/officeDocument/2006/relationships/hyperlink" Target="https://www.iqiyi.com/v_11yl3ffovu0.html" TargetMode="External"/><Relationship Id="rId670" Type="http://schemas.openxmlformats.org/officeDocument/2006/relationships/hyperlink" Target="https://www.iqiyi.com/v_19ruxu3130.html" TargetMode="External"/><Relationship Id="rId1093" Type="http://schemas.openxmlformats.org/officeDocument/2006/relationships/hyperlink" Target="https://www.iqiyi.com/w_19s00pok8x.html" TargetMode="External"/><Relationship Id="rId1107" Type="http://schemas.openxmlformats.org/officeDocument/2006/relationships/hyperlink" Target="https://www.iqiyi.com/w_19s08te12x.html" TargetMode="External"/><Relationship Id="rId116" Type="http://schemas.openxmlformats.org/officeDocument/2006/relationships/hyperlink" Target="https://www.iqiyi.com/v_mmsv536a50.html" TargetMode="External"/><Relationship Id="rId323" Type="http://schemas.openxmlformats.org/officeDocument/2006/relationships/hyperlink" Target="https://www.iqiyi.com/v_f9it62cuiw.html" TargetMode="External"/><Relationship Id="rId530" Type="http://schemas.openxmlformats.org/officeDocument/2006/relationships/hyperlink" Target="https://www.iqiyi.com/v_19rxq7hesw.html" TargetMode="External"/><Relationship Id="rId768" Type="http://schemas.openxmlformats.org/officeDocument/2006/relationships/hyperlink" Target="https://www.iqiyi.com/v_19rt0rdsbw.html" TargetMode="External"/><Relationship Id="rId975" Type="http://schemas.openxmlformats.org/officeDocument/2006/relationships/hyperlink" Target="https://www.iqiyi.com/w_19s1r6zn2h.html" TargetMode="External"/><Relationship Id="rId1160" Type="http://schemas.openxmlformats.org/officeDocument/2006/relationships/hyperlink" Target="https://www.iqiyi.com/w_19rwidpjqd.html" TargetMode="External"/><Relationship Id="rId20" Type="http://schemas.openxmlformats.org/officeDocument/2006/relationships/hyperlink" Target="https://www.iqiyi.com/v_1k0vbu3mmos.html" TargetMode="External"/><Relationship Id="rId628" Type="http://schemas.openxmlformats.org/officeDocument/2006/relationships/hyperlink" Target="https://www.iqiyi.com/v_19rw679yyo.html" TargetMode="External"/><Relationship Id="rId835" Type="http://schemas.openxmlformats.org/officeDocument/2006/relationships/hyperlink" Target="https://www.iqiyi.com/v_19rslyzmns.html" TargetMode="External"/><Relationship Id="rId267" Type="http://schemas.openxmlformats.org/officeDocument/2006/relationships/hyperlink" Target="https://www.iqiyi.com/v_1gf5500tt6w.html" TargetMode="External"/><Relationship Id="rId474" Type="http://schemas.openxmlformats.org/officeDocument/2006/relationships/hyperlink" Target="https://www.iqiyi.com/v_15e65ytntjc.html" TargetMode="External"/><Relationship Id="rId1020" Type="http://schemas.openxmlformats.org/officeDocument/2006/relationships/hyperlink" Target="https://www.iqiyi.com/w_19s1ab7n19.html" TargetMode="External"/><Relationship Id="rId1118" Type="http://schemas.openxmlformats.org/officeDocument/2006/relationships/hyperlink" Target="https://www.iqiyi.com/w_19s0657ret.html" TargetMode="External"/><Relationship Id="rId127" Type="http://schemas.openxmlformats.org/officeDocument/2006/relationships/hyperlink" Target="https://www.iqiyi.com/v_11tphizkqh4.html" TargetMode="External"/><Relationship Id="rId681" Type="http://schemas.openxmlformats.org/officeDocument/2006/relationships/hyperlink" Target="https://www.iqiyi.com/v_19rv9ggwuc.html" TargetMode="External"/><Relationship Id="rId779" Type="http://schemas.openxmlformats.org/officeDocument/2006/relationships/hyperlink" Target="https://www.iqiyi.com/v_19rtmfa67g.html" TargetMode="External"/><Relationship Id="rId902" Type="http://schemas.openxmlformats.org/officeDocument/2006/relationships/hyperlink" Target="https://www.iqiyi.com/v_19rqwi0zvo.html" TargetMode="External"/><Relationship Id="rId986" Type="http://schemas.openxmlformats.org/officeDocument/2006/relationships/hyperlink" Target="https://www.iqiyi.com/w_19s23lfcs1.html" TargetMode="External"/><Relationship Id="rId31" Type="http://schemas.openxmlformats.org/officeDocument/2006/relationships/hyperlink" Target="https://www.iqiyi.com/v_239z9ykdrc4.html" TargetMode="External"/><Relationship Id="rId334" Type="http://schemas.openxmlformats.org/officeDocument/2006/relationships/hyperlink" Target="https://www.iqiyi.com/v_1c65btvwh18.html" TargetMode="External"/><Relationship Id="rId541" Type="http://schemas.openxmlformats.org/officeDocument/2006/relationships/hyperlink" Target="https://www.iqiyi.com/v_19ry3byfiw.html" TargetMode="External"/><Relationship Id="rId639" Type="http://schemas.openxmlformats.org/officeDocument/2006/relationships/hyperlink" Target="https://www.iqiyi.com/v_19rwkdkpm0.html" TargetMode="External"/><Relationship Id="rId180" Type="http://schemas.openxmlformats.org/officeDocument/2006/relationships/hyperlink" Target="https://www.iqiyi.com/v_1ni7svvsz98.html" TargetMode="External"/><Relationship Id="rId278" Type="http://schemas.openxmlformats.org/officeDocument/2006/relationships/hyperlink" Target="https://www.iqiyi.com/v_1v5is0eyoec.html" TargetMode="External"/><Relationship Id="rId401" Type="http://schemas.openxmlformats.org/officeDocument/2006/relationships/hyperlink" Target="https://www.iqiyi.com/v_19ykm1rn0rk.html" TargetMode="External"/><Relationship Id="rId846" Type="http://schemas.openxmlformats.org/officeDocument/2006/relationships/hyperlink" Target="https://www.iqiyi.com/v_19rsh0i8f4.html" TargetMode="External"/><Relationship Id="rId1031" Type="http://schemas.openxmlformats.org/officeDocument/2006/relationships/hyperlink" Target="https://www.iqiyi.com/w_19s14ip8ol.html" TargetMode="External"/><Relationship Id="rId1129" Type="http://schemas.openxmlformats.org/officeDocument/2006/relationships/hyperlink" Target="https://www.iqiyi.com/w_19ryw8cmup.html" TargetMode="External"/><Relationship Id="rId485" Type="http://schemas.openxmlformats.org/officeDocument/2006/relationships/hyperlink" Target="https://www.iqiyi.com/v_19rz3xbhdk.html" TargetMode="External"/><Relationship Id="rId692" Type="http://schemas.openxmlformats.org/officeDocument/2006/relationships/hyperlink" Target="https://www.iqiyi.com/v_19rv7zq5mc.html" TargetMode="External"/><Relationship Id="rId706" Type="http://schemas.openxmlformats.org/officeDocument/2006/relationships/hyperlink" Target="https://www.iqiyi.com/v_19rvfbb0os.html" TargetMode="External"/><Relationship Id="rId913" Type="http://schemas.openxmlformats.org/officeDocument/2006/relationships/hyperlink" Target="https://www.iqiyi.com/v_19rqqioemk.html" TargetMode="External"/><Relationship Id="rId42" Type="http://schemas.openxmlformats.org/officeDocument/2006/relationships/hyperlink" Target="https://www.iqiyi.com/v_1j2mxr3wajs.html" TargetMode="External"/><Relationship Id="rId138" Type="http://schemas.openxmlformats.org/officeDocument/2006/relationships/hyperlink" Target="https://www.iqiyi.com/v_1xwvbs5uezk.html" TargetMode="External"/><Relationship Id="rId345" Type="http://schemas.openxmlformats.org/officeDocument/2006/relationships/hyperlink" Target="https://www.iqiyi.com/v_279vot5q7dk.html" TargetMode="External"/><Relationship Id="rId552" Type="http://schemas.openxmlformats.org/officeDocument/2006/relationships/hyperlink" Target="https://www.iqiyi.com/v_19rxy4cukc.html" TargetMode="External"/><Relationship Id="rId997" Type="http://schemas.openxmlformats.org/officeDocument/2006/relationships/hyperlink" Target="https://www.iqiyi.com/w_19s0zkijcl.html" TargetMode="External"/><Relationship Id="rId191" Type="http://schemas.openxmlformats.org/officeDocument/2006/relationships/hyperlink" Target="https://www.iqiyi.com/v_2c66zp7rcp0.html" TargetMode="External"/><Relationship Id="rId205" Type="http://schemas.openxmlformats.org/officeDocument/2006/relationships/hyperlink" Target="https://www.iqiyi.com/v_v9pgkqlzt8.html" TargetMode="External"/><Relationship Id="rId412" Type="http://schemas.openxmlformats.org/officeDocument/2006/relationships/hyperlink" Target="https://www.iqiyi.com/v_1bu5uh692u4.html" TargetMode="External"/><Relationship Id="rId857" Type="http://schemas.openxmlformats.org/officeDocument/2006/relationships/hyperlink" Target="https://www.iqiyi.com/v_19rsflb5gw.html" TargetMode="External"/><Relationship Id="rId1042" Type="http://schemas.openxmlformats.org/officeDocument/2006/relationships/hyperlink" Target="https://www.iqiyi.com/w_19s1comzd5.html" TargetMode="External"/><Relationship Id="rId289" Type="http://schemas.openxmlformats.org/officeDocument/2006/relationships/hyperlink" Target="https://www.iqiyi.com/v_jl8v6zoxj8.html" TargetMode="External"/><Relationship Id="rId496" Type="http://schemas.openxmlformats.org/officeDocument/2006/relationships/hyperlink" Target="https://www.iqiyi.com/v_2ffkwyf6w4c.html" TargetMode="External"/><Relationship Id="rId717" Type="http://schemas.openxmlformats.org/officeDocument/2006/relationships/hyperlink" Target="https://www.iqiyi.com/v_19rtsngpdc.html" TargetMode="External"/><Relationship Id="rId924" Type="http://schemas.openxmlformats.org/officeDocument/2006/relationships/hyperlink" Target="https://www.iqiyi.com/v_19rqp70zqw.html" TargetMode="External"/><Relationship Id="rId53" Type="http://schemas.openxmlformats.org/officeDocument/2006/relationships/hyperlink" Target="https://www.iqiyi.com/v_bq95qn4elo.html" TargetMode="External"/><Relationship Id="rId149" Type="http://schemas.openxmlformats.org/officeDocument/2006/relationships/hyperlink" Target="https://www.iqiyi.com/v_1tn49rqjluw.html" TargetMode="External"/><Relationship Id="rId356" Type="http://schemas.openxmlformats.org/officeDocument/2006/relationships/hyperlink" Target="https://www.iqiyi.com/v_fht4u0i2fs.html" TargetMode="External"/><Relationship Id="rId563" Type="http://schemas.openxmlformats.org/officeDocument/2006/relationships/hyperlink" Target="https://www.iqiyi.com/v_19ry4zpais.html" TargetMode="External"/><Relationship Id="rId770" Type="http://schemas.openxmlformats.org/officeDocument/2006/relationships/hyperlink" Target="https://www.iqiyi.com/v_19rteh9upo.html" TargetMode="External"/><Relationship Id="rId216" Type="http://schemas.openxmlformats.org/officeDocument/2006/relationships/hyperlink" Target="https://www.iqiyi.com/v_17b2rc6qcw0.html" TargetMode="External"/><Relationship Id="rId423" Type="http://schemas.openxmlformats.org/officeDocument/2006/relationships/hyperlink" Target="https://www.iqiyi.com/v_18goou552o4.html" TargetMode="External"/><Relationship Id="rId868" Type="http://schemas.openxmlformats.org/officeDocument/2006/relationships/hyperlink" Target="https://www.iqiyi.com/v_19rsi96o6c.html" TargetMode="External"/><Relationship Id="rId1053" Type="http://schemas.openxmlformats.org/officeDocument/2006/relationships/hyperlink" Target="https://www.iqiyi.com/w_19s1e2ny8h.html" TargetMode="External"/><Relationship Id="rId630" Type="http://schemas.openxmlformats.org/officeDocument/2006/relationships/hyperlink" Target="https://www.iqiyi.com/v_19rw5egrpg.html" TargetMode="External"/><Relationship Id="rId728" Type="http://schemas.openxmlformats.org/officeDocument/2006/relationships/hyperlink" Target="https://www.iqiyi.com/v_19rtq6r1m8.html" TargetMode="External"/><Relationship Id="rId935" Type="http://schemas.openxmlformats.org/officeDocument/2006/relationships/hyperlink" Target="https://www.iqiyi.com/v_19rqtfu0cw.html" TargetMode="External"/><Relationship Id="rId64" Type="http://schemas.openxmlformats.org/officeDocument/2006/relationships/hyperlink" Target="https://www.iqiyi.com/v_27ka30jz04g.html" TargetMode="External"/><Relationship Id="rId367" Type="http://schemas.openxmlformats.org/officeDocument/2006/relationships/hyperlink" Target="https://www.iqiyi.com/v_i4en3yirqw.html" TargetMode="External"/><Relationship Id="rId574" Type="http://schemas.openxmlformats.org/officeDocument/2006/relationships/hyperlink" Target="https://www.iqiyi.com/v_19ryjqp7po.html" TargetMode="External"/><Relationship Id="rId1120" Type="http://schemas.openxmlformats.org/officeDocument/2006/relationships/hyperlink" Target="https://www.iqiyi.com/w_19s0h2rq29.html" TargetMode="External"/><Relationship Id="rId227" Type="http://schemas.openxmlformats.org/officeDocument/2006/relationships/hyperlink" Target="https://www.iqiyi.com/v_2bvr40ahqls.html" TargetMode="External"/><Relationship Id="rId781" Type="http://schemas.openxmlformats.org/officeDocument/2006/relationships/hyperlink" Target="https://www.iqiyi.com/v_19rtf8ayag.html" TargetMode="External"/><Relationship Id="rId879" Type="http://schemas.openxmlformats.org/officeDocument/2006/relationships/hyperlink" Target="https://www.iqiyi.com/v_19rqv72qec.html" TargetMode="External"/><Relationship Id="rId434" Type="http://schemas.openxmlformats.org/officeDocument/2006/relationships/hyperlink" Target="https://www.iqiyi.com/v_16z8iaqc2aw.html" TargetMode="External"/><Relationship Id="rId641" Type="http://schemas.openxmlformats.org/officeDocument/2006/relationships/hyperlink" Target="https://www.iqiyi.com/v_19rwegpmig.html" TargetMode="External"/><Relationship Id="rId739" Type="http://schemas.openxmlformats.org/officeDocument/2006/relationships/hyperlink" Target="https://www.iqiyi.com/v_19ru0dxri4.html" TargetMode="External"/><Relationship Id="rId1064" Type="http://schemas.openxmlformats.org/officeDocument/2006/relationships/hyperlink" Target="https://www.iqiyi.com/w_19rzyuf7s1.html" TargetMode="External"/><Relationship Id="rId280" Type="http://schemas.openxmlformats.org/officeDocument/2006/relationships/hyperlink" Target="https://www.iqiyi.com/v_1w4m222zbg8.html" TargetMode="External"/><Relationship Id="rId501" Type="http://schemas.openxmlformats.org/officeDocument/2006/relationships/hyperlink" Target="https://www.iqiyi.com/v_19rzjae8pk.html" TargetMode="External"/><Relationship Id="rId946" Type="http://schemas.openxmlformats.org/officeDocument/2006/relationships/hyperlink" Target="https://www.iqiyi.com/v_19rqs0p6jg.html" TargetMode="External"/><Relationship Id="rId1131" Type="http://schemas.openxmlformats.org/officeDocument/2006/relationships/hyperlink" Target="https://www.iqiyi.com/w_19ryuvosvd.html" TargetMode="External"/><Relationship Id="rId75" Type="http://schemas.openxmlformats.org/officeDocument/2006/relationships/hyperlink" Target="https://www.iqiyi.com/v_17znv0edhu4.html" TargetMode="External"/><Relationship Id="rId140" Type="http://schemas.openxmlformats.org/officeDocument/2006/relationships/hyperlink" Target="https://www.iqiyi.com/v_143py1awq04.html" TargetMode="External"/><Relationship Id="rId378" Type="http://schemas.openxmlformats.org/officeDocument/2006/relationships/hyperlink" Target="https://www.iqiyi.com/v_1s73dt9ue5g.html" TargetMode="External"/><Relationship Id="rId585" Type="http://schemas.openxmlformats.org/officeDocument/2006/relationships/hyperlink" Target="https://www.iqiyi.com/v_19rwo1ra24.html" TargetMode="External"/><Relationship Id="rId792" Type="http://schemas.openxmlformats.org/officeDocument/2006/relationships/hyperlink" Target="https://www.iqiyi.com/v_19rrskmf40.html" TargetMode="External"/><Relationship Id="rId806" Type="http://schemas.openxmlformats.org/officeDocument/2006/relationships/hyperlink" Target="https://www.iqiyi.com/v_19rs0ifvxs.html" TargetMode="External"/><Relationship Id="rId6" Type="http://schemas.openxmlformats.org/officeDocument/2006/relationships/hyperlink" Target="https://www.iqiyi.com/v_1mujx5t6q4g.html" TargetMode="External"/><Relationship Id="rId238" Type="http://schemas.openxmlformats.org/officeDocument/2006/relationships/hyperlink" Target="https://www.iqiyi.com/v_lmhkxrqwlk.html" TargetMode="External"/><Relationship Id="rId445" Type="http://schemas.openxmlformats.org/officeDocument/2006/relationships/hyperlink" Target="https://www.iqiyi.com/v_aftz3h7v9o.html" TargetMode="External"/><Relationship Id="rId652" Type="http://schemas.openxmlformats.org/officeDocument/2006/relationships/hyperlink" Target="https://www.iqiyi.com/v_19ruvany5w.html" TargetMode="External"/><Relationship Id="rId1075" Type="http://schemas.openxmlformats.org/officeDocument/2006/relationships/hyperlink" Target="https://www.iqiyi.com/w_19rzw5nfad.html" TargetMode="External"/><Relationship Id="rId291" Type="http://schemas.openxmlformats.org/officeDocument/2006/relationships/hyperlink" Target="https://www.iqiyi.com/v_aokhjpimsk.html" TargetMode="External"/><Relationship Id="rId305" Type="http://schemas.openxmlformats.org/officeDocument/2006/relationships/hyperlink" Target="https://www.iqiyi.com/v_2aa2xb8ofo0.html" TargetMode="External"/><Relationship Id="rId512" Type="http://schemas.openxmlformats.org/officeDocument/2006/relationships/hyperlink" Target="https://www.iqiyi.com/v_19rzfnq03k.html" TargetMode="External"/><Relationship Id="rId957" Type="http://schemas.openxmlformats.org/officeDocument/2006/relationships/hyperlink" Target="https://www.iqiyi.com/v_19rr4bc9po.html" TargetMode="External"/><Relationship Id="rId1142" Type="http://schemas.openxmlformats.org/officeDocument/2006/relationships/hyperlink" Target="https://www.iqiyi.com/w_19rwv430oh.html" TargetMode="External"/><Relationship Id="rId86" Type="http://schemas.openxmlformats.org/officeDocument/2006/relationships/hyperlink" Target="https://www.iqiyi.com/v_2ec8kt5hprw.html" TargetMode="External"/><Relationship Id="rId151" Type="http://schemas.openxmlformats.org/officeDocument/2006/relationships/hyperlink" Target="https://www.iqiyi.com/v_b5j5osmtlg.html" TargetMode="External"/><Relationship Id="rId389" Type="http://schemas.openxmlformats.org/officeDocument/2006/relationships/hyperlink" Target="https://www.iqiyi.com/v_w2oig4ji28.html" TargetMode="External"/><Relationship Id="rId596" Type="http://schemas.openxmlformats.org/officeDocument/2006/relationships/hyperlink" Target="https://www.iqiyi.com/v_19rwxsnx2c.html" TargetMode="External"/><Relationship Id="rId817" Type="http://schemas.openxmlformats.org/officeDocument/2006/relationships/hyperlink" Target="https://www.iqiyi.com/v_19rsf4345g.html" TargetMode="External"/><Relationship Id="rId1002" Type="http://schemas.openxmlformats.org/officeDocument/2006/relationships/hyperlink" Target="https://www.iqiyi.com/w_19s11df1bp.html" TargetMode="External"/><Relationship Id="rId249" Type="http://schemas.openxmlformats.org/officeDocument/2006/relationships/hyperlink" Target="https://www.iqiyi.com/v_2bdnc6s0o3k.html" TargetMode="External"/><Relationship Id="rId456" Type="http://schemas.openxmlformats.org/officeDocument/2006/relationships/hyperlink" Target="https://www.iqiyi.com/v_1n53v7br4cg.html" TargetMode="External"/><Relationship Id="rId663" Type="http://schemas.openxmlformats.org/officeDocument/2006/relationships/hyperlink" Target="https://www.iqiyi.com/v_19rv1sdtss.html" TargetMode="External"/><Relationship Id="rId870" Type="http://schemas.openxmlformats.org/officeDocument/2006/relationships/hyperlink" Target="https://www.iqiyi.com/v_19rsifc7ks.html" TargetMode="External"/><Relationship Id="rId1086" Type="http://schemas.openxmlformats.org/officeDocument/2006/relationships/hyperlink" Target="https://www.iqiyi.com/w_19s09uuko9.html" TargetMode="External"/><Relationship Id="rId13" Type="http://schemas.openxmlformats.org/officeDocument/2006/relationships/hyperlink" Target="https://www.iqiyi.com/v_20ur3kbhk0g.html" TargetMode="External"/><Relationship Id="rId109" Type="http://schemas.openxmlformats.org/officeDocument/2006/relationships/hyperlink" Target="https://www.iqiyi.com/v_202gab0bfxg.html" TargetMode="External"/><Relationship Id="rId316" Type="http://schemas.openxmlformats.org/officeDocument/2006/relationships/hyperlink" Target="https://www.iqiyi.com/v_c26ld8dp0k.html" TargetMode="External"/><Relationship Id="rId523" Type="http://schemas.openxmlformats.org/officeDocument/2006/relationships/hyperlink" Target="https://www.iqiyi.com/v_19rxsyvqus.html" TargetMode="External"/><Relationship Id="rId968" Type="http://schemas.openxmlformats.org/officeDocument/2006/relationships/hyperlink" Target="https://www.iqiyi.com/v_19rr3yirac.html" TargetMode="External"/><Relationship Id="rId1153" Type="http://schemas.openxmlformats.org/officeDocument/2006/relationships/hyperlink" Target="https://www.iqiyi.com/w_19rwhw6t8l.html" TargetMode="External"/><Relationship Id="rId97" Type="http://schemas.openxmlformats.org/officeDocument/2006/relationships/hyperlink" Target="https://www.iqiyi.com/v_2c3zr1u6lig.html" TargetMode="External"/><Relationship Id="rId730" Type="http://schemas.openxmlformats.org/officeDocument/2006/relationships/hyperlink" Target="https://www.iqiyi.com/v_19ru26qmgo.html" TargetMode="External"/><Relationship Id="rId828" Type="http://schemas.openxmlformats.org/officeDocument/2006/relationships/hyperlink" Target="https://www.iqiyi.com/v_19rsaihae8.html" TargetMode="External"/><Relationship Id="rId1013" Type="http://schemas.openxmlformats.org/officeDocument/2006/relationships/hyperlink" Target="https://www.iqiyi.com/w_19s18pi1rd.html" TargetMode="External"/><Relationship Id="rId162" Type="http://schemas.openxmlformats.org/officeDocument/2006/relationships/hyperlink" Target="https://www.iqiyi.com/v_1eey2xejao4.html" TargetMode="External"/><Relationship Id="rId467" Type="http://schemas.openxmlformats.org/officeDocument/2006/relationships/hyperlink" Target="https://www.iqiyi.com/v_1k490g08kxo.html" TargetMode="External"/><Relationship Id="rId1097" Type="http://schemas.openxmlformats.org/officeDocument/2006/relationships/hyperlink" Target="https://www.iqiyi.com/w_19rzui2kmd.html" TargetMode="External"/><Relationship Id="rId674" Type="http://schemas.openxmlformats.org/officeDocument/2006/relationships/hyperlink" Target="https://www.iqiyi.com/v_19rv03yw8k.html" TargetMode="External"/><Relationship Id="rId881" Type="http://schemas.openxmlformats.org/officeDocument/2006/relationships/hyperlink" Target="https://www.iqiyi.com/v_19rquc0x7s.html" TargetMode="External"/><Relationship Id="rId979" Type="http://schemas.openxmlformats.org/officeDocument/2006/relationships/hyperlink" Target="https://www.iqiyi.com/w_19s1xvi8vt.html" TargetMode="External"/><Relationship Id="rId24" Type="http://schemas.openxmlformats.org/officeDocument/2006/relationships/hyperlink" Target="https://www.iqiyi.com/v_2b3h8nem3xw.html" TargetMode="External"/><Relationship Id="rId327" Type="http://schemas.openxmlformats.org/officeDocument/2006/relationships/hyperlink" Target="https://www.iqiyi.com/v_16nhbue1vno.html" TargetMode="External"/><Relationship Id="rId534" Type="http://schemas.openxmlformats.org/officeDocument/2006/relationships/hyperlink" Target="https://www.iqiyi.com/v_19rxoiakp4.html" TargetMode="External"/><Relationship Id="rId741" Type="http://schemas.openxmlformats.org/officeDocument/2006/relationships/hyperlink" Target="https://www.iqiyi.com/v_19rub4n35o.html" TargetMode="External"/><Relationship Id="rId839" Type="http://schemas.openxmlformats.org/officeDocument/2006/relationships/hyperlink" Target="https://www.iqiyi.com/v_19rsnsiqqo.html" TargetMode="External"/><Relationship Id="rId1164" Type="http://schemas.openxmlformats.org/officeDocument/2006/relationships/hyperlink" Target="https://www.iqiyi.com/w_19s3b0xtrh.html" TargetMode="External"/><Relationship Id="rId173" Type="http://schemas.openxmlformats.org/officeDocument/2006/relationships/hyperlink" Target="https://www.iqiyi.com/v_1uszo84v6yk.html" TargetMode="External"/><Relationship Id="rId380" Type="http://schemas.openxmlformats.org/officeDocument/2006/relationships/hyperlink" Target="https://www.iqiyi.com/v_24m0ady0ccw.html" TargetMode="External"/><Relationship Id="rId601" Type="http://schemas.openxmlformats.org/officeDocument/2006/relationships/hyperlink" Target="https://www.iqiyi.com/v_19rx4v2rk0.html" TargetMode="External"/><Relationship Id="rId1024" Type="http://schemas.openxmlformats.org/officeDocument/2006/relationships/hyperlink" Target="https://www.iqiyi.com/w_19s1476v15.html" TargetMode="External"/><Relationship Id="rId240" Type="http://schemas.openxmlformats.org/officeDocument/2006/relationships/hyperlink" Target="https://www.iqiyi.com/v_206ugx9ygjc.html" TargetMode="External"/><Relationship Id="rId478" Type="http://schemas.openxmlformats.org/officeDocument/2006/relationships/hyperlink" Target="https://www.iqiyi.com/v_kk9mycd3bg.html" TargetMode="External"/><Relationship Id="rId685" Type="http://schemas.openxmlformats.org/officeDocument/2006/relationships/hyperlink" Target="https://www.iqiyi.com/v_19rvbygcqg.html" TargetMode="External"/><Relationship Id="rId892" Type="http://schemas.openxmlformats.org/officeDocument/2006/relationships/hyperlink" Target="https://www.iqiyi.com/v_19rqy0h5eg.html" TargetMode="External"/><Relationship Id="rId906" Type="http://schemas.openxmlformats.org/officeDocument/2006/relationships/hyperlink" Target="https://www.iqiyi.com/v_19rqwc92f0.html" TargetMode="External"/><Relationship Id="rId35" Type="http://schemas.openxmlformats.org/officeDocument/2006/relationships/hyperlink" Target="https://www.iqiyi.com/v_1v8yhhmozz4.html" TargetMode="External"/><Relationship Id="rId100" Type="http://schemas.openxmlformats.org/officeDocument/2006/relationships/hyperlink" Target="https://www.iqiyi.com/v_1fjulaprq8o.html" TargetMode="External"/><Relationship Id="rId338" Type="http://schemas.openxmlformats.org/officeDocument/2006/relationships/hyperlink" Target="https://www.iqiyi.com/v_v5l0xx1fd8.html" TargetMode="External"/><Relationship Id="rId545" Type="http://schemas.openxmlformats.org/officeDocument/2006/relationships/hyperlink" Target="https://www.iqiyi.com/v_19ry1myf34.html" TargetMode="External"/><Relationship Id="rId752" Type="http://schemas.openxmlformats.org/officeDocument/2006/relationships/hyperlink" Target="https://www.iqiyi.com/v_19rufm3zno.html" TargetMode="External"/><Relationship Id="rId184" Type="http://schemas.openxmlformats.org/officeDocument/2006/relationships/hyperlink" Target="https://www.iqiyi.com/v_1deqcff9qko.html" TargetMode="External"/><Relationship Id="rId391" Type="http://schemas.openxmlformats.org/officeDocument/2006/relationships/hyperlink" Target="https://www.iqiyi.com/v_22qy8qzxodo.html" TargetMode="External"/><Relationship Id="rId405" Type="http://schemas.openxmlformats.org/officeDocument/2006/relationships/hyperlink" Target="https://www.iqiyi.com/v_1r6msywmif0.html" TargetMode="External"/><Relationship Id="rId612" Type="http://schemas.openxmlformats.org/officeDocument/2006/relationships/hyperlink" Target="https://www.iqiyi.com/v_19rvth02ts.html" TargetMode="External"/><Relationship Id="rId1035" Type="http://schemas.openxmlformats.org/officeDocument/2006/relationships/hyperlink" Target="https://www.iqiyi.com/w_19s1h8dah1.html" TargetMode="External"/><Relationship Id="rId251" Type="http://schemas.openxmlformats.org/officeDocument/2006/relationships/hyperlink" Target="https://www.iqiyi.com/v_1uj3ntsebu8.html" TargetMode="External"/><Relationship Id="rId489" Type="http://schemas.openxmlformats.org/officeDocument/2006/relationships/hyperlink" Target="https://www.iqiyi.com/v_19rz6w0ngw.html" TargetMode="External"/><Relationship Id="rId696" Type="http://schemas.openxmlformats.org/officeDocument/2006/relationships/hyperlink" Target="https://www.iqiyi.com/v_19rvjgzlsk.html" TargetMode="External"/><Relationship Id="rId917" Type="http://schemas.openxmlformats.org/officeDocument/2006/relationships/hyperlink" Target="https://www.iqiyi.com/v_19rqps3mdo.html" TargetMode="External"/><Relationship Id="rId1102" Type="http://schemas.openxmlformats.org/officeDocument/2006/relationships/hyperlink" Target="https://www.iqiyi.com/w_19rzxd8rr5.html" TargetMode="External"/><Relationship Id="rId46" Type="http://schemas.openxmlformats.org/officeDocument/2006/relationships/hyperlink" Target="https://www.iqiyi.com/v_1sqgfxrohlc.html" TargetMode="External"/><Relationship Id="rId349" Type="http://schemas.openxmlformats.org/officeDocument/2006/relationships/hyperlink" Target="https://www.iqiyi.com/v_14brdof4ff8.html" TargetMode="External"/><Relationship Id="rId556" Type="http://schemas.openxmlformats.org/officeDocument/2006/relationships/hyperlink" Target="https://www.iqiyi.com/v_19ry8lel70.html" TargetMode="External"/><Relationship Id="rId763" Type="http://schemas.openxmlformats.org/officeDocument/2006/relationships/hyperlink" Target="https://www.iqiyi.com/v_19rt2lv9wc.html" TargetMode="External"/><Relationship Id="rId111" Type="http://schemas.openxmlformats.org/officeDocument/2006/relationships/hyperlink" Target="https://www.iqiyi.com/v_25ohm9c8mxs.html" TargetMode="External"/><Relationship Id="rId195" Type="http://schemas.openxmlformats.org/officeDocument/2006/relationships/hyperlink" Target="https://www.iqiyi.com/v_23ytugssa8c.html" TargetMode="External"/><Relationship Id="rId209" Type="http://schemas.openxmlformats.org/officeDocument/2006/relationships/hyperlink" Target="https://www.iqiyi.com/v_okv7zn6jfo.html" TargetMode="External"/><Relationship Id="rId416" Type="http://schemas.openxmlformats.org/officeDocument/2006/relationships/hyperlink" Target="https://www.iqiyi.com/v_29vddv9pb5w.html" TargetMode="External"/><Relationship Id="rId970" Type="http://schemas.openxmlformats.org/officeDocument/2006/relationships/hyperlink" Target="https://www.iqiyi.com/w_19s35bu2mh.html" TargetMode="External"/><Relationship Id="rId1046" Type="http://schemas.openxmlformats.org/officeDocument/2006/relationships/hyperlink" Target="https://www.iqiyi.com/w_19s1ch18cl.html" TargetMode="External"/><Relationship Id="rId623" Type="http://schemas.openxmlformats.org/officeDocument/2006/relationships/hyperlink" Target="https://www.iqiyi.com/v_19rwa7xi5s.html" TargetMode="External"/><Relationship Id="rId830" Type="http://schemas.openxmlformats.org/officeDocument/2006/relationships/hyperlink" Target="https://www.iqiyi.com/v_19rsa6in38.html" TargetMode="External"/><Relationship Id="rId928" Type="http://schemas.openxmlformats.org/officeDocument/2006/relationships/hyperlink" Target="https://www.iqiyi.com/v_19rqpiivik.html" TargetMode="External"/><Relationship Id="rId57" Type="http://schemas.openxmlformats.org/officeDocument/2006/relationships/hyperlink" Target="https://www.iqiyi.com/v_27z13tkvp30.html" TargetMode="External"/><Relationship Id="rId262" Type="http://schemas.openxmlformats.org/officeDocument/2006/relationships/hyperlink" Target="https://www.iqiyi.com/v_22zuzjxxark.html" TargetMode="External"/><Relationship Id="rId567" Type="http://schemas.openxmlformats.org/officeDocument/2006/relationships/hyperlink" Target="https://www.iqiyi.com/v_19ry7229uc.html" TargetMode="External"/><Relationship Id="rId1113" Type="http://schemas.openxmlformats.org/officeDocument/2006/relationships/hyperlink" Target="https://www.iqiyi.com/w_19s0a192ml.html" TargetMode="External"/><Relationship Id="rId122" Type="http://schemas.openxmlformats.org/officeDocument/2006/relationships/hyperlink" Target="https://www.iqiyi.com/v_2as3mbsjcro.html" TargetMode="External"/><Relationship Id="rId774" Type="http://schemas.openxmlformats.org/officeDocument/2006/relationships/hyperlink" Target="https://www.iqiyi.com/v_19rt9y5mt8.html" TargetMode="External"/><Relationship Id="rId981" Type="http://schemas.openxmlformats.org/officeDocument/2006/relationships/hyperlink" Target="https://www.iqiyi.com/w_19s1u6tsu9.html" TargetMode="External"/><Relationship Id="rId1057" Type="http://schemas.openxmlformats.org/officeDocument/2006/relationships/hyperlink" Target="https://www.iqiyi.com/w_19rzrb1h3d.html" TargetMode="External"/><Relationship Id="rId427" Type="http://schemas.openxmlformats.org/officeDocument/2006/relationships/hyperlink" Target="https://www.iqiyi.com/v_t0u1vzb06o.html" TargetMode="External"/><Relationship Id="rId634" Type="http://schemas.openxmlformats.org/officeDocument/2006/relationships/hyperlink" Target="https://www.iqiyi.com/v_19rwjs0clc.html" TargetMode="External"/><Relationship Id="rId841" Type="http://schemas.openxmlformats.org/officeDocument/2006/relationships/hyperlink" Target="https://www.iqiyi.com/v_19rsnkfzz8.html" TargetMode="External"/><Relationship Id="rId273" Type="http://schemas.openxmlformats.org/officeDocument/2006/relationships/hyperlink" Target="https://www.iqiyi.com/v_1oevkqusooc.html" TargetMode="External"/><Relationship Id="rId480" Type="http://schemas.openxmlformats.org/officeDocument/2006/relationships/hyperlink" Target="https://www.iqiyi.com/v_2gmdfjydjd0.html" TargetMode="External"/><Relationship Id="rId701" Type="http://schemas.openxmlformats.org/officeDocument/2006/relationships/hyperlink" Target="https://www.iqiyi.com/v_19rvmly3dc.html" TargetMode="External"/><Relationship Id="rId939" Type="http://schemas.openxmlformats.org/officeDocument/2006/relationships/hyperlink" Target="https://www.iqiyi.com/v_19rqskd9ag.html" TargetMode="External"/><Relationship Id="rId1124" Type="http://schemas.openxmlformats.org/officeDocument/2006/relationships/hyperlink" Target="https://www.iqiyi.com/w_19rz0w963t.html" TargetMode="External"/><Relationship Id="rId68" Type="http://schemas.openxmlformats.org/officeDocument/2006/relationships/hyperlink" Target="https://www.iqiyi.com/v_1x1xh1ybzto.html" TargetMode="External"/><Relationship Id="rId133" Type="http://schemas.openxmlformats.org/officeDocument/2006/relationships/hyperlink" Target="https://www.iqiyi.com/v_1dclwo3gobk.html" TargetMode="External"/><Relationship Id="rId340" Type="http://schemas.openxmlformats.org/officeDocument/2006/relationships/hyperlink" Target="https://www.iqiyi.com/v_jchaa5cs3k.html" TargetMode="External"/><Relationship Id="rId578" Type="http://schemas.openxmlformats.org/officeDocument/2006/relationships/hyperlink" Target="https://www.iqiyi.com/v_19ryfvpwug.html" TargetMode="External"/><Relationship Id="rId785" Type="http://schemas.openxmlformats.org/officeDocument/2006/relationships/hyperlink" Target="https://www.iqiyi.com/v_19rrxd3ntc.html" TargetMode="External"/><Relationship Id="rId992" Type="http://schemas.openxmlformats.org/officeDocument/2006/relationships/hyperlink" Target="https://www.iqiyi.com/w_19s0nsjr15.html" TargetMode="External"/><Relationship Id="rId200" Type="http://schemas.openxmlformats.org/officeDocument/2006/relationships/hyperlink" Target="https://www.iqiyi.com/v_109ugarkbks.html" TargetMode="External"/><Relationship Id="rId438" Type="http://schemas.openxmlformats.org/officeDocument/2006/relationships/hyperlink" Target="https://www.iqiyi.com/v_zu3vq1dm0k.html" TargetMode="External"/><Relationship Id="rId645" Type="http://schemas.openxmlformats.org/officeDocument/2006/relationships/hyperlink" Target="https://www.iqiyi.com/v_19rwgltnn8.html" TargetMode="External"/><Relationship Id="rId852" Type="http://schemas.openxmlformats.org/officeDocument/2006/relationships/hyperlink" Target="https://www.iqiyi.com/v_19rsgte9xk.html" TargetMode="External"/><Relationship Id="rId1068" Type="http://schemas.openxmlformats.org/officeDocument/2006/relationships/hyperlink" Target="https://www.iqiyi.com/w_19rzv73cdh.html" TargetMode="External"/><Relationship Id="rId284" Type="http://schemas.openxmlformats.org/officeDocument/2006/relationships/hyperlink" Target="https://www.iqiyi.com/v_9vvvwrsl6o.html" TargetMode="External"/><Relationship Id="rId491" Type="http://schemas.openxmlformats.org/officeDocument/2006/relationships/hyperlink" Target="https://www.iqiyi.com/v_19rz68mq6w.html" TargetMode="External"/><Relationship Id="rId505" Type="http://schemas.openxmlformats.org/officeDocument/2006/relationships/hyperlink" Target="https://www.iqiyi.com/v_19rzdxsh18.html" TargetMode="External"/><Relationship Id="rId712" Type="http://schemas.openxmlformats.org/officeDocument/2006/relationships/hyperlink" Target="https://www.iqiyi.com/v_19rvg8iygg.html" TargetMode="External"/><Relationship Id="rId1135" Type="http://schemas.openxmlformats.org/officeDocument/2006/relationships/hyperlink" Target="https://www.iqiyi.com/w_19rwmbvj7d.html" TargetMode="External"/><Relationship Id="rId79" Type="http://schemas.openxmlformats.org/officeDocument/2006/relationships/hyperlink" Target="https://www.iqiyi.com/v_1pjmkr20k48.html" TargetMode="External"/><Relationship Id="rId144" Type="http://schemas.openxmlformats.org/officeDocument/2006/relationships/hyperlink" Target="https://www.iqiyi.com/v_27gjawzdv80.html" TargetMode="External"/><Relationship Id="rId589" Type="http://schemas.openxmlformats.org/officeDocument/2006/relationships/hyperlink" Target="https://www.iqiyi.com/v_19rx0qfqxw.html" TargetMode="External"/><Relationship Id="rId796" Type="http://schemas.openxmlformats.org/officeDocument/2006/relationships/hyperlink" Target="https://www.iqiyi.com/v_19rs2mfs00.html" TargetMode="External"/><Relationship Id="rId351" Type="http://schemas.openxmlformats.org/officeDocument/2006/relationships/hyperlink" Target="https://www.iqiyi.com/v_260egajn9ww.html" TargetMode="External"/><Relationship Id="rId449" Type="http://schemas.openxmlformats.org/officeDocument/2006/relationships/hyperlink" Target="https://www.iqiyi.com/v_1vynb7m0x1w.html" TargetMode="External"/><Relationship Id="rId656" Type="http://schemas.openxmlformats.org/officeDocument/2006/relationships/hyperlink" Target="https://www.iqiyi.com/v_19runvngr4.html" TargetMode="External"/><Relationship Id="rId863" Type="http://schemas.openxmlformats.org/officeDocument/2006/relationships/hyperlink" Target="https://www.iqiyi.com/v_19rsjkagf8.html" TargetMode="External"/><Relationship Id="rId1079" Type="http://schemas.openxmlformats.org/officeDocument/2006/relationships/hyperlink" Target="https://www.iqiyi.com/w_19s08te12x.html" TargetMode="External"/><Relationship Id="rId211" Type="http://schemas.openxmlformats.org/officeDocument/2006/relationships/hyperlink" Target="https://www.iqiyi.com/v_tg0bzav0ko.html" TargetMode="External"/><Relationship Id="rId295" Type="http://schemas.openxmlformats.org/officeDocument/2006/relationships/hyperlink" Target="https://www.iqiyi.com/v_2dg0ru749yw.html" TargetMode="External"/><Relationship Id="rId309" Type="http://schemas.openxmlformats.org/officeDocument/2006/relationships/hyperlink" Target="https://www.iqiyi.com/v_1vi7odw66q0.html" TargetMode="External"/><Relationship Id="rId516" Type="http://schemas.openxmlformats.org/officeDocument/2006/relationships/hyperlink" Target="https://www.iqiyi.com/v_19rxrsz924.html" TargetMode="External"/><Relationship Id="rId1146" Type="http://schemas.openxmlformats.org/officeDocument/2006/relationships/hyperlink" Target="https://www.iqiyi.com/w_19rwrhj6rt.html" TargetMode="External"/><Relationship Id="rId723" Type="http://schemas.openxmlformats.org/officeDocument/2006/relationships/hyperlink" Target="https://www.iqiyi.com/v_19rtogj5z8.html" TargetMode="External"/><Relationship Id="rId930" Type="http://schemas.openxmlformats.org/officeDocument/2006/relationships/hyperlink" Target="https://www.iqiyi.com/v_19rqtasbso.html" TargetMode="External"/><Relationship Id="rId1006" Type="http://schemas.openxmlformats.org/officeDocument/2006/relationships/hyperlink" Target="https://www.iqiyi.com/w_19s0txi4xl.html" TargetMode="External"/><Relationship Id="rId155" Type="http://schemas.openxmlformats.org/officeDocument/2006/relationships/hyperlink" Target="https://www.iqiyi.com/v_1z4229zhi04.html" TargetMode="External"/><Relationship Id="rId362" Type="http://schemas.openxmlformats.org/officeDocument/2006/relationships/hyperlink" Target="https://www.iqiyi.com/v_x6w7p4jkz8.html" TargetMode="External"/><Relationship Id="rId222" Type="http://schemas.openxmlformats.org/officeDocument/2006/relationships/hyperlink" Target="https://www.iqiyi.com/v_g1ofle6l90.html" TargetMode="External"/><Relationship Id="rId667" Type="http://schemas.openxmlformats.org/officeDocument/2006/relationships/hyperlink" Target="https://www.iqiyi.com/v_19rv4cc960.html" TargetMode="External"/><Relationship Id="rId874" Type="http://schemas.openxmlformats.org/officeDocument/2006/relationships/hyperlink" Target="https://www.iqiyi.com/v_19rqvhd9cs.html" TargetMode="External"/><Relationship Id="rId17" Type="http://schemas.openxmlformats.org/officeDocument/2006/relationships/hyperlink" Target="https://www.iqiyi.com/v_10y5eiplngw.html" TargetMode="External"/><Relationship Id="rId527" Type="http://schemas.openxmlformats.org/officeDocument/2006/relationships/hyperlink" Target="https://www.iqiyi.com/v_19rxmtikc8.html" TargetMode="External"/><Relationship Id="rId734" Type="http://schemas.openxmlformats.org/officeDocument/2006/relationships/hyperlink" Target="https://www.iqiyi.com/v_19ru4cgszk.html" TargetMode="External"/><Relationship Id="rId941" Type="http://schemas.openxmlformats.org/officeDocument/2006/relationships/hyperlink" Target="https://www.iqiyi.com/v_19rqszf88s.html" TargetMode="External"/><Relationship Id="rId1157" Type="http://schemas.openxmlformats.org/officeDocument/2006/relationships/hyperlink" Target="https://www.iqiyi.com/w_19rwhxzem5.html" TargetMode="External"/><Relationship Id="rId70" Type="http://schemas.openxmlformats.org/officeDocument/2006/relationships/hyperlink" Target="https://www.iqiyi.com/v_uwt43canyk.html" TargetMode="External"/><Relationship Id="rId166" Type="http://schemas.openxmlformats.org/officeDocument/2006/relationships/hyperlink" Target="https://www.iqiyi.com/v_d3sm33aucg.html" TargetMode="External"/><Relationship Id="rId373" Type="http://schemas.openxmlformats.org/officeDocument/2006/relationships/hyperlink" Target="https://www.iqiyi.com/v_1qwjk7c2za0.html" TargetMode="External"/><Relationship Id="rId580" Type="http://schemas.openxmlformats.org/officeDocument/2006/relationships/hyperlink" Target="https://www.iqiyi.com/v_19rwsinzzw.html" TargetMode="External"/><Relationship Id="rId801" Type="http://schemas.openxmlformats.org/officeDocument/2006/relationships/hyperlink" Target="https://www.iqiyi.com/v_19rryri1os.html" TargetMode="External"/><Relationship Id="rId1017" Type="http://schemas.openxmlformats.org/officeDocument/2006/relationships/hyperlink" Target="https://www.iqiyi.com/w_19s17e269h.html" TargetMode="External"/><Relationship Id="rId1" Type="http://schemas.openxmlformats.org/officeDocument/2006/relationships/hyperlink" Target="https://www.iqiyi.com/v_2f2f58zebu8.html" TargetMode="External"/><Relationship Id="rId233" Type="http://schemas.openxmlformats.org/officeDocument/2006/relationships/hyperlink" Target="https://www.iqiyi.com/v_1yt8bhslu38.html" TargetMode="External"/><Relationship Id="rId440" Type="http://schemas.openxmlformats.org/officeDocument/2006/relationships/hyperlink" Target="https://www.iqiyi.com/v_gxojh03kt4.html" TargetMode="External"/><Relationship Id="rId678" Type="http://schemas.openxmlformats.org/officeDocument/2006/relationships/hyperlink" Target="https://www.iqiyi.com/v_19rvbawuk4.html" TargetMode="External"/><Relationship Id="rId885" Type="http://schemas.openxmlformats.org/officeDocument/2006/relationships/hyperlink" Target="https://www.iqiyi.com/v_19rqtsefb4.html" TargetMode="External"/><Relationship Id="rId1070" Type="http://schemas.openxmlformats.org/officeDocument/2006/relationships/hyperlink" Target="https://www.iqiyi.com/w_19rzuqkyhd.html" TargetMode="External"/><Relationship Id="rId28" Type="http://schemas.openxmlformats.org/officeDocument/2006/relationships/hyperlink" Target="https://www.iqiyi.com/v_ol606c68do.html" TargetMode="External"/><Relationship Id="rId300" Type="http://schemas.openxmlformats.org/officeDocument/2006/relationships/hyperlink" Target="https://www.iqiyi.com/v_vk4619kma0.html" TargetMode="External"/><Relationship Id="rId538" Type="http://schemas.openxmlformats.org/officeDocument/2006/relationships/hyperlink" Target="https://www.iqiyi.com/v_19ry02siu0.html" TargetMode="External"/><Relationship Id="rId745" Type="http://schemas.openxmlformats.org/officeDocument/2006/relationships/hyperlink" Target="https://www.iqiyi.com/v_19ru5o6d00.html" TargetMode="External"/><Relationship Id="rId952" Type="http://schemas.openxmlformats.org/officeDocument/2006/relationships/hyperlink" Target="https://www.iqiyi.com/v_19rqri6ueg.html" TargetMode="External"/><Relationship Id="rId81" Type="http://schemas.openxmlformats.org/officeDocument/2006/relationships/hyperlink" Target="https://www.iqiyi.com/v_bbqxga1edw.html" TargetMode="External"/><Relationship Id="rId177" Type="http://schemas.openxmlformats.org/officeDocument/2006/relationships/hyperlink" Target="https://www.iqiyi.com/v_lyf0kc4w30.html" TargetMode="External"/><Relationship Id="rId384" Type="http://schemas.openxmlformats.org/officeDocument/2006/relationships/hyperlink" Target="https://www.iqiyi.com/v_p9jjllxqd4.html" TargetMode="External"/><Relationship Id="rId591" Type="http://schemas.openxmlformats.org/officeDocument/2006/relationships/hyperlink" Target="https://www.iqiyi.com/v_19rx2e7lxs.html" TargetMode="External"/><Relationship Id="rId605" Type="http://schemas.openxmlformats.org/officeDocument/2006/relationships/hyperlink" Target="https://www.iqiyi.com/v_19rxhe8n7k.html" TargetMode="External"/><Relationship Id="rId812" Type="http://schemas.openxmlformats.org/officeDocument/2006/relationships/hyperlink" Target="https://www.iqiyi.com/v_19rscdsh2g.html" TargetMode="External"/><Relationship Id="rId1028" Type="http://schemas.openxmlformats.org/officeDocument/2006/relationships/hyperlink" Target="https://www.iqiyi.com/w_19s12adnwx.html" TargetMode="External"/><Relationship Id="rId244" Type="http://schemas.openxmlformats.org/officeDocument/2006/relationships/hyperlink" Target="https://www.iqiyi.com/v_24os2g2za9w.html" TargetMode="External"/><Relationship Id="rId689" Type="http://schemas.openxmlformats.org/officeDocument/2006/relationships/hyperlink" Target="https://www.iqiyi.com/v_19rv5e3e2k.html" TargetMode="External"/><Relationship Id="rId896" Type="http://schemas.openxmlformats.org/officeDocument/2006/relationships/hyperlink" Target="https://www.iqiyi.com/v_19rqwzzzk8.html" TargetMode="External"/><Relationship Id="rId1081" Type="http://schemas.openxmlformats.org/officeDocument/2006/relationships/hyperlink" Target="https://www.iqiyi.com/w_19s0976qut.html" TargetMode="External"/><Relationship Id="rId39" Type="http://schemas.openxmlformats.org/officeDocument/2006/relationships/hyperlink" Target="https://www.iqiyi.com/v_p3bpqmud0s.html" TargetMode="External"/><Relationship Id="rId451" Type="http://schemas.openxmlformats.org/officeDocument/2006/relationships/hyperlink" Target="https://www.iqiyi.com/v_msxfx1or7w.html" TargetMode="External"/><Relationship Id="rId549" Type="http://schemas.openxmlformats.org/officeDocument/2006/relationships/hyperlink" Target="https://www.iqiyi.com/v_19rxuuuikc.html" TargetMode="External"/><Relationship Id="rId756" Type="http://schemas.openxmlformats.org/officeDocument/2006/relationships/hyperlink" Target="https://www.iqiyi.com/v_19rst2r06w.html" TargetMode="External"/><Relationship Id="rId104" Type="http://schemas.openxmlformats.org/officeDocument/2006/relationships/hyperlink" Target="https://www.iqiyi.com/v_flg8smzi74.html" TargetMode="External"/><Relationship Id="rId188" Type="http://schemas.openxmlformats.org/officeDocument/2006/relationships/hyperlink" Target="https://www.iqiyi.com/v_18qj7vqx58o.html" TargetMode="External"/><Relationship Id="rId311" Type="http://schemas.openxmlformats.org/officeDocument/2006/relationships/hyperlink" Target="https://www.iqiyi.com/v_uxv7jac3cs.html" TargetMode="External"/><Relationship Id="rId395" Type="http://schemas.openxmlformats.org/officeDocument/2006/relationships/hyperlink" Target="https://www.iqiyi.com/v_fzzi9qhqs8.html" TargetMode="External"/><Relationship Id="rId409" Type="http://schemas.openxmlformats.org/officeDocument/2006/relationships/hyperlink" Target="https://www.iqiyi.com/v_1zzhujfgfbk.html" TargetMode="External"/><Relationship Id="rId963" Type="http://schemas.openxmlformats.org/officeDocument/2006/relationships/hyperlink" Target="https://www.iqiyi.com/v_19rr4i6y2c.html" TargetMode="External"/><Relationship Id="rId1039" Type="http://schemas.openxmlformats.org/officeDocument/2006/relationships/hyperlink" Target="https://www.iqiyi.com/w_19s1iqxnjp.html" TargetMode="External"/><Relationship Id="rId92" Type="http://schemas.openxmlformats.org/officeDocument/2006/relationships/hyperlink" Target="https://www.iqiyi.com/v_18w6vzfz94k.html" TargetMode="External"/><Relationship Id="rId616" Type="http://schemas.openxmlformats.org/officeDocument/2006/relationships/hyperlink" Target="https://www.iqiyi.com/v_19rw11sr2g.html" TargetMode="External"/><Relationship Id="rId823" Type="http://schemas.openxmlformats.org/officeDocument/2006/relationships/hyperlink" Target="https://www.iqiyi.com/v_19rs8f75ak.html" TargetMode="External"/><Relationship Id="rId255" Type="http://schemas.openxmlformats.org/officeDocument/2006/relationships/hyperlink" Target="https://www.iqiyi.com/v_1jeygpiseus.html" TargetMode="External"/><Relationship Id="rId462" Type="http://schemas.openxmlformats.org/officeDocument/2006/relationships/hyperlink" Target="https://www.iqiyi.com/v_1yml5zslfk4.html" TargetMode="External"/><Relationship Id="rId1092" Type="http://schemas.openxmlformats.org/officeDocument/2006/relationships/hyperlink" Target="https://www.iqiyi.com/w_19s0h2rq29.html" TargetMode="External"/><Relationship Id="rId1106" Type="http://schemas.openxmlformats.org/officeDocument/2006/relationships/hyperlink" Target="https://www.iqiyi.com/w_19rzwd0d9x.html" TargetMode="External"/><Relationship Id="rId115" Type="http://schemas.openxmlformats.org/officeDocument/2006/relationships/hyperlink" Target="https://www.iqiyi.com/v_191cx5jt8vs.html" TargetMode="External"/><Relationship Id="rId322" Type="http://schemas.openxmlformats.org/officeDocument/2006/relationships/hyperlink" Target="https://www.iqiyi.com/v_1ta0qkjut3o.html" TargetMode="External"/><Relationship Id="rId767" Type="http://schemas.openxmlformats.org/officeDocument/2006/relationships/hyperlink" Target="https://www.iqiyi.com/v_19rsx35u9w.html" TargetMode="External"/><Relationship Id="rId974" Type="http://schemas.openxmlformats.org/officeDocument/2006/relationships/hyperlink" Target="https://www.iqiyi.com/w_19s1pi21o9.html" TargetMode="External"/><Relationship Id="rId199" Type="http://schemas.openxmlformats.org/officeDocument/2006/relationships/hyperlink" Target="https://www.iqiyi.com/v_13zv6vx492s.html" TargetMode="External"/><Relationship Id="rId627" Type="http://schemas.openxmlformats.org/officeDocument/2006/relationships/hyperlink" Target="https://www.iqiyi.com/v_19rwbfcgbg.html" TargetMode="External"/><Relationship Id="rId834" Type="http://schemas.openxmlformats.org/officeDocument/2006/relationships/hyperlink" Target="https://www.iqiyi.com/v_19rsllcxwg.html" TargetMode="External"/><Relationship Id="rId266" Type="http://schemas.openxmlformats.org/officeDocument/2006/relationships/hyperlink" Target="https://www.iqiyi.com/v_1gkp75lqtw8.html" TargetMode="External"/><Relationship Id="rId473" Type="http://schemas.openxmlformats.org/officeDocument/2006/relationships/hyperlink" Target="https://www.iqiyi.com/v_265f0af9nos.html" TargetMode="External"/><Relationship Id="rId680" Type="http://schemas.openxmlformats.org/officeDocument/2006/relationships/hyperlink" Target="https://www.iqiyi.com/v_19rv9ztmts.html" TargetMode="External"/><Relationship Id="rId901" Type="http://schemas.openxmlformats.org/officeDocument/2006/relationships/hyperlink" Target="https://www.iqiyi.com/v_19rqwev0o8.html" TargetMode="External"/><Relationship Id="rId1117" Type="http://schemas.openxmlformats.org/officeDocument/2006/relationships/hyperlink" Target="https://www.iqiyi.com/w_19s02uhzml.html" TargetMode="External"/><Relationship Id="rId30" Type="http://schemas.openxmlformats.org/officeDocument/2006/relationships/hyperlink" Target="https://www.iqiyi.com/v_1wrek1w2zpo.html" TargetMode="External"/><Relationship Id="rId126" Type="http://schemas.openxmlformats.org/officeDocument/2006/relationships/hyperlink" Target="https://www.iqiyi.com/v_29tp2dkzzyw.html" TargetMode="External"/><Relationship Id="rId333" Type="http://schemas.openxmlformats.org/officeDocument/2006/relationships/hyperlink" Target="https://www.iqiyi.com/v_27gzbsbamvs.html" TargetMode="External"/><Relationship Id="rId540" Type="http://schemas.openxmlformats.org/officeDocument/2006/relationships/hyperlink" Target="https://www.iqiyi.com/v_19ry36uzks.html" TargetMode="External"/><Relationship Id="rId778" Type="http://schemas.openxmlformats.org/officeDocument/2006/relationships/hyperlink" Target="https://www.iqiyi.com/v_19rtmr1q60.html" TargetMode="External"/><Relationship Id="rId985" Type="http://schemas.openxmlformats.org/officeDocument/2006/relationships/hyperlink" Target="https://www.iqiyi.com/w_19s29w9ogx.html" TargetMode="External"/><Relationship Id="rId638" Type="http://schemas.openxmlformats.org/officeDocument/2006/relationships/hyperlink" Target="https://www.iqiyi.com/v_19rwkyc0hk.html" TargetMode="External"/><Relationship Id="rId845" Type="http://schemas.openxmlformats.org/officeDocument/2006/relationships/hyperlink" Target="https://www.iqiyi.com/v_19rsh5jdos.html" TargetMode="External"/><Relationship Id="rId1030" Type="http://schemas.openxmlformats.org/officeDocument/2006/relationships/hyperlink" Target="https://www.iqiyi.com/w_19s14xzsmd.html" TargetMode="External"/><Relationship Id="rId277" Type="http://schemas.openxmlformats.org/officeDocument/2006/relationships/hyperlink" Target="https://www.iqiyi.com/v_ryxcl67ml4.html" TargetMode="External"/><Relationship Id="rId400" Type="http://schemas.openxmlformats.org/officeDocument/2006/relationships/hyperlink" Target="https://www.iqiyi.com/v_1767ifuiuw0.html" TargetMode="External"/><Relationship Id="rId484" Type="http://schemas.openxmlformats.org/officeDocument/2006/relationships/hyperlink" Target="https://www.iqiyi.com/v_19rz4j2euw.html" TargetMode="External"/><Relationship Id="rId705" Type="http://schemas.openxmlformats.org/officeDocument/2006/relationships/hyperlink" Target="https://www.iqiyi.com/v_19rvfvrcqk.html" TargetMode="External"/><Relationship Id="rId1128" Type="http://schemas.openxmlformats.org/officeDocument/2006/relationships/hyperlink" Target="https://www.iqiyi.com/w_19ryvg1cn1.html" TargetMode="External"/><Relationship Id="rId137" Type="http://schemas.openxmlformats.org/officeDocument/2006/relationships/hyperlink" Target="https://www.iqiyi.com/v_1pb54e43xjg.html" TargetMode="External"/><Relationship Id="rId344" Type="http://schemas.openxmlformats.org/officeDocument/2006/relationships/hyperlink" Target="https://www.iqiyi.com/v_2dnnuo45ok8.html" TargetMode="External"/><Relationship Id="rId691" Type="http://schemas.openxmlformats.org/officeDocument/2006/relationships/hyperlink" Target="https://www.iqiyi.com/v_19rv8k6lpw.html" TargetMode="External"/><Relationship Id="rId789" Type="http://schemas.openxmlformats.org/officeDocument/2006/relationships/hyperlink" Target="https://www.iqiyi.com/v_19rrpa7fo4.html" TargetMode="External"/><Relationship Id="rId912" Type="http://schemas.openxmlformats.org/officeDocument/2006/relationships/hyperlink" Target="https://www.iqiyi.com/v_19rqr6b0l8.html" TargetMode="External"/><Relationship Id="rId996" Type="http://schemas.openxmlformats.org/officeDocument/2006/relationships/hyperlink" Target="https://www.iqiyi.com/w_19s0mrkuzt.html" TargetMode="External"/><Relationship Id="rId41" Type="http://schemas.openxmlformats.org/officeDocument/2006/relationships/hyperlink" Target="https://www.iqiyi.com/v_x4h2p1iviw.html" TargetMode="External"/><Relationship Id="rId551" Type="http://schemas.openxmlformats.org/officeDocument/2006/relationships/hyperlink" Target="https://www.iqiyi.com/v_19rxz2unfg.html" TargetMode="External"/><Relationship Id="rId649" Type="http://schemas.openxmlformats.org/officeDocument/2006/relationships/hyperlink" Target="https://www.iqiyi.com/v_19rusrws34.html" TargetMode="External"/><Relationship Id="rId856" Type="http://schemas.openxmlformats.org/officeDocument/2006/relationships/hyperlink" Target="https://www.iqiyi.com/v_19rsg9i4mc.html" TargetMode="External"/><Relationship Id="rId190" Type="http://schemas.openxmlformats.org/officeDocument/2006/relationships/hyperlink" Target="https://www.iqiyi.com/v_17k557yo4hc.html" TargetMode="External"/><Relationship Id="rId204" Type="http://schemas.openxmlformats.org/officeDocument/2006/relationships/hyperlink" Target="https://www.iqiyi.com/v_105jzk25f38.html" TargetMode="External"/><Relationship Id="rId288" Type="http://schemas.openxmlformats.org/officeDocument/2006/relationships/hyperlink" Target="https://www.iqiyi.com/v_ezhvzqwd64.html" TargetMode="External"/><Relationship Id="rId411" Type="http://schemas.openxmlformats.org/officeDocument/2006/relationships/hyperlink" Target="https://www.iqiyi.com/v_1ohm8bvvvfs.html" TargetMode="External"/><Relationship Id="rId509" Type="http://schemas.openxmlformats.org/officeDocument/2006/relationships/hyperlink" Target="https://www.iqiyi.com/v_19rzcb4ccc.html" TargetMode="External"/><Relationship Id="rId1041" Type="http://schemas.openxmlformats.org/officeDocument/2006/relationships/hyperlink" Target="https://www.iqiyi.com/w_19s1io266x.html" TargetMode="External"/><Relationship Id="rId1139" Type="http://schemas.openxmlformats.org/officeDocument/2006/relationships/hyperlink" Target="https://www.iqiyi.com/w_19rwo1szph.html" TargetMode="External"/><Relationship Id="rId495" Type="http://schemas.openxmlformats.org/officeDocument/2006/relationships/hyperlink" Target="https://www.iqiyi.com/v_2ffkwycop50.html" TargetMode="External"/><Relationship Id="rId716" Type="http://schemas.openxmlformats.org/officeDocument/2006/relationships/hyperlink" Target="https://www.iqiyi.com/v_19rtt1fm78.html" TargetMode="External"/><Relationship Id="rId923" Type="http://schemas.openxmlformats.org/officeDocument/2006/relationships/hyperlink" Target="https://www.iqiyi.com/v_19rqpeftak.html" TargetMode="External"/><Relationship Id="rId52" Type="http://schemas.openxmlformats.org/officeDocument/2006/relationships/hyperlink" Target="https://www.iqiyi.com/v_1eaop74w2f8.html" TargetMode="External"/><Relationship Id="rId148" Type="http://schemas.openxmlformats.org/officeDocument/2006/relationships/hyperlink" Target="https://www.iqiyi.com/v_2331nyw4ob0.html" TargetMode="External"/><Relationship Id="rId355" Type="http://schemas.openxmlformats.org/officeDocument/2006/relationships/hyperlink" Target="https://www.iqiyi.com/v_rw7q60dijg.html" TargetMode="External"/><Relationship Id="rId562" Type="http://schemas.openxmlformats.org/officeDocument/2006/relationships/hyperlink" Target="https://www.iqiyi.com/v_19ry5m50do.html" TargetMode="External"/><Relationship Id="rId215" Type="http://schemas.openxmlformats.org/officeDocument/2006/relationships/hyperlink" Target="https://www.iqiyi.com/v_28ir6fn3f9w.html" TargetMode="External"/><Relationship Id="rId422" Type="http://schemas.openxmlformats.org/officeDocument/2006/relationships/hyperlink" Target="https://www.iqiyi.com/v_w5yy7ww2p4.html" TargetMode="External"/><Relationship Id="rId867" Type="http://schemas.openxmlformats.org/officeDocument/2006/relationships/hyperlink" Target="https://www.iqiyi.com/v_19rsizz4a0.html" TargetMode="External"/><Relationship Id="rId1052" Type="http://schemas.openxmlformats.org/officeDocument/2006/relationships/hyperlink" Target="https://www.iqiyi.com/w_19s1dyww15.html" TargetMode="External"/><Relationship Id="rId299" Type="http://schemas.openxmlformats.org/officeDocument/2006/relationships/hyperlink" Target="https://www.iqiyi.com/v_2dvmqknimdc.html" TargetMode="External"/><Relationship Id="rId727" Type="http://schemas.openxmlformats.org/officeDocument/2006/relationships/hyperlink" Target="https://www.iqiyi.com/v_19rtqiefac.html" TargetMode="External"/><Relationship Id="rId934" Type="http://schemas.openxmlformats.org/officeDocument/2006/relationships/hyperlink" Target="https://www.iqiyi.com/v_19rqtkanuk.html" TargetMode="External"/><Relationship Id="rId63" Type="http://schemas.openxmlformats.org/officeDocument/2006/relationships/hyperlink" Target="https://www.iqiyi.com/v_2czwri4qhxs.html" TargetMode="External"/><Relationship Id="rId159" Type="http://schemas.openxmlformats.org/officeDocument/2006/relationships/hyperlink" Target="https://www.iqiyi.com/v_2bjwvgkhcg8.html" TargetMode="External"/><Relationship Id="rId366" Type="http://schemas.openxmlformats.org/officeDocument/2006/relationships/hyperlink" Target="https://www.iqiyi.com/v_rrycg1s8es.html" TargetMode="External"/><Relationship Id="rId573" Type="http://schemas.openxmlformats.org/officeDocument/2006/relationships/hyperlink" Target="https://www.iqiyi.com/v_19rykd8qyk.html" TargetMode="External"/><Relationship Id="rId780" Type="http://schemas.openxmlformats.org/officeDocument/2006/relationships/hyperlink" Target="https://www.iqiyi.com/v_19rtgfh0j8.html" TargetMode="External"/><Relationship Id="rId226" Type="http://schemas.openxmlformats.org/officeDocument/2006/relationships/hyperlink" Target="https://www.iqiyi.com/v_1zj8zpc1uug.html" TargetMode="External"/><Relationship Id="rId433" Type="http://schemas.openxmlformats.org/officeDocument/2006/relationships/hyperlink" Target="https://www.iqiyi.com/v_ncpziszoh0.html" TargetMode="External"/><Relationship Id="rId878" Type="http://schemas.openxmlformats.org/officeDocument/2006/relationships/hyperlink" Target="https://www.iqiyi.com/v_19rquti048.html" TargetMode="External"/><Relationship Id="rId1063" Type="http://schemas.openxmlformats.org/officeDocument/2006/relationships/hyperlink" Target="https://www.iqiyi.com/w_19rzzmrzp5.html" TargetMode="External"/><Relationship Id="rId640" Type="http://schemas.openxmlformats.org/officeDocument/2006/relationships/hyperlink" Target="https://www.iqiyi.com/v_19rwepycsw.html" TargetMode="External"/><Relationship Id="rId738" Type="http://schemas.openxmlformats.org/officeDocument/2006/relationships/hyperlink" Target="https://www.iqiyi.com/v_19ru0pkbu0.html" TargetMode="External"/><Relationship Id="rId945" Type="http://schemas.openxmlformats.org/officeDocument/2006/relationships/hyperlink" Target="https://www.iqiyi.com/v_19rqryz9qc.html" TargetMode="External"/><Relationship Id="rId74" Type="http://schemas.openxmlformats.org/officeDocument/2006/relationships/hyperlink" Target="https://www.iqiyi.com/v_ajmanitkag.html" TargetMode="External"/><Relationship Id="rId377" Type="http://schemas.openxmlformats.org/officeDocument/2006/relationships/hyperlink" Target="https://www.iqiyi.com/v_1wta7fastw0.html" TargetMode="External"/><Relationship Id="rId500" Type="http://schemas.openxmlformats.org/officeDocument/2006/relationships/hyperlink" Target="https://www.iqiyi.com/v_19rzjxnnw4.html" TargetMode="External"/><Relationship Id="rId584" Type="http://schemas.openxmlformats.org/officeDocument/2006/relationships/hyperlink" Target="https://www.iqiyi.com/v_19rwsz9fhw.html" TargetMode="External"/><Relationship Id="rId805" Type="http://schemas.openxmlformats.org/officeDocument/2006/relationships/hyperlink" Target="https://www.iqiyi.com/v_19rs0yl1ng.html" TargetMode="External"/><Relationship Id="rId1130" Type="http://schemas.openxmlformats.org/officeDocument/2006/relationships/hyperlink" Target="https://www.iqiyi.com/w_19ryw9sswd.html" TargetMode="External"/><Relationship Id="rId5" Type="http://schemas.openxmlformats.org/officeDocument/2006/relationships/hyperlink" Target="https://www.iqiyi.com/v_13ndvpwipsw.html" TargetMode="External"/><Relationship Id="rId237" Type="http://schemas.openxmlformats.org/officeDocument/2006/relationships/hyperlink" Target="https://www.iqiyi.com/v_2bufryvc36k.html" TargetMode="External"/><Relationship Id="rId791" Type="http://schemas.openxmlformats.org/officeDocument/2006/relationships/hyperlink" Target="https://www.iqiyi.com/v_19rrsvsk4s.html" TargetMode="External"/><Relationship Id="rId889" Type="http://schemas.openxmlformats.org/officeDocument/2006/relationships/hyperlink" Target="https://www.iqiyi.com/v_19rqxp52m0.html" TargetMode="External"/><Relationship Id="rId1074" Type="http://schemas.openxmlformats.org/officeDocument/2006/relationships/hyperlink" Target="https://www.iqiyi.com/w_19rzxd8rr5.html" TargetMode="External"/><Relationship Id="rId444" Type="http://schemas.openxmlformats.org/officeDocument/2006/relationships/hyperlink" Target="https://www.iqiyi.com/v_2bmam7cry3g.html" TargetMode="External"/><Relationship Id="rId651" Type="http://schemas.openxmlformats.org/officeDocument/2006/relationships/hyperlink" Target="https://www.iqiyi.com/v_19ruvv0mps.html" TargetMode="External"/><Relationship Id="rId749" Type="http://schemas.openxmlformats.org/officeDocument/2006/relationships/hyperlink" Target="https://www.iqiyi.com/v_19ruitgz9s.html" TargetMode="External"/><Relationship Id="rId290" Type="http://schemas.openxmlformats.org/officeDocument/2006/relationships/hyperlink" Target="https://www.iqiyi.com/v_1euk1nksk1k.html" TargetMode="External"/><Relationship Id="rId304" Type="http://schemas.openxmlformats.org/officeDocument/2006/relationships/hyperlink" Target="https://www.iqiyi.com/v_2aym84l3tu8.html" TargetMode="External"/><Relationship Id="rId388" Type="http://schemas.openxmlformats.org/officeDocument/2006/relationships/hyperlink" Target="https://www.iqiyi.com/v_k4g4uqzbbc.html" TargetMode="External"/><Relationship Id="rId511" Type="http://schemas.openxmlformats.org/officeDocument/2006/relationships/hyperlink" Target="https://www.iqiyi.com/v_2ffkwsvwxnk.html" TargetMode="External"/><Relationship Id="rId609" Type="http://schemas.openxmlformats.org/officeDocument/2006/relationships/hyperlink" Target="https://www.iqiyi.com/v_19rxfrq63c.html" TargetMode="External"/><Relationship Id="rId956" Type="http://schemas.openxmlformats.org/officeDocument/2006/relationships/hyperlink" Target="https://www.iqiyi.com/v_19rqrsdk34.html" TargetMode="External"/><Relationship Id="rId1141" Type="http://schemas.openxmlformats.org/officeDocument/2006/relationships/hyperlink" Target="https://www.iqiyi.com/w_19rwuwdp9l.html" TargetMode="External"/><Relationship Id="rId85" Type="http://schemas.openxmlformats.org/officeDocument/2006/relationships/hyperlink" Target="https://www.iqiyi.com/v_1ao4ll8nsb4.html" TargetMode="External"/><Relationship Id="rId150" Type="http://schemas.openxmlformats.org/officeDocument/2006/relationships/hyperlink" Target="https://www.iqiyi.com/v_1ddc26yo4ss.html" TargetMode="External"/><Relationship Id="rId595" Type="http://schemas.openxmlformats.org/officeDocument/2006/relationships/hyperlink" Target="https://www.iqiyi.com/v_19rwyivfuw.html" TargetMode="External"/><Relationship Id="rId816" Type="http://schemas.openxmlformats.org/officeDocument/2006/relationships/hyperlink" Target="https://www.iqiyi.com/v_19rseuemg0.html" TargetMode="External"/><Relationship Id="rId1001" Type="http://schemas.openxmlformats.org/officeDocument/2006/relationships/hyperlink" Target="https://www.iqiyi.com/w_19s11fdx61.html" TargetMode="External"/><Relationship Id="rId248" Type="http://schemas.openxmlformats.org/officeDocument/2006/relationships/hyperlink" Target="https://www.iqiyi.com/v_1jscuq4udjw.html" TargetMode="External"/><Relationship Id="rId455" Type="http://schemas.openxmlformats.org/officeDocument/2006/relationships/hyperlink" Target="https://www.iqiyi.com/v_150drdtc0pc.html" TargetMode="External"/><Relationship Id="rId662" Type="http://schemas.openxmlformats.org/officeDocument/2006/relationships/hyperlink" Target="https://www.iqiyi.com/v_19rv2nphb0.html" TargetMode="External"/><Relationship Id="rId1085" Type="http://schemas.openxmlformats.org/officeDocument/2006/relationships/hyperlink" Target="https://www.iqiyi.com/w_19s0a192ml.html" TargetMode="External"/><Relationship Id="rId12" Type="http://schemas.openxmlformats.org/officeDocument/2006/relationships/hyperlink" Target="https://www.iqiyi.com/v_nsv75wrejw.html" TargetMode="External"/><Relationship Id="rId108" Type="http://schemas.openxmlformats.org/officeDocument/2006/relationships/hyperlink" Target="https://www.iqiyi.com/v_f51n0msea4.html" TargetMode="External"/><Relationship Id="rId315" Type="http://schemas.openxmlformats.org/officeDocument/2006/relationships/hyperlink" Target="https://www.iqiyi.com/v_1vjd6c9a2ew.html" TargetMode="External"/><Relationship Id="rId522" Type="http://schemas.openxmlformats.org/officeDocument/2006/relationships/hyperlink" Target="https://www.iqiyi.com/v_19rxsmdl1s.html" TargetMode="External"/><Relationship Id="rId967" Type="http://schemas.openxmlformats.org/officeDocument/2006/relationships/hyperlink" Target="https://www.iqiyi.com/v_19rr4298wg.html" TargetMode="External"/><Relationship Id="rId1152" Type="http://schemas.openxmlformats.org/officeDocument/2006/relationships/hyperlink" Target="https://www.iqiyi.com/w_19rwqknva5.html" TargetMode="External"/><Relationship Id="rId96" Type="http://schemas.openxmlformats.org/officeDocument/2006/relationships/hyperlink" Target="https://www.iqiyi.com/v_1n5ooz76w8o.html" TargetMode="External"/><Relationship Id="rId161" Type="http://schemas.openxmlformats.org/officeDocument/2006/relationships/hyperlink" Target="https://www.iqiyi.com/v_23inkrfcqnc.html" TargetMode="External"/><Relationship Id="rId399" Type="http://schemas.openxmlformats.org/officeDocument/2006/relationships/hyperlink" Target="https://www.iqiyi.com/v_f51n0nnc1g.html" TargetMode="External"/><Relationship Id="rId827" Type="http://schemas.openxmlformats.org/officeDocument/2006/relationships/hyperlink" Target="https://www.iqiyi.com/v_19rs6o9f08.html" TargetMode="External"/><Relationship Id="rId1012" Type="http://schemas.openxmlformats.org/officeDocument/2006/relationships/hyperlink" Target="https://www.iqiyi.com/w_19s0wja761.html" TargetMode="External"/><Relationship Id="rId259" Type="http://schemas.openxmlformats.org/officeDocument/2006/relationships/hyperlink" Target="https://www.iqiyi.com/v_mdmbokc4qc.html" TargetMode="External"/><Relationship Id="rId466" Type="http://schemas.openxmlformats.org/officeDocument/2006/relationships/hyperlink" Target="https://www.iqiyi.com/v_cphfhgndb8.html" TargetMode="External"/><Relationship Id="rId673" Type="http://schemas.openxmlformats.org/officeDocument/2006/relationships/hyperlink" Target="https://www.iqiyi.com/v_19ruw7ko58.html" TargetMode="External"/><Relationship Id="rId880" Type="http://schemas.openxmlformats.org/officeDocument/2006/relationships/hyperlink" Target="https://www.iqiyi.com/v_19rqv9ijgw.html" TargetMode="External"/><Relationship Id="rId1096" Type="http://schemas.openxmlformats.org/officeDocument/2006/relationships/hyperlink" Target="https://www.iqiyi.com/w_19rzv73cdh.html" TargetMode="External"/><Relationship Id="rId23" Type="http://schemas.openxmlformats.org/officeDocument/2006/relationships/hyperlink" Target="https://www.iqiyi.com/v_23qqzvqn4ck.html" TargetMode="External"/><Relationship Id="rId119" Type="http://schemas.openxmlformats.org/officeDocument/2006/relationships/hyperlink" Target="https://www.iqiyi.com/v_n32rmtnbvg.html" TargetMode="External"/><Relationship Id="rId326" Type="http://schemas.openxmlformats.org/officeDocument/2006/relationships/hyperlink" Target="https://www.iqiyi.com/v_f07cyemlo8.html" TargetMode="External"/><Relationship Id="rId533" Type="http://schemas.openxmlformats.org/officeDocument/2006/relationships/hyperlink" Target="https://www.iqiyi.com/v_19rxoxxcsg.html" TargetMode="External"/><Relationship Id="rId978" Type="http://schemas.openxmlformats.org/officeDocument/2006/relationships/hyperlink" Target="https://www.iqiyi.com/w_19s1z0hccx.html" TargetMode="External"/><Relationship Id="rId1163" Type="http://schemas.openxmlformats.org/officeDocument/2006/relationships/hyperlink" Target="https://www.iqiyi.com/w_19rwi5aucx.html" TargetMode="External"/><Relationship Id="rId740" Type="http://schemas.openxmlformats.org/officeDocument/2006/relationships/hyperlink" Target="https://www.iqiyi.com/v_19rtyysv3c.html" TargetMode="External"/><Relationship Id="rId838" Type="http://schemas.openxmlformats.org/officeDocument/2006/relationships/hyperlink" Target="https://www.iqiyi.com/v_19rsjs8h08.html" TargetMode="External"/><Relationship Id="rId1023" Type="http://schemas.openxmlformats.org/officeDocument/2006/relationships/hyperlink" Target="https://www.iqiyi.com/w_19s13yoy0p.html" TargetMode="External"/><Relationship Id="rId172" Type="http://schemas.openxmlformats.org/officeDocument/2006/relationships/hyperlink" Target="https://www.iqiyi.com/v_j4xicqdmpo.html" TargetMode="External"/><Relationship Id="rId477" Type="http://schemas.openxmlformats.org/officeDocument/2006/relationships/hyperlink" Target="https://www.iqiyi.com/v_14iqdjktfg4.html" TargetMode="External"/><Relationship Id="rId600" Type="http://schemas.openxmlformats.org/officeDocument/2006/relationships/hyperlink" Target="https://www.iqiyi.com/v_19rx5pe4nw.html" TargetMode="External"/><Relationship Id="rId684" Type="http://schemas.openxmlformats.org/officeDocument/2006/relationships/hyperlink" Target="https://www.iqiyi.com/v_19rvcc6mec.html" TargetMode="External"/><Relationship Id="rId337" Type="http://schemas.openxmlformats.org/officeDocument/2006/relationships/hyperlink" Target="https://www.iqiyi.com/v_2dd4xo3augo.html" TargetMode="External"/><Relationship Id="rId891" Type="http://schemas.openxmlformats.org/officeDocument/2006/relationships/hyperlink" Target="https://www.iqiyi.com/v_19rqxmejqo.html" TargetMode="External"/><Relationship Id="rId905" Type="http://schemas.openxmlformats.org/officeDocument/2006/relationships/hyperlink" Target="https://www.iqiyi.com/v_19rqvycexg.html" TargetMode="External"/><Relationship Id="rId989" Type="http://schemas.openxmlformats.org/officeDocument/2006/relationships/hyperlink" Target="https://www.iqiyi.com/w_19s0lvze69.html" TargetMode="External"/><Relationship Id="rId34" Type="http://schemas.openxmlformats.org/officeDocument/2006/relationships/hyperlink" Target="https://www.iqiyi.com/v_1cmg22y3jw0.html" TargetMode="External"/><Relationship Id="rId544" Type="http://schemas.openxmlformats.org/officeDocument/2006/relationships/hyperlink" Target="https://www.iqiyi.com/v_19ry1iqqsk.html" TargetMode="External"/><Relationship Id="rId751" Type="http://schemas.openxmlformats.org/officeDocument/2006/relationships/hyperlink" Target="https://www.iqiyi.com/v_19ruluk5l4.html" TargetMode="External"/><Relationship Id="rId849" Type="http://schemas.openxmlformats.org/officeDocument/2006/relationships/hyperlink" Target="https://www.iqiyi.com/v_19rsgfssvg.html" TargetMode="External"/><Relationship Id="rId183" Type="http://schemas.openxmlformats.org/officeDocument/2006/relationships/hyperlink" Target="https://www.iqiyi.com/v_1ymadtms6ww.html" TargetMode="External"/><Relationship Id="rId390" Type="http://schemas.openxmlformats.org/officeDocument/2006/relationships/hyperlink" Target="https://www.iqiyi.com/v_lwdwjqkovo.html" TargetMode="External"/><Relationship Id="rId404" Type="http://schemas.openxmlformats.org/officeDocument/2006/relationships/hyperlink" Target="https://www.iqiyi.com/v_28mic11whno.html" TargetMode="External"/><Relationship Id="rId611" Type="http://schemas.openxmlformats.org/officeDocument/2006/relationships/hyperlink" Target="https://www.iqiyi.com/v_19rvvk02hw.html" TargetMode="External"/><Relationship Id="rId1034" Type="http://schemas.openxmlformats.org/officeDocument/2006/relationships/hyperlink" Target="https://www.iqiyi.com/w_19s14oc0vl.html" TargetMode="External"/><Relationship Id="rId250" Type="http://schemas.openxmlformats.org/officeDocument/2006/relationships/hyperlink" Target="https://www.iqiyi.com/v_1yd3u0ldpq8.html" TargetMode="External"/><Relationship Id="rId488" Type="http://schemas.openxmlformats.org/officeDocument/2006/relationships/hyperlink" Target="https://www.iqiyi.com/v_2ffkwy9nfwk.html" TargetMode="External"/><Relationship Id="rId695" Type="http://schemas.openxmlformats.org/officeDocument/2006/relationships/hyperlink" Target="https://www.iqiyi.com/v_19rvkh88q4.html" TargetMode="External"/><Relationship Id="rId709" Type="http://schemas.openxmlformats.org/officeDocument/2006/relationships/hyperlink" Target="https://www.iqiyi.com/v_19rvi3iqo0.html" TargetMode="External"/><Relationship Id="rId916" Type="http://schemas.openxmlformats.org/officeDocument/2006/relationships/hyperlink" Target="https://www.iqiyi.com/v_19rqpyiv48.html" TargetMode="External"/><Relationship Id="rId1101" Type="http://schemas.openxmlformats.org/officeDocument/2006/relationships/hyperlink" Target="https://www.iqiyi.com/w_19rzxbva4l.html" TargetMode="External"/><Relationship Id="rId45" Type="http://schemas.openxmlformats.org/officeDocument/2006/relationships/hyperlink" Target="https://www.iqiyi.com/v_gwj1n0u870.html" TargetMode="External"/><Relationship Id="rId110" Type="http://schemas.openxmlformats.org/officeDocument/2006/relationships/hyperlink" Target="https://www.iqiyi.com/v_1t1z93e5pgc.html" TargetMode="External"/><Relationship Id="rId348" Type="http://schemas.openxmlformats.org/officeDocument/2006/relationships/hyperlink" Target="https://www.iqiyi.com/v_xqbuvyl9mc.html" TargetMode="External"/><Relationship Id="rId555" Type="http://schemas.openxmlformats.org/officeDocument/2006/relationships/hyperlink" Target="https://www.iqiyi.com/v_19ry9ivekc.html" TargetMode="External"/><Relationship Id="rId762" Type="http://schemas.openxmlformats.org/officeDocument/2006/relationships/hyperlink" Target="https://www.iqiyi.com/v_19rt3apwg8.html" TargetMode="External"/><Relationship Id="rId194" Type="http://schemas.openxmlformats.org/officeDocument/2006/relationships/hyperlink" Target="https://www.iqiyi.com/v_1kzf2cy2qq4.html" TargetMode="External"/><Relationship Id="rId208" Type="http://schemas.openxmlformats.org/officeDocument/2006/relationships/hyperlink" Target="https://www.iqiyi.com/v_2b3kfhfd7fo.html" TargetMode="External"/><Relationship Id="rId415" Type="http://schemas.openxmlformats.org/officeDocument/2006/relationships/hyperlink" Target="https://www.iqiyi.com/v_giqcbo4lvs.html" TargetMode="External"/><Relationship Id="rId622" Type="http://schemas.openxmlformats.org/officeDocument/2006/relationships/hyperlink" Target="https://www.iqiyi.com/v_19rvxuquv8.html" TargetMode="External"/><Relationship Id="rId1045" Type="http://schemas.openxmlformats.org/officeDocument/2006/relationships/hyperlink" Target="https://www.iqiyi.com/w_19s1cg8zy5.html" TargetMode="External"/><Relationship Id="rId261" Type="http://schemas.openxmlformats.org/officeDocument/2006/relationships/hyperlink" Target="https://www.iqiyi.com/v_1jjcdjv8cz4.html" TargetMode="External"/><Relationship Id="rId499" Type="http://schemas.openxmlformats.org/officeDocument/2006/relationships/hyperlink" Target="https://www.iqiyi.com/v_19rzkarjy8.html" TargetMode="External"/><Relationship Id="rId927" Type="http://schemas.openxmlformats.org/officeDocument/2006/relationships/hyperlink" Target="https://www.iqiyi.com/v_19rqppw8rs.html" TargetMode="External"/><Relationship Id="rId1112" Type="http://schemas.openxmlformats.org/officeDocument/2006/relationships/hyperlink" Target="https://www.iqiyi.com/w_19s07jf3e5.html" TargetMode="External"/><Relationship Id="rId56" Type="http://schemas.openxmlformats.org/officeDocument/2006/relationships/hyperlink" Target="https://www.iqiyi.com/v_a1zkraznmo.html" TargetMode="External"/><Relationship Id="rId359" Type="http://schemas.openxmlformats.org/officeDocument/2006/relationships/hyperlink" Target="https://www.iqiyi.com/v_hjnjf8enx8.html" TargetMode="External"/><Relationship Id="rId566" Type="http://schemas.openxmlformats.org/officeDocument/2006/relationships/hyperlink" Target="https://www.iqiyi.com/v_19ry7mbr3k.html" TargetMode="External"/><Relationship Id="rId773" Type="http://schemas.openxmlformats.org/officeDocument/2006/relationships/hyperlink" Target="https://www.iqiyi.com/v_19rt6rzc34.html" TargetMode="External"/><Relationship Id="rId121" Type="http://schemas.openxmlformats.org/officeDocument/2006/relationships/hyperlink" Target="https://www.iqiyi.com/v_1slhcld15o4.html" TargetMode="External"/><Relationship Id="rId219" Type="http://schemas.openxmlformats.org/officeDocument/2006/relationships/hyperlink" Target="https://www.iqiyi.com/v_uscurycmg8.html" TargetMode="External"/><Relationship Id="rId426" Type="http://schemas.openxmlformats.org/officeDocument/2006/relationships/hyperlink" Target="https://www.iqiyi.com/v_lspctojs7c.html" TargetMode="External"/><Relationship Id="rId633" Type="http://schemas.openxmlformats.org/officeDocument/2006/relationships/hyperlink" Target="https://www.iqiyi.com/v_19rw79yoh8.html" TargetMode="External"/><Relationship Id="rId980" Type="http://schemas.openxmlformats.org/officeDocument/2006/relationships/hyperlink" Target="https://www.iqiyi.com/w_19s1zxt7up.html" TargetMode="External"/><Relationship Id="rId1056" Type="http://schemas.openxmlformats.org/officeDocument/2006/relationships/hyperlink" Target="https://www.iqiyi.com/w_19rzr90sc9.html" TargetMode="External"/><Relationship Id="rId840" Type="http://schemas.openxmlformats.org/officeDocument/2006/relationships/hyperlink" Target="https://www.iqiyi.com/v_19rsnysgpk.html" TargetMode="External"/><Relationship Id="rId938" Type="http://schemas.openxmlformats.org/officeDocument/2006/relationships/hyperlink" Target="https://www.iqiyi.com/v_19rqsik3rw.html" TargetMode="External"/><Relationship Id="rId67" Type="http://schemas.openxmlformats.org/officeDocument/2006/relationships/hyperlink" Target="https://www.iqiyi.com/v_1gw35ojs0s8.html" TargetMode="External"/><Relationship Id="rId272" Type="http://schemas.openxmlformats.org/officeDocument/2006/relationships/hyperlink" Target="https://www.iqiyi.com/v_21rtjvaaz8g.html" TargetMode="External"/><Relationship Id="rId577" Type="http://schemas.openxmlformats.org/officeDocument/2006/relationships/hyperlink" Target="https://www.iqiyi.com/v_19ryci57g0.html" TargetMode="External"/><Relationship Id="rId700" Type="http://schemas.openxmlformats.org/officeDocument/2006/relationships/hyperlink" Target="https://www.iqiyi.com/v_19rvmd3f7c.html" TargetMode="External"/><Relationship Id="rId1123" Type="http://schemas.openxmlformats.org/officeDocument/2006/relationships/hyperlink" Target="https://www.iqiyi.com/w_19rz172u0x.html" TargetMode="External"/><Relationship Id="rId132" Type="http://schemas.openxmlformats.org/officeDocument/2006/relationships/hyperlink" Target="https://www.iqiyi.com/v_1u0x3s05g20.html" TargetMode="External"/><Relationship Id="rId784" Type="http://schemas.openxmlformats.org/officeDocument/2006/relationships/hyperlink" Target="https://www.iqiyi.com/v_19rrtfmi0c.html" TargetMode="External"/><Relationship Id="rId991" Type="http://schemas.openxmlformats.org/officeDocument/2006/relationships/hyperlink" Target="https://www.iqiyi.com/w_19s0ohxay1.html" TargetMode="External"/><Relationship Id="rId1067" Type="http://schemas.openxmlformats.org/officeDocument/2006/relationships/hyperlink" Target="https://www.iqiyi.com/w_19rzvshhjd.html" TargetMode="External"/><Relationship Id="rId437" Type="http://schemas.openxmlformats.org/officeDocument/2006/relationships/hyperlink" Target="https://www.iqiyi.com/v_24rnyd774h0.html" TargetMode="External"/><Relationship Id="rId644" Type="http://schemas.openxmlformats.org/officeDocument/2006/relationships/hyperlink" Target="https://www.iqiyi.com/v_19rwgt5g84.html" TargetMode="External"/><Relationship Id="rId851" Type="http://schemas.openxmlformats.org/officeDocument/2006/relationships/hyperlink" Target="https://www.iqiyi.com/v_19rsgxow3s.html" TargetMode="External"/><Relationship Id="rId283" Type="http://schemas.openxmlformats.org/officeDocument/2006/relationships/hyperlink" Target="https://www.iqiyi.com/v_rdhjh822u8.html" TargetMode="External"/><Relationship Id="rId490" Type="http://schemas.openxmlformats.org/officeDocument/2006/relationships/hyperlink" Target="https://www.iqiyi.com/v_19rz5yoa6o.html" TargetMode="External"/><Relationship Id="rId504" Type="http://schemas.openxmlformats.org/officeDocument/2006/relationships/hyperlink" Target="https://www.iqiyi.com/v_2ffkwsiz3q4.html" TargetMode="External"/><Relationship Id="rId711" Type="http://schemas.openxmlformats.org/officeDocument/2006/relationships/hyperlink" Target="https://www.iqiyi.com/v_19rvgu320o.html" TargetMode="External"/><Relationship Id="rId949" Type="http://schemas.openxmlformats.org/officeDocument/2006/relationships/hyperlink" Target="https://www.iqiyi.com/v_19rqsal5lc.html" TargetMode="External"/><Relationship Id="rId1134" Type="http://schemas.openxmlformats.org/officeDocument/2006/relationships/hyperlink" Target="https://www.iqiyi.com/w_19rwq8p7qt.html" TargetMode="External"/><Relationship Id="rId78" Type="http://schemas.openxmlformats.org/officeDocument/2006/relationships/hyperlink" Target="https://www.iqiyi.com/v_15nn7q569sk.html" TargetMode="External"/><Relationship Id="rId143" Type="http://schemas.openxmlformats.org/officeDocument/2006/relationships/hyperlink" Target="https://www.iqiyi.com/v_22gkac3fslc.html" TargetMode="External"/><Relationship Id="rId350" Type="http://schemas.openxmlformats.org/officeDocument/2006/relationships/hyperlink" Target="https://www.iqiyi.com/v_1gq89colbw4.html" TargetMode="External"/><Relationship Id="rId588" Type="http://schemas.openxmlformats.org/officeDocument/2006/relationships/hyperlink" Target="https://www.iqiyi.com/v_19rwphkcjc.html" TargetMode="External"/><Relationship Id="rId795" Type="http://schemas.openxmlformats.org/officeDocument/2006/relationships/hyperlink" Target="https://www.iqiyi.com/v_19rs3caq74.html" TargetMode="External"/><Relationship Id="rId809" Type="http://schemas.openxmlformats.org/officeDocument/2006/relationships/hyperlink" Target="https://www.iqiyi.com/v_19rs06rx0o.html" TargetMode="External"/><Relationship Id="rId9" Type="http://schemas.openxmlformats.org/officeDocument/2006/relationships/hyperlink" Target="https://www.iqiyi.com/v_2a7l2ilbkz8.html" TargetMode="External"/><Relationship Id="rId210" Type="http://schemas.openxmlformats.org/officeDocument/2006/relationships/hyperlink" Target="https://www.iqiyi.com/v_1u0x3rzzbjs.html" TargetMode="External"/><Relationship Id="rId448" Type="http://schemas.openxmlformats.org/officeDocument/2006/relationships/hyperlink" Target="https://www.iqiyi.com/v_1xm28l7m3pk.html" TargetMode="External"/><Relationship Id="rId655" Type="http://schemas.openxmlformats.org/officeDocument/2006/relationships/hyperlink" Target="https://www.iqiyi.com/v_19ruorjloc.html" TargetMode="External"/><Relationship Id="rId862" Type="http://schemas.openxmlformats.org/officeDocument/2006/relationships/hyperlink" Target="https://www.iqiyi.com/v_19rsjq84fg.html" TargetMode="External"/><Relationship Id="rId1078" Type="http://schemas.openxmlformats.org/officeDocument/2006/relationships/hyperlink" Target="https://www.iqiyi.com/w_19rzwd0d9x.html" TargetMode="External"/><Relationship Id="rId294" Type="http://schemas.openxmlformats.org/officeDocument/2006/relationships/hyperlink" Target="https://www.iqiyi.com/v_1n53v7c1f7c.html" TargetMode="External"/><Relationship Id="rId308" Type="http://schemas.openxmlformats.org/officeDocument/2006/relationships/hyperlink" Target="https://www.iqiyi.com/v_28i22ouechw.html" TargetMode="External"/><Relationship Id="rId515" Type="http://schemas.openxmlformats.org/officeDocument/2006/relationships/hyperlink" Target="https://www.iqiyi.com/v_19rxs7eqmw.html" TargetMode="External"/><Relationship Id="rId722" Type="http://schemas.openxmlformats.org/officeDocument/2006/relationships/hyperlink" Target="https://www.iqiyi.com/v_19rtpr74wc.html" TargetMode="External"/><Relationship Id="rId1145" Type="http://schemas.openxmlformats.org/officeDocument/2006/relationships/hyperlink" Target="https://www.iqiyi.com/w_19rwrbmkn1.html" TargetMode="External"/><Relationship Id="rId89" Type="http://schemas.openxmlformats.org/officeDocument/2006/relationships/hyperlink" Target="https://www.iqiyi.com/v_2a1q62jdmmw.html" TargetMode="External"/><Relationship Id="rId154" Type="http://schemas.openxmlformats.org/officeDocument/2006/relationships/hyperlink" Target="https://www.iqiyi.com/v_28eaegab4fw.html" TargetMode="External"/><Relationship Id="rId361" Type="http://schemas.openxmlformats.org/officeDocument/2006/relationships/hyperlink" Target="https://www.iqiyi.com/v_hwsvqgv4xg.html" TargetMode="External"/><Relationship Id="rId599" Type="http://schemas.openxmlformats.org/officeDocument/2006/relationships/hyperlink" Target="https://www.iqiyi.com/v_19rxavwfo4.html" TargetMode="External"/><Relationship Id="rId1005" Type="http://schemas.openxmlformats.org/officeDocument/2006/relationships/hyperlink" Target="https://www.iqiyi.com/w_19s0vca349.html" TargetMode="External"/><Relationship Id="rId459" Type="http://schemas.openxmlformats.org/officeDocument/2006/relationships/hyperlink" Target="https://www.iqiyi.com/v_rm5urt347g.html" TargetMode="External"/><Relationship Id="rId666" Type="http://schemas.openxmlformats.org/officeDocument/2006/relationships/hyperlink" Target="https://www.iqiyi.com/v_19rv4x7dog.html" TargetMode="External"/><Relationship Id="rId873" Type="http://schemas.openxmlformats.org/officeDocument/2006/relationships/hyperlink" Target="https://www.iqiyi.com/v_19rshuiqxo.html" TargetMode="External"/><Relationship Id="rId1089" Type="http://schemas.openxmlformats.org/officeDocument/2006/relationships/hyperlink" Target="https://www.iqiyi.com/w_19s02uhzml.html" TargetMode="External"/><Relationship Id="rId16" Type="http://schemas.openxmlformats.org/officeDocument/2006/relationships/hyperlink" Target="https://www.iqiyi.com/v_25nx3njjfbg.html" TargetMode="External"/><Relationship Id="rId221" Type="http://schemas.openxmlformats.org/officeDocument/2006/relationships/hyperlink" Target="https://www.iqiyi.com/v_1s40j847frg.html" TargetMode="External"/><Relationship Id="rId319" Type="http://schemas.openxmlformats.org/officeDocument/2006/relationships/hyperlink" Target="https://www.iqiyi.com/v_1d3xlv99v9g.html" TargetMode="External"/><Relationship Id="rId526" Type="http://schemas.openxmlformats.org/officeDocument/2006/relationships/hyperlink" Target="https://www.iqiyi.com/v_19rxn837wo.html" TargetMode="External"/><Relationship Id="rId1156" Type="http://schemas.openxmlformats.org/officeDocument/2006/relationships/hyperlink" Target="https://www.iqiyi.com/w_19rwhxyjol.html" TargetMode="External"/><Relationship Id="rId733" Type="http://schemas.openxmlformats.org/officeDocument/2006/relationships/hyperlink" Target="https://www.iqiyi.com/v_19ru4e8pjc.html" TargetMode="External"/><Relationship Id="rId940" Type="http://schemas.openxmlformats.org/officeDocument/2006/relationships/hyperlink" Target="https://www.iqiyi.com/v_19rqsy49l4.html" TargetMode="External"/><Relationship Id="rId1016" Type="http://schemas.openxmlformats.org/officeDocument/2006/relationships/hyperlink" Target="https://www.iqiyi.com/w_19s1815r0h.html" TargetMode="External"/><Relationship Id="rId165" Type="http://schemas.openxmlformats.org/officeDocument/2006/relationships/hyperlink" Target="https://www.iqiyi.com/v_wh60ii4sac.html" TargetMode="External"/><Relationship Id="rId372" Type="http://schemas.openxmlformats.org/officeDocument/2006/relationships/hyperlink" Target="https://www.iqiyi.com/v_1hfjibfmt4g.html" TargetMode="External"/><Relationship Id="rId677" Type="http://schemas.openxmlformats.org/officeDocument/2006/relationships/hyperlink" Target="https://www.iqiyi.com/v_19ruyj4kyw.html" TargetMode="External"/><Relationship Id="rId800" Type="http://schemas.openxmlformats.org/officeDocument/2006/relationships/hyperlink" Target="https://www.iqiyi.com/v_19rrzdqgl4.html" TargetMode="External"/><Relationship Id="rId232" Type="http://schemas.openxmlformats.org/officeDocument/2006/relationships/hyperlink" Target="https://www.iqiyi.com/v_hbk4n4wja8.html" TargetMode="External"/><Relationship Id="rId884" Type="http://schemas.openxmlformats.org/officeDocument/2006/relationships/hyperlink" Target="https://www.iqiyi.com/v_19rquim6og.html" TargetMode="External"/><Relationship Id="rId27" Type="http://schemas.openxmlformats.org/officeDocument/2006/relationships/hyperlink" Target="https://www.iqiyi.com/v_adqqrhx5qo.html" TargetMode="External"/><Relationship Id="rId537" Type="http://schemas.openxmlformats.org/officeDocument/2006/relationships/hyperlink" Target="https://www.iqiyi.com/v_19ry0ih6w4.html" TargetMode="External"/><Relationship Id="rId744" Type="http://schemas.openxmlformats.org/officeDocument/2006/relationships/hyperlink" Target="https://www.iqiyi.com/v_19ru6syiro.html" TargetMode="External"/><Relationship Id="rId951" Type="http://schemas.openxmlformats.org/officeDocument/2006/relationships/hyperlink" Target="https://www.iqiyi.com/v_19rqrne8sk.html" TargetMode="External"/><Relationship Id="rId80" Type="http://schemas.openxmlformats.org/officeDocument/2006/relationships/hyperlink" Target="https://www.iqiyi.com/v_154wz2blat0.html" TargetMode="External"/><Relationship Id="rId176" Type="http://schemas.openxmlformats.org/officeDocument/2006/relationships/hyperlink" Target="https://www.iqiyi.com/v_1xwvbs5s9fg.html" TargetMode="External"/><Relationship Id="rId383" Type="http://schemas.openxmlformats.org/officeDocument/2006/relationships/hyperlink" Target="https://www.iqiyi.com/v_1nsk43hvg58.html" TargetMode="External"/><Relationship Id="rId590" Type="http://schemas.openxmlformats.org/officeDocument/2006/relationships/hyperlink" Target="https://www.iqiyi.com/v_19rx3mqccc.html" TargetMode="External"/><Relationship Id="rId604" Type="http://schemas.openxmlformats.org/officeDocument/2006/relationships/hyperlink" Target="https://www.iqiyi.com/v_19rxi4717k.html" TargetMode="External"/><Relationship Id="rId811" Type="http://schemas.openxmlformats.org/officeDocument/2006/relationships/hyperlink" Target="https://www.iqiyi.com/v_19rsc0loxg.html" TargetMode="External"/><Relationship Id="rId1027" Type="http://schemas.openxmlformats.org/officeDocument/2006/relationships/hyperlink" Target="https://www.iqiyi.com/w_19s129ep5d.html" TargetMode="External"/><Relationship Id="rId243" Type="http://schemas.openxmlformats.org/officeDocument/2006/relationships/hyperlink" Target="https://www.iqiyi.com/v_1qna2421jak.html" TargetMode="External"/><Relationship Id="rId450" Type="http://schemas.openxmlformats.org/officeDocument/2006/relationships/hyperlink" Target="https://www.iqiyi.com/v_1ripuekv4k4.html" TargetMode="External"/><Relationship Id="rId688" Type="http://schemas.openxmlformats.org/officeDocument/2006/relationships/hyperlink" Target="https://www.iqiyi.com/v_19rv56tfs4.html" TargetMode="External"/><Relationship Id="rId895" Type="http://schemas.openxmlformats.org/officeDocument/2006/relationships/hyperlink" Target="https://www.iqiyi.com/v_19rqx6rzo4.html" TargetMode="External"/><Relationship Id="rId909" Type="http://schemas.openxmlformats.org/officeDocument/2006/relationships/hyperlink" Target="https://www.iqiyi.com/v_19rqqvv48g.html" TargetMode="External"/><Relationship Id="rId1080" Type="http://schemas.openxmlformats.org/officeDocument/2006/relationships/hyperlink" Target="https://www.iqiyi.com/w_19s08vnv5x.html" TargetMode="External"/><Relationship Id="rId38" Type="http://schemas.openxmlformats.org/officeDocument/2006/relationships/hyperlink" Target="https://www.iqiyi.com/v_2bb4mxgq2n8.html" TargetMode="External"/><Relationship Id="rId103" Type="http://schemas.openxmlformats.org/officeDocument/2006/relationships/hyperlink" Target="https://www.iqiyi.com/v_1r95vc6g1og.html" TargetMode="External"/><Relationship Id="rId310" Type="http://schemas.openxmlformats.org/officeDocument/2006/relationships/hyperlink" Target="https://www.iqiyi.com/v_jnkg432d8s.html" TargetMode="External"/><Relationship Id="rId548" Type="http://schemas.openxmlformats.org/officeDocument/2006/relationships/hyperlink" Target="https://www.iqiyi.com/v_19rxv8o6v4.html" TargetMode="External"/><Relationship Id="rId755" Type="http://schemas.openxmlformats.org/officeDocument/2006/relationships/hyperlink" Target="https://www.iqiyi.com/v_19rsud0fhs.html" TargetMode="External"/><Relationship Id="rId962" Type="http://schemas.openxmlformats.org/officeDocument/2006/relationships/hyperlink" Target="https://www.iqiyi.com/v_19rr4gmyc8.html" TargetMode="External"/><Relationship Id="rId91" Type="http://schemas.openxmlformats.org/officeDocument/2006/relationships/hyperlink" Target="https://www.iqiyi.com/v_24v1lhttp1k.html" TargetMode="External"/><Relationship Id="rId187" Type="http://schemas.openxmlformats.org/officeDocument/2006/relationships/hyperlink" Target="https://www.iqiyi.com/v_wkpxdyvxr4.html" TargetMode="External"/><Relationship Id="rId394" Type="http://schemas.openxmlformats.org/officeDocument/2006/relationships/hyperlink" Target="https://www.iqiyi.com/v_1vce688zcn0.html" TargetMode="External"/><Relationship Id="rId408" Type="http://schemas.openxmlformats.org/officeDocument/2006/relationships/hyperlink" Target="https://www.iqiyi.com/v_g7bqbpc1bs.html" TargetMode="External"/><Relationship Id="rId615" Type="http://schemas.openxmlformats.org/officeDocument/2006/relationships/hyperlink" Target="https://www.iqiyi.com/v_19rvphg95s.html" TargetMode="External"/><Relationship Id="rId822" Type="http://schemas.openxmlformats.org/officeDocument/2006/relationships/hyperlink" Target="https://www.iqiyi.com/v_19rsdemf54.html" TargetMode="External"/><Relationship Id="rId1038" Type="http://schemas.openxmlformats.org/officeDocument/2006/relationships/hyperlink" Target="https://www.iqiyi.com/w_19s1jnll01.html" TargetMode="External"/><Relationship Id="rId254" Type="http://schemas.openxmlformats.org/officeDocument/2006/relationships/hyperlink" Target="https://www.iqiyi.com/v_zp9b0ulpdk.html" TargetMode="External"/><Relationship Id="rId699" Type="http://schemas.openxmlformats.org/officeDocument/2006/relationships/hyperlink" Target="https://www.iqiyi.com/v_19rvjc34qg.html" TargetMode="External"/><Relationship Id="rId1091" Type="http://schemas.openxmlformats.org/officeDocument/2006/relationships/hyperlink" Target="https://www.iqiyi.com/w_19s05we4et.html" TargetMode="External"/><Relationship Id="rId1105" Type="http://schemas.openxmlformats.org/officeDocument/2006/relationships/hyperlink" Target="https://www.iqiyi.com/w_19rzwc50r1.html" TargetMode="External"/><Relationship Id="rId49" Type="http://schemas.openxmlformats.org/officeDocument/2006/relationships/hyperlink" Target="https://www.iqiyi.com/v_1ensa4i2vy8.html" TargetMode="External"/><Relationship Id="rId114" Type="http://schemas.openxmlformats.org/officeDocument/2006/relationships/hyperlink" Target="https://www.iqiyi.com/v_23mibr9dlmc.html" TargetMode="External"/><Relationship Id="rId461" Type="http://schemas.openxmlformats.org/officeDocument/2006/relationships/hyperlink" Target="https://www.iqiyi.com/v_mq3ogags8o.html" TargetMode="External"/><Relationship Id="rId559" Type="http://schemas.openxmlformats.org/officeDocument/2006/relationships/hyperlink" Target="https://www.iqiyi.com/v_19rybdi0as.html" TargetMode="External"/><Relationship Id="rId766" Type="http://schemas.openxmlformats.org/officeDocument/2006/relationships/hyperlink" Target="https://www.iqiyi.com/v_19rsyfrljo.html" TargetMode="External"/><Relationship Id="rId198" Type="http://schemas.openxmlformats.org/officeDocument/2006/relationships/hyperlink" Target="https://www.iqiyi.com/v_14006zhf2uo.html" TargetMode="External"/><Relationship Id="rId321" Type="http://schemas.openxmlformats.org/officeDocument/2006/relationships/hyperlink" Target="https://www.iqiyi.com/v_km3isvdvqk.html" TargetMode="External"/><Relationship Id="rId419" Type="http://schemas.openxmlformats.org/officeDocument/2006/relationships/hyperlink" Target="https://www.iqiyi.com/v_2f329gp466s.html" TargetMode="External"/><Relationship Id="rId626" Type="http://schemas.openxmlformats.org/officeDocument/2006/relationships/hyperlink" Target="https://www.iqiyi.com/v_19rwbw0hzc.html" TargetMode="External"/><Relationship Id="rId973" Type="http://schemas.openxmlformats.org/officeDocument/2006/relationships/hyperlink" Target="https://www.iqiyi.com/w_19s3dmd97t.html" TargetMode="External"/><Relationship Id="rId1049" Type="http://schemas.openxmlformats.org/officeDocument/2006/relationships/hyperlink" Target="https://www.iqiyi.com/w_19s1f2wvmx.html" TargetMode="External"/><Relationship Id="rId833" Type="http://schemas.openxmlformats.org/officeDocument/2006/relationships/hyperlink" Target="https://www.iqiyi.com/v_19rs94h5xo.html" TargetMode="External"/><Relationship Id="rId1116" Type="http://schemas.openxmlformats.org/officeDocument/2006/relationships/hyperlink" Target="https://www.iqiyi.com/w_19s02sfpid.html" TargetMode="External"/><Relationship Id="rId265" Type="http://schemas.openxmlformats.org/officeDocument/2006/relationships/hyperlink" Target="https://www.iqiyi.com/v_1hx6076mpt8.html" TargetMode="External"/><Relationship Id="rId472" Type="http://schemas.openxmlformats.org/officeDocument/2006/relationships/hyperlink" Target="https://www.iqiyi.com/v_2e1yt30xmt8.html" TargetMode="External"/><Relationship Id="rId900" Type="http://schemas.openxmlformats.org/officeDocument/2006/relationships/hyperlink" Target="https://www.iqiyi.com/v_19rqwkec2s.html" TargetMode="External"/><Relationship Id="rId125" Type="http://schemas.openxmlformats.org/officeDocument/2006/relationships/hyperlink" Target="https://www.iqiyi.com/v_1omjg03gekg.html" TargetMode="External"/><Relationship Id="rId332" Type="http://schemas.openxmlformats.org/officeDocument/2006/relationships/hyperlink" Target="https://www.iqiyi.com/v_2b46ajmtfdw.html" TargetMode="External"/><Relationship Id="rId777" Type="http://schemas.openxmlformats.org/officeDocument/2006/relationships/hyperlink" Target="https://www.iqiyi.com/v_19rtjf7gsw.html" TargetMode="External"/><Relationship Id="rId984" Type="http://schemas.openxmlformats.org/officeDocument/2006/relationships/hyperlink" Target="https://www.iqiyi.com/w_19s271eqet.html" TargetMode="External"/><Relationship Id="rId637" Type="http://schemas.openxmlformats.org/officeDocument/2006/relationships/hyperlink" Target="https://www.iqiyi.com/v_19rwlh4gno.html" TargetMode="External"/><Relationship Id="rId844" Type="http://schemas.openxmlformats.org/officeDocument/2006/relationships/hyperlink" Target="https://www.iqiyi.com/v_19rsmhan1o.html" TargetMode="External"/><Relationship Id="rId276" Type="http://schemas.openxmlformats.org/officeDocument/2006/relationships/hyperlink" Target="https://www.iqiyi.com/v_h95ceag6v0.html" TargetMode="External"/><Relationship Id="rId483" Type="http://schemas.openxmlformats.org/officeDocument/2006/relationships/hyperlink" Target="https://www.iqiyi.com/v_19rz4dgza4.html" TargetMode="External"/><Relationship Id="rId690" Type="http://schemas.openxmlformats.org/officeDocument/2006/relationships/hyperlink" Target="https://www.iqiyi.com/v_19rv9cqy4k.html" TargetMode="External"/><Relationship Id="rId704" Type="http://schemas.openxmlformats.org/officeDocument/2006/relationships/hyperlink" Target="https://www.iqiyi.com/v_19rvkvpz1c.html" TargetMode="External"/><Relationship Id="rId911" Type="http://schemas.openxmlformats.org/officeDocument/2006/relationships/hyperlink" Target="https://www.iqiyi.com/v_19rqrcpyi8.html" TargetMode="External"/><Relationship Id="rId1127" Type="http://schemas.openxmlformats.org/officeDocument/2006/relationships/hyperlink" Target="https://www.iqiyi.com/w_19ryvwodtx.html" TargetMode="External"/><Relationship Id="rId40" Type="http://schemas.openxmlformats.org/officeDocument/2006/relationships/hyperlink" Target="https://www.iqiyi.com/v_2314pihvqfo.html" TargetMode="External"/><Relationship Id="rId136" Type="http://schemas.openxmlformats.org/officeDocument/2006/relationships/hyperlink" Target="https://www.iqiyi.com/v_zom7162ags.html" TargetMode="External"/><Relationship Id="rId343" Type="http://schemas.openxmlformats.org/officeDocument/2006/relationships/hyperlink" Target="https://www.iqiyi.com/v_whl037d4vs.html" TargetMode="External"/><Relationship Id="rId550" Type="http://schemas.openxmlformats.org/officeDocument/2006/relationships/hyperlink" Target="https://www.iqiyi.com/v_19rxuzufg8.html" TargetMode="External"/><Relationship Id="rId788" Type="http://schemas.openxmlformats.org/officeDocument/2006/relationships/hyperlink" Target="https://www.iqiyi.com/v_19rrpyabak.html" TargetMode="External"/><Relationship Id="rId995" Type="http://schemas.openxmlformats.org/officeDocument/2006/relationships/hyperlink" Target="https://www.iqiyi.com/w_19s0nezkrx.html" TargetMode="External"/><Relationship Id="rId203" Type="http://schemas.openxmlformats.org/officeDocument/2006/relationships/hyperlink" Target="https://www.iqiyi.com/v_2bx0gdxkbbo.html" TargetMode="External"/><Relationship Id="rId648" Type="http://schemas.openxmlformats.org/officeDocument/2006/relationships/hyperlink" Target="https://www.iqiyi.com/v_19rutanrgc.html" TargetMode="External"/><Relationship Id="rId855" Type="http://schemas.openxmlformats.org/officeDocument/2006/relationships/hyperlink" Target="https://www.iqiyi.com/v_19rsg65h6g.html" TargetMode="External"/><Relationship Id="rId1040" Type="http://schemas.openxmlformats.org/officeDocument/2006/relationships/hyperlink" Target="https://www.iqiyi.com/w_19s1ifi63t.html" TargetMode="External"/><Relationship Id="rId287" Type="http://schemas.openxmlformats.org/officeDocument/2006/relationships/hyperlink" Target="https://www.iqiyi.com/v_1wj4vpi3trk.html" TargetMode="External"/><Relationship Id="rId410" Type="http://schemas.openxmlformats.org/officeDocument/2006/relationships/hyperlink" Target="https://www.iqiyi.com/v_sg9w57h5vs.html" TargetMode="External"/><Relationship Id="rId494" Type="http://schemas.openxmlformats.org/officeDocument/2006/relationships/hyperlink" Target="https://www.iqiyi.com/v_19rzhyt4sg.html" TargetMode="External"/><Relationship Id="rId508" Type="http://schemas.openxmlformats.org/officeDocument/2006/relationships/hyperlink" Target="https://www.iqiyi.com/v_19rzc6gebs.html" TargetMode="External"/><Relationship Id="rId715" Type="http://schemas.openxmlformats.org/officeDocument/2006/relationships/hyperlink" Target="https://www.iqiyi.com/v_19rttmc5fs.html" TargetMode="External"/><Relationship Id="rId922" Type="http://schemas.openxmlformats.org/officeDocument/2006/relationships/hyperlink" Target="https://www.iqiyi.com/v_19rqpdqwd0.html" TargetMode="External"/><Relationship Id="rId1138" Type="http://schemas.openxmlformats.org/officeDocument/2006/relationships/hyperlink" Target="https://www.iqiyi.com/w_19rwo7p8dp.html" TargetMode="External"/><Relationship Id="rId147" Type="http://schemas.openxmlformats.org/officeDocument/2006/relationships/hyperlink" Target="https://www.iqiyi.com/v_1xx9yr7941o.html" TargetMode="External"/><Relationship Id="rId354" Type="http://schemas.openxmlformats.org/officeDocument/2006/relationships/hyperlink" Target="https://www.iqiyi.com/v_11sbif7zcv0.html" TargetMode="External"/><Relationship Id="rId799" Type="http://schemas.openxmlformats.org/officeDocument/2006/relationships/hyperlink" Target="https://www.iqiyi.com/v_19rs5bebkc.html" TargetMode="External"/><Relationship Id="rId51" Type="http://schemas.openxmlformats.org/officeDocument/2006/relationships/hyperlink" Target="https://www.iqiyi.com/v_1v1cfceupmw.html" TargetMode="External"/><Relationship Id="rId561" Type="http://schemas.openxmlformats.org/officeDocument/2006/relationships/hyperlink" Target="https://www.iqiyi.com/v_19ry5ebah8.html" TargetMode="External"/><Relationship Id="rId659" Type="http://schemas.openxmlformats.org/officeDocument/2006/relationships/hyperlink" Target="https://www.iqiyi.com/v_19rur2009c.html" TargetMode="External"/><Relationship Id="rId866" Type="http://schemas.openxmlformats.org/officeDocument/2006/relationships/hyperlink" Target="https://www.iqiyi.com/v_19rsj7cx8o.html" TargetMode="External"/><Relationship Id="rId214" Type="http://schemas.openxmlformats.org/officeDocument/2006/relationships/hyperlink" Target="https://www.iqiyi.com/v_1p6eeku8olw.html" TargetMode="External"/><Relationship Id="rId298" Type="http://schemas.openxmlformats.org/officeDocument/2006/relationships/hyperlink" Target="https://www.iqiyi.com/v_nu4u71ip1g.html" TargetMode="External"/><Relationship Id="rId421" Type="http://schemas.openxmlformats.org/officeDocument/2006/relationships/hyperlink" Target="https://www.iqiyi.com/v_crv6gijcas.html" TargetMode="External"/><Relationship Id="rId519" Type="http://schemas.openxmlformats.org/officeDocument/2006/relationships/hyperlink" Target="https://www.iqiyi.com/v_19rxu66dqw.html" TargetMode="External"/><Relationship Id="rId1051" Type="http://schemas.openxmlformats.org/officeDocument/2006/relationships/hyperlink" Target="https://www.iqiyi.com/w_19s1ejb1wl.html" TargetMode="External"/><Relationship Id="rId1149" Type="http://schemas.openxmlformats.org/officeDocument/2006/relationships/hyperlink" Target="https://www.iqiyi.com/w_19ryf5j5yx.html" TargetMode="External"/><Relationship Id="rId158" Type="http://schemas.openxmlformats.org/officeDocument/2006/relationships/hyperlink" Target="https://www.iqiyi.com/v_1gn3zfaec2w.html" TargetMode="External"/><Relationship Id="rId726" Type="http://schemas.openxmlformats.org/officeDocument/2006/relationships/hyperlink" Target="https://www.iqiyi.com/v_19rtr25t34.html" TargetMode="External"/><Relationship Id="rId933" Type="http://schemas.openxmlformats.org/officeDocument/2006/relationships/hyperlink" Target="https://www.iqiyi.com/v_19rqtiaq5s.html" TargetMode="External"/><Relationship Id="rId1009" Type="http://schemas.openxmlformats.org/officeDocument/2006/relationships/hyperlink" Target="https://www.iqiyi.com/w_19s0xeh715.html" TargetMode="External"/><Relationship Id="rId62" Type="http://schemas.openxmlformats.org/officeDocument/2006/relationships/hyperlink" Target="https://www.iqiyi.com/v_vqtro6ua34.html" TargetMode="External"/><Relationship Id="rId365" Type="http://schemas.openxmlformats.org/officeDocument/2006/relationships/hyperlink" Target="https://www.iqiyi.com/v_aatqcpjrsg.html" TargetMode="External"/><Relationship Id="rId572" Type="http://schemas.openxmlformats.org/officeDocument/2006/relationships/hyperlink" Target="https://www.iqiyi.com/v_19ryky3nvk.html" TargetMode="External"/><Relationship Id="rId225" Type="http://schemas.openxmlformats.org/officeDocument/2006/relationships/hyperlink" Target="https://www.iqiyi.com/v_1rshytn0qmw.html" TargetMode="External"/><Relationship Id="rId432" Type="http://schemas.openxmlformats.org/officeDocument/2006/relationships/hyperlink" Target="https://www.iqiyi.com/v_267ya1q44kk.html" TargetMode="External"/><Relationship Id="rId877" Type="http://schemas.openxmlformats.org/officeDocument/2006/relationships/hyperlink" Target="https://www.iqiyi.com/v_19rquy4irg.html" TargetMode="External"/><Relationship Id="rId1062" Type="http://schemas.openxmlformats.org/officeDocument/2006/relationships/hyperlink" Target="https://www.iqiyi.com/w_19rzzjwh8l.html" TargetMode="External"/><Relationship Id="rId737" Type="http://schemas.openxmlformats.org/officeDocument/2006/relationships/hyperlink" Target="https://www.iqiyi.com/v_19rtwrsjl0.html" TargetMode="External"/><Relationship Id="rId944" Type="http://schemas.openxmlformats.org/officeDocument/2006/relationships/hyperlink" Target="https://www.iqiyi.com/v_19rqs6st04.html" TargetMode="External"/><Relationship Id="rId73" Type="http://schemas.openxmlformats.org/officeDocument/2006/relationships/hyperlink" Target="https://www.iqiyi.com/v_1wtx9jj8j28.html" TargetMode="External"/><Relationship Id="rId169" Type="http://schemas.openxmlformats.org/officeDocument/2006/relationships/hyperlink" Target="https://www.iqiyi.com/v_oildz7oz5w.html" TargetMode="External"/><Relationship Id="rId376" Type="http://schemas.openxmlformats.org/officeDocument/2006/relationships/hyperlink" Target="https://www.iqiyi.com/v_wnuj3u5m7o.html" TargetMode="External"/><Relationship Id="rId583" Type="http://schemas.openxmlformats.org/officeDocument/2006/relationships/hyperlink" Target="https://www.iqiyi.com/v_19rwud9pfg.html" TargetMode="External"/><Relationship Id="rId790" Type="http://schemas.openxmlformats.org/officeDocument/2006/relationships/hyperlink" Target="https://www.iqiyi.com/v_19rrp6ijkk.html" TargetMode="External"/><Relationship Id="rId804" Type="http://schemas.openxmlformats.org/officeDocument/2006/relationships/hyperlink" Target="https://www.iqiyi.com/v_19rs1ymkhg.html" TargetMode="External"/><Relationship Id="rId4" Type="http://schemas.openxmlformats.org/officeDocument/2006/relationships/hyperlink" Target="https://www.iqiyi.com/v_1l8wrhx4ghk.html" TargetMode="External"/><Relationship Id="rId236" Type="http://schemas.openxmlformats.org/officeDocument/2006/relationships/hyperlink" Target="https://www.iqiyi.com/v_1c7atnuhsr4.html" TargetMode="External"/><Relationship Id="rId443" Type="http://schemas.openxmlformats.org/officeDocument/2006/relationships/hyperlink" Target="https://www.iqiyi.com/v_1a2yxs3ia7o.html" TargetMode="External"/><Relationship Id="rId650" Type="http://schemas.openxmlformats.org/officeDocument/2006/relationships/hyperlink" Target="https://www.iqiyi.com/v_19rus5zy0s.html" TargetMode="External"/><Relationship Id="rId888" Type="http://schemas.openxmlformats.org/officeDocument/2006/relationships/hyperlink" Target="https://www.iqiyi.com/v_19rqtxt0v0.html" TargetMode="External"/><Relationship Id="rId1073" Type="http://schemas.openxmlformats.org/officeDocument/2006/relationships/hyperlink" Target="https://www.iqiyi.com/w_19rzxbva4l.html" TargetMode="External"/><Relationship Id="rId303" Type="http://schemas.openxmlformats.org/officeDocument/2006/relationships/hyperlink" Target="https://www.iqiyi.com/v_1bd4diwv8ew.html" TargetMode="External"/><Relationship Id="rId748" Type="http://schemas.openxmlformats.org/officeDocument/2006/relationships/hyperlink" Target="https://www.iqiyi.com/v_19ruk80k5o.html" TargetMode="External"/><Relationship Id="rId955" Type="http://schemas.openxmlformats.org/officeDocument/2006/relationships/hyperlink" Target="https://www.iqiyi.com/v_19rqrpmue4.html" TargetMode="External"/><Relationship Id="rId1140" Type="http://schemas.openxmlformats.org/officeDocument/2006/relationships/hyperlink" Target="https://www.iqiyi.com/w_19rwue8d19.html" TargetMode="External"/><Relationship Id="rId84" Type="http://schemas.openxmlformats.org/officeDocument/2006/relationships/hyperlink" Target="https://www.iqiyi.com/v_cb0kx6h7dg.html" TargetMode="External"/><Relationship Id="rId387" Type="http://schemas.openxmlformats.org/officeDocument/2006/relationships/hyperlink" Target="https://www.iqiyi.com/v_1vsg6xommwo.html" TargetMode="External"/><Relationship Id="rId510" Type="http://schemas.openxmlformats.org/officeDocument/2006/relationships/hyperlink" Target="https://www.iqiyi.com/v_2ffkwt1vf64.html" TargetMode="External"/><Relationship Id="rId594" Type="http://schemas.openxmlformats.org/officeDocument/2006/relationships/hyperlink" Target="https://www.iqiyi.com/v_19rwzanb88.html" TargetMode="External"/><Relationship Id="rId608" Type="http://schemas.openxmlformats.org/officeDocument/2006/relationships/hyperlink" Target="https://www.iqiyi.com/v_19rxd0r2vs.html" TargetMode="External"/><Relationship Id="rId815" Type="http://schemas.openxmlformats.org/officeDocument/2006/relationships/hyperlink" Target="https://www.iqiyi.com/v_19rsex9u5g.html" TargetMode="External"/><Relationship Id="rId247" Type="http://schemas.openxmlformats.org/officeDocument/2006/relationships/hyperlink" Target="https://www.iqiyi.com/v_1mpcms8904c.html" TargetMode="External"/><Relationship Id="rId899" Type="http://schemas.openxmlformats.org/officeDocument/2006/relationships/hyperlink" Target="https://www.iqiyi.com/v_19rqxaytj8.html" TargetMode="External"/><Relationship Id="rId1000" Type="http://schemas.openxmlformats.org/officeDocument/2006/relationships/hyperlink" Target="https://www.iqiyi.com/w_19s11ocbpp.html" TargetMode="External"/><Relationship Id="rId1084" Type="http://schemas.openxmlformats.org/officeDocument/2006/relationships/hyperlink" Target="https://www.iqiyi.com/w_19s07jf3e5.html" TargetMode="External"/><Relationship Id="rId107" Type="http://schemas.openxmlformats.org/officeDocument/2006/relationships/hyperlink" Target="https://www.iqiyi.com/v_1revts53r5k.html" TargetMode="External"/><Relationship Id="rId454" Type="http://schemas.openxmlformats.org/officeDocument/2006/relationships/hyperlink" Target="https://www.iqiyi.com/v_2fcg2o5x3bc.html" TargetMode="External"/><Relationship Id="rId661" Type="http://schemas.openxmlformats.org/officeDocument/2006/relationships/hyperlink" Target="https://www.iqiyi.com/v_19rupxygwk.html" TargetMode="External"/><Relationship Id="rId759" Type="http://schemas.openxmlformats.org/officeDocument/2006/relationships/hyperlink" Target="https://www.iqiyi.com/v_19rspoixq8.html" TargetMode="External"/><Relationship Id="rId966" Type="http://schemas.openxmlformats.org/officeDocument/2006/relationships/hyperlink" Target="https://www.iqiyi.com/v_19rr3v8kno.html" TargetMode="External"/><Relationship Id="rId11" Type="http://schemas.openxmlformats.org/officeDocument/2006/relationships/hyperlink" Target="https://www.iqiyi.com/v_ol606c6wb8.html" TargetMode="External"/><Relationship Id="rId314" Type="http://schemas.openxmlformats.org/officeDocument/2006/relationships/hyperlink" Target="https://www.iqiyi.com/v_p4darh93jg.html" TargetMode="External"/><Relationship Id="rId398" Type="http://schemas.openxmlformats.org/officeDocument/2006/relationships/hyperlink" Target="https://www.iqiyi.com/v_1lf6askamvk.html" TargetMode="External"/><Relationship Id="rId521" Type="http://schemas.openxmlformats.org/officeDocument/2006/relationships/hyperlink" Target="https://www.iqiyi.com/v_19rxty8jio.html" TargetMode="External"/><Relationship Id="rId619" Type="http://schemas.openxmlformats.org/officeDocument/2006/relationships/hyperlink" Target="https://www.iqiyi.com/v_19rvwz43yc.html" TargetMode="External"/><Relationship Id="rId1151" Type="http://schemas.openxmlformats.org/officeDocument/2006/relationships/hyperlink" Target="https://www.iqiyi.com/w_19rwmskpwl.html" TargetMode="External"/><Relationship Id="rId95" Type="http://schemas.openxmlformats.org/officeDocument/2006/relationships/hyperlink" Target="https://www.iqiyi.com/v_1vvuhdtdpvk.html" TargetMode="External"/><Relationship Id="rId160" Type="http://schemas.openxmlformats.org/officeDocument/2006/relationships/hyperlink" Target="https://www.iqiyi.com/v_iovftaj5gs.html" TargetMode="External"/><Relationship Id="rId826" Type="http://schemas.openxmlformats.org/officeDocument/2006/relationships/hyperlink" Target="https://www.iqiyi.com/v_19rs728li8.html" TargetMode="External"/><Relationship Id="rId1011" Type="http://schemas.openxmlformats.org/officeDocument/2006/relationships/hyperlink" Target="https://www.iqiyi.com/w_19s0wi66cl.html" TargetMode="External"/><Relationship Id="rId1109" Type="http://schemas.openxmlformats.org/officeDocument/2006/relationships/hyperlink" Target="https://www.iqiyi.com/w_19s0976qut.html" TargetMode="External"/><Relationship Id="rId258" Type="http://schemas.openxmlformats.org/officeDocument/2006/relationships/hyperlink" Target="https://www.iqiyi.com/v_eoyyzoub0o.html" TargetMode="External"/><Relationship Id="rId465" Type="http://schemas.openxmlformats.org/officeDocument/2006/relationships/hyperlink" Target="https://www.iqiyi.com/v_2dgq8xvmwh8.html" TargetMode="External"/><Relationship Id="rId672" Type="http://schemas.openxmlformats.org/officeDocument/2006/relationships/hyperlink" Target="https://www.iqiyi.com/v_19ruwrltik.html" TargetMode="External"/><Relationship Id="rId1095" Type="http://schemas.openxmlformats.org/officeDocument/2006/relationships/hyperlink" Target="https://www.iqiyi.com/w_19rzvshhjd.html" TargetMode="External"/><Relationship Id="rId22" Type="http://schemas.openxmlformats.org/officeDocument/2006/relationships/hyperlink" Target="https://www.iqiyi.com/v_1qzo676ekr8.html" TargetMode="External"/><Relationship Id="rId118" Type="http://schemas.openxmlformats.org/officeDocument/2006/relationships/hyperlink" Target="https://www.iqiyi.com/v_1tkjnkl03og.html" TargetMode="External"/><Relationship Id="rId325" Type="http://schemas.openxmlformats.org/officeDocument/2006/relationships/hyperlink" Target="https://www.iqiyi.com/v_gqo528r2ac.html" TargetMode="External"/><Relationship Id="rId532" Type="http://schemas.openxmlformats.org/officeDocument/2006/relationships/hyperlink" Target="https://www.iqiyi.com/v_19rxosfscg.html" TargetMode="External"/><Relationship Id="rId977" Type="http://schemas.openxmlformats.org/officeDocument/2006/relationships/hyperlink" Target="https://www.iqiyi.com/w_19s1nx990d.html" TargetMode="External"/><Relationship Id="rId1162" Type="http://schemas.openxmlformats.org/officeDocument/2006/relationships/hyperlink" Target="https://www.iqiyi.com/w_19rwi5h70p.html" TargetMode="External"/><Relationship Id="rId171" Type="http://schemas.openxmlformats.org/officeDocument/2006/relationships/hyperlink" Target="https://www.iqiyi.com/v_2er6tqhoz4w.html" TargetMode="External"/><Relationship Id="rId837" Type="http://schemas.openxmlformats.org/officeDocument/2006/relationships/hyperlink" Target="https://www.iqiyi.com/v_19rskf6sj0.html" TargetMode="External"/><Relationship Id="rId1022" Type="http://schemas.openxmlformats.org/officeDocument/2006/relationships/hyperlink" Target="https://www.iqiyi.com/w_19s192ssat.html" TargetMode="External"/><Relationship Id="rId269" Type="http://schemas.openxmlformats.org/officeDocument/2006/relationships/hyperlink" Target="https://www.iqiyi.com/v_1kzi97ro588.html" TargetMode="External"/><Relationship Id="rId476" Type="http://schemas.openxmlformats.org/officeDocument/2006/relationships/hyperlink" Target="https://www.iqiyi.com/v_1suvuwo1pww.html" TargetMode="External"/><Relationship Id="rId683" Type="http://schemas.openxmlformats.org/officeDocument/2006/relationships/hyperlink" Target="https://www.iqiyi.com/v_19rvcvtda0.html" TargetMode="External"/><Relationship Id="rId890" Type="http://schemas.openxmlformats.org/officeDocument/2006/relationships/hyperlink" Target="https://www.iqiyi.com/v_19rqxkbpyc.html" TargetMode="External"/><Relationship Id="rId904" Type="http://schemas.openxmlformats.org/officeDocument/2006/relationships/hyperlink" Target="https://www.iqiyi.com/v_19rqw16iq8.html" TargetMode="External"/><Relationship Id="rId33" Type="http://schemas.openxmlformats.org/officeDocument/2006/relationships/hyperlink" Target="https://www.iqiyi.com/v_2g1t9ezaegc.html" TargetMode="External"/><Relationship Id="rId129" Type="http://schemas.openxmlformats.org/officeDocument/2006/relationships/hyperlink" Target="https://www.iqiyi.com/v_2f1dxvoe7ig.html" TargetMode="External"/><Relationship Id="rId336" Type="http://schemas.openxmlformats.org/officeDocument/2006/relationships/hyperlink" Target="https://www.iqiyi.com/v_1m5k76xyklc.html" TargetMode="External"/><Relationship Id="rId543" Type="http://schemas.openxmlformats.org/officeDocument/2006/relationships/hyperlink" Target="https://www.iqiyi.com/v_19ry1x18xo.html" TargetMode="External"/><Relationship Id="rId988" Type="http://schemas.openxmlformats.org/officeDocument/2006/relationships/hyperlink" Target="https://www.iqiyi.com/w_19s0r29mgx.html" TargetMode="External"/><Relationship Id="rId182" Type="http://schemas.openxmlformats.org/officeDocument/2006/relationships/hyperlink" Target="https://www.iqiyi.com/v_1jvbmagcje4.html" TargetMode="External"/><Relationship Id="rId403" Type="http://schemas.openxmlformats.org/officeDocument/2006/relationships/hyperlink" Target="https://www.iqiyi.com/v_1j18f4l7e2k.html" TargetMode="External"/><Relationship Id="rId750" Type="http://schemas.openxmlformats.org/officeDocument/2006/relationships/hyperlink" Target="https://www.iqiyi.com/v_19rumck84k.html" TargetMode="External"/><Relationship Id="rId848" Type="http://schemas.openxmlformats.org/officeDocument/2006/relationships/hyperlink" Target="https://www.iqiyi.com/v_19rsglr0n8.html" TargetMode="External"/><Relationship Id="rId1033" Type="http://schemas.openxmlformats.org/officeDocument/2006/relationships/hyperlink" Target="https://www.iqiyi.com/w_19s14d37nx.html" TargetMode="External"/><Relationship Id="rId487" Type="http://schemas.openxmlformats.org/officeDocument/2006/relationships/hyperlink" Target="https://www.iqiyi.com/v_19rz7gk198.html" TargetMode="External"/><Relationship Id="rId610" Type="http://schemas.openxmlformats.org/officeDocument/2006/relationships/hyperlink" Target="https://www.iqiyi.com/v_19rvscwqy4.html" TargetMode="External"/><Relationship Id="rId694" Type="http://schemas.openxmlformats.org/officeDocument/2006/relationships/hyperlink" Target="https://www.iqiyi.com/v_19rv7lhutg.html" TargetMode="External"/><Relationship Id="rId708" Type="http://schemas.openxmlformats.org/officeDocument/2006/relationships/hyperlink" Target="https://www.iqiyi.com/v_19rvedd360.html" TargetMode="External"/><Relationship Id="rId915" Type="http://schemas.openxmlformats.org/officeDocument/2006/relationships/hyperlink" Target="https://www.iqiyi.com/v_19rqqp6kno.html" TargetMode="External"/><Relationship Id="rId347" Type="http://schemas.openxmlformats.org/officeDocument/2006/relationships/hyperlink" Target="https://www.iqiyi.com/v_hjnjf8fk8g.html" TargetMode="External"/><Relationship Id="rId999" Type="http://schemas.openxmlformats.org/officeDocument/2006/relationships/hyperlink" Target="https://www.iqiyi.com/w_19s0y0zcv5.html" TargetMode="External"/><Relationship Id="rId1100" Type="http://schemas.openxmlformats.org/officeDocument/2006/relationships/hyperlink" Target="https://www.iqiyi.com/w_19rzxilrjh.html" TargetMode="External"/><Relationship Id="rId44" Type="http://schemas.openxmlformats.org/officeDocument/2006/relationships/hyperlink" Target="https://www.iqiyi.com/v_af84191np4.html" TargetMode="External"/><Relationship Id="rId554" Type="http://schemas.openxmlformats.org/officeDocument/2006/relationships/hyperlink" Target="https://www.iqiyi.com/v_19rxxaovq8.html" TargetMode="External"/><Relationship Id="rId761" Type="http://schemas.openxmlformats.org/officeDocument/2006/relationships/hyperlink" Target="https://www.iqiyi.com/v_19rsr8d56k.html" TargetMode="External"/><Relationship Id="rId859" Type="http://schemas.openxmlformats.org/officeDocument/2006/relationships/hyperlink" Target="https://www.iqiyi.com/v_19rsfn8n7g.html" TargetMode="External"/><Relationship Id="rId193" Type="http://schemas.openxmlformats.org/officeDocument/2006/relationships/hyperlink" Target="https://www.iqiyi.com/v_17l6d2qrdv0.html" TargetMode="External"/><Relationship Id="rId207" Type="http://schemas.openxmlformats.org/officeDocument/2006/relationships/hyperlink" Target="https://www.iqiyi.com/v_lb88qku9oc.html" TargetMode="External"/><Relationship Id="rId414" Type="http://schemas.openxmlformats.org/officeDocument/2006/relationships/hyperlink" Target="https://www.iqiyi.com/v_15q2xyuilv0.html" TargetMode="External"/><Relationship Id="rId498" Type="http://schemas.openxmlformats.org/officeDocument/2006/relationships/hyperlink" Target="https://www.iqiyi.com/v_19rzgsub0w.html" TargetMode="External"/><Relationship Id="rId621" Type="http://schemas.openxmlformats.org/officeDocument/2006/relationships/hyperlink" Target="https://www.iqiyi.com/v_19rvzi28s4.html" TargetMode="External"/><Relationship Id="rId1044" Type="http://schemas.openxmlformats.org/officeDocument/2006/relationships/hyperlink" Target="https://www.iqiyi.com/w_19s1c5okt1.html" TargetMode="External"/><Relationship Id="rId260" Type="http://schemas.openxmlformats.org/officeDocument/2006/relationships/hyperlink" Target="https://www.iqiyi.com/v_udgpcrfa3k.html" TargetMode="External"/><Relationship Id="rId719" Type="http://schemas.openxmlformats.org/officeDocument/2006/relationships/hyperlink" Target="https://www.iqiyi.com/v_19rtvibvds.html" TargetMode="External"/><Relationship Id="rId926" Type="http://schemas.openxmlformats.org/officeDocument/2006/relationships/hyperlink" Target="https://www.iqiyi.com/v_19rqpm5yds.html" TargetMode="External"/><Relationship Id="rId1111" Type="http://schemas.openxmlformats.org/officeDocument/2006/relationships/hyperlink" Target="https://www.iqiyi.com/w_19s075v821.html" TargetMode="External"/><Relationship Id="rId55" Type="http://schemas.openxmlformats.org/officeDocument/2006/relationships/hyperlink" Target="https://www.iqiyi.com/v_9twehzu96o.html" TargetMode="External"/><Relationship Id="rId120" Type="http://schemas.openxmlformats.org/officeDocument/2006/relationships/hyperlink" Target="https://www.iqiyi.com/v_1ksmbaotb1w.html" TargetMode="External"/><Relationship Id="rId358" Type="http://schemas.openxmlformats.org/officeDocument/2006/relationships/hyperlink" Target="https://www.iqiyi.com/v_19i862lfo08.html" TargetMode="External"/><Relationship Id="rId565" Type="http://schemas.openxmlformats.org/officeDocument/2006/relationships/hyperlink" Target="https://www.iqiyi.com/v_19ry3l8dm0.html" TargetMode="External"/><Relationship Id="rId772" Type="http://schemas.openxmlformats.org/officeDocument/2006/relationships/hyperlink" Target="https://www.iqiyi.com/v_19rt7u072g.html" TargetMode="External"/><Relationship Id="rId218" Type="http://schemas.openxmlformats.org/officeDocument/2006/relationships/hyperlink" Target="https://www.iqiyi.com/v_2b7dt657dgg.html" TargetMode="External"/><Relationship Id="rId425" Type="http://schemas.openxmlformats.org/officeDocument/2006/relationships/hyperlink" Target="https://www.iqiyi.com/v_1pllorfkjas.html" TargetMode="External"/><Relationship Id="rId632" Type="http://schemas.openxmlformats.org/officeDocument/2006/relationships/hyperlink" Target="https://www.iqiyi.com/v_19rw7tbkrk.html" TargetMode="External"/><Relationship Id="rId1055" Type="http://schemas.openxmlformats.org/officeDocument/2006/relationships/hyperlink" Target="https://www.iqiyi.com/w_19s1e54ful.html" TargetMode="External"/><Relationship Id="rId271" Type="http://schemas.openxmlformats.org/officeDocument/2006/relationships/hyperlink" Target="https://www.iqiyi.com/v_1yqbb3jd700.html" TargetMode="External"/><Relationship Id="rId937" Type="http://schemas.openxmlformats.org/officeDocument/2006/relationships/hyperlink" Target="https://www.iqiyi.com/v_19rqsojebs.html" TargetMode="External"/><Relationship Id="rId1122" Type="http://schemas.openxmlformats.org/officeDocument/2006/relationships/hyperlink" Target="https://www.iqiyi.com/w_19rz1x7cyp.html" TargetMode="External"/><Relationship Id="rId66" Type="http://schemas.openxmlformats.org/officeDocument/2006/relationships/hyperlink" Target="https://www.iqiyi.com/v_1zym6rma7ps.html" TargetMode="External"/><Relationship Id="rId131" Type="http://schemas.openxmlformats.org/officeDocument/2006/relationships/hyperlink" Target="https://www.iqiyi.com/v_242u0y4lags.html" TargetMode="External"/><Relationship Id="rId369" Type="http://schemas.openxmlformats.org/officeDocument/2006/relationships/hyperlink" Target="https://www.iqiyi.com/v_1cpf4xyylvc.html" TargetMode="External"/><Relationship Id="rId576" Type="http://schemas.openxmlformats.org/officeDocument/2006/relationships/hyperlink" Target="https://www.iqiyi.com/v_19rydnq4dw.html" TargetMode="External"/><Relationship Id="rId783" Type="http://schemas.openxmlformats.org/officeDocument/2006/relationships/hyperlink" Target="https://www.iqiyi.com/v_19rrun1nnk.html" TargetMode="External"/><Relationship Id="rId990" Type="http://schemas.openxmlformats.org/officeDocument/2006/relationships/hyperlink" Target="https://www.iqiyi.com/w_19s0oink2d.html" TargetMode="External"/><Relationship Id="rId229" Type="http://schemas.openxmlformats.org/officeDocument/2006/relationships/hyperlink" Target="https://www.iqiyi.com/v_1dz6udux11w.html" TargetMode="External"/><Relationship Id="rId436" Type="http://schemas.openxmlformats.org/officeDocument/2006/relationships/hyperlink" Target="https://www.iqiyi.com/v_2bwfzdbepw4.html" TargetMode="External"/><Relationship Id="rId643" Type="http://schemas.openxmlformats.org/officeDocument/2006/relationships/hyperlink" Target="https://www.iqiyi.com/v_19rwhqdd0k.html" TargetMode="External"/><Relationship Id="rId1066" Type="http://schemas.openxmlformats.org/officeDocument/2006/relationships/hyperlink" Target="https://www.iqiyi.com/w_19rzvhljp9.html" TargetMode="External"/><Relationship Id="rId850" Type="http://schemas.openxmlformats.org/officeDocument/2006/relationships/hyperlink" Target="https://www.iqiyi.com/v_19rsgjlcqo.html" TargetMode="External"/><Relationship Id="rId948" Type="http://schemas.openxmlformats.org/officeDocument/2006/relationships/hyperlink" Target="https://www.iqiyi.com/v_19rqsge1mw.html" TargetMode="External"/><Relationship Id="rId1133" Type="http://schemas.openxmlformats.org/officeDocument/2006/relationships/hyperlink" Target="https://www.iqiyi.com/w_19rwpq68gd.html" TargetMode="External"/><Relationship Id="rId77" Type="http://schemas.openxmlformats.org/officeDocument/2006/relationships/hyperlink" Target="https://www.iqiyi.com/v_1w8g4n99qpo.html" TargetMode="External"/><Relationship Id="rId282" Type="http://schemas.openxmlformats.org/officeDocument/2006/relationships/hyperlink" Target="https://www.iqiyi.com/v_bod8ogx2cs.html" TargetMode="External"/><Relationship Id="rId503" Type="http://schemas.openxmlformats.org/officeDocument/2006/relationships/hyperlink" Target="https://www.iqiyi.com/v_19rzipld9o.html" TargetMode="External"/><Relationship Id="rId587" Type="http://schemas.openxmlformats.org/officeDocument/2006/relationships/hyperlink" Target="https://www.iqiyi.com/v_19rwqapafc.html" TargetMode="External"/><Relationship Id="rId710" Type="http://schemas.openxmlformats.org/officeDocument/2006/relationships/hyperlink" Target="https://www.iqiyi.com/v_19rvha5kgg.html" TargetMode="External"/><Relationship Id="rId808" Type="http://schemas.openxmlformats.org/officeDocument/2006/relationships/hyperlink" Target="https://www.iqiyi.com/v_19rrzuairs.html" TargetMode="External"/><Relationship Id="rId8" Type="http://schemas.openxmlformats.org/officeDocument/2006/relationships/hyperlink" Target="https://www.iqiyi.com/v_1jymdzxjhs0.html" TargetMode="External"/><Relationship Id="rId142" Type="http://schemas.openxmlformats.org/officeDocument/2006/relationships/hyperlink" Target="https://www.iqiyi.com/v_teqzldz8xg.html" TargetMode="External"/><Relationship Id="rId447" Type="http://schemas.openxmlformats.org/officeDocument/2006/relationships/hyperlink" Target="https://www.iqiyi.com/v_1vsg6xojpvw.html" TargetMode="External"/><Relationship Id="rId794" Type="http://schemas.openxmlformats.org/officeDocument/2006/relationships/hyperlink" Target="https://www.iqiyi.com/v_19rs3u5ohs.html" TargetMode="External"/><Relationship Id="rId1077" Type="http://schemas.openxmlformats.org/officeDocument/2006/relationships/hyperlink" Target="https://www.iqiyi.com/w_19rzwc50r1.html" TargetMode="External"/><Relationship Id="rId654" Type="http://schemas.openxmlformats.org/officeDocument/2006/relationships/hyperlink" Target="https://www.iqiyi.com/v_19ruu6dv00.html" TargetMode="External"/><Relationship Id="rId861" Type="http://schemas.openxmlformats.org/officeDocument/2006/relationships/hyperlink" Target="https://www.iqiyi.com/v_19rsjameys.html" TargetMode="External"/><Relationship Id="rId959" Type="http://schemas.openxmlformats.org/officeDocument/2006/relationships/hyperlink" Target="https://www.iqiyi.com/v_19rr4kr7z8.html" TargetMode="External"/><Relationship Id="rId293" Type="http://schemas.openxmlformats.org/officeDocument/2006/relationships/hyperlink" Target="https://www.iqiyi.com/v_ve8o3znhgo.html" TargetMode="External"/><Relationship Id="rId307" Type="http://schemas.openxmlformats.org/officeDocument/2006/relationships/hyperlink" Target="https://www.iqiyi.com/v_aht34318j4.html" TargetMode="External"/><Relationship Id="rId514" Type="http://schemas.openxmlformats.org/officeDocument/2006/relationships/hyperlink" Target="https://www.iqiyi.com/v_19rxs1u5d4.html" TargetMode="External"/><Relationship Id="rId721" Type="http://schemas.openxmlformats.org/officeDocument/2006/relationships/hyperlink" Target="https://www.iqiyi.com/v_19rtuvlqdc.html" TargetMode="External"/><Relationship Id="rId1144" Type="http://schemas.openxmlformats.org/officeDocument/2006/relationships/hyperlink" Target="https://www.iqiyi.com/w_19rwr64kh9.html" TargetMode="External"/><Relationship Id="rId88" Type="http://schemas.openxmlformats.org/officeDocument/2006/relationships/hyperlink" Target="https://www.iqiyi.com/v_nzpjopzklc.html" TargetMode="External"/><Relationship Id="rId153" Type="http://schemas.openxmlformats.org/officeDocument/2006/relationships/hyperlink" Target="https://www.iqiyi.com/v_2dislmsor4k.html" TargetMode="External"/><Relationship Id="rId360" Type="http://schemas.openxmlformats.org/officeDocument/2006/relationships/hyperlink" Target="https://www.iqiyi.com/v_1nc382l7cn8.html" TargetMode="External"/><Relationship Id="rId598" Type="http://schemas.openxmlformats.org/officeDocument/2006/relationships/hyperlink" Target="https://www.iqiyi.com/v_19rxcw5xqc.html" TargetMode="External"/><Relationship Id="rId819" Type="http://schemas.openxmlformats.org/officeDocument/2006/relationships/hyperlink" Target="https://www.iqiyi.com/v_19rsel2v2s.html" TargetMode="External"/><Relationship Id="rId1004" Type="http://schemas.openxmlformats.org/officeDocument/2006/relationships/hyperlink" Target="https://www.iqiyi.com/w_19s0v2reod.html" TargetMode="External"/><Relationship Id="rId220" Type="http://schemas.openxmlformats.org/officeDocument/2006/relationships/hyperlink" Target="https://www.iqiyi.com/v_2docnt7jyw8.html" TargetMode="External"/><Relationship Id="rId458" Type="http://schemas.openxmlformats.org/officeDocument/2006/relationships/hyperlink" Target="https://www.iqiyi.com/v_2cr0ez5fh60.html" TargetMode="External"/><Relationship Id="rId665" Type="http://schemas.openxmlformats.org/officeDocument/2006/relationships/hyperlink" Target="https://www.iqiyi.com/v_19rv12n6a8.html" TargetMode="External"/><Relationship Id="rId872" Type="http://schemas.openxmlformats.org/officeDocument/2006/relationships/hyperlink" Target="https://www.iqiyi.com/v_19rshnf64g.html" TargetMode="External"/><Relationship Id="rId1088" Type="http://schemas.openxmlformats.org/officeDocument/2006/relationships/hyperlink" Target="https://www.iqiyi.com/w_19s02sfpid.html" TargetMode="External"/><Relationship Id="rId15" Type="http://schemas.openxmlformats.org/officeDocument/2006/relationships/hyperlink" Target="https://www.iqiyi.com/v_1q4exf5cyoc.html" TargetMode="External"/><Relationship Id="rId318" Type="http://schemas.openxmlformats.org/officeDocument/2006/relationships/hyperlink" Target="https://www.iqiyi.com/v_qc8uitskg8.html" TargetMode="External"/><Relationship Id="rId525" Type="http://schemas.openxmlformats.org/officeDocument/2006/relationships/hyperlink" Target="https://www.iqiyi.com/v_19rxn2gu2w.html" TargetMode="External"/><Relationship Id="rId732" Type="http://schemas.openxmlformats.org/officeDocument/2006/relationships/hyperlink" Target="https://www.iqiyi.com/v_19ru1eiiro.html" TargetMode="External"/><Relationship Id="rId1155" Type="http://schemas.openxmlformats.org/officeDocument/2006/relationships/hyperlink" Target="https://www.iqiyi.com/w_19rwhwpjb1.html" TargetMode="External"/><Relationship Id="rId99" Type="http://schemas.openxmlformats.org/officeDocument/2006/relationships/hyperlink" Target="https://www.iqiyi.com/v_1m47mcqgen4.html" TargetMode="External"/><Relationship Id="rId164" Type="http://schemas.openxmlformats.org/officeDocument/2006/relationships/hyperlink" Target="https://www.iqiyi.com/v_2dislmsoi30.html" TargetMode="External"/><Relationship Id="rId371" Type="http://schemas.openxmlformats.org/officeDocument/2006/relationships/hyperlink" Target="https://www.iqiyi.com/v_1pdntwcafg8.html" TargetMode="External"/><Relationship Id="rId1015" Type="http://schemas.openxmlformats.org/officeDocument/2006/relationships/hyperlink" Target="https://www.iqiyi.com/w_19s17yvla1.html" TargetMode="External"/><Relationship Id="rId469" Type="http://schemas.openxmlformats.org/officeDocument/2006/relationships/hyperlink" Target="https://www.iqiyi.com/v_sst0eytf5o.html" TargetMode="External"/><Relationship Id="rId676" Type="http://schemas.openxmlformats.org/officeDocument/2006/relationships/hyperlink" Target="https://www.iqiyi.com/v_19ruyw82g0.html" TargetMode="External"/><Relationship Id="rId883" Type="http://schemas.openxmlformats.org/officeDocument/2006/relationships/hyperlink" Target="https://www.iqiyi.com/v_19rqua66io.html" TargetMode="External"/><Relationship Id="rId1099" Type="http://schemas.openxmlformats.org/officeDocument/2006/relationships/hyperlink" Target="https://www.iqiyi.com/w_19rztrd4z9.html" TargetMode="External"/><Relationship Id="rId26" Type="http://schemas.openxmlformats.org/officeDocument/2006/relationships/hyperlink" Target="https://www.iqiyi.com/v_o2f63vpq4o.html" TargetMode="External"/><Relationship Id="rId231" Type="http://schemas.openxmlformats.org/officeDocument/2006/relationships/hyperlink" Target="https://www.iqiyi.com/v_1y4efpjcbog.html" TargetMode="External"/><Relationship Id="rId329" Type="http://schemas.openxmlformats.org/officeDocument/2006/relationships/hyperlink" Target="https://www.iqiyi.com/v_1cg1c93fgc8.html" TargetMode="External"/><Relationship Id="rId536" Type="http://schemas.openxmlformats.org/officeDocument/2006/relationships/hyperlink" Target="https://www.iqiyi.com/v_19ry0cvmg8.html" TargetMode="External"/><Relationship Id="rId175" Type="http://schemas.openxmlformats.org/officeDocument/2006/relationships/hyperlink" Target="https://www.iqiyi.com/v_1rah7dboff8.html" TargetMode="External"/><Relationship Id="rId743" Type="http://schemas.openxmlformats.org/officeDocument/2006/relationships/hyperlink" Target="https://www.iqiyi.com/v_19rud7xtkk.html" TargetMode="External"/><Relationship Id="rId950" Type="http://schemas.openxmlformats.org/officeDocument/2006/relationships/hyperlink" Target="https://www.iqiyi.com/v_19rqscy7qk.html" TargetMode="External"/><Relationship Id="rId1026" Type="http://schemas.openxmlformats.org/officeDocument/2006/relationships/hyperlink" Target="https://www.iqiyi.com/w_19s12xihr1.html" TargetMode="External"/><Relationship Id="rId382" Type="http://schemas.openxmlformats.org/officeDocument/2006/relationships/hyperlink" Target="https://www.iqiyi.com/v_1tmjsvk2w98.html" TargetMode="External"/><Relationship Id="rId603" Type="http://schemas.openxmlformats.org/officeDocument/2006/relationships/hyperlink" Target="https://www.iqiyi.com/v_19rx6dftak.html" TargetMode="External"/><Relationship Id="rId687" Type="http://schemas.openxmlformats.org/officeDocument/2006/relationships/hyperlink" Target="https://www.iqiyi.com/v_19rv5sehs0.html" TargetMode="External"/><Relationship Id="rId810" Type="http://schemas.openxmlformats.org/officeDocument/2006/relationships/hyperlink" Target="https://www.iqiyi.com/v_19rscu1808.html" TargetMode="External"/><Relationship Id="rId908" Type="http://schemas.openxmlformats.org/officeDocument/2006/relationships/hyperlink" Target="https://www.iqiyi.com/v_19rqr0x738.html" TargetMode="External"/><Relationship Id="rId242" Type="http://schemas.openxmlformats.org/officeDocument/2006/relationships/hyperlink" Target="https://www.iqiyi.com/v_1nby7vxu6hs.html" TargetMode="External"/><Relationship Id="rId894" Type="http://schemas.openxmlformats.org/officeDocument/2006/relationships/hyperlink" Target="https://www.iqiyi.com/v_19rqxv2xk8.html" TargetMode="External"/><Relationship Id="rId37" Type="http://schemas.openxmlformats.org/officeDocument/2006/relationships/hyperlink" Target="https://www.iqiyi.com/v_168f5kwgrsk.html" TargetMode="External"/><Relationship Id="rId102" Type="http://schemas.openxmlformats.org/officeDocument/2006/relationships/hyperlink" Target="https://www.iqiyi.com/v_2glnlpl4kjo.html" TargetMode="External"/><Relationship Id="rId547" Type="http://schemas.openxmlformats.org/officeDocument/2006/relationships/hyperlink" Target="https://www.iqiyi.com/v_19rxw36hv8.html" TargetMode="External"/><Relationship Id="rId754" Type="http://schemas.openxmlformats.org/officeDocument/2006/relationships/hyperlink" Target="https://www.iqiyi.com/v_19rui0uafw.html" TargetMode="External"/><Relationship Id="rId961" Type="http://schemas.openxmlformats.org/officeDocument/2006/relationships/hyperlink" Target="https://www.iqiyi.com/v_19rr4lxa84.html" TargetMode="External"/><Relationship Id="rId90" Type="http://schemas.openxmlformats.org/officeDocument/2006/relationships/hyperlink" Target="https://www.iqiyi.com/v_10divgkb058.html" TargetMode="External"/><Relationship Id="rId186" Type="http://schemas.openxmlformats.org/officeDocument/2006/relationships/hyperlink" Target="https://www.iqiyi.com/v_o4xv87943o.html" TargetMode="External"/><Relationship Id="rId393" Type="http://schemas.openxmlformats.org/officeDocument/2006/relationships/hyperlink" Target="https://www.iqiyi.com/v_1bnt47t515s.html" TargetMode="External"/><Relationship Id="rId407" Type="http://schemas.openxmlformats.org/officeDocument/2006/relationships/hyperlink" Target="https://www.iqiyi.com/v_2bk8ayktcmw.html" TargetMode="External"/><Relationship Id="rId614" Type="http://schemas.openxmlformats.org/officeDocument/2006/relationships/hyperlink" Target="https://www.iqiyi.com/v_19rvqyxqec.html" TargetMode="External"/><Relationship Id="rId821" Type="http://schemas.openxmlformats.org/officeDocument/2006/relationships/hyperlink" Target="https://www.iqiyi.com/v_19rsdcefk4.html" TargetMode="External"/><Relationship Id="rId1037" Type="http://schemas.openxmlformats.org/officeDocument/2006/relationships/hyperlink" Target="https://www.iqiyi.com/w_19s1fwtto1.html" TargetMode="External"/><Relationship Id="rId253" Type="http://schemas.openxmlformats.org/officeDocument/2006/relationships/hyperlink" Target="https://www.iqiyi.com/v_224cnnja52k.html" TargetMode="External"/><Relationship Id="rId460" Type="http://schemas.openxmlformats.org/officeDocument/2006/relationships/hyperlink" Target="https://www.iqiyi.com/v_2ab6djivd14.html" TargetMode="External"/><Relationship Id="rId698" Type="http://schemas.openxmlformats.org/officeDocument/2006/relationships/hyperlink" Target="https://www.iqiyi.com/v_19rviyvsec.html" TargetMode="External"/><Relationship Id="rId919" Type="http://schemas.openxmlformats.org/officeDocument/2006/relationships/hyperlink" Target="https://www.iqiyi.com/v_19rqq0ty8g.html" TargetMode="External"/><Relationship Id="rId1090" Type="http://schemas.openxmlformats.org/officeDocument/2006/relationships/hyperlink" Target="https://www.iqiyi.com/w_19s0657ret.html" TargetMode="External"/><Relationship Id="rId1104" Type="http://schemas.openxmlformats.org/officeDocument/2006/relationships/hyperlink" Target="https://www.iqiyi.com/w_19rzvy93wt.html" TargetMode="External"/><Relationship Id="rId48" Type="http://schemas.openxmlformats.org/officeDocument/2006/relationships/hyperlink" Target="https://www.iqiyi.com/v_26x3n3plflo.html" TargetMode="External"/><Relationship Id="rId113" Type="http://schemas.openxmlformats.org/officeDocument/2006/relationships/hyperlink" Target="https://www.iqiyi.com/v_wiwc4bq5qc.html" TargetMode="External"/><Relationship Id="rId320" Type="http://schemas.openxmlformats.org/officeDocument/2006/relationships/hyperlink" Target="https://www.iqiyi.com/v_at0qqdf98k.html" TargetMode="External"/><Relationship Id="rId558" Type="http://schemas.openxmlformats.org/officeDocument/2006/relationships/hyperlink" Target="https://www.iqiyi.com/v_19rybyix3c.html" TargetMode="External"/><Relationship Id="rId765" Type="http://schemas.openxmlformats.org/officeDocument/2006/relationships/hyperlink" Target="https://www.iqiyi.com/v_19rt3wwok8.html" TargetMode="External"/><Relationship Id="rId972" Type="http://schemas.openxmlformats.org/officeDocument/2006/relationships/hyperlink" Target="https://www.iqiyi.com/w_19s3es4n0l.html" TargetMode="External"/><Relationship Id="rId197" Type="http://schemas.openxmlformats.org/officeDocument/2006/relationships/hyperlink" Target="https://www.iqiyi.com/v_2fb1s6tz13k.html" TargetMode="External"/><Relationship Id="rId418" Type="http://schemas.openxmlformats.org/officeDocument/2006/relationships/hyperlink" Target="https://www.iqiyi.com/v_1akg1v7iwvc.html" TargetMode="External"/><Relationship Id="rId625" Type="http://schemas.openxmlformats.org/officeDocument/2006/relationships/hyperlink" Target="https://www.iqiyi.com/v_19rw99vlf4.html" TargetMode="External"/><Relationship Id="rId832" Type="http://schemas.openxmlformats.org/officeDocument/2006/relationships/hyperlink" Target="https://www.iqiyi.com/v_19rs8xnyug.html" TargetMode="External"/><Relationship Id="rId1048" Type="http://schemas.openxmlformats.org/officeDocument/2006/relationships/hyperlink" Target="https://www.iqiyi.com/w_19s1c12bel.html" TargetMode="External"/><Relationship Id="rId264" Type="http://schemas.openxmlformats.org/officeDocument/2006/relationships/hyperlink" Target="https://www.iqiyi.com/v_lziiap2r64.html" TargetMode="External"/><Relationship Id="rId471" Type="http://schemas.openxmlformats.org/officeDocument/2006/relationships/hyperlink" Target="https://www.iqiyi.com/v_1yob5farudk.html" TargetMode="External"/><Relationship Id="rId1115" Type="http://schemas.openxmlformats.org/officeDocument/2006/relationships/hyperlink" Target="https://www.iqiyi.com/w_19s09k7jwd.html" TargetMode="External"/><Relationship Id="rId59" Type="http://schemas.openxmlformats.org/officeDocument/2006/relationships/hyperlink" Target="https://www.iqiyi.com/v_lk2e335ppk.html" TargetMode="External"/><Relationship Id="rId124" Type="http://schemas.openxmlformats.org/officeDocument/2006/relationships/hyperlink" Target="https://www.iqiyi.com/v_17g7idjcz7w.html" TargetMode="External"/><Relationship Id="rId569" Type="http://schemas.openxmlformats.org/officeDocument/2006/relationships/hyperlink" Target="https://www.iqiyi.com/v_19ry68uigs.html" TargetMode="External"/><Relationship Id="rId776" Type="http://schemas.openxmlformats.org/officeDocument/2006/relationships/hyperlink" Target="https://www.iqiyi.com/v_19rtl872g4.html" TargetMode="External"/><Relationship Id="rId983" Type="http://schemas.openxmlformats.org/officeDocument/2006/relationships/hyperlink" Target="https://www.iqiyi.com/w_19s1uzdash.html" TargetMode="External"/><Relationship Id="rId331" Type="http://schemas.openxmlformats.org/officeDocument/2006/relationships/hyperlink" Target="https://www.iqiyi.com/v_jrx2ogkl9s.html" TargetMode="External"/><Relationship Id="rId429" Type="http://schemas.openxmlformats.org/officeDocument/2006/relationships/hyperlink" Target="https://www.iqiyi.com/v_1p7b3n08abw.html" TargetMode="External"/><Relationship Id="rId636" Type="http://schemas.openxmlformats.org/officeDocument/2006/relationships/hyperlink" Target="https://www.iqiyi.com/v_19rwm6g7rw.html" TargetMode="External"/><Relationship Id="rId1059" Type="http://schemas.openxmlformats.org/officeDocument/2006/relationships/hyperlink" Target="https://www.iqiyi.com/w_19rzzwa7q5.html" TargetMode="External"/><Relationship Id="rId843" Type="http://schemas.openxmlformats.org/officeDocument/2006/relationships/hyperlink" Target="https://www.iqiyi.com/v_19rsmwi4tw.html" TargetMode="External"/><Relationship Id="rId1126" Type="http://schemas.openxmlformats.org/officeDocument/2006/relationships/hyperlink" Target="https://www.iqiyi.com/w_19rz16n4jp.html" TargetMode="External"/><Relationship Id="rId275" Type="http://schemas.openxmlformats.org/officeDocument/2006/relationships/hyperlink" Target="https://www.iqiyi.com/v_25qwr5jlwic.html" TargetMode="External"/><Relationship Id="rId482" Type="http://schemas.openxmlformats.org/officeDocument/2006/relationships/hyperlink" Target="https://www.iqiyi.com/v_19rz4qa1uw.html" TargetMode="External"/><Relationship Id="rId703" Type="http://schemas.openxmlformats.org/officeDocument/2006/relationships/hyperlink" Target="https://www.iqiyi.com/v_19rvkosxrk.html" TargetMode="External"/><Relationship Id="rId910" Type="http://schemas.openxmlformats.org/officeDocument/2006/relationships/hyperlink" Target="https://www.iqiyi.com/v_19rqqwgyic.html" TargetMode="External"/><Relationship Id="rId135" Type="http://schemas.openxmlformats.org/officeDocument/2006/relationships/hyperlink" Target="https://www.iqiyi.com/v_1f8efho2yo8.html" TargetMode="External"/><Relationship Id="rId342" Type="http://schemas.openxmlformats.org/officeDocument/2006/relationships/hyperlink" Target="https://www.iqiyi.com/v_20uji8q05ko.html" TargetMode="External"/><Relationship Id="rId787" Type="http://schemas.openxmlformats.org/officeDocument/2006/relationships/hyperlink" Target="https://www.iqiyi.com/v_19rrvumi44.html" TargetMode="External"/><Relationship Id="rId994" Type="http://schemas.openxmlformats.org/officeDocument/2006/relationships/hyperlink" Target="https://www.iqiyi.com/w_19s0o1xz3t.html" TargetMode="External"/><Relationship Id="rId202" Type="http://schemas.openxmlformats.org/officeDocument/2006/relationships/hyperlink" Target="https://www.iqiyi.com/v_csh1i54cfs.html" TargetMode="External"/><Relationship Id="rId647" Type="http://schemas.openxmlformats.org/officeDocument/2006/relationships/hyperlink" Target="https://www.iqiyi.com/v_19ruttgfkk.html" TargetMode="External"/><Relationship Id="rId854" Type="http://schemas.openxmlformats.org/officeDocument/2006/relationships/hyperlink" Target="https://www.iqiyi.com/v_19rsfyzkh4.html" TargetMode="External"/><Relationship Id="rId286" Type="http://schemas.openxmlformats.org/officeDocument/2006/relationships/hyperlink" Target="https://www.iqiyi.com/v_1t32r5yghw4.html" TargetMode="External"/><Relationship Id="rId493" Type="http://schemas.openxmlformats.org/officeDocument/2006/relationships/hyperlink" Target="https://www.iqiyi.com/v_19rzibxf20.html" TargetMode="External"/><Relationship Id="rId507" Type="http://schemas.openxmlformats.org/officeDocument/2006/relationships/hyperlink" Target="https://www.iqiyi.com/v_19rzcl1lig.html" TargetMode="External"/><Relationship Id="rId714" Type="http://schemas.openxmlformats.org/officeDocument/2006/relationships/hyperlink" Target="https://www.iqiyi.com/v_19rtu671p0.html" TargetMode="External"/><Relationship Id="rId921" Type="http://schemas.openxmlformats.org/officeDocument/2006/relationships/hyperlink" Target="https://www.iqiyi.com/v_19rqq50wz0.html" TargetMode="External"/><Relationship Id="rId1137" Type="http://schemas.openxmlformats.org/officeDocument/2006/relationships/hyperlink" Target="https://www.iqiyi.com/w_19rwmy032d.html" TargetMode="External"/><Relationship Id="rId50" Type="http://schemas.openxmlformats.org/officeDocument/2006/relationships/hyperlink" Target="https://www.iqiyi.com/v_1jlu8tz7zpk.html" TargetMode="External"/><Relationship Id="rId146" Type="http://schemas.openxmlformats.org/officeDocument/2006/relationships/hyperlink" Target="https://www.iqiyi.com/v_g0yyhqrtt4.html" TargetMode="External"/><Relationship Id="rId353" Type="http://schemas.openxmlformats.org/officeDocument/2006/relationships/hyperlink" Target="https://www.iqiyi.com/v_160r3olf7lw.html" TargetMode="External"/><Relationship Id="rId560" Type="http://schemas.openxmlformats.org/officeDocument/2006/relationships/hyperlink" Target="https://www.iqiyi.com/v_19rya8bqt0.html" TargetMode="External"/><Relationship Id="rId798" Type="http://schemas.openxmlformats.org/officeDocument/2006/relationships/hyperlink" Target="https://www.iqiyi.com/v_19rs5gwbz4.html" TargetMode="External"/><Relationship Id="rId213" Type="http://schemas.openxmlformats.org/officeDocument/2006/relationships/hyperlink" Target="https://www.iqiyi.com/v_1smrdalxvck.html" TargetMode="External"/><Relationship Id="rId420" Type="http://schemas.openxmlformats.org/officeDocument/2006/relationships/hyperlink" Target="https://www.iqiyi.com/v_z6x1xt2w4k.html" TargetMode="External"/><Relationship Id="rId658" Type="http://schemas.openxmlformats.org/officeDocument/2006/relationships/hyperlink" Target="https://www.iqiyi.com/v_19rurmq14s.html" TargetMode="External"/><Relationship Id="rId865" Type="http://schemas.openxmlformats.org/officeDocument/2006/relationships/hyperlink" Target="https://www.iqiyi.com/v_19rsir5zzk.html" TargetMode="External"/><Relationship Id="rId1050" Type="http://schemas.openxmlformats.org/officeDocument/2006/relationships/hyperlink" Target="https://www.iqiyi.com/w_19s1euugqx.html" TargetMode="External"/><Relationship Id="rId297" Type="http://schemas.openxmlformats.org/officeDocument/2006/relationships/hyperlink" Target="https://www.iqiyi.com/v_233jwmlvnyo.html" TargetMode="External"/><Relationship Id="rId518" Type="http://schemas.openxmlformats.org/officeDocument/2006/relationships/hyperlink" Target="https://www.iqiyi.com/v_19rxqguw1g.html" TargetMode="External"/><Relationship Id="rId725" Type="http://schemas.openxmlformats.org/officeDocument/2006/relationships/hyperlink" Target="https://www.iqiyi.com/v_19rtrurzuk.html" TargetMode="External"/><Relationship Id="rId932" Type="http://schemas.openxmlformats.org/officeDocument/2006/relationships/hyperlink" Target="https://www.iqiyi.com/v_19rqt417fo.html" TargetMode="External"/><Relationship Id="rId1148" Type="http://schemas.openxmlformats.org/officeDocument/2006/relationships/hyperlink" Target="https://www.iqiyi.com/w_19rwse8mat.html" TargetMode="External"/><Relationship Id="rId157" Type="http://schemas.openxmlformats.org/officeDocument/2006/relationships/hyperlink" Target="https://www.iqiyi.com/v_1dqkkyvgbg4.html" TargetMode="External"/><Relationship Id="rId364" Type="http://schemas.openxmlformats.org/officeDocument/2006/relationships/hyperlink" Target="https://www.iqiyi.com/v_2bo696tyepc.html" TargetMode="External"/><Relationship Id="rId1008" Type="http://schemas.openxmlformats.org/officeDocument/2006/relationships/hyperlink" Target="https://www.iqiyi.com/w_19s0twbqf1.html" TargetMode="External"/><Relationship Id="rId61" Type="http://schemas.openxmlformats.org/officeDocument/2006/relationships/hyperlink" Target="https://www.iqiyi.com/v_veanvcqlwo.html" TargetMode="External"/><Relationship Id="rId571" Type="http://schemas.openxmlformats.org/officeDocument/2006/relationships/hyperlink" Target="https://www.iqiyi.com/v_19ryhy3h10.html" TargetMode="External"/><Relationship Id="rId669" Type="http://schemas.openxmlformats.org/officeDocument/2006/relationships/hyperlink" Target="https://www.iqiyi.com/v_19rv2vvt24.html" TargetMode="External"/><Relationship Id="rId876" Type="http://schemas.openxmlformats.org/officeDocument/2006/relationships/hyperlink" Target="https://www.iqiyi.com/v_19rqvkoybs.html" TargetMode="External"/><Relationship Id="rId19" Type="http://schemas.openxmlformats.org/officeDocument/2006/relationships/hyperlink" Target="https://www.iqiyi.com/v_26uff3envww.html" TargetMode="External"/><Relationship Id="rId224" Type="http://schemas.openxmlformats.org/officeDocument/2006/relationships/hyperlink" Target="https://www.iqiyi.com/v_bq95qmvkj0.html" TargetMode="External"/><Relationship Id="rId431" Type="http://schemas.openxmlformats.org/officeDocument/2006/relationships/hyperlink" Target="https://www.iqiyi.com/v_1c168dva79w.html" TargetMode="External"/><Relationship Id="rId529" Type="http://schemas.openxmlformats.org/officeDocument/2006/relationships/hyperlink" Target="https://www.iqiyi.com/v_19rxpttwds.html" TargetMode="External"/><Relationship Id="rId736" Type="http://schemas.openxmlformats.org/officeDocument/2006/relationships/hyperlink" Target="https://www.iqiyi.com/v_19rty7kv7w.html" TargetMode="External"/><Relationship Id="rId1061" Type="http://schemas.openxmlformats.org/officeDocument/2006/relationships/hyperlink" Target="https://www.iqiyi.com/w_19rzzwpyvh.html" TargetMode="External"/><Relationship Id="rId1159" Type="http://schemas.openxmlformats.org/officeDocument/2006/relationships/hyperlink" Target="https://www.iqiyi.com/w_19rwid4dbt.html" TargetMode="External"/><Relationship Id="rId168" Type="http://schemas.openxmlformats.org/officeDocument/2006/relationships/hyperlink" Target="https://www.iqiyi.com/v_v5a8f8hfcg.html" TargetMode="External"/><Relationship Id="rId943" Type="http://schemas.openxmlformats.org/officeDocument/2006/relationships/hyperlink" Target="https://www.iqiyi.com/v_19rqstgmws.html" TargetMode="External"/><Relationship Id="rId1019" Type="http://schemas.openxmlformats.org/officeDocument/2006/relationships/hyperlink" Target="https://www.iqiyi.com/w_19s1abd87d.html" TargetMode="External"/><Relationship Id="rId72" Type="http://schemas.openxmlformats.org/officeDocument/2006/relationships/hyperlink" Target="https://www.iqiyi.com/v_1pr6eems2bs.html" TargetMode="External"/><Relationship Id="rId375" Type="http://schemas.openxmlformats.org/officeDocument/2006/relationships/hyperlink" Target="https://www.iqiyi.com/v_25rbdq4auw8.html" TargetMode="External"/><Relationship Id="rId582" Type="http://schemas.openxmlformats.org/officeDocument/2006/relationships/hyperlink" Target="https://www.iqiyi.com/v_19rwr15ees.html" TargetMode="External"/><Relationship Id="rId803" Type="http://schemas.openxmlformats.org/officeDocument/2006/relationships/hyperlink" Target="https://www.iqiyi.com/v_19rry0t8t4.html" TargetMode="External"/><Relationship Id="rId3" Type="http://schemas.openxmlformats.org/officeDocument/2006/relationships/hyperlink" Target="https://www.iqiyi.com/v_1xojfx1iy54.html" TargetMode="External"/><Relationship Id="rId235" Type="http://schemas.openxmlformats.org/officeDocument/2006/relationships/hyperlink" Target="https://www.iqiyi.com/v_msxfx2099w.html" TargetMode="External"/><Relationship Id="rId442" Type="http://schemas.openxmlformats.org/officeDocument/2006/relationships/hyperlink" Target="https://www.iqiyi.com/v_pft2ve9d6o.html" TargetMode="External"/><Relationship Id="rId887" Type="http://schemas.openxmlformats.org/officeDocument/2006/relationships/hyperlink" Target="https://www.iqiyi.com/v_19rqtqoe5k.html" TargetMode="External"/><Relationship Id="rId1072" Type="http://schemas.openxmlformats.org/officeDocument/2006/relationships/hyperlink" Target="https://www.iqiyi.com/w_19rzxilrjh.html" TargetMode="External"/><Relationship Id="rId302" Type="http://schemas.openxmlformats.org/officeDocument/2006/relationships/hyperlink" Target="https://www.iqiyi.com/v_efkugpdb9c.html" TargetMode="External"/><Relationship Id="rId747" Type="http://schemas.openxmlformats.org/officeDocument/2006/relationships/hyperlink" Target="https://www.iqiyi.com/v_19ru875y34.html" TargetMode="External"/><Relationship Id="rId954" Type="http://schemas.openxmlformats.org/officeDocument/2006/relationships/hyperlink" Target="https://www.iqiyi.com/v_19rqrx78rg.html" TargetMode="External"/><Relationship Id="rId83" Type="http://schemas.openxmlformats.org/officeDocument/2006/relationships/hyperlink" Target="https://www.iqiyi.com/v_ldsup4v6iw.html" TargetMode="External"/><Relationship Id="rId179" Type="http://schemas.openxmlformats.org/officeDocument/2006/relationships/hyperlink" Target="https://www.iqiyi.com/v_130cy2rw7zk.html" TargetMode="External"/><Relationship Id="rId386" Type="http://schemas.openxmlformats.org/officeDocument/2006/relationships/hyperlink" Target="https://www.iqiyi.com/v_qgn1dzai50.html" TargetMode="External"/><Relationship Id="rId593" Type="http://schemas.openxmlformats.org/officeDocument/2006/relationships/hyperlink" Target="https://www.iqiyi.com/v_19rwwl9m7c.html" TargetMode="External"/><Relationship Id="rId607" Type="http://schemas.openxmlformats.org/officeDocument/2006/relationships/hyperlink" Target="https://www.iqiyi.com/v_19rxf2bwtk.html" TargetMode="External"/><Relationship Id="rId814" Type="http://schemas.openxmlformats.org/officeDocument/2006/relationships/hyperlink" Target="https://www.iqiyi.com/v_19rsaztck4.html" TargetMode="External"/><Relationship Id="rId246" Type="http://schemas.openxmlformats.org/officeDocument/2006/relationships/hyperlink" Target="https://www.iqiyi.com/v_1myfph3g130.html" TargetMode="External"/><Relationship Id="rId453" Type="http://schemas.openxmlformats.org/officeDocument/2006/relationships/hyperlink" Target="https://www.iqiyi.com/v_1utqj8xvsis.html" TargetMode="External"/><Relationship Id="rId660" Type="http://schemas.openxmlformats.org/officeDocument/2006/relationships/hyperlink" Target="https://www.iqiyi.com/v_19ruqh9xac.html" TargetMode="External"/><Relationship Id="rId898" Type="http://schemas.openxmlformats.org/officeDocument/2006/relationships/hyperlink" Target="https://www.iqiyi.com/v_19rqx9rfos.html" TargetMode="External"/><Relationship Id="rId1083" Type="http://schemas.openxmlformats.org/officeDocument/2006/relationships/hyperlink" Target="https://www.iqiyi.com/w_19s075v821.html" TargetMode="External"/><Relationship Id="rId106" Type="http://schemas.openxmlformats.org/officeDocument/2006/relationships/hyperlink" Target="https://www.iqiyi.com/v_20fn22da0r8.html" TargetMode="External"/><Relationship Id="rId313" Type="http://schemas.openxmlformats.org/officeDocument/2006/relationships/hyperlink" Target="https://www.iqiyi.com/v_1plo1e7an3o.html" TargetMode="External"/><Relationship Id="rId758" Type="http://schemas.openxmlformats.org/officeDocument/2006/relationships/hyperlink" Target="https://www.iqiyi.com/v_19rsvd3me4.html" TargetMode="External"/><Relationship Id="rId965" Type="http://schemas.openxmlformats.org/officeDocument/2006/relationships/hyperlink" Target="https://www.iqiyi.com/v_19rr3sod5g.html" TargetMode="External"/><Relationship Id="rId1150" Type="http://schemas.openxmlformats.org/officeDocument/2006/relationships/hyperlink" Target="https://www.iqiyi.com/w_19rwudsxa9.html" TargetMode="External"/><Relationship Id="rId10" Type="http://schemas.openxmlformats.org/officeDocument/2006/relationships/hyperlink" Target="https://www.iqiyi.com/v_13qtn5m8qnk.html" TargetMode="External"/><Relationship Id="rId94" Type="http://schemas.openxmlformats.org/officeDocument/2006/relationships/hyperlink" Target="https://www.iqiyi.com/v_shdecr0q04.html" TargetMode="External"/><Relationship Id="rId397" Type="http://schemas.openxmlformats.org/officeDocument/2006/relationships/hyperlink" Target="https://www.iqiyi.com/v_1di97rq03gk.html" TargetMode="External"/><Relationship Id="rId520" Type="http://schemas.openxmlformats.org/officeDocument/2006/relationships/hyperlink" Target="https://www.iqiyi.com/v_19rxtsnxjw.html" TargetMode="External"/><Relationship Id="rId618" Type="http://schemas.openxmlformats.org/officeDocument/2006/relationships/hyperlink" Target="https://www.iqiyi.com/v_19rw3ebbj8.html" TargetMode="External"/><Relationship Id="rId825" Type="http://schemas.openxmlformats.org/officeDocument/2006/relationships/hyperlink" Target="https://www.iqiyi.com/v_19rs7w0qlc.html" TargetMode="External"/><Relationship Id="rId257" Type="http://schemas.openxmlformats.org/officeDocument/2006/relationships/hyperlink" Target="https://www.iqiyi.com/v_2ejmk1hqu7w.html" TargetMode="External"/><Relationship Id="rId464" Type="http://schemas.openxmlformats.org/officeDocument/2006/relationships/hyperlink" Target="https://www.iqiyi.com/v_yhfgnt2njc.html" TargetMode="External"/><Relationship Id="rId1010" Type="http://schemas.openxmlformats.org/officeDocument/2006/relationships/hyperlink" Target="https://www.iqiyi.com/w_19s0xff7hl.html" TargetMode="External"/><Relationship Id="rId1094" Type="http://schemas.openxmlformats.org/officeDocument/2006/relationships/hyperlink" Target="https://www.iqiyi.com/w_19rzvhljp9.html" TargetMode="External"/><Relationship Id="rId1108" Type="http://schemas.openxmlformats.org/officeDocument/2006/relationships/hyperlink" Target="https://www.iqiyi.com/w_19s08vnv5x.html" TargetMode="External"/><Relationship Id="rId117" Type="http://schemas.openxmlformats.org/officeDocument/2006/relationships/hyperlink" Target="https://www.iqiyi.com/v_l7aamrouzc.html" TargetMode="External"/><Relationship Id="rId671" Type="http://schemas.openxmlformats.org/officeDocument/2006/relationships/hyperlink" Target="https://www.iqiyi.com/v_19ruxbsgdo.html" TargetMode="External"/><Relationship Id="rId769" Type="http://schemas.openxmlformats.org/officeDocument/2006/relationships/hyperlink" Target="https://www.iqiyi.com/v_19rtbw1iw8.html" TargetMode="External"/><Relationship Id="rId976" Type="http://schemas.openxmlformats.org/officeDocument/2006/relationships/hyperlink" Target="https://www.iqiyi.com/w_19s1lebaad.html" TargetMode="External"/><Relationship Id="rId324" Type="http://schemas.openxmlformats.org/officeDocument/2006/relationships/hyperlink" Target="https://www.iqiyi.com/v_1gmsleknamo.html" TargetMode="External"/><Relationship Id="rId531" Type="http://schemas.openxmlformats.org/officeDocument/2006/relationships/hyperlink" Target="https://www.iqiyi.com/v_19rxp7al60.html" TargetMode="External"/><Relationship Id="rId629" Type="http://schemas.openxmlformats.org/officeDocument/2006/relationships/hyperlink" Target="https://www.iqiyi.com/v_19rw631qos.html" TargetMode="External"/><Relationship Id="rId1161" Type="http://schemas.openxmlformats.org/officeDocument/2006/relationships/hyperlink" Target="https://www.iqiyi.com/w_19rwidqghh.html" TargetMode="External"/><Relationship Id="rId836" Type="http://schemas.openxmlformats.org/officeDocument/2006/relationships/hyperlink" Target="https://www.iqiyi.com/v_19rslb1pk8.html" TargetMode="External"/><Relationship Id="rId1021" Type="http://schemas.openxmlformats.org/officeDocument/2006/relationships/hyperlink" Target="https://www.iqiyi.com/w_19s19l8jpp.html" TargetMode="External"/><Relationship Id="rId1119" Type="http://schemas.openxmlformats.org/officeDocument/2006/relationships/hyperlink" Target="https://www.iqiyi.com/w_19s05we4et.html" TargetMode="External"/><Relationship Id="rId903" Type="http://schemas.openxmlformats.org/officeDocument/2006/relationships/hyperlink" Target="https://www.iqiyi.com/v_19rqwq6i60.html" TargetMode="External"/><Relationship Id="rId32" Type="http://schemas.openxmlformats.org/officeDocument/2006/relationships/hyperlink" Target="https://www.iqiyi.com/v_12gaeft600g.html" TargetMode="External"/><Relationship Id="rId181" Type="http://schemas.openxmlformats.org/officeDocument/2006/relationships/hyperlink" Target="https://www.iqiyi.com/v_174uz7e1yl0.html" TargetMode="External"/><Relationship Id="rId279" Type="http://schemas.openxmlformats.org/officeDocument/2006/relationships/hyperlink" Target="https://www.iqiyi.com/v_11aafpiqxvo.html" TargetMode="External"/><Relationship Id="rId486" Type="http://schemas.openxmlformats.org/officeDocument/2006/relationships/hyperlink" Target="https://www.iqiyi.com/v_19rz3cjs64.html" TargetMode="External"/><Relationship Id="rId693" Type="http://schemas.openxmlformats.org/officeDocument/2006/relationships/hyperlink" Target="https://www.iqiyi.com/v_19rv7g9ts8.html" TargetMode="External"/><Relationship Id="rId139" Type="http://schemas.openxmlformats.org/officeDocument/2006/relationships/hyperlink" Target="https://www.iqiyi.com/v_9xq7128c64.html" TargetMode="External"/><Relationship Id="rId346" Type="http://schemas.openxmlformats.org/officeDocument/2006/relationships/hyperlink" Target="https://www.iqiyi.com/v_167k951r6w8.html" TargetMode="External"/><Relationship Id="rId553" Type="http://schemas.openxmlformats.org/officeDocument/2006/relationships/hyperlink" Target="https://www.iqiyi.com/v_19rxxgvhkc.html" TargetMode="External"/><Relationship Id="rId760" Type="http://schemas.openxmlformats.org/officeDocument/2006/relationships/hyperlink" Target="https://www.iqiyi.com/v_19rss50d2s.html" TargetMode="External"/><Relationship Id="rId998" Type="http://schemas.openxmlformats.org/officeDocument/2006/relationships/hyperlink" Target="https://www.iqiyi.com/w_19s0z1i341.html" TargetMode="External"/><Relationship Id="rId206" Type="http://schemas.openxmlformats.org/officeDocument/2006/relationships/hyperlink" Target="https://www.iqiyi.com/v_1d74ab1jfsk.html" TargetMode="External"/><Relationship Id="rId413" Type="http://schemas.openxmlformats.org/officeDocument/2006/relationships/hyperlink" Target="https://www.iqiyi.com/v_1uzgsbtbjjs.html" TargetMode="External"/><Relationship Id="rId858" Type="http://schemas.openxmlformats.org/officeDocument/2006/relationships/hyperlink" Target="https://www.iqiyi.com/v_19rsfqzmr8.html" TargetMode="External"/><Relationship Id="rId1043" Type="http://schemas.openxmlformats.org/officeDocument/2006/relationships/hyperlink" Target="https://www.iqiyi.com/w_19s1c9qy1d.html" TargetMode="External"/><Relationship Id="rId620" Type="http://schemas.openxmlformats.org/officeDocument/2006/relationships/hyperlink" Target="https://www.iqiyi.com/v_19rvw4ef2g.html" TargetMode="External"/><Relationship Id="rId718" Type="http://schemas.openxmlformats.org/officeDocument/2006/relationships/hyperlink" Target="https://www.iqiyi.com/v_19rtw5y89w.html" TargetMode="External"/><Relationship Id="rId925" Type="http://schemas.openxmlformats.org/officeDocument/2006/relationships/hyperlink" Target="https://www.iqiyi.com/v_19rqpauy80.html" TargetMode="External"/><Relationship Id="rId1110" Type="http://schemas.openxmlformats.org/officeDocument/2006/relationships/hyperlink" Target="https://www.iqiyi.com/w_19s07xius1.html" TargetMode="External"/><Relationship Id="rId54" Type="http://schemas.openxmlformats.org/officeDocument/2006/relationships/hyperlink" Target="https://www.iqiyi.com/v_13zaq08ms9c.html" TargetMode="External"/><Relationship Id="rId270" Type="http://schemas.openxmlformats.org/officeDocument/2006/relationships/hyperlink" Target="https://www.iqiyi.com/v_28v5armtkgg.html" TargetMode="External"/><Relationship Id="rId130" Type="http://schemas.openxmlformats.org/officeDocument/2006/relationships/hyperlink" Target="https://www.iqiyi.com/v_1kquljgbb6o.html" TargetMode="External"/><Relationship Id="rId368" Type="http://schemas.openxmlformats.org/officeDocument/2006/relationships/hyperlink" Target="https://www.iqiyi.com/v_1ixxyydepp0.html" TargetMode="External"/><Relationship Id="rId575" Type="http://schemas.openxmlformats.org/officeDocument/2006/relationships/hyperlink" Target="https://www.iqiyi.com/v_19ryj7jd00.html" TargetMode="External"/><Relationship Id="rId782" Type="http://schemas.openxmlformats.org/officeDocument/2006/relationships/hyperlink" Target="https://www.iqiyi.com/v_19rthk5wjc.html" TargetMode="External"/><Relationship Id="rId228" Type="http://schemas.openxmlformats.org/officeDocument/2006/relationships/hyperlink" Target="https://www.iqiyi.com/v_19qcoi3tjz0.html" TargetMode="External"/><Relationship Id="rId435" Type="http://schemas.openxmlformats.org/officeDocument/2006/relationships/hyperlink" Target="https://www.iqiyi.com/v_1t1tewsbpsk.html" TargetMode="External"/><Relationship Id="rId642" Type="http://schemas.openxmlformats.org/officeDocument/2006/relationships/hyperlink" Target="https://www.iqiyi.com/v_19rwdxejz8.html" TargetMode="External"/><Relationship Id="rId1065" Type="http://schemas.openxmlformats.org/officeDocument/2006/relationships/hyperlink" Target="https://www.iqiyi.com/w_19s00pok8x.html" TargetMode="External"/><Relationship Id="rId502" Type="http://schemas.openxmlformats.org/officeDocument/2006/relationships/hyperlink" Target="https://www.iqiyi.com/v_19rzjiums4.html" TargetMode="External"/><Relationship Id="rId947" Type="http://schemas.openxmlformats.org/officeDocument/2006/relationships/hyperlink" Target="https://www.iqiyi.com/v_19rqsdf31k.html" TargetMode="External"/><Relationship Id="rId1132" Type="http://schemas.openxmlformats.org/officeDocument/2006/relationships/hyperlink" Target="https://www.iqiyi.com/w_19ryvslxkh.html" TargetMode="External"/><Relationship Id="rId76" Type="http://schemas.openxmlformats.org/officeDocument/2006/relationships/hyperlink" Target="https://www.iqiyi.com/v_1we614grul4.html" TargetMode="External"/><Relationship Id="rId807" Type="http://schemas.openxmlformats.org/officeDocument/2006/relationships/hyperlink" Target="https://www.iqiyi.com/v_19rs0v8d3s.html" TargetMode="External"/><Relationship Id="rId292" Type="http://schemas.openxmlformats.org/officeDocument/2006/relationships/hyperlink" Target="https://www.iqiyi.com/v_ovaabjnqb8.html" TargetMode="External"/><Relationship Id="rId597" Type="http://schemas.openxmlformats.org/officeDocument/2006/relationships/hyperlink" Target="https://www.iqiyi.com/v_19rx97of8w.html" TargetMode="External"/><Relationship Id="rId152" Type="http://schemas.openxmlformats.org/officeDocument/2006/relationships/hyperlink" Target="https://www.iqiyi.com/v_2e9kpot43uw.html" TargetMode="External"/><Relationship Id="rId457" Type="http://schemas.openxmlformats.org/officeDocument/2006/relationships/hyperlink" Target="https://www.iqiyi.com/v_1e6uo0kpatw.html" TargetMode="External"/><Relationship Id="rId1087" Type="http://schemas.openxmlformats.org/officeDocument/2006/relationships/hyperlink" Target="https://www.iqiyi.com/w_19s09k7jwd.html" TargetMode="External"/><Relationship Id="rId664" Type="http://schemas.openxmlformats.org/officeDocument/2006/relationships/hyperlink" Target="https://www.iqiyi.com/v_19rv1ju6rw.html" TargetMode="External"/><Relationship Id="rId871" Type="http://schemas.openxmlformats.org/officeDocument/2006/relationships/hyperlink" Target="https://www.iqiyi.com/v_19rshqsx9g.html" TargetMode="External"/><Relationship Id="rId969" Type="http://schemas.openxmlformats.org/officeDocument/2006/relationships/hyperlink" Target="https://www.iqiyi.com/v_19rr37y6f4.html" TargetMode="External"/><Relationship Id="rId317" Type="http://schemas.openxmlformats.org/officeDocument/2006/relationships/hyperlink" Target="https://www.iqiyi.com/v_1m5k76xwbnk.html" TargetMode="External"/><Relationship Id="rId524" Type="http://schemas.openxmlformats.org/officeDocument/2006/relationships/hyperlink" Target="https://www.iqiyi.com/v_19rxni8eqc.html" TargetMode="External"/><Relationship Id="rId731" Type="http://schemas.openxmlformats.org/officeDocument/2006/relationships/hyperlink" Target="https://www.iqiyi.com/v_19ru23xdf4.html" TargetMode="External"/><Relationship Id="rId1154" Type="http://schemas.openxmlformats.org/officeDocument/2006/relationships/hyperlink" Target="https://www.iqiyi.com/w_19rwhwr7i5.html" TargetMode="External"/><Relationship Id="rId98" Type="http://schemas.openxmlformats.org/officeDocument/2006/relationships/hyperlink" Target="https://www.iqiyi.com/v_24yxdo3aubk.html" TargetMode="External"/><Relationship Id="rId829" Type="http://schemas.openxmlformats.org/officeDocument/2006/relationships/hyperlink" Target="https://www.iqiyi.com/v_19rs9y2xd0.html" TargetMode="External"/><Relationship Id="rId1014" Type="http://schemas.openxmlformats.org/officeDocument/2006/relationships/hyperlink" Target="https://www.iqiyi.com/w_19s17tcrh5.html" TargetMode="External"/><Relationship Id="rId25" Type="http://schemas.openxmlformats.org/officeDocument/2006/relationships/hyperlink" Target="https://www.iqiyi.com/v_1zqnam7jjos.html" TargetMode="External"/><Relationship Id="rId174" Type="http://schemas.openxmlformats.org/officeDocument/2006/relationships/hyperlink" Target="https://www.iqiyi.com/v_2cflg9sm4xo.html" TargetMode="External"/><Relationship Id="rId381" Type="http://schemas.openxmlformats.org/officeDocument/2006/relationships/hyperlink" Target="https://www.iqiyi.com/v_1prbchsu7gw.html" TargetMode="External"/><Relationship Id="rId241" Type="http://schemas.openxmlformats.org/officeDocument/2006/relationships/hyperlink" Target="https://www.iqiyi.com/v_bxmfgjspi0.html" TargetMode="External"/><Relationship Id="rId479" Type="http://schemas.openxmlformats.org/officeDocument/2006/relationships/hyperlink" Target="https://www.iqiyi.com/v_qio7ua6m2k.html" TargetMode="External"/><Relationship Id="rId686" Type="http://schemas.openxmlformats.org/officeDocument/2006/relationships/hyperlink" Target="https://www.iqiyi.com/v_19rv6b4ct0.html" TargetMode="External"/><Relationship Id="rId893" Type="http://schemas.openxmlformats.org/officeDocument/2006/relationships/hyperlink" Target="https://www.iqiyi.com/v_19rqxsz7xg.html" TargetMode="External"/><Relationship Id="rId339" Type="http://schemas.openxmlformats.org/officeDocument/2006/relationships/hyperlink" Target="https://www.iqiyi.com/v_1u3i2qeaga4.html" TargetMode="External"/><Relationship Id="rId546" Type="http://schemas.openxmlformats.org/officeDocument/2006/relationships/hyperlink" Target="https://www.iqiyi.com/v_19rxwu5lz8.html" TargetMode="External"/><Relationship Id="rId753" Type="http://schemas.openxmlformats.org/officeDocument/2006/relationships/hyperlink" Target="https://www.iqiyi.com/v_19rueesqq0.html" TargetMode="External"/><Relationship Id="rId101" Type="http://schemas.openxmlformats.org/officeDocument/2006/relationships/hyperlink" Target="https://www.iqiyi.com/v_2cqehyfwclg.html" TargetMode="External"/><Relationship Id="rId406" Type="http://schemas.openxmlformats.org/officeDocument/2006/relationships/hyperlink" Target="https://www.iqiyi.com/v_nc447h33us.html" TargetMode="External"/><Relationship Id="rId960" Type="http://schemas.openxmlformats.org/officeDocument/2006/relationships/hyperlink" Target="https://www.iqiyi.com/v_19rr4m0n0c.html" TargetMode="External"/><Relationship Id="rId1036" Type="http://schemas.openxmlformats.org/officeDocument/2006/relationships/hyperlink" Target="https://www.iqiyi.com/w_19s1h9j69h.html" TargetMode="External"/><Relationship Id="rId613" Type="http://schemas.openxmlformats.org/officeDocument/2006/relationships/hyperlink" Target="https://www.iqiyi.com/v_19rvnh66sg.html" TargetMode="External"/><Relationship Id="rId820" Type="http://schemas.openxmlformats.org/officeDocument/2006/relationships/hyperlink" Target="https://www.iqiyi.com/v_19rsdrzd4o.html" TargetMode="External"/><Relationship Id="rId918" Type="http://schemas.openxmlformats.org/officeDocument/2006/relationships/hyperlink" Target="https://www.iqiyi.com/v_19rqpuyhag.html" TargetMode="External"/><Relationship Id="rId1103" Type="http://schemas.openxmlformats.org/officeDocument/2006/relationships/hyperlink" Target="https://www.iqiyi.com/w_19rzw5nfad.html" TargetMode="External"/><Relationship Id="rId47" Type="http://schemas.openxmlformats.org/officeDocument/2006/relationships/hyperlink" Target="https://www.iqiyi.com/v_1ojttm1upto.html" TargetMode="External"/><Relationship Id="rId196" Type="http://schemas.openxmlformats.org/officeDocument/2006/relationships/hyperlink" Target="https://www.iqiyi.com/v_121svvodcsk.html" TargetMode="External"/><Relationship Id="rId263" Type="http://schemas.openxmlformats.org/officeDocument/2006/relationships/hyperlink" Target="https://www.iqiyi.com/v_g3okvs9dow.html" TargetMode="External"/><Relationship Id="rId470" Type="http://schemas.openxmlformats.org/officeDocument/2006/relationships/hyperlink" Target="https://www.iqiyi.com/v_1szb2xf920s.html" TargetMode="Externa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www.iqiyi.com/v_taip4hzqxw.html?share_sTime=68"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www.iqiyi.com/v_1kzf2cy2qq4.html(min:7:16)" TargetMode="External"/><Relationship Id="rId2" Type="http://schemas.openxmlformats.org/officeDocument/2006/relationships/hyperlink" Target="https://www.iqiyi.com/v_1kzf2cy2qq4.html(min:7:16)" TargetMode="External"/><Relationship Id="rId1" Type="http://schemas.openxmlformats.org/officeDocument/2006/relationships/hyperlink" Target="https://www.iqiyi.com/v_1kzf2cy2qq4.html(min:5:50)"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www.iqiyi.com/v_2b7dt657dgg.html?share_sTime=271" TargetMode="Externa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hyperlink" Target="https://10.10.82.146:8855/vse/scenarios/619b58a90b711214af97a66e/simulations?source=LOCAL"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97AA8-198A-4D3A-9518-0F8150D377E6}">
  <sheetPr>
    <outlinePr summaryBelow="0" summaryRight="0"/>
  </sheetPr>
  <dimension ref="A1:G323"/>
  <sheetViews>
    <sheetView workbookViewId="0"/>
  </sheetViews>
  <sheetFormatPr defaultColWidth="14.3984375" defaultRowHeight="15.75" customHeight="1"/>
  <cols>
    <col min="1" max="1" width="50" customWidth="1"/>
    <col min="5" max="5" width="45.69921875" customWidth="1"/>
    <col min="6" max="6" width="39.59765625" customWidth="1"/>
    <col min="7" max="7" width="38.8984375" customWidth="1"/>
  </cols>
  <sheetData>
    <row r="1" spans="1:7" ht="15.75" customHeight="1">
      <c r="A1" s="14" t="s">
        <v>24</v>
      </c>
      <c r="B1" s="14"/>
      <c r="E1" s="245" t="str">
        <f ca="1">IFERROR(__xludf.DUMMYFUNCTION("UNIQUE(A2:A998)"),"https://www.iqiyi.com/v_2bufryvc36k.html")</f>
        <v>https://www.iqiyi.com/v_2bufryvc36k.html</v>
      </c>
      <c r="G1" s="246" t="s">
        <v>6497</v>
      </c>
    </row>
    <row r="2" spans="1:7" ht="15.75" customHeight="1">
      <c r="A2" s="26" t="s">
        <v>66</v>
      </c>
      <c r="B2" s="128"/>
      <c r="E2" s="245" t="str">
        <f ca="1">IFERROR(__xludf.DUMMYFUNCTION("""COMPUTED_VALUE"""),"https://www.iqiyi.com/v_2993z2f1klc.html")</f>
        <v>https://www.iqiyi.com/v_2993z2f1klc.html</v>
      </c>
      <c r="F2" s="246" t="s">
        <v>66</v>
      </c>
      <c r="G2" s="245" t="str">
        <f ca="1">IFERROR(__xludf.DUMMYFUNCTION("SORT(UNIQUE(F2:F998))"),"http://www.iqiyi.com/v_105jzk25f38.html")</f>
        <v>http://www.iqiyi.com/v_105jzk25f38.html</v>
      </c>
    </row>
    <row r="3" spans="1:7" ht="15.75" customHeight="1">
      <c r="A3" s="26" t="s">
        <v>88</v>
      </c>
      <c r="B3" s="128"/>
      <c r="E3" s="245" t="str">
        <f ca="1">IFERROR(__xludf.DUMMYFUNCTION("""COMPUTED_VALUE"""),"https://www.iqiyi.com/v_lmhkxrqwlk.html")</f>
        <v>https://www.iqiyi.com/v_lmhkxrqwlk.html</v>
      </c>
      <c r="F3" s="246" t="s">
        <v>88</v>
      </c>
      <c r="G3" s="245" t="str">
        <f ca="1">IFERROR(__xludf.DUMMYFUNCTION("""COMPUTED_VALUE"""),"http://www.iqiyi.com/v_13zv6vx492s.html")</f>
        <v>http://www.iqiyi.com/v_13zv6vx492s.html</v>
      </c>
    </row>
    <row r="4" spans="1:7" ht="15.75" customHeight="1">
      <c r="A4" s="31" t="s">
        <v>88</v>
      </c>
      <c r="B4" s="247"/>
      <c r="E4" s="245" t="str">
        <f ca="1">IFERROR(__xludf.DUMMYFUNCTION("""COMPUTED_VALUE"""),"https://www.iqiyi.com/v_fnv2jl6aqc.html")</f>
        <v>https://www.iqiyi.com/v_fnv2jl6aqc.html</v>
      </c>
      <c r="F4" s="246" t="s">
        <v>88</v>
      </c>
      <c r="G4" s="245" t="str">
        <f ca="1">IFERROR(__xludf.DUMMYFUNCTION("""COMPUTED_VALUE"""),"http://www.iqiyi.com/v_14006zhf2uo.html")</f>
        <v>http://www.iqiyi.com/v_14006zhf2uo.html</v>
      </c>
    </row>
    <row r="5" spans="1:7" ht="15.75" customHeight="1">
      <c r="A5" s="35" t="s">
        <v>88</v>
      </c>
      <c r="B5" s="246"/>
      <c r="E5" s="245" t="str">
        <f ca="1">IFERROR(__xludf.DUMMYFUNCTION("""COMPUTED_VALUE"""),"https://www.iqiyi.com/v_2bx0gdxkbbo.html")</f>
        <v>https://www.iqiyi.com/v_2bx0gdxkbbo.html</v>
      </c>
      <c r="F5" s="246" t="s">
        <v>88</v>
      </c>
      <c r="G5" s="245" t="str">
        <f ca="1">IFERROR(__xludf.DUMMYFUNCTION("""COMPUTED_VALUE"""),"http://www.iqiyi.com/v_17b2rc6qcw0.html")</f>
        <v>http://www.iqiyi.com/v_17b2rc6qcw0.html</v>
      </c>
    </row>
    <row r="6" spans="1:7" ht="15.75" customHeight="1">
      <c r="A6" s="26" t="s">
        <v>119</v>
      </c>
      <c r="B6" s="128"/>
      <c r="E6" s="245" t="str">
        <f ca="1">IFERROR(__xludf.DUMMYFUNCTION("""COMPUTED_VALUE"""),"https://www.iqiyi.com/v_1u0x3rzzbjs.html")</f>
        <v>https://www.iqiyi.com/v_1u0x3rzzbjs.html</v>
      </c>
      <c r="F6" s="246" t="s">
        <v>119</v>
      </c>
      <c r="G6" s="245" t="str">
        <f ca="1">IFERROR(__xludf.DUMMYFUNCTION("""COMPUTED_VALUE"""),"http://www.iqiyi.com/v_17l6d2qrdv0.html")</f>
        <v>http://www.iqiyi.com/v_17l6d2qrdv0.html</v>
      </c>
    </row>
    <row r="7" spans="1:7" ht="15.75" customHeight="1">
      <c r="A7" s="35" t="s">
        <v>119</v>
      </c>
      <c r="B7" s="246"/>
      <c r="E7" s="245" t="str">
        <f ca="1">IFERROR(__xludf.DUMMYFUNCTION("""COMPUTED_VALUE"""),"https://www.iqiyi.com/v_g1ofle6l90.html")</f>
        <v>https://www.iqiyi.com/v_g1ofle6l90.html</v>
      </c>
      <c r="F7" s="246" t="s">
        <v>119</v>
      </c>
      <c r="G7" s="245" t="str">
        <f ca="1">IFERROR(__xludf.DUMMYFUNCTION("""COMPUTED_VALUE"""),"http://www.iqiyi.com/v_1c7atnuhsr4.html")</f>
        <v>http://www.iqiyi.com/v_1c7atnuhsr4.html</v>
      </c>
    </row>
    <row r="8" spans="1:7" ht="15.75" customHeight="1">
      <c r="A8" s="26" t="s">
        <v>88</v>
      </c>
      <c r="B8" s="128"/>
      <c r="E8" s="245" t="str">
        <f ca="1">IFERROR(__xludf.DUMMYFUNCTION("""COMPUTED_VALUE"""),"https://www.iqiyi.com/v_1s40j847frg.html")</f>
        <v>https://www.iqiyi.com/v_1s40j847frg.html</v>
      </c>
      <c r="F8" s="246" t="s">
        <v>88</v>
      </c>
      <c r="G8" s="245" t="str">
        <f ca="1">IFERROR(__xludf.DUMMYFUNCTION("""COMPUTED_VALUE"""),"http://www.iqiyi.com/v_1qc2dhhf17c.html")</f>
        <v>http://www.iqiyi.com/v_1qc2dhhf17c.html</v>
      </c>
    </row>
    <row r="9" spans="1:7" ht="15.75" customHeight="1">
      <c r="A9" s="26" t="s">
        <v>145</v>
      </c>
      <c r="B9" s="128"/>
      <c r="E9" s="245" t="str">
        <f ca="1">IFERROR(__xludf.DUMMYFUNCTION("""COMPUTED_VALUE"""),"https://www.iqiyi.com/v_1smrdalxvck.html")</f>
        <v>https://www.iqiyi.com/v_1smrdalxvck.html</v>
      </c>
      <c r="F9" s="246" t="s">
        <v>145</v>
      </c>
      <c r="G9" s="245" t="str">
        <f ca="1">IFERROR(__xludf.DUMMYFUNCTION("""COMPUTED_VALUE"""),"http://www.iqiyi.com/v_1u0x3rzzbjs.html")</f>
        <v>http://www.iqiyi.com/v_1u0x3rzzbjs.html</v>
      </c>
    </row>
    <row r="10" spans="1:7" ht="15.75" customHeight="1">
      <c r="A10" s="26" t="s">
        <v>154</v>
      </c>
      <c r="B10" s="128"/>
      <c r="E10" s="245" t="str">
        <f ca="1">IFERROR(__xludf.DUMMYFUNCTION("""COMPUTED_VALUE"""),"https://www.iqiyi.com/v_1p6eeku8olw.html")</f>
        <v>https://www.iqiyi.com/v_1p6eeku8olw.html</v>
      </c>
      <c r="F10" s="246" t="s">
        <v>154</v>
      </c>
      <c r="G10" s="245" t="str">
        <f ca="1">IFERROR(__xludf.DUMMYFUNCTION("""COMPUTED_VALUE"""),"http://www.iqiyi.com/v_2bufryvc36k.html")</f>
        <v>http://www.iqiyi.com/v_2bufryvc36k.html</v>
      </c>
    </row>
    <row r="11" spans="1:7" ht="15.75" customHeight="1">
      <c r="A11" s="26" t="s">
        <v>161</v>
      </c>
      <c r="B11" s="128"/>
      <c r="E11" s="245" t="str">
        <f ca="1">IFERROR(__xludf.DUMMYFUNCTION("""COMPUTED_VALUE"""),"https://www.iqiyi.com/v_28ir6fn3f9w.html")</f>
        <v>https://www.iqiyi.com/v_28ir6fn3f9w.html</v>
      </c>
      <c r="F11" s="246" t="s">
        <v>161</v>
      </c>
      <c r="G11" s="245" t="str">
        <f ca="1">IFERROR(__xludf.DUMMYFUNCTION("""COMPUTED_VALUE"""),"http://www.iqiyi.com/v_2docnt7jyw8.html")</f>
        <v>http://www.iqiyi.com/v_2docnt7jyw8.html</v>
      </c>
    </row>
    <row r="12" spans="1:7" ht="15.75" customHeight="1">
      <c r="A12" s="35" t="s">
        <v>1888</v>
      </c>
      <c r="B12" s="246"/>
      <c r="E12" s="245" t="str">
        <f ca="1">IFERROR(__xludf.DUMMYFUNCTION("""COMPUTED_VALUE"""),"https://www.iqiyi.com/v_2bvr40ahqls.html")</f>
        <v>https://www.iqiyi.com/v_2bvr40ahqls.html</v>
      </c>
      <c r="F12" s="246" t="s">
        <v>1888</v>
      </c>
      <c r="G12" s="245" t="str">
        <f ca="1">IFERROR(__xludf.DUMMYFUNCTION("""COMPUTED_VALUE"""),"http://www.iqiyi.com/v_2fb1s6tz13k.html")</f>
        <v>http://www.iqiyi.com/v_2fb1s6tz13k.html</v>
      </c>
    </row>
    <row r="13" spans="1:7" ht="15.75" customHeight="1">
      <c r="A13" s="35" t="s">
        <v>1888</v>
      </c>
      <c r="B13" s="246"/>
      <c r="E13" s="245" t="str">
        <f ca="1">IFERROR(__xludf.DUMMYFUNCTION("""COMPUTED_VALUE"""),"https://www.iqiyi.com/v_17l6d2qrdv0.html")</f>
        <v>https://www.iqiyi.com/v_17l6d2qrdv0.html</v>
      </c>
      <c r="F13" s="246" t="s">
        <v>1888</v>
      </c>
      <c r="G13" s="245" t="str">
        <f ca="1">IFERROR(__xludf.DUMMYFUNCTION("""COMPUTED_VALUE"""),"http://www.iqiyi.com/v_fnv2jl6aqc.html")</f>
        <v>http://www.iqiyi.com/v_fnv2jl6aqc.html</v>
      </c>
    </row>
    <row r="14" spans="1:7" ht="15.75" customHeight="1">
      <c r="A14" s="35" t="s">
        <v>1888</v>
      </c>
      <c r="B14" s="246"/>
      <c r="E14" s="245" t="str">
        <f ca="1">IFERROR(__xludf.DUMMYFUNCTION("""COMPUTED_VALUE"""),"https://www.iqiyi.com/v_uscurycmg8.html")</f>
        <v>https://www.iqiyi.com/v_uscurycmg8.html</v>
      </c>
      <c r="F14" s="246" t="s">
        <v>1888</v>
      </c>
      <c r="G14" s="245" t="str">
        <f ca="1">IFERROR(__xludf.DUMMYFUNCTION("""COMPUTED_VALUE"""),"http://www.iqiyi.com/v_lmhkxrqwlk.html")</f>
        <v>http://www.iqiyi.com/v_lmhkxrqwlk.html</v>
      </c>
    </row>
    <row r="15" spans="1:7" ht="15.75" customHeight="1">
      <c r="A15" s="35" t="s">
        <v>1888</v>
      </c>
      <c r="B15" s="246"/>
      <c r="E15" s="245" t="str">
        <f ca="1">IFERROR(__xludf.DUMMYFUNCTION("""COMPUTED_VALUE"""),"https://www.iqiyi.com/v_2b7dt657dgg.html")</f>
        <v>https://www.iqiyi.com/v_2b7dt657dgg.html</v>
      </c>
      <c r="F15" s="246" t="s">
        <v>1888</v>
      </c>
      <c r="G15" s="245" t="str">
        <f ca="1">IFERROR(__xludf.DUMMYFUNCTION("""COMPUTED_VALUE"""),"http://www.iqiyi.com/v_uscurycmg8.html")</f>
        <v>http://www.iqiyi.com/v_uscurycmg8.html</v>
      </c>
    </row>
    <row r="16" spans="1:7" ht="15.75" customHeight="1">
      <c r="A16" s="35" t="s">
        <v>1888</v>
      </c>
      <c r="B16" s="246"/>
      <c r="E16" s="245" t="str">
        <f ca="1">IFERROR(__xludf.DUMMYFUNCTION("""COMPUTED_VALUE"""),"https://www.iqiyi.com/v_1rshytn0qmw.html")</f>
        <v>https://www.iqiyi.com/v_1rshytn0qmw.html</v>
      </c>
      <c r="F16" s="246" t="s">
        <v>1888</v>
      </c>
      <c r="G16" s="245" t="str">
        <f ca="1">IFERROR(__xludf.DUMMYFUNCTION("""COMPUTED_VALUE"""),"https://www.iqiyi.com/v_105jzk25f38.html")</f>
        <v>https://www.iqiyi.com/v_105jzk25f38.html</v>
      </c>
    </row>
    <row r="17" spans="1:7" ht="15.75" customHeight="1">
      <c r="A17" s="35" t="s">
        <v>1888</v>
      </c>
      <c r="B17" s="246"/>
      <c r="E17" s="245" t="str">
        <f ca="1">IFERROR(__xludf.DUMMYFUNCTION("""COMPUTED_VALUE"""),"https://www.iqiyi.com/v_bq95qmvkj0.html")</f>
        <v>https://www.iqiyi.com/v_bq95qmvkj0.html</v>
      </c>
      <c r="F17" s="246" t="s">
        <v>1888</v>
      </c>
      <c r="G17" s="245" t="str">
        <f ca="1">IFERROR(__xludf.DUMMYFUNCTION("""COMPUTED_VALUE"""),"https://www.iqiyi.com/v_109ugarkbks.html")</f>
        <v>https://www.iqiyi.com/v_109ugarkbks.html</v>
      </c>
    </row>
    <row r="18" spans="1:7" ht="15.75" customHeight="1">
      <c r="A18" s="35" t="s">
        <v>1036</v>
      </c>
      <c r="B18" s="246"/>
      <c r="E18" s="245" t="str">
        <f ca="1">IFERROR(__xludf.DUMMYFUNCTION("""COMPUTED_VALUE"""),"http://www.iqiyi.com/v_fnv2jl6aqc.html")</f>
        <v>http://www.iqiyi.com/v_fnv2jl6aqc.html</v>
      </c>
      <c r="F18" s="246" t="s">
        <v>1036</v>
      </c>
      <c r="G18" s="245" t="str">
        <f ca="1">IFERROR(__xludf.DUMMYFUNCTION("""COMPUTED_VALUE"""),"https://www.iqiyi.com/v_174uz7e1yl0.html")</f>
        <v>https://www.iqiyi.com/v_174uz7e1yl0.html</v>
      </c>
    </row>
    <row r="19" spans="1:7" ht="15.75" customHeight="1">
      <c r="A19" s="35" t="s">
        <v>1213</v>
      </c>
      <c r="B19" s="246"/>
      <c r="E19" s="245" t="str">
        <f ca="1">IFERROR(__xludf.DUMMYFUNCTION("""COMPUTED_VALUE"""),"http://www.iqiyi.com/v_1u0x3rzzbjs.html")</f>
        <v>http://www.iqiyi.com/v_1u0x3rzzbjs.html</v>
      </c>
      <c r="F19" s="246" t="s">
        <v>1213</v>
      </c>
      <c r="G19" s="245" t="str">
        <f ca="1">IFERROR(__xludf.DUMMYFUNCTION("""COMPUTED_VALUE"""),"https://www.iqiyi.com/v_17b2rc6qcw0.html")</f>
        <v>https://www.iqiyi.com/v_17b2rc6qcw0.html</v>
      </c>
    </row>
    <row r="20" spans="1:7" ht="15.75" customHeight="1">
      <c r="A20" s="35" t="s">
        <v>1213</v>
      </c>
      <c r="B20" s="246"/>
      <c r="E20" s="245" t="str">
        <f ca="1">IFERROR(__xludf.DUMMYFUNCTION("""COMPUTED_VALUE"""),"http://www.iqiyi.com/v_1u0x3rzzbjs.html")</f>
        <v>http://www.iqiyi.com/v_1u0x3rzzbjs.html</v>
      </c>
      <c r="F20" s="246" t="s">
        <v>1213</v>
      </c>
      <c r="G20" s="245" t="str">
        <f ca="1">IFERROR(__xludf.DUMMYFUNCTION("""COMPUTED_VALUE"""),"https://www.iqiyi.com/v_17k557yo4hc.html")</f>
        <v>https://www.iqiyi.com/v_17k557yo4hc.html</v>
      </c>
    </row>
    <row r="21" spans="1:7" ht="15.75" customHeight="1">
      <c r="A21" s="35" t="s">
        <v>1213</v>
      </c>
      <c r="B21" s="246"/>
      <c r="E21" s="245" t="str">
        <f ca="1">IFERROR(__xludf.DUMMYFUNCTION("""COMPUTED_VALUE"""),"http://www.iqiyi.com/v_1u0x3rzzbjs.html")</f>
        <v>http://www.iqiyi.com/v_1u0x3rzzbjs.html</v>
      </c>
      <c r="F21" s="246" t="s">
        <v>1213</v>
      </c>
      <c r="G21" s="245" t="str">
        <f ca="1">IFERROR(__xludf.DUMMYFUNCTION("""COMPUTED_VALUE"""),"https://www.iqiyi.com/v_17l6d2qrdv0.html")</f>
        <v>https://www.iqiyi.com/v_17l6d2qrdv0.html</v>
      </c>
    </row>
    <row r="22" spans="1:7" ht="15.75" customHeight="1">
      <c r="A22" s="35" t="s">
        <v>276</v>
      </c>
      <c r="B22" s="246"/>
      <c r="E22" s="245" t="str">
        <f ca="1">IFERROR(__xludf.DUMMYFUNCTION("""COMPUTED_VALUE"""),"http://www.iqiyi.com/v_1u0x3rzzbjs.html")</f>
        <v>http://www.iqiyi.com/v_1u0x3rzzbjs.html</v>
      </c>
      <c r="F22" s="246" t="s">
        <v>276</v>
      </c>
      <c r="G22" s="245" t="str">
        <f ca="1">IFERROR(__xludf.DUMMYFUNCTION("""COMPUTED_VALUE"""),"https://www.iqiyi.com/v_19qcoi3tjz0.html")</f>
        <v>https://www.iqiyi.com/v_19qcoi3tjz0.html</v>
      </c>
    </row>
    <row r="23" spans="1:7" ht="15.75" customHeight="1">
      <c r="A23" s="35" t="s">
        <v>875</v>
      </c>
      <c r="B23" s="246"/>
      <c r="E23" s="245" t="str">
        <f ca="1">IFERROR(__xludf.DUMMYFUNCTION("""COMPUTED_VALUE"""),"http://www.iqiyi.com/v_105jzk25f38.html")</f>
        <v>http://www.iqiyi.com/v_105jzk25f38.html</v>
      </c>
      <c r="F23" s="246" t="s">
        <v>875</v>
      </c>
      <c r="G23" s="245" t="str">
        <f ca="1">IFERROR(__xludf.DUMMYFUNCTION("""COMPUTED_VALUE"""),"https://www.iqiyi.com/v_1d74ab1jfsk.html")</f>
        <v>https://www.iqiyi.com/v_1d74ab1jfsk.html</v>
      </c>
    </row>
    <row r="24" spans="1:7" ht="15.75" customHeight="1">
      <c r="A24" s="26" t="s">
        <v>276</v>
      </c>
      <c r="B24" s="128"/>
      <c r="E24" s="245" t="str">
        <f ca="1">IFERROR(__xludf.DUMMYFUNCTION("""COMPUTED_VALUE"""),"http://www.iqiyi.com/v_105jzk25f38.html")</f>
        <v>http://www.iqiyi.com/v_105jzk25f38.html</v>
      </c>
      <c r="F24" s="246" t="s">
        <v>276</v>
      </c>
      <c r="G24" s="245" t="str">
        <f ca="1">IFERROR(__xludf.DUMMYFUNCTION("""COMPUTED_VALUE"""),"https://www.iqiyi.com/v_1deqcff9qko.html")</f>
        <v>https://www.iqiyi.com/v_1deqcff9qko.html</v>
      </c>
    </row>
    <row r="25" spans="1:7" ht="13">
      <c r="A25" s="31" t="s">
        <v>276</v>
      </c>
      <c r="B25" s="247"/>
      <c r="E25" s="245" t="str">
        <f ca="1">IFERROR(__xludf.DUMMYFUNCTION("""COMPUTED_VALUE"""),"http://www.iqiyi.com/v_105jzk25f38.html")</f>
        <v>http://www.iqiyi.com/v_105jzk25f38.html</v>
      </c>
      <c r="F25" s="246" t="s">
        <v>276</v>
      </c>
      <c r="G25" s="245" t="str">
        <f ca="1">IFERROR(__xludf.DUMMYFUNCTION("""COMPUTED_VALUE"""),"https://www.iqiyi.com/v_1dz6udux11w.html")</f>
        <v>https://www.iqiyi.com/v_1dz6udux11w.html</v>
      </c>
    </row>
    <row r="26" spans="1:7" ht="13">
      <c r="A26" s="26" t="s">
        <v>276</v>
      </c>
      <c r="B26" s="128"/>
      <c r="E26" s="245" t="str">
        <f ca="1">IFERROR(__xludf.DUMMYFUNCTION("""COMPUTED_VALUE"""),"http://www.iqiyi.com/v_105jzk25f38.html")</f>
        <v>http://www.iqiyi.com/v_105jzk25f38.html</v>
      </c>
      <c r="F26" s="246" t="s">
        <v>276</v>
      </c>
      <c r="G26" s="245" t="str">
        <f ca="1">IFERROR(__xludf.DUMMYFUNCTION("""COMPUTED_VALUE"""),"https://www.iqiyi.com/v_1i727m0zp2g.html")</f>
        <v>https://www.iqiyi.com/v_1i727m0zp2g.html</v>
      </c>
    </row>
    <row r="27" spans="1:7" ht="13">
      <c r="A27" s="26" t="s">
        <v>276</v>
      </c>
      <c r="B27" s="128"/>
      <c r="E27" s="245" t="str">
        <f ca="1">IFERROR(__xludf.DUMMYFUNCTION("""COMPUTED_VALUE"""),"http://www.iqiyi.com/v_105jzk25f38.html")</f>
        <v>http://www.iqiyi.com/v_105jzk25f38.html</v>
      </c>
      <c r="F27" s="246" t="s">
        <v>276</v>
      </c>
      <c r="G27" s="245" t="str">
        <f ca="1">IFERROR(__xludf.DUMMYFUNCTION("""COMPUTED_VALUE"""),"https://www.iqiyi.com/v_1jvbmagcje4.html")</f>
        <v>https://www.iqiyi.com/v_1jvbmagcje4.html</v>
      </c>
    </row>
    <row r="28" spans="1:7" ht="13">
      <c r="A28" s="35" t="s">
        <v>301</v>
      </c>
      <c r="B28" s="246"/>
      <c r="E28" s="245" t="str">
        <f ca="1">IFERROR(__xludf.DUMMYFUNCTION("""COMPUTED_VALUE"""),"https://www.iqiyi.com/v_1yt8bhslu38.html")</f>
        <v>https://www.iqiyi.com/v_1yt8bhslu38.html</v>
      </c>
      <c r="F28" s="246" t="s">
        <v>301</v>
      </c>
      <c r="G28" s="245" t="str">
        <f ca="1">IFERROR(__xludf.DUMMYFUNCTION("""COMPUTED_VALUE"""),"https://www.iqiyi.com/v_1kzf2cy2qq4.html")</f>
        <v>https://www.iqiyi.com/v_1kzf2cy2qq4.html</v>
      </c>
    </row>
    <row r="29" spans="1:7" ht="13">
      <c r="A29" s="31" t="s">
        <v>301</v>
      </c>
      <c r="B29" s="247"/>
      <c r="E29" s="245" t="str">
        <f ca="1">IFERROR(__xludf.DUMMYFUNCTION("""COMPUTED_VALUE"""),"https://www.iqiyi.com/v_19qcoi3tjz0.html")</f>
        <v>https://www.iqiyi.com/v_19qcoi3tjz0.html</v>
      </c>
      <c r="F29" s="246" t="s">
        <v>301</v>
      </c>
      <c r="G29" s="245" t="str">
        <f ca="1">IFERROR(__xludf.DUMMYFUNCTION("""COMPUTED_VALUE"""),"https://www.iqiyi.com/v_1ni7svvsz98.html")</f>
        <v>https://www.iqiyi.com/v_1ni7svvsz98.html</v>
      </c>
    </row>
    <row r="30" spans="1:7" ht="13">
      <c r="A30" s="35" t="s">
        <v>3192</v>
      </c>
      <c r="B30" s="246"/>
      <c r="E30" s="245" t="str">
        <f ca="1">IFERROR(__xludf.DUMMYFUNCTION("""COMPUTED_VALUE"""),"https://www.iqiyi.com/v_1dz6udux11w.html")</f>
        <v>https://www.iqiyi.com/v_1dz6udux11w.html</v>
      </c>
      <c r="F30" s="246" t="s">
        <v>3192</v>
      </c>
      <c r="G30" s="245" t="str">
        <f ca="1">IFERROR(__xludf.DUMMYFUNCTION("""COMPUTED_VALUE"""),"https://www.iqiyi.com/v_1p6eeku8olw.html")</f>
        <v>https://www.iqiyi.com/v_1p6eeku8olw.html</v>
      </c>
    </row>
    <row r="31" spans="1:7" ht="13">
      <c r="A31" s="35" t="s">
        <v>3192</v>
      </c>
      <c r="B31" s="246"/>
      <c r="E31" s="245" t="str">
        <f ca="1">IFERROR(__xludf.DUMMYFUNCTION("""COMPUTED_VALUE"""),"https://www.iqiyi.com/v_msxfx2099w.html")</f>
        <v>https://www.iqiyi.com/v_msxfx2099w.html</v>
      </c>
      <c r="F31" s="246" t="s">
        <v>3192</v>
      </c>
      <c r="G31" s="245" t="str">
        <f ca="1">IFERROR(__xludf.DUMMYFUNCTION("""COMPUTED_VALUE"""),"https://www.iqiyi.com/v_1qc2dhhf4rc.html")</f>
        <v>https://www.iqiyi.com/v_1qc2dhhf4rc.html</v>
      </c>
    </row>
    <row r="32" spans="1:7" ht="13">
      <c r="A32" s="26" t="s">
        <v>324</v>
      </c>
      <c r="B32" s="128"/>
      <c r="E32" s="245" t="str">
        <f ca="1">IFERROR(__xludf.DUMMYFUNCTION("""COMPUTED_VALUE"""),"https://www.iqiyi.com/v_hbk4n4wja8.html")</f>
        <v>https://www.iqiyi.com/v_hbk4n4wja8.html</v>
      </c>
      <c r="F32" s="246" t="s">
        <v>324</v>
      </c>
      <c r="G32" s="245" t="str">
        <f ca="1">IFERROR(__xludf.DUMMYFUNCTION("""COMPUTED_VALUE"""),"https://www.iqiyi.com/v_1rshytn0qmw.html")</f>
        <v>https://www.iqiyi.com/v_1rshytn0qmw.html</v>
      </c>
    </row>
    <row r="33" spans="1:7" ht="13">
      <c r="A33" s="35" t="s">
        <v>332</v>
      </c>
      <c r="B33" s="246"/>
      <c r="E33" s="245" t="str">
        <f ca="1">IFERROR(__xludf.DUMMYFUNCTION("""COMPUTED_VALUE"""),"https://www.iqiyi.com/v_1yt8bhslu38.html")</f>
        <v>https://www.iqiyi.com/v_1yt8bhslu38.html</v>
      </c>
      <c r="F33" s="246" t="s">
        <v>332</v>
      </c>
      <c r="G33" s="245" t="str">
        <f ca="1">IFERROR(__xludf.DUMMYFUNCTION("""COMPUTED_VALUE"""),"https://www.iqiyi.com/v_1s40j847frg.html")</f>
        <v>https://www.iqiyi.com/v_1s40j847frg.html</v>
      </c>
    </row>
    <row r="34" spans="1:7" ht="13">
      <c r="A34" s="35" t="s">
        <v>332</v>
      </c>
      <c r="B34" s="246"/>
      <c r="E34" s="245" t="str">
        <f ca="1">IFERROR(__xludf.DUMMYFUNCTION("""COMPUTED_VALUE"""),"https://www.iqiyi.com/v_1i727m0zp2g.html")</f>
        <v>https://www.iqiyi.com/v_1i727m0zp2g.html</v>
      </c>
      <c r="F34" s="246" t="s">
        <v>332</v>
      </c>
      <c r="G34" s="245" t="str">
        <f ca="1">IFERROR(__xludf.DUMMYFUNCTION("""COMPUTED_VALUE"""),"https://www.iqiyi.com/v_1smrdalxvck.html")</f>
        <v>https://www.iqiyi.com/v_1smrdalxvck.html</v>
      </c>
    </row>
    <row r="35" spans="1:7" ht="13">
      <c r="A35" s="35" t="s">
        <v>332</v>
      </c>
      <c r="B35" s="246"/>
      <c r="E35" s="245" t="str">
        <f ca="1">IFERROR(__xludf.DUMMYFUNCTION("""COMPUTED_VALUE"""),"https://www.iqiyi.com/v_hbk4n4wja8.html")</f>
        <v>https://www.iqiyi.com/v_hbk4n4wja8.html</v>
      </c>
      <c r="F35" s="246" t="s">
        <v>332</v>
      </c>
      <c r="G35" s="245" t="str">
        <f ca="1">IFERROR(__xludf.DUMMYFUNCTION("""COMPUTED_VALUE"""),"https://www.iqiyi.com/v_1tiq2wkvjj8.html")</f>
        <v>https://www.iqiyi.com/v_1tiq2wkvjj8.html</v>
      </c>
    </row>
    <row r="36" spans="1:7" ht="13">
      <c r="A36" s="35" t="s">
        <v>332</v>
      </c>
      <c r="B36" s="246"/>
      <c r="E36" s="245" t="str">
        <f ca="1">IFERROR(__xludf.DUMMYFUNCTION("""COMPUTED_VALUE"""),"https://www.iqiyi.com/v_1i727m0zp2g.html")</f>
        <v>https://www.iqiyi.com/v_1i727m0zp2g.html</v>
      </c>
      <c r="F36" s="246" t="s">
        <v>332</v>
      </c>
      <c r="G36" s="245" t="str">
        <f ca="1">IFERROR(__xludf.DUMMYFUNCTION("""COMPUTED_VALUE"""),"https://www.iqiyi.com/v_1u0x3rzzbjs.html")</f>
        <v>https://www.iqiyi.com/v_1u0x3rzzbjs.html</v>
      </c>
    </row>
    <row r="37" spans="1:7" ht="13">
      <c r="A37" s="35" t="s">
        <v>332</v>
      </c>
      <c r="B37" s="246"/>
      <c r="E37" s="245" t="str">
        <f ca="1">IFERROR(__xludf.DUMMYFUNCTION("""COMPUTED_VALUE"""),"https://www.iqiyi.com/v_22oj3vcj014.html")</f>
        <v>https://www.iqiyi.com/v_22oj3vcj014.html</v>
      </c>
      <c r="F37" s="246" t="s">
        <v>332</v>
      </c>
      <c r="G37" s="245" t="str">
        <f ca="1">IFERROR(__xludf.DUMMYFUNCTION("""COMPUTED_VALUE"""),"https://www.iqiyi.com/v_1y4efpjcbog.html")</f>
        <v>https://www.iqiyi.com/v_1y4efpjcbog.html</v>
      </c>
    </row>
    <row r="38" spans="1:7" ht="13">
      <c r="A38" s="35" t="s">
        <v>332</v>
      </c>
      <c r="B38" s="246"/>
      <c r="E38" s="245" t="str">
        <f ca="1">IFERROR(__xludf.DUMMYFUNCTION("""COMPUTED_VALUE"""),"http://www.iqiyi.com/v_lmhkxrqwlk.html")</f>
        <v>http://www.iqiyi.com/v_lmhkxrqwlk.html</v>
      </c>
      <c r="F38" s="246" t="s">
        <v>332</v>
      </c>
      <c r="G38" s="245" t="str">
        <f ca="1">IFERROR(__xludf.DUMMYFUNCTION("""COMPUTED_VALUE"""),"https://www.iqiyi.com/v_1ymadtms6ww.html")</f>
        <v>https://www.iqiyi.com/v_1ymadtms6ww.html</v>
      </c>
    </row>
    <row r="39" spans="1:7" ht="13">
      <c r="A39" s="35" t="s">
        <v>332</v>
      </c>
      <c r="B39" s="246"/>
      <c r="E39" s="245" t="str">
        <f ca="1">IFERROR(__xludf.DUMMYFUNCTION("""COMPUTED_VALUE"""),"http://www.iqiyi.com/v_lmhkxrqwlk.html")</f>
        <v>http://www.iqiyi.com/v_lmhkxrqwlk.html</v>
      </c>
      <c r="F39" s="246" t="s">
        <v>332</v>
      </c>
      <c r="G39" s="245" t="str">
        <f ca="1">IFERROR(__xludf.DUMMYFUNCTION("""COMPUTED_VALUE"""),"https://www.iqiyi.com/v_1yt8bhslu38.html")</f>
        <v>https://www.iqiyi.com/v_1yt8bhslu38.html</v>
      </c>
    </row>
    <row r="40" spans="1:7" ht="13">
      <c r="A40" s="35" t="s">
        <v>332</v>
      </c>
      <c r="B40" s="246"/>
      <c r="E40" s="245" t="str">
        <f ca="1">IFERROR(__xludf.DUMMYFUNCTION("""COMPUTED_VALUE"""),"http://www.iqiyi.com/v_2bufryvc36k.html")</f>
        <v>http://www.iqiyi.com/v_2bufryvc36k.html</v>
      </c>
      <c r="F40" s="246" t="s">
        <v>332</v>
      </c>
      <c r="G40" s="245" t="str">
        <f ca="1">IFERROR(__xludf.DUMMYFUNCTION("""COMPUTED_VALUE"""),"https://www.iqiyi.com/v_1zj8zpc1uug.html")</f>
        <v>https://www.iqiyi.com/v_1zj8zpc1uug.html</v>
      </c>
    </row>
    <row r="41" spans="1:7" ht="13">
      <c r="A41" s="35" t="s">
        <v>332</v>
      </c>
      <c r="B41" s="246"/>
      <c r="E41" s="245" t="str">
        <f ca="1">IFERROR(__xludf.DUMMYFUNCTION("""COMPUTED_VALUE"""),"http://www.iqiyi.com/v_2bufryvc36k.html")</f>
        <v>http://www.iqiyi.com/v_2bufryvc36k.html</v>
      </c>
      <c r="F41" s="246" t="s">
        <v>332</v>
      </c>
      <c r="G41" s="245" t="str">
        <f ca="1">IFERROR(__xludf.DUMMYFUNCTION("""COMPUTED_VALUE"""),"https://www.iqiyi.com/v_22oj3vcj014.html")</f>
        <v>https://www.iqiyi.com/v_22oj3vcj014.html</v>
      </c>
    </row>
    <row r="42" spans="1:7" ht="13">
      <c r="A42" s="35" t="s">
        <v>958</v>
      </c>
      <c r="B42" s="246"/>
      <c r="E42" s="245" t="str">
        <f ca="1">IFERROR(__xludf.DUMMYFUNCTION("""COMPUTED_VALUE"""),"http://www.iqiyi.com/v_2bufryvc36k.html")</f>
        <v>http://www.iqiyi.com/v_2bufryvc36k.html</v>
      </c>
      <c r="F42" s="246" t="s">
        <v>958</v>
      </c>
      <c r="G42" s="245" t="str">
        <f ca="1">IFERROR(__xludf.DUMMYFUNCTION("""COMPUTED_VALUE"""),"https://www.iqiyi.com/v_23ytugssa8c.html")</f>
        <v>https://www.iqiyi.com/v_23ytugssa8c.html</v>
      </c>
    </row>
    <row r="43" spans="1:7" ht="13">
      <c r="A43" s="26" t="s">
        <v>958</v>
      </c>
      <c r="B43" s="128"/>
      <c r="E43" s="245" t="str">
        <f ca="1">IFERROR(__xludf.DUMMYFUNCTION("""COMPUTED_VALUE"""),"http://www.iqiyi.com/v_2bufryvc36k.html")</f>
        <v>http://www.iqiyi.com/v_2bufryvc36k.html</v>
      </c>
      <c r="F43" s="246" t="s">
        <v>958</v>
      </c>
      <c r="G43" s="245" t="str">
        <f ca="1">IFERROR(__xludf.DUMMYFUNCTION("""COMPUTED_VALUE"""),"https://www.iqiyi.com/v_26obq94b7l4.html")</f>
        <v>https://www.iqiyi.com/v_26obq94b7l4.html</v>
      </c>
    </row>
    <row r="44" spans="1:7" ht="13">
      <c r="A44" s="26" t="s">
        <v>958</v>
      </c>
      <c r="B44" s="128"/>
      <c r="E44" s="245" t="str">
        <f ca="1">IFERROR(__xludf.DUMMYFUNCTION("""COMPUTED_VALUE"""),"http://www.iqiyi.com/v_1c7atnuhsr4.html")</f>
        <v>http://www.iqiyi.com/v_1c7atnuhsr4.html</v>
      </c>
      <c r="F44" s="246" t="s">
        <v>958</v>
      </c>
      <c r="G44" s="245" t="str">
        <f ca="1">IFERROR(__xludf.DUMMYFUNCTION("""COMPUTED_VALUE"""),"https://www.iqiyi.com/v_28ir6fn3f9w.html")</f>
        <v>https://www.iqiyi.com/v_28ir6fn3f9w.html</v>
      </c>
    </row>
    <row r="45" spans="1:7" ht="13">
      <c r="A45" s="26" t="s">
        <v>958</v>
      </c>
      <c r="B45" s="128"/>
      <c r="E45" s="245" t="str">
        <f ca="1">IFERROR(__xludf.DUMMYFUNCTION("""COMPUTED_VALUE"""),"http://www.iqiyi.com/v_1c7atnuhsr4.html")</f>
        <v>http://www.iqiyi.com/v_1c7atnuhsr4.html</v>
      </c>
      <c r="F45" s="246" t="s">
        <v>958</v>
      </c>
      <c r="G45" s="245" t="str">
        <f ca="1">IFERROR(__xludf.DUMMYFUNCTION("""COMPUTED_VALUE"""),"https://www.iqiyi.com/v_2993z2f1klc.html")</f>
        <v>https://www.iqiyi.com/v_2993z2f1klc.html</v>
      </c>
    </row>
    <row r="46" spans="1:7" ht="13">
      <c r="A46" s="26" t="s">
        <v>958</v>
      </c>
      <c r="B46" s="128"/>
      <c r="E46" s="245" t="str">
        <f ca="1">IFERROR(__xludf.DUMMYFUNCTION("""COMPUTED_VALUE"""),"https://www.iqiyi.com/v_1y4efpjcbog.html")</f>
        <v>https://www.iqiyi.com/v_1y4efpjcbog.html</v>
      </c>
      <c r="F46" s="246" t="s">
        <v>958</v>
      </c>
      <c r="G46" s="245" t="str">
        <f ca="1">IFERROR(__xludf.DUMMYFUNCTION("""COMPUTED_VALUE"""),"https://www.iqiyi.com/v_2b3kfhfd7fo.html")</f>
        <v>https://www.iqiyi.com/v_2b3kfhfd7fo.html</v>
      </c>
    </row>
    <row r="47" spans="1:7" ht="13">
      <c r="A47" s="26" t="s">
        <v>431</v>
      </c>
      <c r="B47" s="128"/>
      <c r="E47" s="245" t="str">
        <f ca="1">IFERROR(__xludf.DUMMYFUNCTION("""COMPUTED_VALUE"""),"https://www.iqiyi.com/v_22oj3vcj014.html")</f>
        <v>https://www.iqiyi.com/v_22oj3vcj014.html</v>
      </c>
      <c r="F47" s="246" t="s">
        <v>431</v>
      </c>
      <c r="G47" s="245" t="str">
        <f ca="1">IFERROR(__xludf.DUMMYFUNCTION("""COMPUTED_VALUE"""),"https://www.iqiyi.com/v_2b7dt657dgg.html")</f>
        <v>https://www.iqiyi.com/v_2b7dt657dgg.html</v>
      </c>
    </row>
    <row r="48" spans="1:7" ht="13">
      <c r="A48" s="26" t="s">
        <v>431</v>
      </c>
      <c r="B48" s="128"/>
      <c r="E48" s="245" t="str">
        <f ca="1">IFERROR(__xludf.DUMMYFUNCTION("""COMPUTED_VALUE"""),"https://www.iqiyi.com/v_1zj8zpc1uug.html")</f>
        <v>https://www.iqiyi.com/v_1zj8zpc1uug.html</v>
      </c>
      <c r="F48" s="246" t="s">
        <v>431</v>
      </c>
      <c r="G48" s="245" t="str">
        <f ca="1">IFERROR(__xludf.DUMMYFUNCTION("""COMPUTED_VALUE"""),"https://www.iqiyi.com/v_2bufryvc36k.html")</f>
        <v>https://www.iqiyi.com/v_2bufryvc36k.html</v>
      </c>
    </row>
    <row r="49" spans="1:7" ht="13">
      <c r="A49" s="26" t="s">
        <v>431</v>
      </c>
      <c r="B49" s="128"/>
      <c r="E49" s="245" t="str">
        <f ca="1">IFERROR(__xludf.DUMMYFUNCTION("""COMPUTED_VALUE"""),"https://www.iqiyi.com/v_1qc2dhhf4rc.html")</f>
        <v>https://www.iqiyi.com/v_1qc2dhhf4rc.html</v>
      </c>
      <c r="F49" s="246" t="s">
        <v>431</v>
      </c>
      <c r="G49" s="245" t="str">
        <f ca="1">IFERROR(__xludf.DUMMYFUNCTION("""COMPUTED_VALUE"""),"https://www.iqiyi.com/v_2bvr40ahqls.html")</f>
        <v>https://www.iqiyi.com/v_2bvr40ahqls.html</v>
      </c>
    </row>
    <row r="50" spans="1:7" ht="13">
      <c r="A50" s="26" t="s">
        <v>431</v>
      </c>
      <c r="B50" s="128"/>
      <c r="E50" s="245" t="str">
        <f ca="1">IFERROR(__xludf.DUMMYFUNCTION("""COMPUTED_VALUE"""),"http://www.iqiyi.com/v_2docnt7jyw8.html")</f>
        <v>http://www.iqiyi.com/v_2docnt7jyw8.html</v>
      </c>
      <c r="F50" s="246" t="s">
        <v>431</v>
      </c>
      <c r="G50" s="245" t="str">
        <f ca="1">IFERROR(__xludf.DUMMYFUNCTION("""COMPUTED_VALUE"""),"https://www.iqiyi.com/v_2bx0gdxkbbo.html")</f>
        <v>https://www.iqiyi.com/v_2bx0gdxkbbo.html</v>
      </c>
    </row>
    <row r="51" spans="1:7" ht="13">
      <c r="A51" s="26" t="s">
        <v>431</v>
      </c>
      <c r="B51" s="128"/>
      <c r="E51" s="245" t="str">
        <f ca="1">IFERROR(__xludf.DUMMYFUNCTION("""COMPUTED_VALUE"""),"http://www.iqiyi.com/v_2docnt7jyw8.html")</f>
        <v>http://www.iqiyi.com/v_2docnt7jyw8.html</v>
      </c>
      <c r="F51" s="246" t="s">
        <v>431</v>
      </c>
      <c r="G51" s="245" t="str">
        <f ca="1">IFERROR(__xludf.DUMMYFUNCTION("""COMPUTED_VALUE"""),"https://www.iqiyi.com/v_2bx0gdxkbbo.htmll")</f>
        <v>https://www.iqiyi.com/v_2bx0gdxkbbo.htmll</v>
      </c>
    </row>
    <row r="52" spans="1:7" ht="13">
      <c r="A52" s="35" t="s">
        <v>6498</v>
      </c>
      <c r="B52" s="246" t="s">
        <v>6499</v>
      </c>
      <c r="E52" s="245" t="str">
        <f ca="1">IFERROR(__xludf.DUMMYFUNCTION("""COMPUTED_VALUE"""),"http://www.iqiyi.com/v_2docnt7jyw8.html")</f>
        <v>http://www.iqiyi.com/v_2docnt7jyw8.html</v>
      </c>
      <c r="F52" s="246" t="s">
        <v>6498</v>
      </c>
      <c r="G52" s="245" t="str">
        <f ca="1">IFERROR(__xludf.DUMMYFUNCTION("""COMPUTED_VALUE"""),"https://www.iqiyi.com/v_2c66zp7rcp0.html")</f>
        <v>https://www.iqiyi.com/v_2c66zp7rcp0.html</v>
      </c>
    </row>
    <row r="53" spans="1:7" ht="13">
      <c r="A53" s="35" t="s">
        <v>6498</v>
      </c>
      <c r="B53" s="246" t="s">
        <v>6499</v>
      </c>
      <c r="E53" s="245" t="str">
        <f ca="1">IFERROR(__xludf.DUMMYFUNCTION("""COMPUTED_VALUE"""),"http://www.iqiyi.com/v_2docnt7jyw8.html")</f>
        <v>http://www.iqiyi.com/v_2docnt7jyw8.html</v>
      </c>
      <c r="F53" s="246" t="s">
        <v>6498</v>
      </c>
      <c r="G53" s="245" t="str">
        <f ca="1">IFERROR(__xludf.DUMMYFUNCTION("""COMPUTED_VALUE"""),"https://www.iqiyi.com/v_2docnt7jyw8.html")</f>
        <v>https://www.iqiyi.com/v_2docnt7jyw8.html</v>
      </c>
    </row>
    <row r="54" spans="1:7" ht="13">
      <c r="A54" s="26" t="s">
        <v>6500</v>
      </c>
      <c r="B54" s="128" t="s">
        <v>6501</v>
      </c>
      <c r="E54" s="245" t="str">
        <f ca="1">IFERROR(__xludf.DUMMYFUNCTION("""COMPUTED_VALUE"""),"http://www.iqiyi.com/v_uscurycmg8.html")</f>
        <v>http://www.iqiyi.com/v_uscurycmg8.html</v>
      </c>
      <c r="F54" s="246" t="s">
        <v>6500</v>
      </c>
      <c r="G54" s="245" t="str">
        <f ca="1">IFERROR(__xludf.DUMMYFUNCTION("""COMPUTED_VALUE"""),"https://www.iqiyi.com/v_2fb1s6tz13k.html")</f>
        <v>https://www.iqiyi.com/v_2fb1s6tz13k.html</v>
      </c>
    </row>
    <row r="55" spans="1:7" ht="13">
      <c r="A55" s="35" t="s">
        <v>6500</v>
      </c>
      <c r="B55" s="246" t="s">
        <v>6502</v>
      </c>
      <c r="E55" s="245" t="str">
        <f ca="1">IFERROR(__xludf.DUMMYFUNCTION("""COMPUTED_VALUE"""),"http://www.iqiyi.com/v_uscurycmg8.html")</f>
        <v>http://www.iqiyi.com/v_uscurycmg8.html</v>
      </c>
      <c r="F55" s="246" t="s">
        <v>6500</v>
      </c>
      <c r="G55" s="245" t="str">
        <f ca="1">IFERROR(__xludf.DUMMYFUNCTION("""COMPUTED_VALUE"""),"https://www.iqiyi.com/v_bq95qmvkj0.html")</f>
        <v>https://www.iqiyi.com/v_bq95qmvkj0.html</v>
      </c>
    </row>
    <row r="56" spans="1:7" ht="13">
      <c r="A56" s="26" t="s">
        <v>6500</v>
      </c>
      <c r="B56" s="128" t="s">
        <v>6503</v>
      </c>
      <c r="E56" s="245" t="str">
        <f ca="1">IFERROR(__xludf.DUMMYFUNCTION("""COMPUTED_VALUE"""),"http://www.iqiyi.com/v_uscurycmg8.html")</f>
        <v>http://www.iqiyi.com/v_uscurycmg8.html</v>
      </c>
      <c r="F56" s="246" t="s">
        <v>6500</v>
      </c>
      <c r="G56" s="245" t="str">
        <f ca="1">IFERROR(__xludf.DUMMYFUNCTION("""COMPUTED_VALUE"""),"https://www.iqiyi.com/v_csh1i54cfs.html")</f>
        <v>https://www.iqiyi.com/v_csh1i54cfs.html</v>
      </c>
    </row>
    <row r="57" spans="1:7" ht="13">
      <c r="A57" s="26" t="s">
        <v>6500</v>
      </c>
      <c r="B57" s="128" t="s">
        <v>6504</v>
      </c>
      <c r="E57" s="245" t="str">
        <f ca="1">IFERROR(__xludf.DUMMYFUNCTION("""COMPUTED_VALUE"""),"http://www.iqiyi.com/v_uscurycmg8.html")</f>
        <v>http://www.iqiyi.com/v_uscurycmg8.html</v>
      </c>
      <c r="F57" s="246" t="s">
        <v>6500</v>
      </c>
      <c r="G57" s="245" t="str">
        <f ca="1">IFERROR(__xludf.DUMMYFUNCTION("""COMPUTED_VALUE"""),"https://www.iqiyi.com/v_fnv2jl6aqc.html")</f>
        <v>https://www.iqiyi.com/v_fnv2jl6aqc.html</v>
      </c>
    </row>
    <row r="58" spans="1:7" ht="13">
      <c r="A58" s="35" t="s">
        <v>6505</v>
      </c>
      <c r="B58" s="246" t="s">
        <v>6506</v>
      </c>
      <c r="E58" s="245" t="str">
        <f ca="1">IFERROR(__xludf.DUMMYFUNCTION("""COMPUTED_VALUE"""),"http://www.iqiyi.com/v_uscurycmg8.html")</f>
        <v>http://www.iqiyi.com/v_uscurycmg8.html</v>
      </c>
      <c r="F58" s="246" t="s">
        <v>6505</v>
      </c>
      <c r="G58" s="245" t="str">
        <f ca="1">IFERROR(__xludf.DUMMYFUNCTION("""COMPUTED_VALUE"""),"https://www.iqiyi.com/v_g1ofle6l90.html")</f>
        <v>https://www.iqiyi.com/v_g1ofle6l90.html</v>
      </c>
    </row>
    <row r="59" spans="1:7" ht="13">
      <c r="A59" s="26" t="s">
        <v>6505</v>
      </c>
      <c r="B59" s="128" t="s">
        <v>6507</v>
      </c>
      <c r="E59" s="245" t="str">
        <f ca="1">IFERROR(__xludf.DUMMYFUNCTION("""COMPUTED_VALUE"""),"http://www.iqiyi.com/v_uscurycmg8.html")</f>
        <v>http://www.iqiyi.com/v_uscurycmg8.html</v>
      </c>
      <c r="F59" s="246" t="s">
        <v>6505</v>
      </c>
      <c r="G59" s="245" t="str">
        <f ca="1">IFERROR(__xludf.DUMMYFUNCTION("""COMPUTED_VALUE"""),"https://www.iqiyi.com/v_hbk4n4wja8.html")</f>
        <v>https://www.iqiyi.com/v_hbk4n4wja8.html</v>
      </c>
    </row>
    <row r="60" spans="1:7" ht="13">
      <c r="A60" s="35" t="s">
        <v>6505</v>
      </c>
      <c r="B60" s="246" t="s">
        <v>6508</v>
      </c>
      <c r="E60" s="245" t="str">
        <f ca="1">IFERROR(__xludf.DUMMYFUNCTION("""COMPUTED_VALUE"""),"http://www.iqiyi.com/v_1qc2dhhf17c.html")</f>
        <v>http://www.iqiyi.com/v_1qc2dhhf17c.html</v>
      </c>
      <c r="F60" s="246" t="s">
        <v>6505</v>
      </c>
      <c r="G60" s="245" t="str">
        <f ca="1">IFERROR(__xludf.DUMMYFUNCTION("""COMPUTED_VALUE"""),"https://www.iqiyi.com/v_lb88qku9oc.html")</f>
        <v>https://www.iqiyi.com/v_lb88qku9oc.html</v>
      </c>
    </row>
    <row r="61" spans="1:7" ht="13">
      <c r="A61" s="26" t="s">
        <v>6505</v>
      </c>
      <c r="B61" s="128" t="s">
        <v>6509</v>
      </c>
      <c r="E61" s="245" t="str">
        <f ca="1">IFERROR(__xludf.DUMMYFUNCTION("""COMPUTED_VALUE"""),"http://www.iqiyi.com/v_1qc2dhhf17c.html")</f>
        <v>http://www.iqiyi.com/v_1qc2dhhf17c.html</v>
      </c>
      <c r="F61" s="246" t="s">
        <v>6505</v>
      </c>
      <c r="G61" s="245" t="str">
        <f ca="1">IFERROR(__xludf.DUMMYFUNCTION("""COMPUTED_VALUE"""),"https://www.iqiyi.com/v_lmhkxrqwlk.html")</f>
        <v>https://www.iqiyi.com/v_lmhkxrqwlk.html</v>
      </c>
    </row>
    <row r="62" spans="1:7" ht="13">
      <c r="A62" s="35" t="s">
        <v>6505</v>
      </c>
      <c r="B62" s="246" t="s">
        <v>6510</v>
      </c>
      <c r="E62" s="245" t="str">
        <f ca="1">IFERROR(__xludf.DUMMYFUNCTION("""COMPUTED_VALUE"""),"http://www.iqiyi.com/v_1qc2dhhf17c.html")</f>
        <v>http://www.iqiyi.com/v_1qc2dhhf17c.html</v>
      </c>
      <c r="F62" s="246" t="s">
        <v>6505</v>
      </c>
      <c r="G62" s="245" t="str">
        <f ca="1">IFERROR(__xludf.DUMMYFUNCTION("""COMPUTED_VALUE"""),"https://www.iqiyi.com/v_msxfx2099w.html")</f>
        <v>https://www.iqiyi.com/v_msxfx2099w.html</v>
      </c>
    </row>
    <row r="63" spans="1:7" ht="13">
      <c r="A63" s="26" t="s">
        <v>524</v>
      </c>
      <c r="B63" s="128"/>
      <c r="E63" s="245" t="str">
        <f ca="1">IFERROR(__xludf.DUMMYFUNCTION("""COMPUTED_VALUE"""),"http://www.iqiyi.com/v_1qc2dhhf17c.html")</f>
        <v>http://www.iqiyi.com/v_1qc2dhhf17c.html</v>
      </c>
      <c r="F63" s="246" t="s">
        <v>524</v>
      </c>
      <c r="G63" s="245" t="str">
        <f ca="1">IFERROR(__xludf.DUMMYFUNCTION("""COMPUTED_VALUE"""),"https://www.iqiyi.com/v_okv7zn6jfo.html")</f>
        <v>https://www.iqiyi.com/v_okv7zn6jfo.html</v>
      </c>
    </row>
    <row r="64" spans="1:7" ht="13">
      <c r="A64" s="26" t="s">
        <v>524</v>
      </c>
      <c r="B64" s="128"/>
      <c r="E64" s="245" t="str">
        <f ca="1">IFERROR(__xludf.DUMMYFUNCTION("""COMPUTED_VALUE"""),"http://www.iqiyi.com/v_17b2rc6qcw0.html")</f>
        <v>http://www.iqiyi.com/v_17b2rc6qcw0.html</v>
      </c>
      <c r="F64" s="246" t="s">
        <v>524</v>
      </c>
      <c r="G64" s="245" t="str">
        <f ca="1">IFERROR(__xludf.DUMMYFUNCTION("""COMPUTED_VALUE"""),"https://www.iqiyi.com/v_tg0bzav0ko.html")</f>
        <v>https://www.iqiyi.com/v_tg0bzav0ko.html</v>
      </c>
    </row>
    <row r="65" spans="1:7" ht="13">
      <c r="A65" s="26" t="s">
        <v>524</v>
      </c>
      <c r="B65" s="128"/>
      <c r="E65" s="245" t="str">
        <f ca="1">IFERROR(__xludf.DUMMYFUNCTION("""COMPUTED_VALUE"""),"https://www.iqiyi.com/v_17b2rc6qcw0.html")</f>
        <v>https://www.iqiyi.com/v_17b2rc6qcw0.html</v>
      </c>
      <c r="F65" s="246" t="s">
        <v>524</v>
      </c>
      <c r="G65" s="245" t="str">
        <f ca="1">IFERROR(__xludf.DUMMYFUNCTION("""COMPUTED_VALUE"""),"https://www.iqiyi.com/v_uscurycmg8.html")</f>
        <v>https://www.iqiyi.com/v_uscurycmg8.html</v>
      </c>
    </row>
    <row r="66" spans="1:7" ht="13">
      <c r="A66" s="26" t="s">
        <v>543</v>
      </c>
      <c r="B66" s="128"/>
      <c r="E66" s="245" t="str">
        <f ca="1">IFERROR(__xludf.DUMMYFUNCTION("""COMPUTED_VALUE"""),"https://www.iqiyi.com/v_17b2rc6qcw0.html")</f>
        <v>https://www.iqiyi.com/v_17b2rc6qcw0.html</v>
      </c>
      <c r="F66" s="246" t="s">
        <v>543</v>
      </c>
      <c r="G66" s="245" t="str">
        <f ca="1">IFERROR(__xludf.DUMMYFUNCTION("""COMPUTED_VALUE"""),"https://www.iqiyi.com/v_v9pgkqlzt8.html")</f>
        <v>https://www.iqiyi.com/v_v9pgkqlzt8.html</v>
      </c>
    </row>
    <row r="67" spans="1:7" ht="13">
      <c r="A67" s="26" t="s">
        <v>543</v>
      </c>
      <c r="B67" s="128"/>
      <c r="E67" s="245" t="str">
        <f ca="1">IFERROR(__xludf.DUMMYFUNCTION("""COMPUTED_VALUE"""),"https://www.iqiyi.com/v_19qcoi3tjz0.html")</f>
        <v>https://www.iqiyi.com/v_19qcoi3tjz0.html</v>
      </c>
      <c r="F67" s="246" t="s">
        <v>543</v>
      </c>
      <c r="G67" s="245" t="str">
        <f ca="1">IFERROR(__xludf.DUMMYFUNCTION("""COMPUTED_VALUE"""),"https://www.iqiyi.com/v_v9pgkqlzt8.htmll")</f>
        <v>https://www.iqiyi.com/v_v9pgkqlzt8.htmll</v>
      </c>
    </row>
    <row r="68" spans="1:7" ht="13">
      <c r="A68" s="26" t="s">
        <v>555</v>
      </c>
      <c r="B68" s="128"/>
      <c r="E68" s="245" t="str">
        <f ca="1">IFERROR(__xludf.DUMMYFUNCTION("""COMPUTED_VALUE"""),"https://www.iqiyi.com/v_1y4efpjcbog.html")</f>
        <v>https://www.iqiyi.com/v_1y4efpjcbog.html</v>
      </c>
      <c r="F68" s="246" t="s">
        <v>555</v>
      </c>
      <c r="G68" s="25"/>
    </row>
    <row r="69" spans="1:7" ht="13">
      <c r="A69" s="26" t="s">
        <v>560</v>
      </c>
      <c r="B69" s="128"/>
      <c r="E69" s="245" t="str">
        <f ca="1">IFERROR(__xludf.DUMMYFUNCTION("""COMPUTED_VALUE"""),"https://www.iqiyi.com/v_1smrdalxvck.html")</f>
        <v>https://www.iqiyi.com/v_1smrdalxvck.html</v>
      </c>
      <c r="F69" s="246" t="s">
        <v>560</v>
      </c>
    </row>
    <row r="70" spans="1:7" ht="13">
      <c r="A70" s="26" t="s">
        <v>524</v>
      </c>
      <c r="B70" s="128"/>
      <c r="E70" s="245" t="str">
        <f ca="1">IFERROR(__xludf.DUMMYFUNCTION("""COMPUTED_VALUE"""),"https://www.iqiyi.com/v_okv7zn6jfo.html")</f>
        <v>https://www.iqiyi.com/v_okv7zn6jfo.html</v>
      </c>
      <c r="F70" s="246" t="s">
        <v>524</v>
      </c>
    </row>
    <row r="71" spans="1:7" ht="13">
      <c r="A71" s="26" t="s">
        <v>560</v>
      </c>
      <c r="B71" s="128"/>
      <c r="E71" s="245" t="str">
        <f ca="1">IFERROR(__xludf.DUMMYFUNCTION("""COMPUTED_VALUE"""),"https://www.iqiyi.com/v_1tiq2wkvjj8.html")</f>
        <v>https://www.iqiyi.com/v_1tiq2wkvjj8.html</v>
      </c>
      <c r="F71" s="246" t="s">
        <v>560</v>
      </c>
    </row>
    <row r="72" spans="1:7" ht="13">
      <c r="A72" s="26" t="s">
        <v>543</v>
      </c>
      <c r="B72" s="128"/>
      <c r="E72" s="245" t="str">
        <f ca="1">IFERROR(__xludf.DUMMYFUNCTION("""COMPUTED_VALUE"""),"https://www.iqiyi.com/v_1tiq2wkvjj8.html")</f>
        <v>https://www.iqiyi.com/v_1tiq2wkvjj8.html</v>
      </c>
      <c r="F72" s="246" t="s">
        <v>543</v>
      </c>
    </row>
    <row r="73" spans="1:7" ht="13">
      <c r="A73" s="26" t="s">
        <v>543</v>
      </c>
      <c r="B73" s="128"/>
      <c r="E73" s="245" t="str">
        <f ca="1">IFERROR(__xludf.DUMMYFUNCTION("""COMPUTED_VALUE"""),"https://www.iqiyi.com/v_okv7zn6jfo.html")</f>
        <v>https://www.iqiyi.com/v_okv7zn6jfo.html</v>
      </c>
      <c r="F73" s="246" t="s">
        <v>543</v>
      </c>
    </row>
    <row r="74" spans="1:7" ht="13">
      <c r="A74" s="26" t="s">
        <v>560</v>
      </c>
      <c r="B74" s="128"/>
      <c r="E74" s="245" t="str">
        <f ca="1">IFERROR(__xludf.DUMMYFUNCTION("""COMPUTED_VALUE"""),"https://www.iqiyi.com/v_tg0bzav0ko.html")</f>
        <v>https://www.iqiyi.com/v_tg0bzav0ko.html</v>
      </c>
      <c r="F74" s="246" t="s">
        <v>560</v>
      </c>
    </row>
    <row r="75" spans="1:7" ht="13">
      <c r="A75" s="26" t="s">
        <v>543</v>
      </c>
      <c r="B75" s="128"/>
      <c r="E75" s="245" t="str">
        <f ca="1">IFERROR(__xludf.DUMMYFUNCTION("""COMPUTED_VALUE"""),"https://www.iqiyi.com/v_2b3kfhfd7fo.html")</f>
        <v>https://www.iqiyi.com/v_2b3kfhfd7fo.html</v>
      </c>
      <c r="F75" s="246" t="s">
        <v>543</v>
      </c>
    </row>
    <row r="76" spans="1:7" ht="13">
      <c r="A76" s="26" t="s">
        <v>543</v>
      </c>
      <c r="B76" s="128"/>
      <c r="E76" s="245" t="str">
        <f ca="1">IFERROR(__xludf.DUMMYFUNCTION("""COMPUTED_VALUE"""),"https://www.iqiyi.com/v_lb88qku9oc.html")</f>
        <v>https://www.iqiyi.com/v_lb88qku9oc.html</v>
      </c>
      <c r="F76" s="246" t="s">
        <v>543</v>
      </c>
    </row>
    <row r="77" spans="1:7" ht="13">
      <c r="A77" s="26" t="s">
        <v>543</v>
      </c>
      <c r="B77" s="128"/>
      <c r="E77" s="245" t="str">
        <f ca="1">IFERROR(__xludf.DUMMYFUNCTION("""COMPUTED_VALUE"""),"https://www.iqiyi.com/v_105jzk25f38.html")</f>
        <v>https://www.iqiyi.com/v_105jzk25f38.html</v>
      </c>
      <c r="F77" s="246" t="s">
        <v>543</v>
      </c>
    </row>
    <row r="78" spans="1:7" ht="13">
      <c r="A78" s="26" t="s">
        <v>543</v>
      </c>
      <c r="B78" s="128"/>
      <c r="E78" s="245" t="str">
        <f ca="1">IFERROR(__xludf.DUMMYFUNCTION("""COMPUTED_VALUE"""),"https://www.iqiyi.com/v_1d74ab1jfsk.html")</f>
        <v>https://www.iqiyi.com/v_1d74ab1jfsk.html</v>
      </c>
      <c r="F78" s="246" t="s">
        <v>543</v>
      </c>
    </row>
    <row r="79" spans="1:7" ht="13">
      <c r="A79" s="26" t="s">
        <v>543</v>
      </c>
      <c r="B79" s="128"/>
      <c r="E79" s="245" t="str">
        <f ca="1">IFERROR(__xludf.DUMMYFUNCTION("""COMPUTED_VALUE"""),"https://www.iqiyi.com/v_v9pgkqlzt8.html")</f>
        <v>https://www.iqiyi.com/v_v9pgkqlzt8.html</v>
      </c>
      <c r="F79" s="246" t="s">
        <v>543</v>
      </c>
    </row>
    <row r="80" spans="1:7" ht="13">
      <c r="A80" s="26" t="s">
        <v>560</v>
      </c>
      <c r="B80" s="128"/>
      <c r="E80" s="245" t="str">
        <f ca="1">IFERROR(__xludf.DUMMYFUNCTION("""COMPUTED_VALUE"""),"https://www.iqiyi.com/v_2bx0gdxkbbo.htmll")</f>
        <v>https://www.iqiyi.com/v_2bx0gdxkbbo.htmll</v>
      </c>
      <c r="F80" s="246" t="s">
        <v>560</v>
      </c>
    </row>
    <row r="81" spans="1:6" ht="13">
      <c r="A81" s="26" t="s">
        <v>543</v>
      </c>
      <c r="B81" s="128"/>
      <c r="E81" s="245" t="str">
        <f ca="1">IFERROR(__xludf.DUMMYFUNCTION("""COMPUTED_VALUE"""),"https://www.iqiyi.com/v_csh1i54cfs.html")</f>
        <v>https://www.iqiyi.com/v_csh1i54cfs.html</v>
      </c>
      <c r="F81" s="246" t="s">
        <v>543</v>
      </c>
    </row>
    <row r="82" spans="1:6" ht="13">
      <c r="A82" s="26" t="s">
        <v>560</v>
      </c>
      <c r="B82" s="128"/>
      <c r="E82" s="245" t="str">
        <f ca="1">IFERROR(__xludf.DUMMYFUNCTION("""COMPUTED_VALUE"""),"https://www.iqiyi.com/v_v9pgkqlzt8.htmll")</f>
        <v>https://www.iqiyi.com/v_v9pgkqlzt8.htmll</v>
      </c>
      <c r="F82" s="246" t="s">
        <v>560</v>
      </c>
    </row>
    <row r="83" spans="1:6" ht="13">
      <c r="A83" s="26" t="s">
        <v>560</v>
      </c>
      <c r="B83" s="128"/>
      <c r="E83" s="245" t="str">
        <f ca="1">IFERROR(__xludf.DUMMYFUNCTION("""COMPUTED_VALUE"""),"https://www.iqiyi.com/v_109ugarkbks.html")</f>
        <v>https://www.iqiyi.com/v_109ugarkbks.html</v>
      </c>
      <c r="F83" s="246" t="s">
        <v>560</v>
      </c>
    </row>
    <row r="84" spans="1:6" ht="13">
      <c r="A84" s="26" t="s">
        <v>654</v>
      </c>
      <c r="B84" s="128"/>
      <c r="E84" s="245" t="str">
        <f ca="1">IFERROR(__xludf.DUMMYFUNCTION("""COMPUTED_VALUE"""),"https://www.iqiyi.com/v_1kzf2cy2qq4.html")</f>
        <v>https://www.iqiyi.com/v_1kzf2cy2qq4.html</v>
      </c>
      <c r="F84" s="246" t="s">
        <v>654</v>
      </c>
    </row>
    <row r="85" spans="1:6" ht="13">
      <c r="A85" s="26" t="s">
        <v>654</v>
      </c>
      <c r="B85" s="128"/>
      <c r="E85" s="245" t="str">
        <f ca="1">IFERROR(__xludf.DUMMYFUNCTION("""COMPUTED_VALUE"""),"https://www.iqiyi.com/v_17l6d2qrdv0.html")</f>
        <v>https://www.iqiyi.com/v_17l6d2qrdv0.html</v>
      </c>
      <c r="F85" s="246" t="s">
        <v>654</v>
      </c>
    </row>
    <row r="86" spans="1:6" ht="14.5">
      <c r="A86" s="54" t="s">
        <v>524</v>
      </c>
      <c r="B86" s="54"/>
      <c r="E86" s="245" t="str">
        <f ca="1">IFERROR(__xludf.DUMMYFUNCTION("""COMPUTED_VALUE"""),"http://www.iqiyi.com/v_13zv6vx492s.html")</f>
        <v>http://www.iqiyi.com/v_13zv6vx492s.html</v>
      </c>
      <c r="F86" s="246" t="s">
        <v>524</v>
      </c>
    </row>
    <row r="87" spans="1:6" ht="14.5">
      <c r="A87" s="54" t="s">
        <v>701</v>
      </c>
      <c r="B87" s="54"/>
      <c r="E87" s="245" t="str">
        <f ca="1">IFERROR(__xludf.DUMMYFUNCTION("""COMPUTED_VALUE"""),"http://www.iqiyi.com/v_13zv6vx492s.html")</f>
        <v>http://www.iqiyi.com/v_13zv6vx492s.html</v>
      </c>
      <c r="F87" s="246" t="s">
        <v>701</v>
      </c>
    </row>
    <row r="88" spans="1:6" ht="14.5">
      <c r="A88" s="54" t="s">
        <v>145</v>
      </c>
      <c r="B88" s="54"/>
      <c r="E88" s="245" t="str">
        <f ca="1">IFERROR(__xludf.DUMMYFUNCTION("""COMPUTED_VALUE"""),"http://www.iqiyi.com/v_13zv6vx492s.html")</f>
        <v>http://www.iqiyi.com/v_13zv6vx492s.html</v>
      </c>
      <c r="F88" s="246" t="s">
        <v>145</v>
      </c>
    </row>
    <row r="89" spans="1:6" ht="14.5">
      <c r="A89" s="54" t="s">
        <v>543</v>
      </c>
      <c r="B89" s="54"/>
      <c r="E89" s="245" t="str">
        <f ca="1">IFERROR(__xludf.DUMMYFUNCTION("""COMPUTED_VALUE"""),"http://www.iqiyi.com/v_13zv6vx492s.html")</f>
        <v>http://www.iqiyi.com/v_13zv6vx492s.html</v>
      </c>
      <c r="F89" s="246" t="s">
        <v>543</v>
      </c>
    </row>
    <row r="90" spans="1:6" ht="14.5">
      <c r="A90" s="54" t="s">
        <v>654</v>
      </c>
      <c r="B90" s="54"/>
      <c r="E90" s="245" t="str">
        <f ca="1">IFERROR(__xludf.DUMMYFUNCTION("""COMPUTED_VALUE"""),"http://www.iqiyi.com/v_13zv6vx492s.html")</f>
        <v>http://www.iqiyi.com/v_13zv6vx492s.html</v>
      </c>
      <c r="F90" s="246" t="s">
        <v>654</v>
      </c>
    </row>
    <row r="91" spans="1:6" ht="14.5">
      <c r="A91" s="54" t="s">
        <v>701</v>
      </c>
      <c r="B91" s="54"/>
      <c r="E91" s="245" t="str">
        <f ca="1">IFERROR(__xludf.DUMMYFUNCTION("""COMPUTED_VALUE"""),"http://www.iqiyi.com/v_13zv6vx492s.html")</f>
        <v>http://www.iqiyi.com/v_13zv6vx492s.html</v>
      </c>
      <c r="F91" s="246" t="s">
        <v>701</v>
      </c>
    </row>
    <row r="92" spans="1:6" ht="14.5">
      <c r="A92" s="54" t="s">
        <v>701</v>
      </c>
      <c r="B92" s="54"/>
      <c r="E92" s="245" t="str">
        <f ca="1">IFERROR(__xludf.DUMMYFUNCTION("""COMPUTED_VALUE"""),"http://www.iqiyi.com/v_13zv6vx492s.html")</f>
        <v>http://www.iqiyi.com/v_13zv6vx492s.html</v>
      </c>
      <c r="F92" s="246" t="s">
        <v>701</v>
      </c>
    </row>
    <row r="93" spans="1:6" ht="14.5">
      <c r="A93" s="54" t="s">
        <v>654</v>
      </c>
      <c r="B93" s="54"/>
      <c r="E93" s="245" t="str">
        <f ca="1">IFERROR(__xludf.DUMMYFUNCTION("""COMPUTED_VALUE"""),"http://www.iqiyi.com/v_13zv6vx492s.html")</f>
        <v>http://www.iqiyi.com/v_13zv6vx492s.html</v>
      </c>
      <c r="F93" s="246" t="s">
        <v>654</v>
      </c>
    </row>
    <row r="94" spans="1:6" ht="14.5">
      <c r="A94" s="54" t="s">
        <v>864</v>
      </c>
      <c r="B94" s="54"/>
      <c r="E94" s="245" t="str">
        <f ca="1">IFERROR(__xludf.DUMMYFUNCTION("""COMPUTED_VALUE"""),"http://www.iqiyi.com/v_14006zhf2uo.html")</f>
        <v>http://www.iqiyi.com/v_14006zhf2uo.html</v>
      </c>
      <c r="F94" s="246" t="s">
        <v>864</v>
      </c>
    </row>
    <row r="95" spans="1:6" ht="14.5">
      <c r="A95" s="54" t="s">
        <v>654</v>
      </c>
      <c r="B95" s="54"/>
      <c r="E95" s="245" t="str">
        <f ca="1">IFERROR(__xludf.DUMMYFUNCTION("""COMPUTED_VALUE"""),"http://www.iqiyi.com/v_17l6d2qrdv0.html")</f>
        <v>http://www.iqiyi.com/v_17l6d2qrdv0.html</v>
      </c>
      <c r="F95" s="246" t="s">
        <v>654</v>
      </c>
    </row>
    <row r="96" spans="1:6" ht="13">
      <c r="A96" s="26" t="s">
        <v>654</v>
      </c>
      <c r="B96" s="128"/>
      <c r="E96" s="245" t="str">
        <f ca="1">IFERROR(__xludf.DUMMYFUNCTION("""COMPUTED_VALUE"""),"http://www.iqiyi.com/v_14006zhf2uo.html")</f>
        <v>http://www.iqiyi.com/v_14006zhf2uo.html</v>
      </c>
      <c r="F96" s="246" t="s">
        <v>654</v>
      </c>
    </row>
    <row r="97" spans="1:6" ht="13">
      <c r="A97" s="26" t="s">
        <v>145</v>
      </c>
      <c r="B97" s="128"/>
      <c r="E97" s="245" t="str">
        <f ca="1">IFERROR(__xludf.DUMMYFUNCTION("""COMPUTED_VALUE"""),"http://www.iqiyi.com/v_14006zhf2uo.html")</f>
        <v>http://www.iqiyi.com/v_14006zhf2uo.html</v>
      </c>
      <c r="F97" s="246" t="s">
        <v>145</v>
      </c>
    </row>
    <row r="98" spans="1:6" ht="13">
      <c r="A98" s="35" t="s">
        <v>145</v>
      </c>
      <c r="B98" s="246"/>
      <c r="E98" s="245" t="str">
        <f ca="1">IFERROR(__xludf.DUMMYFUNCTION("""COMPUTED_VALUE"""),"http://www.iqiyi.com/v_14006zhf2uo.html")</f>
        <v>http://www.iqiyi.com/v_14006zhf2uo.html</v>
      </c>
      <c r="F98" s="246" t="s">
        <v>145</v>
      </c>
    </row>
    <row r="99" spans="1:6" ht="13">
      <c r="A99" s="35" t="s">
        <v>145</v>
      </c>
      <c r="B99" s="246"/>
      <c r="E99" s="245" t="str">
        <f ca="1">IFERROR(__xludf.DUMMYFUNCTION("""COMPUTED_VALUE"""),"http://www.iqiyi.com/v_2fb1s6tz13k.html")</f>
        <v>http://www.iqiyi.com/v_2fb1s6tz13k.html</v>
      </c>
      <c r="F99" s="246" t="s">
        <v>145</v>
      </c>
    </row>
    <row r="100" spans="1:6" ht="13">
      <c r="A100" s="35" t="s">
        <v>145</v>
      </c>
      <c r="B100" s="246"/>
      <c r="E100" s="245" t="str">
        <f ca="1">IFERROR(__xludf.DUMMYFUNCTION("""COMPUTED_VALUE"""),"http://www.iqiyi.com/v_2fb1s6tz13k.html")</f>
        <v>http://www.iqiyi.com/v_2fb1s6tz13k.html</v>
      </c>
      <c r="F100" s="246" t="s">
        <v>145</v>
      </c>
    </row>
    <row r="101" spans="1:6" ht="13">
      <c r="A101" s="35" t="s">
        <v>145</v>
      </c>
      <c r="B101" s="246"/>
      <c r="E101" s="245" t="str">
        <f ca="1">IFERROR(__xludf.DUMMYFUNCTION("""COMPUTED_VALUE"""),"https://www.iqiyi.com/v_2fb1s6tz13k.html")</f>
        <v>https://www.iqiyi.com/v_2fb1s6tz13k.html</v>
      </c>
      <c r="F101" s="246" t="s">
        <v>145</v>
      </c>
    </row>
    <row r="102" spans="1:6" ht="13">
      <c r="A102" s="35" t="s">
        <v>119</v>
      </c>
      <c r="B102" s="246"/>
      <c r="E102" s="245" t="str">
        <f ca="1">IFERROR(__xludf.DUMMYFUNCTION("""COMPUTED_VALUE"""),"https://www.iqiyi.com/v_26obq94b7l4.html")</f>
        <v>https://www.iqiyi.com/v_26obq94b7l4.html</v>
      </c>
      <c r="F102" s="246" t="s">
        <v>119</v>
      </c>
    </row>
    <row r="103" spans="1:6" ht="13">
      <c r="A103" s="35" t="s">
        <v>119</v>
      </c>
      <c r="B103" s="246"/>
      <c r="E103" s="245" t="str">
        <f ca="1">IFERROR(__xludf.DUMMYFUNCTION("""COMPUTED_VALUE"""),"https://www.iqiyi.com/v_2c66zp7rcp0.html")</f>
        <v>https://www.iqiyi.com/v_2c66zp7rcp0.html</v>
      </c>
      <c r="F103" s="246" t="s">
        <v>119</v>
      </c>
    </row>
    <row r="104" spans="1:6" ht="13">
      <c r="A104" s="35" t="s">
        <v>119</v>
      </c>
      <c r="B104" s="246"/>
      <c r="E104" s="245" t="str">
        <f ca="1">IFERROR(__xludf.DUMMYFUNCTION("""COMPUTED_VALUE"""),"https://www.iqiyi.com/v_23ytugssa8c.html")</f>
        <v>https://www.iqiyi.com/v_23ytugssa8c.html</v>
      </c>
      <c r="F104" s="246" t="s">
        <v>119</v>
      </c>
    </row>
    <row r="105" spans="1:6" ht="13">
      <c r="A105" s="26" t="s">
        <v>6511</v>
      </c>
      <c r="B105" s="128" t="s">
        <v>6512</v>
      </c>
      <c r="E105" s="245" t="str">
        <f ca="1">IFERROR(__xludf.DUMMYFUNCTION("""COMPUTED_VALUE"""),"https://www.iqiyi.com/v_23ytugssa8c.html")</f>
        <v>https://www.iqiyi.com/v_23ytugssa8c.html</v>
      </c>
      <c r="F105" s="246" t="s">
        <v>6511</v>
      </c>
    </row>
    <row r="106" spans="1:6" ht="13">
      <c r="A106" s="59" t="s">
        <v>6511</v>
      </c>
      <c r="B106" s="248" t="s">
        <v>6513</v>
      </c>
      <c r="E106" s="245" t="str">
        <f ca="1">IFERROR(__xludf.DUMMYFUNCTION("""COMPUTED_VALUE"""),"https://www.iqiyi.com/v_17k557yo4hc.html")</f>
        <v>https://www.iqiyi.com/v_17k557yo4hc.html</v>
      </c>
      <c r="F106" s="246" t="s">
        <v>6511</v>
      </c>
    </row>
    <row r="107" spans="1:6" ht="13">
      <c r="A107" s="35" t="s">
        <v>6514</v>
      </c>
      <c r="B107" s="246" t="s">
        <v>6508</v>
      </c>
      <c r="E107" s="245" t="str">
        <f ca="1">IFERROR(__xludf.DUMMYFUNCTION("""COMPUTED_VALUE"""),"https://www.iqiyi.com/v_1deqcff9qko.html")</f>
        <v>https://www.iqiyi.com/v_1deqcff9qko.html</v>
      </c>
      <c r="F107" s="246" t="s">
        <v>6514</v>
      </c>
    </row>
    <row r="108" spans="1:6" ht="13">
      <c r="A108" s="35" t="s">
        <v>6514</v>
      </c>
      <c r="B108" s="246" t="s">
        <v>6515</v>
      </c>
      <c r="E108" s="245" t="str">
        <f ca="1">IFERROR(__xludf.DUMMYFUNCTION("""COMPUTED_VALUE"""),"https://www.iqiyi.com/v_1ymadtms6ww.html")</f>
        <v>https://www.iqiyi.com/v_1ymadtms6ww.html</v>
      </c>
      <c r="F108" s="246" t="s">
        <v>6514</v>
      </c>
    </row>
    <row r="109" spans="1:6" ht="13">
      <c r="A109" s="26" t="s">
        <v>6514</v>
      </c>
      <c r="B109" s="128" t="s">
        <v>6516</v>
      </c>
      <c r="E109" s="245" t="str">
        <f ca="1">IFERROR(__xludf.DUMMYFUNCTION("""COMPUTED_VALUE"""),"https://www.iqiyi.com/v_1jvbmagcje4.html")</f>
        <v>https://www.iqiyi.com/v_1jvbmagcje4.html</v>
      </c>
      <c r="F109" s="246" t="s">
        <v>6514</v>
      </c>
    </row>
    <row r="110" spans="1:6" ht="13">
      <c r="A110" s="35" t="s">
        <v>6514</v>
      </c>
      <c r="B110" s="246" t="s">
        <v>6517</v>
      </c>
      <c r="E110" s="245" t="str">
        <f ca="1">IFERROR(__xludf.DUMMYFUNCTION("""COMPUTED_VALUE"""),"https://www.iqiyi.com/v_174uz7e1yl0.html")</f>
        <v>https://www.iqiyi.com/v_174uz7e1yl0.html</v>
      </c>
      <c r="F110" s="246" t="s">
        <v>6514</v>
      </c>
    </row>
    <row r="111" spans="1:6" ht="13">
      <c r="A111" s="35" t="s">
        <v>6514</v>
      </c>
      <c r="B111" s="246" t="s">
        <v>6515</v>
      </c>
      <c r="E111" s="245" t="str">
        <f ca="1">IFERROR(__xludf.DUMMYFUNCTION("""COMPUTED_VALUE"""),"https://www.iqiyi.com/v_1ni7svvsz98.html")</f>
        <v>https://www.iqiyi.com/v_1ni7svvsz98.html</v>
      </c>
      <c r="F111" s="246" t="s">
        <v>6514</v>
      </c>
    </row>
    <row r="112" spans="1:6" ht="13">
      <c r="A112" s="35" t="s">
        <v>6514</v>
      </c>
      <c r="B112" s="246" t="s">
        <v>6517</v>
      </c>
      <c r="E112" s="245" t="str">
        <f ca="1">IFERROR(__xludf.DUMMYFUNCTION("""COMPUTED_VALUE"""),"https://www.iqiyi.com/v_2docnt7jyw8.html")</f>
        <v>https://www.iqiyi.com/v_2docnt7jyw8.html</v>
      </c>
      <c r="F112" s="246" t="s">
        <v>6514</v>
      </c>
    </row>
    <row r="113" spans="1:6" ht="13">
      <c r="A113" s="26" t="s">
        <v>6518</v>
      </c>
      <c r="B113" s="128" t="s">
        <v>6519</v>
      </c>
      <c r="E113" s="25"/>
      <c r="F113" s="246" t="s">
        <v>6518</v>
      </c>
    </row>
    <row r="114" spans="1:6" ht="13">
      <c r="A114" s="26" t="s">
        <v>6518</v>
      </c>
      <c r="B114" s="128" t="s">
        <v>6520</v>
      </c>
      <c r="F114" s="246" t="s">
        <v>6518</v>
      </c>
    </row>
    <row r="115" spans="1:6" ht="13">
      <c r="A115" s="35" t="s">
        <v>560</v>
      </c>
      <c r="B115" s="246"/>
      <c r="F115" s="246" t="s">
        <v>560</v>
      </c>
    </row>
    <row r="116" spans="1:6" ht="13">
      <c r="A116" s="35" t="s">
        <v>543</v>
      </c>
      <c r="B116" s="246"/>
      <c r="F116" s="246" t="s">
        <v>543</v>
      </c>
    </row>
    <row r="117" spans="1:6" ht="13">
      <c r="A117" s="35" t="s">
        <v>654</v>
      </c>
      <c r="B117" s="246"/>
      <c r="F117" s="246" t="s">
        <v>654</v>
      </c>
    </row>
    <row r="118" spans="1:6" ht="13">
      <c r="A118" s="35" t="s">
        <v>842</v>
      </c>
      <c r="B118" s="246"/>
      <c r="F118" s="246" t="s">
        <v>842</v>
      </c>
    </row>
    <row r="119" spans="1:6" ht="13">
      <c r="A119" s="35" t="s">
        <v>560</v>
      </c>
      <c r="B119" s="246"/>
      <c r="F119" s="246" t="s">
        <v>560</v>
      </c>
    </row>
    <row r="120" spans="1:6" ht="13">
      <c r="A120" s="35" t="s">
        <v>654</v>
      </c>
      <c r="B120" s="246"/>
      <c r="F120" s="246" t="s">
        <v>654</v>
      </c>
    </row>
    <row r="121" spans="1:6" ht="13">
      <c r="A121" s="35" t="s">
        <v>842</v>
      </c>
      <c r="B121" s="246"/>
      <c r="F121" s="246" t="s">
        <v>842</v>
      </c>
    </row>
    <row r="122" spans="1:6" ht="13">
      <c r="A122" s="35" t="s">
        <v>864</v>
      </c>
      <c r="B122" s="246"/>
      <c r="F122" s="246" t="s">
        <v>864</v>
      </c>
    </row>
    <row r="123" spans="1:6" ht="13">
      <c r="A123" s="26" t="s">
        <v>555</v>
      </c>
      <c r="B123" s="128"/>
      <c r="F123" s="246" t="s">
        <v>555</v>
      </c>
    </row>
    <row r="124" spans="1:6" ht="13">
      <c r="A124" s="35" t="s">
        <v>875</v>
      </c>
      <c r="B124" s="246"/>
      <c r="F124" s="246" t="s">
        <v>875</v>
      </c>
    </row>
    <row r="125" spans="1:6" ht="13">
      <c r="A125" s="35" t="s">
        <v>875</v>
      </c>
      <c r="B125" s="246"/>
      <c r="F125" s="246" t="s">
        <v>875</v>
      </c>
    </row>
    <row r="126" spans="1:6" ht="13">
      <c r="A126" s="26" t="s">
        <v>875</v>
      </c>
      <c r="B126" s="128"/>
      <c r="F126" s="246" t="s">
        <v>875</v>
      </c>
    </row>
    <row r="127" spans="1:6" ht="13">
      <c r="A127" s="26" t="s">
        <v>875</v>
      </c>
      <c r="B127" s="128"/>
      <c r="F127" s="246" t="s">
        <v>875</v>
      </c>
    </row>
    <row r="128" spans="1:6" ht="13">
      <c r="A128" s="26" t="s">
        <v>875</v>
      </c>
      <c r="B128" s="128"/>
      <c r="F128" s="246" t="s">
        <v>875</v>
      </c>
    </row>
    <row r="129" spans="1:6" ht="13">
      <c r="A129" s="26" t="s">
        <v>276</v>
      </c>
      <c r="B129" s="128"/>
      <c r="F129" s="246" t="s">
        <v>276</v>
      </c>
    </row>
    <row r="130" spans="1:6" ht="13">
      <c r="A130" s="35" t="s">
        <v>301</v>
      </c>
      <c r="B130" s="246"/>
      <c r="F130" s="246" t="s">
        <v>301</v>
      </c>
    </row>
    <row r="131" spans="1:6" ht="13">
      <c r="A131" s="35" t="s">
        <v>301</v>
      </c>
      <c r="B131" s="246"/>
      <c r="F131" s="246" t="s">
        <v>301</v>
      </c>
    </row>
    <row r="132" spans="1:6" ht="13">
      <c r="A132" s="35" t="s">
        <v>924</v>
      </c>
      <c r="B132" s="246"/>
      <c r="F132" s="246" t="s">
        <v>924</v>
      </c>
    </row>
    <row r="133" spans="1:6" ht="13">
      <c r="A133" s="35" t="s">
        <v>924</v>
      </c>
      <c r="B133" s="246"/>
      <c r="F133" s="246" t="s">
        <v>924</v>
      </c>
    </row>
    <row r="134" spans="1:6" ht="13">
      <c r="A134" s="26" t="s">
        <v>924</v>
      </c>
      <c r="B134" s="128"/>
      <c r="F134" s="246" t="s">
        <v>924</v>
      </c>
    </row>
    <row r="135" spans="1:6" ht="13">
      <c r="A135" s="26" t="s">
        <v>924</v>
      </c>
      <c r="B135" s="128"/>
      <c r="F135" s="246" t="s">
        <v>924</v>
      </c>
    </row>
    <row r="136" spans="1:6" ht="13">
      <c r="A136" s="26" t="s">
        <v>924</v>
      </c>
      <c r="B136" s="128"/>
      <c r="F136" s="246" t="s">
        <v>924</v>
      </c>
    </row>
    <row r="137" spans="1:6" ht="13">
      <c r="A137" s="35" t="s">
        <v>924</v>
      </c>
      <c r="B137" s="246"/>
      <c r="F137" s="246" t="s">
        <v>924</v>
      </c>
    </row>
    <row r="138" spans="1:6" ht="13">
      <c r="A138" s="35" t="s">
        <v>958</v>
      </c>
      <c r="B138" s="246"/>
      <c r="F138" s="246" t="s">
        <v>958</v>
      </c>
    </row>
    <row r="139" spans="1:6" ht="13">
      <c r="A139" s="35" t="s">
        <v>431</v>
      </c>
      <c r="B139" s="246"/>
      <c r="F139" s="246" t="s">
        <v>431</v>
      </c>
    </row>
    <row r="140" spans="1:6" ht="13">
      <c r="A140" s="35" t="s">
        <v>431</v>
      </c>
      <c r="B140" s="246"/>
      <c r="F140" s="246" t="s">
        <v>431</v>
      </c>
    </row>
    <row r="141" spans="1:6" ht="13">
      <c r="A141" s="35" t="s">
        <v>431</v>
      </c>
      <c r="B141" s="246"/>
      <c r="F141" s="246" t="s">
        <v>431</v>
      </c>
    </row>
    <row r="142" spans="1:6" ht="13">
      <c r="A142" s="35" t="s">
        <v>986</v>
      </c>
      <c r="B142" s="246"/>
      <c r="F142" s="246" t="s">
        <v>986</v>
      </c>
    </row>
    <row r="143" spans="1:6" ht="13">
      <c r="A143" s="26" t="s">
        <v>986</v>
      </c>
      <c r="B143" s="128"/>
      <c r="F143" s="246" t="s">
        <v>986</v>
      </c>
    </row>
    <row r="144" spans="1:6" ht="13">
      <c r="A144" s="26" t="s">
        <v>986</v>
      </c>
      <c r="B144" s="128"/>
      <c r="F144" s="246" t="s">
        <v>986</v>
      </c>
    </row>
    <row r="145" spans="1:6" ht="13">
      <c r="A145" s="26" t="s">
        <v>986</v>
      </c>
      <c r="B145" s="128"/>
      <c r="F145" s="246" t="s">
        <v>986</v>
      </c>
    </row>
    <row r="146" spans="1:6" ht="13">
      <c r="A146" s="26" t="s">
        <v>986</v>
      </c>
      <c r="B146" s="128"/>
      <c r="F146" s="246" t="s">
        <v>986</v>
      </c>
    </row>
    <row r="147" spans="1:6" ht="13">
      <c r="A147" s="26" t="s">
        <v>986</v>
      </c>
      <c r="B147" s="128"/>
      <c r="F147" s="246" t="s">
        <v>986</v>
      </c>
    </row>
    <row r="148" spans="1:6" ht="13">
      <c r="A148" s="26" t="s">
        <v>986</v>
      </c>
      <c r="B148" s="128"/>
      <c r="F148" s="246" t="s">
        <v>986</v>
      </c>
    </row>
    <row r="149" spans="1:6" ht="13">
      <c r="A149" s="26" t="s">
        <v>986</v>
      </c>
      <c r="B149" s="128"/>
      <c r="F149" s="246" t="s">
        <v>986</v>
      </c>
    </row>
    <row r="150" spans="1:6" ht="13">
      <c r="A150" s="35" t="s">
        <v>1888</v>
      </c>
      <c r="B150" s="246"/>
      <c r="F150" s="246" t="s">
        <v>1888</v>
      </c>
    </row>
    <row r="151" spans="1:6" ht="13">
      <c r="A151" s="35" t="s">
        <v>1888</v>
      </c>
      <c r="B151" s="246"/>
      <c r="F151" s="246" t="s">
        <v>1888</v>
      </c>
    </row>
    <row r="152" spans="1:6" ht="13">
      <c r="A152" s="35" t="s">
        <v>1888</v>
      </c>
      <c r="B152" s="246"/>
      <c r="F152" s="246" t="s">
        <v>1888</v>
      </c>
    </row>
    <row r="153" spans="1:6" ht="13">
      <c r="A153" s="26" t="s">
        <v>1036</v>
      </c>
      <c r="B153" s="128"/>
      <c r="F153" s="246" t="s">
        <v>1036</v>
      </c>
    </row>
    <row r="154" spans="1:6" ht="13">
      <c r="A154" s="35" t="s">
        <v>1036</v>
      </c>
      <c r="B154" s="246"/>
      <c r="F154" s="246" t="s">
        <v>1036</v>
      </c>
    </row>
    <row r="155" spans="1:6" ht="13">
      <c r="A155" s="35" t="s">
        <v>1036</v>
      </c>
      <c r="B155" s="246"/>
      <c r="F155" s="246" t="s">
        <v>1036</v>
      </c>
    </row>
    <row r="156" spans="1:6" ht="13">
      <c r="A156" s="26" t="s">
        <v>1036</v>
      </c>
      <c r="B156" s="128"/>
      <c r="F156" s="246" t="s">
        <v>1036</v>
      </c>
    </row>
    <row r="157" spans="1:6" ht="13">
      <c r="A157" s="35" t="s">
        <v>1036</v>
      </c>
      <c r="B157" s="246"/>
      <c r="F157" s="246" t="s">
        <v>1036</v>
      </c>
    </row>
    <row r="158" spans="1:6" ht="13">
      <c r="A158" s="26" t="s">
        <v>6521</v>
      </c>
      <c r="B158" s="128" t="s">
        <v>6522</v>
      </c>
      <c r="F158" s="246" t="s">
        <v>6521</v>
      </c>
    </row>
    <row r="159" spans="1:6" ht="13">
      <c r="A159" s="35" t="s">
        <v>6521</v>
      </c>
      <c r="B159" s="246" t="s">
        <v>6523</v>
      </c>
      <c r="F159" s="246" t="s">
        <v>6521</v>
      </c>
    </row>
    <row r="160" spans="1:6" ht="13">
      <c r="A160" s="26" t="s">
        <v>6521</v>
      </c>
      <c r="B160" s="128" t="s">
        <v>6524</v>
      </c>
      <c r="F160" s="246" t="s">
        <v>6521</v>
      </c>
    </row>
    <row r="161" spans="1:6" ht="13">
      <c r="A161" s="26" t="s">
        <v>6521</v>
      </c>
      <c r="B161" s="128" t="s">
        <v>6525</v>
      </c>
      <c r="F161" s="246" t="s">
        <v>6521</v>
      </c>
    </row>
    <row r="162" spans="1:6" ht="13">
      <c r="A162" s="35" t="s">
        <v>6526</v>
      </c>
      <c r="B162" s="246" t="s">
        <v>6527</v>
      </c>
      <c r="F162" s="246" t="s">
        <v>6526</v>
      </c>
    </row>
    <row r="163" spans="1:6" ht="13">
      <c r="A163" s="26" t="s">
        <v>6526</v>
      </c>
      <c r="B163" s="128" t="s">
        <v>6528</v>
      </c>
      <c r="F163" s="246" t="s">
        <v>6526</v>
      </c>
    </row>
    <row r="164" spans="1:6" ht="13">
      <c r="A164" s="26" t="s">
        <v>6526</v>
      </c>
      <c r="B164" s="128" t="s">
        <v>6529</v>
      </c>
      <c r="F164" s="246" t="s">
        <v>6526</v>
      </c>
    </row>
    <row r="165" spans="1:6" ht="13">
      <c r="A165" s="26" t="s">
        <v>6526</v>
      </c>
      <c r="B165" s="128" t="s">
        <v>6530</v>
      </c>
      <c r="F165" s="246" t="s">
        <v>6526</v>
      </c>
    </row>
    <row r="166" spans="1:6" ht="13">
      <c r="A166" s="35" t="s">
        <v>6526</v>
      </c>
      <c r="B166" s="246" t="s">
        <v>6531</v>
      </c>
      <c r="F166" s="246" t="s">
        <v>6526</v>
      </c>
    </row>
    <row r="167" spans="1:6" ht="13">
      <c r="A167" s="26" t="s">
        <v>6526</v>
      </c>
      <c r="B167" s="128" t="s">
        <v>6532</v>
      </c>
      <c r="F167" s="246" t="s">
        <v>6526</v>
      </c>
    </row>
    <row r="168" spans="1:6" ht="13">
      <c r="A168" s="26" t="s">
        <v>6533</v>
      </c>
      <c r="B168" s="128" t="s">
        <v>6534</v>
      </c>
      <c r="F168" s="246" t="s">
        <v>6533</v>
      </c>
    </row>
    <row r="169" spans="1:6" ht="13">
      <c r="A169" s="26" t="s">
        <v>6533</v>
      </c>
      <c r="B169" s="128" t="s">
        <v>6535</v>
      </c>
      <c r="F169" s="246" t="s">
        <v>6533</v>
      </c>
    </row>
    <row r="170" spans="1:6" ht="13">
      <c r="A170" s="26" t="s">
        <v>6533</v>
      </c>
      <c r="B170" s="128" t="s">
        <v>6523</v>
      </c>
      <c r="F170" s="246" t="s">
        <v>6533</v>
      </c>
    </row>
    <row r="171" spans="1:6" ht="13">
      <c r="A171" s="35" t="s">
        <v>6533</v>
      </c>
      <c r="B171" s="246" t="s">
        <v>6536</v>
      </c>
      <c r="F171" s="246" t="s">
        <v>6533</v>
      </c>
    </row>
    <row r="172" spans="1:6" ht="13">
      <c r="A172" s="35" t="s">
        <v>6537</v>
      </c>
      <c r="B172" s="246" t="s">
        <v>6538</v>
      </c>
      <c r="F172" s="246" t="s">
        <v>6537</v>
      </c>
    </row>
    <row r="173" spans="1:6" ht="14.5">
      <c r="A173" s="69" t="s">
        <v>1154</v>
      </c>
      <c r="B173" s="69"/>
      <c r="F173" s="246" t="s">
        <v>1154</v>
      </c>
    </row>
    <row r="174" spans="1:6" ht="14.5">
      <c r="A174" s="203" t="s">
        <v>1154</v>
      </c>
      <c r="B174" s="203"/>
      <c r="F174" s="246" t="s">
        <v>1154</v>
      </c>
    </row>
    <row r="175" spans="1:6" ht="14.5">
      <c r="A175" s="203" t="s">
        <v>543</v>
      </c>
      <c r="B175" s="203"/>
      <c r="F175" s="246" t="s">
        <v>543</v>
      </c>
    </row>
    <row r="176" spans="1:6" ht="14.5">
      <c r="A176" s="69" t="s">
        <v>654</v>
      </c>
      <c r="B176" s="69"/>
      <c r="F176" s="246" t="s">
        <v>654</v>
      </c>
    </row>
    <row r="177" spans="1:6" ht="14.5">
      <c r="A177" s="69" t="s">
        <v>864</v>
      </c>
      <c r="B177" s="69"/>
      <c r="F177" s="246" t="s">
        <v>864</v>
      </c>
    </row>
    <row r="178" spans="1:6" ht="14.5">
      <c r="A178" s="203" t="s">
        <v>1154</v>
      </c>
      <c r="B178" s="203"/>
      <c r="F178" s="246" t="s">
        <v>1154</v>
      </c>
    </row>
    <row r="179" spans="1:6" ht="14.5">
      <c r="A179" s="203" t="s">
        <v>1154</v>
      </c>
      <c r="B179" s="203"/>
      <c r="F179" s="246" t="s">
        <v>1154</v>
      </c>
    </row>
    <row r="180" spans="1:6" ht="14.5">
      <c r="A180" s="69" t="s">
        <v>1154</v>
      </c>
      <c r="B180" s="69"/>
      <c r="F180" s="246" t="s">
        <v>1154</v>
      </c>
    </row>
    <row r="181" spans="1:6" ht="14.5">
      <c r="A181" s="203" t="s">
        <v>864</v>
      </c>
      <c r="B181" s="203"/>
      <c r="F181" s="246" t="s">
        <v>864</v>
      </c>
    </row>
    <row r="182" spans="1:6" ht="14.5">
      <c r="A182" s="203" t="s">
        <v>842</v>
      </c>
      <c r="B182" s="203"/>
      <c r="F182" s="246" t="s">
        <v>842</v>
      </c>
    </row>
    <row r="183" spans="1:6" ht="14.5">
      <c r="A183" s="203" t="s">
        <v>1213</v>
      </c>
      <c r="B183" s="203"/>
      <c r="F183" s="246" t="s">
        <v>1213</v>
      </c>
    </row>
    <row r="184" spans="1:6" ht="14.5">
      <c r="A184" s="249" t="s">
        <v>1219</v>
      </c>
      <c r="B184" s="249"/>
      <c r="F184" s="25" t="s">
        <v>1219</v>
      </c>
    </row>
    <row r="185" spans="1:6" ht="14.5">
      <c r="A185" s="249" t="s">
        <v>1219</v>
      </c>
      <c r="B185" s="249"/>
      <c r="F185" s="25" t="s">
        <v>1219</v>
      </c>
    </row>
    <row r="186" spans="1:6" ht="14.5">
      <c r="A186" s="249" t="s">
        <v>1233</v>
      </c>
      <c r="B186" s="249"/>
      <c r="F186" s="25" t="s">
        <v>1233</v>
      </c>
    </row>
    <row r="187" spans="1:6" ht="14.5">
      <c r="A187" s="72" t="s">
        <v>1233</v>
      </c>
      <c r="B187" s="72"/>
      <c r="F187" s="246" t="s">
        <v>1233</v>
      </c>
    </row>
    <row r="188" spans="1:6" ht="13">
      <c r="A188" s="35" t="s">
        <v>1233</v>
      </c>
      <c r="B188" s="246"/>
      <c r="F188" s="246" t="s">
        <v>1233</v>
      </c>
    </row>
    <row r="189" spans="1:6" ht="13">
      <c r="A189" s="26" t="s">
        <v>1219</v>
      </c>
      <c r="B189" s="128"/>
      <c r="F189" s="246" t="s">
        <v>1219</v>
      </c>
    </row>
    <row r="190" spans="1:6" ht="13">
      <c r="A190" s="35" t="s">
        <v>1233</v>
      </c>
      <c r="B190" s="246"/>
      <c r="F190" s="246" t="s">
        <v>1233</v>
      </c>
    </row>
    <row r="191" spans="1:6" ht="13">
      <c r="A191" s="35" t="s">
        <v>1233</v>
      </c>
      <c r="B191" s="246"/>
      <c r="F191" s="246" t="s">
        <v>1233</v>
      </c>
    </row>
    <row r="192" spans="1:6" ht="13">
      <c r="A192" s="35" t="s">
        <v>1219</v>
      </c>
      <c r="B192" s="246"/>
      <c r="F192" s="246" t="s">
        <v>1219</v>
      </c>
    </row>
    <row r="193" spans="1:6" ht="13">
      <c r="A193" s="35" t="s">
        <v>1219</v>
      </c>
      <c r="B193" s="246"/>
      <c r="F193" s="246" t="s">
        <v>1219</v>
      </c>
    </row>
    <row r="194" spans="1:6" ht="13">
      <c r="A194" s="35" t="s">
        <v>1269</v>
      </c>
      <c r="B194" s="246"/>
      <c r="F194" s="246" t="s">
        <v>1269</v>
      </c>
    </row>
    <row r="195" spans="1:6" ht="13">
      <c r="A195" s="35" t="s">
        <v>1269</v>
      </c>
      <c r="B195" s="246"/>
      <c r="F195" s="246" t="s">
        <v>1269</v>
      </c>
    </row>
    <row r="196" spans="1:6" ht="13">
      <c r="A196" s="73" t="s">
        <v>1269</v>
      </c>
      <c r="B196" s="56"/>
      <c r="F196" s="246" t="s">
        <v>1269</v>
      </c>
    </row>
    <row r="197" spans="1:6" ht="13">
      <c r="A197" s="35" t="s">
        <v>1219</v>
      </c>
      <c r="B197" s="246"/>
      <c r="F197" s="246" t="s">
        <v>1219</v>
      </c>
    </row>
    <row r="198" spans="1:6" ht="13">
      <c r="A198" s="35" t="s">
        <v>1219</v>
      </c>
      <c r="B198" s="246"/>
      <c r="F198" s="246" t="s">
        <v>1219</v>
      </c>
    </row>
    <row r="199" spans="1:6" ht="13">
      <c r="A199" s="35" t="s">
        <v>1269</v>
      </c>
      <c r="B199" s="246"/>
      <c r="F199" s="246" t="s">
        <v>1269</v>
      </c>
    </row>
    <row r="200" spans="1:6" ht="13">
      <c r="A200" s="74" t="s">
        <v>1269</v>
      </c>
      <c r="B200" s="41"/>
      <c r="F200" s="246" t="s">
        <v>1269</v>
      </c>
    </row>
    <row r="201" spans="1:6" ht="13">
      <c r="A201" s="35" t="s">
        <v>1269</v>
      </c>
      <c r="B201" s="246"/>
      <c r="F201" s="246" t="s">
        <v>1269</v>
      </c>
    </row>
    <row r="202" spans="1:6" ht="13">
      <c r="A202" s="35" t="s">
        <v>1219</v>
      </c>
      <c r="B202" s="246"/>
      <c r="F202" s="246" t="s">
        <v>1219</v>
      </c>
    </row>
    <row r="203" spans="1:6" ht="13">
      <c r="A203" s="35" t="s">
        <v>1305</v>
      </c>
      <c r="B203" s="246"/>
      <c r="F203" s="246" t="s">
        <v>1305</v>
      </c>
    </row>
    <row r="204" spans="1:6" ht="13">
      <c r="A204" s="26" t="s">
        <v>1312</v>
      </c>
      <c r="B204" s="128"/>
      <c r="F204" s="246" t="s">
        <v>1312</v>
      </c>
    </row>
    <row r="205" spans="1:6" ht="13">
      <c r="A205" s="26" t="s">
        <v>1312</v>
      </c>
      <c r="B205" s="128"/>
      <c r="F205" s="246" t="s">
        <v>1312</v>
      </c>
    </row>
    <row r="206" spans="1:6" ht="13">
      <c r="A206" s="26" t="s">
        <v>1312</v>
      </c>
      <c r="B206" s="128"/>
      <c r="F206" s="246" t="s">
        <v>1312</v>
      </c>
    </row>
    <row r="207" spans="1:6" ht="13">
      <c r="A207" s="26" t="s">
        <v>1312</v>
      </c>
      <c r="B207" s="128"/>
      <c r="F207" s="246" t="s">
        <v>1312</v>
      </c>
    </row>
    <row r="208" spans="1:6" ht="13">
      <c r="A208" s="26" t="s">
        <v>161</v>
      </c>
      <c r="B208" s="128"/>
      <c r="F208" s="246" t="s">
        <v>161</v>
      </c>
    </row>
    <row r="209" spans="1:6" ht="13">
      <c r="A209" s="26" t="s">
        <v>1338</v>
      </c>
      <c r="B209" s="128"/>
      <c r="F209" s="246" t="s">
        <v>1338</v>
      </c>
    </row>
    <row r="210" spans="1:6" ht="13">
      <c r="A210" s="35" t="s">
        <v>1338</v>
      </c>
      <c r="B210" s="246"/>
      <c r="F210" s="246" t="s">
        <v>1338</v>
      </c>
    </row>
    <row r="211" spans="1:6" ht="13">
      <c r="A211" s="35" t="s">
        <v>1312</v>
      </c>
      <c r="B211" s="246"/>
      <c r="F211" s="246" t="s">
        <v>1312</v>
      </c>
    </row>
    <row r="212" spans="1:6" ht="13">
      <c r="A212" s="26" t="s">
        <v>1312</v>
      </c>
      <c r="B212" s="128"/>
      <c r="F212" s="246" t="s">
        <v>1312</v>
      </c>
    </row>
    <row r="213" spans="1:6" ht="13">
      <c r="A213" s="35" t="s">
        <v>1387</v>
      </c>
      <c r="B213" s="246"/>
      <c r="F213" s="246" t="s">
        <v>1387</v>
      </c>
    </row>
    <row r="214" spans="1:6" ht="13">
      <c r="A214" s="35" t="s">
        <v>1387</v>
      </c>
      <c r="B214" s="246"/>
      <c r="F214" s="246" t="s">
        <v>1387</v>
      </c>
    </row>
    <row r="215" spans="1:6" ht="13">
      <c r="A215" s="35" t="s">
        <v>1387</v>
      </c>
      <c r="B215" s="246"/>
      <c r="F215" s="246" t="s">
        <v>1387</v>
      </c>
    </row>
    <row r="216" spans="1:6" ht="13">
      <c r="A216" s="26" t="s">
        <v>1379</v>
      </c>
      <c r="B216" s="128"/>
      <c r="F216" s="246" t="s">
        <v>1379</v>
      </c>
    </row>
    <row r="217" spans="1:6" ht="13">
      <c r="A217" s="35" t="s">
        <v>1387</v>
      </c>
      <c r="B217" s="246"/>
      <c r="F217" s="246" t="s">
        <v>1387</v>
      </c>
    </row>
    <row r="218" spans="1:6" ht="13">
      <c r="A218" s="26" t="s">
        <v>1379</v>
      </c>
      <c r="B218" s="128"/>
      <c r="F218" s="246" t="s">
        <v>1379</v>
      </c>
    </row>
    <row r="219" spans="1:6" ht="13">
      <c r="A219" s="26" t="s">
        <v>154</v>
      </c>
      <c r="B219" s="128"/>
      <c r="F219" s="246" t="s">
        <v>154</v>
      </c>
    </row>
    <row r="220" spans="1:6" ht="13">
      <c r="A220" s="31" t="s">
        <v>6539</v>
      </c>
      <c r="B220" s="246"/>
      <c r="F220" s="246" t="s">
        <v>6539</v>
      </c>
    </row>
    <row r="221" spans="1:6" ht="13">
      <c r="A221" s="26" t="s">
        <v>154</v>
      </c>
      <c r="B221" s="128"/>
      <c r="F221" s="246" t="s">
        <v>154</v>
      </c>
    </row>
    <row r="222" spans="1:6" ht="13">
      <c r="A222" s="26" t="s">
        <v>154</v>
      </c>
      <c r="B222" s="128"/>
      <c r="F222" s="246" t="s">
        <v>154</v>
      </c>
    </row>
    <row r="223" spans="1:6" ht="13">
      <c r="A223" s="26" t="s">
        <v>154</v>
      </c>
      <c r="B223" s="128"/>
      <c r="F223" s="246" t="s">
        <v>154</v>
      </c>
    </row>
    <row r="224" spans="1:6" ht="13">
      <c r="A224" s="35" t="s">
        <v>1219</v>
      </c>
      <c r="B224" s="246"/>
      <c r="F224" s="246" t="s">
        <v>1219</v>
      </c>
    </row>
    <row r="225" spans="1:6" ht="13">
      <c r="A225" s="26" t="s">
        <v>1438</v>
      </c>
      <c r="B225" s="128"/>
      <c r="F225" s="246" t="s">
        <v>1438</v>
      </c>
    </row>
    <row r="226" spans="1:6" ht="13">
      <c r="A226" s="35" t="s">
        <v>1438</v>
      </c>
      <c r="B226" s="246"/>
      <c r="F226" s="246" t="s">
        <v>1438</v>
      </c>
    </row>
    <row r="227" spans="1:6" ht="13">
      <c r="A227" s="35" t="s">
        <v>1438</v>
      </c>
      <c r="B227" s="246"/>
      <c r="F227" s="246" t="s">
        <v>1438</v>
      </c>
    </row>
    <row r="228" spans="1:6" ht="13">
      <c r="A228" s="35" t="s">
        <v>1438</v>
      </c>
      <c r="B228" s="246"/>
      <c r="F228" s="246" t="s">
        <v>1438</v>
      </c>
    </row>
    <row r="229" spans="1:6" ht="13">
      <c r="A229" s="35" t="s">
        <v>1438</v>
      </c>
      <c r="B229" s="246"/>
      <c r="F229" s="246" t="s">
        <v>1438</v>
      </c>
    </row>
    <row r="230" spans="1:6" ht="13">
      <c r="A230" s="26" t="s">
        <v>1379</v>
      </c>
      <c r="B230" s="128"/>
      <c r="F230" s="246" t="s">
        <v>1379</v>
      </c>
    </row>
    <row r="231" spans="1:6" ht="13">
      <c r="A231" s="35" t="s">
        <v>1379</v>
      </c>
      <c r="B231" s="246"/>
      <c r="F231" s="246" t="s">
        <v>1379</v>
      </c>
    </row>
    <row r="232" spans="1:6" ht="13">
      <c r="A232" s="31" t="s">
        <v>6540</v>
      </c>
      <c r="B232" s="246"/>
      <c r="F232" s="246" t="s">
        <v>6540</v>
      </c>
    </row>
    <row r="233" spans="1:6" ht="13">
      <c r="A233" s="35" t="s">
        <v>1379</v>
      </c>
      <c r="B233" s="246"/>
      <c r="F233" s="246" t="s">
        <v>1379</v>
      </c>
    </row>
    <row r="234" spans="1:6" ht="13">
      <c r="A234" s="35" t="s">
        <v>1379</v>
      </c>
      <c r="B234" s="246"/>
      <c r="F234" s="246" t="s">
        <v>1379</v>
      </c>
    </row>
    <row r="235" spans="1:6" ht="13">
      <c r="A235" s="35" t="s">
        <v>1379</v>
      </c>
      <c r="B235" s="246"/>
      <c r="F235" s="246" t="s">
        <v>1379</v>
      </c>
    </row>
    <row r="236" spans="1:6" ht="13">
      <c r="A236" s="35" t="s">
        <v>1511</v>
      </c>
      <c r="B236" s="246"/>
      <c r="F236" s="246" t="s">
        <v>1511</v>
      </c>
    </row>
    <row r="237" spans="1:6" ht="13">
      <c r="A237" s="35" t="s">
        <v>1511</v>
      </c>
      <c r="B237" s="246"/>
      <c r="F237" s="246" t="s">
        <v>1511</v>
      </c>
    </row>
    <row r="238" spans="1:6" ht="13">
      <c r="A238" s="26" t="s">
        <v>1511</v>
      </c>
      <c r="B238" s="128"/>
      <c r="F238" s="246" t="s">
        <v>1511</v>
      </c>
    </row>
    <row r="239" spans="1:6" ht="13">
      <c r="A239" s="26" t="s">
        <v>1511</v>
      </c>
      <c r="B239" s="128"/>
      <c r="F239" s="246" t="s">
        <v>1511</v>
      </c>
    </row>
    <row r="240" spans="1:6" ht="13">
      <c r="A240" s="26" t="s">
        <v>1523</v>
      </c>
      <c r="B240" s="128"/>
      <c r="F240" s="246" t="s">
        <v>1523</v>
      </c>
    </row>
    <row r="241" spans="1:6" ht="13">
      <c r="A241" s="26" t="s">
        <v>1523</v>
      </c>
      <c r="B241" s="128"/>
      <c r="F241" s="246" t="s">
        <v>1523</v>
      </c>
    </row>
    <row r="242" spans="1:6" ht="13">
      <c r="A242" s="77" t="s">
        <v>1523</v>
      </c>
      <c r="B242" s="250"/>
      <c r="F242" s="246" t="s">
        <v>1523</v>
      </c>
    </row>
    <row r="243" spans="1:6" ht="13">
      <c r="A243" s="26" t="s">
        <v>1523</v>
      </c>
      <c r="B243" s="128"/>
      <c r="F243" s="246" t="s">
        <v>1523</v>
      </c>
    </row>
    <row r="244" spans="1:6" ht="13">
      <c r="A244" s="31" t="s">
        <v>3192</v>
      </c>
      <c r="B244" s="246"/>
      <c r="F244" s="246" t="s">
        <v>3192</v>
      </c>
    </row>
    <row r="245" spans="1:6" ht="13">
      <c r="A245" s="31" t="s">
        <v>3192</v>
      </c>
      <c r="B245" s="246"/>
      <c r="F245" s="246" t="s">
        <v>3192</v>
      </c>
    </row>
    <row r="246" spans="1:6" ht="13">
      <c r="A246" s="31" t="s">
        <v>3192</v>
      </c>
      <c r="B246" s="246"/>
      <c r="F246" s="246" t="s">
        <v>3192</v>
      </c>
    </row>
    <row r="247" spans="1:6" ht="13">
      <c r="A247" s="26" t="s">
        <v>1511</v>
      </c>
      <c r="B247" s="128"/>
      <c r="F247" s="246" t="s">
        <v>1511</v>
      </c>
    </row>
    <row r="248" spans="1:6" ht="13">
      <c r="A248" s="26" t="s">
        <v>6541</v>
      </c>
      <c r="B248" s="128" t="s">
        <v>6542</v>
      </c>
      <c r="F248" s="246" t="s">
        <v>6541</v>
      </c>
    </row>
    <row r="249" spans="1:6" ht="13">
      <c r="A249" s="35" t="s">
        <v>6541</v>
      </c>
      <c r="B249" s="246" t="s">
        <v>6543</v>
      </c>
      <c r="F249" s="246" t="s">
        <v>6541</v>
      </c>
    </row>
    <row r="250" spans="1:6" ht="13">
      <c r="A250" s="26" t="s">
        <v>6541</v>
      </c>
      <c r="B250" s="128" t="s">
        <v>6544</v>
      </c>
      <c r="F250" s="246" t="s">
        <v>6541</v>
      </c>
    </row>
    <row r="251" spans="1:6" ht="13">
      <c r="A251" s="35" t="s">
        <v>6541</v>
      </c>
      <c r="B251" s="246" t="s">
        <v>6545</v>
      </c>
      <c r="F251" s="246" t="s">
        <v>6541</v>
      </c>
    </row>
    <row r="252" spans="1:6" ht="13">
      <c r="A252" s="35" t="s">
        <v>6541</v>
      </c>
      <c r="B252" s="246" t="s">
        <v>6546</v>
      </c>
      <c r="F252" s="246" t="s">
        <v>6541</v>
      </c>
    </row>
    <row r="253" spans="1:6" ht="13">
      <c r="A253" s="26" t="s">
        <v>6541</v>
      </c>
      <c r="B253" s="128" t="s">
        <v>6547</v>
      </c>
      <c r="F253" s="246" t="s">
        <v>6541</v>
      </c>
    </row>
    <row r="254" spans="1:6" ht="13">
      <c r="A254" s="35" t="s">
        <v>6541</v>
      </c>
      <c r="B254" s="246" t="s">
        <v>6548</v>
      </c>
      <c r="F254" s="246" t="s">
        <v>6541</v>
      </c>
    </row>
    <row r="255" spans="1:6" ht="13">
      <c r="A255" s="35" t="s">
        <v>6541</v>
      </c>
      <c r="B255" s="246" t="s">
        <v>6549</v>
      </c>
      <c r="F255" s="246" t="s">
        <v>6541</v>
      </c>
    </row>
    <row r="256" spans="1:6" ht="13">
      <c r="A256" s="26" t="s">
        <v>6550</v>
      </c>
      <c r="B256" s="128" t="s">
        <v>6551</v>
      </c>
      <c r="F256" s="246" t="s">
        <v>6550</v>
      </c>
    </row>
    <row r="257" spans="1:6" ht="13">
      <c r="A257" s="35" t="s">
        <v>6552</v>
      </c>
      <c r="B257" s="246" t="s">
        <v>6553</v>
      </c>
      <c r="F257" s="246" t="s">
        <v>6552</v>
      </c>
    </row>
    <row r="258" spans="1:6" ht="13">
      <c r="A258" s="26" t="s">
        <v>6550</v>
      </c>
      <c r="B258" s="128" t="s">
        <v>6554</v>
      </c>
      <c r="F258" s="246" t="s">
        <v>6550</v>
      </c>
    </row>
    <row r="259" spans="1:6" ht="13">
      <c r="A259" s="26" t="s">
        <v>6550</v>
      </c>
      <c r="B259" s="128" t="s">
        <v>6509</v>
      </c>
      <c r="F259" s="246" t="s">
        <v>6550</v>
      </c>
    </row>
    <row r="260" spans="1:6" ht="13">
      <c r="A260" s="26" t="s">
        <v>6550</v>
      </c>
      <c r="B260" s="128" t="s">
        <v>6555</v>
      </c>
      <c r="F260" s="246" t="s">
        <v>6550</v>
      </c>
    </row>
    <row r="261" spans="1:6" ht="13">
      <c r="A261" s="35" t="s">
        <v>6556</v>
      </c>
      <c r="B261" s="246" t="s">
        <v>6557</v>
      </c>
      <c r="F261" s="246" t="s">
        <v>6556</v>
      </c>
    </row>
    <row r="262" spans="1:6" ht="13">
      <c r="A262" s="26" t="s">
        <v>6556</v>
      </c>
      <c r="B262" s="128" t="s">
        <v>6558</v>
      </c>
      <c r="F262" s="246" t="s">
        <v>6556</v>
      </c>
    </row>
    <row r="263" spans="1:6" ht="14.5">
      <c r="A263" s="69" t="s">
        <v>1633</v>
      </c>
      <c r="B263" s="69"/>
      <c r="F263" s="246" t="s">
        <v>1633</v>
      </c>
    </row>
    <row r="264" spans="1:6" ht="14.5">
      <c r="A264" s="69" t="s">
        <v>1633</v>
      </c>
      <c r="B264" s="69"/>
      <c r="F264" s="246" t="s">
        <v>1633</v>
      </c>
    </row>
    <row r="265" spans="1:6" ht="14.5">
      <c r="A265" s="69" t="s">
        <v>1642</v>
      </c>
      <c r="B265" s="69"/>
      <c r="F265" s="246" t="s">
        <v>1642</v>
      </c>
    </row>
    <row r="266" spans="1:6" ht="14.5">
      <c r="A266" s="69" t="s">
        <v>1648</v>
      </c>
      <c r="B266" s="69"/>
      <c r="F266" s="246" t="s">
        <v>1648</v>
      </c>
    </row>
    <row r="267" spans="1:6" ht="14.5">
      <c r="A267" s="69" t="s">
        <v>1633</v>
      </c>
      <c r="B267" s="69"/>
      <c r="F267" s="246" t="s">
        <v>1633</v>
      </c>
    </row>
    <row r="268" spans="1:6" ht="14.5">
      <c r="A268" s="69" t="s">
        <v>1648</v>
      </c>
      <c r="B268" s="69"/>
      <c r="F268" s="246" t="s">
        <v>1648</v>
      </c>
    </row>
    <row r="269" spans="1:6" ht="14.5">
      <c r="A269" s="69" t="s">
        <v>1664</v>
      </c>
      <c r="B269" s="69"/>
      <c r="F269" s="246" t="s">
        <v>1664</v>
      </c>
    </row>
    <row r="270" spans="1:6" ht="14.5">
      <c r="A270" s="203" t="s">
        <v>1664</v>
      </c>
      <c r="B270" s="203"/>
      <c r="F270" s="246" t="s">
        <v>1664</v>
      </c>
    </row>
    <row r="271" spans="1:6" ht="14.5">
      <c r="A271" s="69" t="s">
        <v>1664</v>
      </c>
      <c r="B271" s="69"/>
      <c r="F271" s="246" t="s">
        <v>1664</v>
      </c>
    </row>
    <row r="272" spans="1:6" ht="14.5">
      <c r="A272" s="203" t="s">
        <v>1664</v>
      </c>
      <c r="B272" s="203"/>
      <c r="F272" s="246" t="s">
        <v>1664</v>
      </c>
    </row>
    <row r="273" spans="1:6" ht="14.5">
      <c r="A273" s="203" t="s">
        <v>1682</v>
      </c>
      <c r="B273" s="203"/>
      <c r="F273" s="246" t="s">
        <v>1682</v>
      </c>
    </row>
    <row r="274" spans="1:6" ht="14.5">
      <c r="A274" s="203" t="s">
        <v>1682</v>
      </c>
      <c r="B274" s="203"/>
      <c r="F274" s="246" t="s">
        <v>1682</v>
      </c>
    </row>
    <row r="275" spans="1:6" ht="14.5">
      <c r="A275" s="203" t="s">
        <v>1682</v>
      </c>
      <c r="B275" s="203"/>
      <c r="F275" s="246" t="s">
        <v>1682</v>
      </c>
    </row>
    <row r="276" spans="1:6" ht="14.5">
      <c r="A276" s="69" t="s">
        <v>1664</v>
      </c>
      <c r="B276" s="69"/>
      <c r="F276" s="246" t="s">
        <v>1664</v>
      </c>
    </row>
    <row r="277" spans="1:6" ht="14.5">
      <c r="A277" s="203" t="s">
        <v>1664</v>
      </c>
      <c r="B277" s="203"/>
      <c r="F277" s="246" t="s">
        <v>1664</v>
      </c>
    </row>
    <row r="278" spans="1:6" ht="13">
      <c r="A278" s="35" t="s">
        <v>1664</v>
      </c>
      <c r="B278" s="246"/>
      <c r="F278" s="246" t="s">
        <v>1664</v>
      </c>
    </row>
    <row r="279" spans="1:6" ht="13">
      <c r="A279" s="26" t="s">
        <v>1633</v>
      </c>
      <c r="B279" s="128"/>
      <c r="F279" s="246" t="s">
        <v>1633</v>
      </c>
    </row>
    <row r="280" spans="1:6" ht="13">
      <c r="A280" s="26" t="s">
        <v>1710</v>
      </c>
      <c r="B280" s="128"/>
      <c r="F280" s="246" t="s">
        <v>1710</v>
      </c>
    </row>
    <row r="281" spans="1:6" ht="13">
      <c r="A281" s="26" t="s">
        <v>1710</v>
      </c>
      <c r="B281" s="128"/>
      <c r="F281" s="246" t="s">
        <v>1710</v>
      </c>
    </row>
    <row r="282" spans="1:6" ht="13">
      <c r="A282" s="26" t="s">
        <v>1710</v>
      </c>
      <c r="B282" s="128"/>
      <c r="F282" s="246" t="s">
        <v>1710</v>
      </c>
    </row>
    <row r="283" spans="1:6" ht="13">
      <c r="A283" s="26" t="s">
        <v>1710</v>
      </c>
      <c r="B283" s="128"/>
      <c r="F283" s="246" t="s">
        <v>1710</v>
      </c>
    </row>
    <row r="284" spans="1:6" ht="13">
      <c r="A284" s="26" t="s">
        <v>1710</v>
      </c>
      <c r="B284" s="128"/>
      <c r="F284" s="246" t="s">
        <v>1710</v>
      </c>
    </row>
    <row r="285" spans="1:6" ht="13">
      <c r="A285" s="26" t="s">
        <v>1728</v>
      </c>
      <c r="B285" s="128"/>
      <c r="F285" s="246" t="s">
        <v>1728</v>
      </c>
    </row>
    <row r="286" spans="1:6" ht="13">
      <c r="A286" s="26" t="s">
        <v>1728</v>
      </c>
      <c r="B286" s="128"/>
      <c r="F286" s="246" t="s">
        <v>1728</v>
      </c>
    </row>
    <row r="287" spans="1:6" ht="13">
      <c r="A287" s="26" t="s">
        <v>1728</v>
      </c>
      <c r="B287" s="128"/>
      <c r="F287" s="246" t="s">
        <v>1728</v>
      </c>
    </row>
    <row r="288" spans="1:6" ht="13">
      <c r="A288" s="26" t="s">
        <v>1728</v>
      </c>
      <c r="B288" s="128"/>
      <c r="F288" s="246" t="s">
        <v>1728</v>
      </c>
    </row>
    <row r="289" spans="1:6" ht="13">
      <c r="A289" s="26" t="s">
        <v>1728</v>
      </c>
      <c r="B289" s="128"/>
      <c r="F289" s="246" t="s">
        <v>1728</v>
      </c>
    </row>
    <row r="290" spans="1:6" ht="13">
      <c r="A290" s="26" t="s">
        <v>1749</v>
      </c>
      <c r="B290" s="128"/>
      <c r="F290" s="246" t="s">
        <v>1749</v>
      </c>
    </row>
    <row r="291" spans="1:6" ht="13">
      <c r="A291" s="26" t="s">
        <v>1749</v>
      </c>
      <c r="B291" s="128"/>
      <c r="F291" s="246" t="s">
        <v>1749</v>
      </c>
    </row>
    <row r="292" spans="1:6" ht="13">
      <c r="A292" s="26" t="s">
        <v>1749</v>
      </c>
      <c r="B292" s="128"/>
      <c r="F292" s="246" t="s">
        <v>1749</v>
      </c>
    </row>
    <row r="293" spans="1:6" ht="13">
      <c r="A293" s="26" t="s">
        <v>1749</v>
      </c>
      <c r="B293" s="128"/>
      <c r="F293" s="246" t="s">
        <v>1749</v>
      </c>
    </row>
    <row r="294" spans="1:6" ht="13">
      <c r="A294" s="26" t="s">
        <v>3162</v>
      </c>
      <c r="B294" s="128"/>
      <c r="F294" s="246" t="s">
        <v>3162</v>
      </c>
    </row>
    <row r="295" spans="1:6" ht="13">
      <c r="A295" s="26" t="s">
        <v>3162</v>
      </c>
      <c r="B295" s="128"/>
      <c r="F295" s="246" t="s">
        <v>3162</v>
      </c>
    </row>
    <row r="296" spans="1:6" ht="13">
      <c r="A296" s="26" t="s">
        <v>3162</v>
      </c>
      <c r="B296" s="128"/>
      <c r="F296" s="246" t="s">
        <v>3162</v>
      </c>
    </row>
    <row r="297" spans="1:6" ht="13">
      <c r="A297" s="26" t="s">
        <v>3162</v>
      </c>
      <c r="B297" s="128"/>
      <c r="F297" s="246" t="s">
        <v>3162</v>
      </c>
    </row>
    <row r="298" spans="1:6" ht="13">
      <c r="A298" s="26" t="s">
        <v>3162</v>
      </c>
      <c r="B298" s="128"/>
      <c r="F298" s="246" t="s">
        <v>3162</v>
      </c>
    </row>
    <row r="299" spans="1:6" ht="13">
      <c r="A299" s="35" t="s">
        <v>1790</v>
      </c>
      <c r="B299" s="246"/>
      <c r="F299" s="246" t="s">
        <v>1790</v>
      </c>
    </row>
    <row r="300" spans="1:6" ht="13">
      <c r="A300" s="35" t="s">
        <v>1790</v>
      </c>
      <c r="B300" s="246"/>
      <c r="F300" s="246" t="s">
        <v>1790</v>
      </c>
    </row>
    <row r="301" spans="1:6" ht="13">
      <c r="A301" s="35" t="s">
        <v>1790</v>
      </c>
      <c r="B301" s="246"/>
      <c r="F301" s="246" t="s">
        <v>1790</v>
      </c>
    </row>
    <row r="302" spans="1:6" ht="13">
      <c r="A302" s="35" t="s">
        <v>1790</v>
      </c>
      <c r="B302" s="246"/>
      <c r="F302" s="246" t="s">
        <v>1790</v>
      </c>
    </row>
    <row r="303" spans="1:6" ht="13">
      <c r="A303" s="35" t="s">
        <v>1790</v>
      </c>
      <c r="B303" s="246"/>
      <c r="F303" s="246" t="s">
        <v>1790</v>
      </c>
    </row>
    <row r="304" spans="1:6" ht="13">
      <c r="A304" s="26" t="s">
        <v>1036</v>
      </c>
      <c r="B304" s="128"/>
      <c r="F304" s="246" t="s">
        <v>1036</v>
      </c>
    </row>
    <row r="305" spans="1:6" ht="13">
      <c r="A305" s="26" t="s">
        <v>1819</v>
      </c>
      <c r="B305" s="128"/>
      <c r="F305" s="246" t="s">
        <v>1819</v>
      </c>
    </row>
    <row r="306" spans="1:6" ht="13">
      <c r="A306" s="26" t="s">
        <v>1819</v>
      </c>
      <c r="B306" s="128"/>
      <c r="F306" s="246" t="s">
        <v>1819</v>
      </c>
    </row>
    <row r="307" spans="1:6" ht="13">
      <c r="A307" s="26" t="s">
        <v>986</v>
      </c>
      <c r="B307" s="128"/>
      <c r="F307" s="246" t="s">
        <v>986</v>
      </c>
    </row>
    <row r="308" spans="1:6" ht="13">
      <c r="A308" s="35" t="s">
        <v>324</v>
      </c>
      <c r="B308" s="246"/>
      <c r="F308" s="246" t="s">
        <v>324</v>
      </c>
    </row>
    <row r="309" spans="1:6" ht="13">
      <c r="A309" s="35" t="s">
        <v>924</v>
      </c>
      <c r="B309" s="246"/>
      <c r="F309" s="246" t="s">
        <v>924</v>
      </c>
    </row>
    <row r="310" spans="1:6" ht="13">
      <c r="A310" s="26" t="s">
        <v>924</v>
      </c>
      <c r="B310" s="128"/>
      <c r="F310" s="246" t="s">
        <v>924</v>
      </c>
    </row>
    <row r="311" spans="1:6" ht="13">
      <c r="A311" s="35" t="s">
        <v>301</v>
      </c>
      <c r="B311" s="246"/>
      <c r="F311" s="246" t="s">
        <v>301</v>
      </c>
    </row>
    <row r="312" spans="1:6" ht="13">
      <c r="A312" s="35" t="s">
        <v>301</v>
      </c>
      <c r="B312" s="246"/>
      <c r="F312" s="246" t="s">
        <v>301</v>
      </c>
    </row>
    <row r="313" spans="1:6" ht="13">
      <c r="A313" s="35" t="s">
        <v>924</v>
      </c>
      <c r="B313" s="246"/>
      <c r="F313" s="246" t="s">
        <v>924</v>
      </c>
    </row>
    <row r="314" spans="1:6" ht="13">
      <c r="A314" s="35" t="s">
        <v>301</v>
      </c>
      <c r="B314" s="246"/>
      <c r="F314" s="246" t="s">
        <v>301</v>
      </c>
    </row>
    <row r="315" spans="1:6" ht="13">
      <c r="A315" s="35" t="s">
        <v>1819</v>
      </c>
      <c r="B315" s="246"/>
      <c r="F315" s="246" t="s">
        <v>1819</v>
      </c>
    </row>
    <row r="316" spans="1:6" ht="13">
      <c r="A316" s="26" t="s">
        <v>154</v>
      </c>
      <c r="B316" s="128"/>
      <c r="F316" s="246" t="s">
        <v>154</v>
      </c>
    </row>
    <row r="317" spans="1:6" ht="13">
      <c r="A317" s="26" t="s">
        <v>1438</v>
      </c>
      <c r="B317" s="128"/>
      <c r="F317" s="246" t="s">
        <v>1438</v>
      </c>
    </row>
    <row r="318" spans="1:6" ht="13">
      <c r="A318" s="26" t="s">
        <v>154</v>
      </c>
      <c r="B318" s="128"/>
      <c r="F318" s="246" t="s">
        <v>154</v>
      </c>
    </row>
    <row r="319" spans="1:6" ht="13">
      <c r="A319" s="35" t="s">
        <v>1888</v>
      </c>
      <c r="B319" s="246"/>
      <c r="F319" s="246" t="s">
        <v>1888</v>
      </c>
    </row>
    <row r="320" spans="1:6" ht="13">
      <c r="A320" s="35" t="s">
        <v>145</v>
      </c>
      <c r="B320" s="246"/>
      <c r="F320" s="246" t="s">
        <v>145</v>
      </c>
    </row>
    <row r="321" spans="1:6" ht="13">
      <c r="A321" s="31" t="s">
        <v>1338</v>
      </c>
      <c r="B321" s="247"/>
      <c r="F321" s="246" t="s">
        <v>1338</v>
      </c>
    </row>
    <row r="322" spans="1:6" ht="13">
      <c r="A322" s="31" t="s">
        <v>1523</v>
      </c>
      <c r="B322" s="247"/>
      <c r="F322" s="246" t="s">
        <v>1523</v>
      </c>
    </row>
    <row r="323" spans="1:6" ht="14.5">
      <c r="A323" s="69" t="s">
        <v>154</v>
      </c>
      <c r="B323" s="69"/>
      <c r="F323" s="246" t="s">
        <v>154</v>
      </c>
    </row>
  </sheetData>
  <phoneticPr fontId="85" type="noConversion"/>
  <hyperlinks>
    <hyperlink ref="A2" r:id="rId1" xr:uid="{95C130B6-8A15-4EB6-A5A8-100F44FE6499}"/>
    <hyperlink ref="E2" r:id="rId2" display="https://www.iqiyi.com/v_2993z2f1klc.html" xr:uid="{FB6DFF45-E974-4A03-9764-3D1AA5A591CC}"/>
    <hyperlink ref="A3" r:id="rId3" xr:uid="{1E0E46BB-E1BE-468F-AB6C-6AF957BF5FDB}"/>
    <hyperlink ref="E3" r:id="rId4" display="https://www.iqiyi.com/v_lmhkxrqwlk.html" xr:uid="{590F4A9B-765C-4E03-913F-2B0A77C9BC25}"/>
    <hyperlink ref="G3" r:id="rId5" display="http://www.iqiyi.com/v_13zv6vx492s.html" xr:uid="{6387D6CD-B874-46A9-97A4-6F09C6B0FE63}"/>
    <hyperlink ref="A4" r:id="rId6" xr:uid="{F3D09E93-7CA2-41C9-9F8A-831A510AB96F}"/>
    <hyperlink ref="E4" r:id="rId7" display="https://www.iqiyi.com/v_fnv2jl6aqc.html" xr:uid="{7CB4531F-291A-48C5-8761-B1751397B012}"/>
    <hyperlink ref="G4" r:id="rId8" display="http://www.iqiyi.com/v_14006zhf2uo.html" xr:uid="{F88EB618-8D7A-4C2D-A731-EA8C6E491924}"/>
    <hyperlink ref="A5" r:id="rId9" xr:uid="{BB504A84-9747-42A2-9CB3-FAC1E7BAF256}"/>
    <hyperlink ref="E5" r:id="rId10" display="https://www.iqiyi.com/v_2bx0gdxkbbo.html" xr:uid="{DA6FED79-8B9C-4A0F-853A-C4E8FA0F7C22}"/>
    <hyperlink ref="G5" r:id="rId11" display="http://www.iqiyi.com/v_17b2rc6qcw0.html" xr:uid="{C10D844D-D0ED-4FDD-9B0E-5965093E1971}"/>
    <hyperlink ref="A6" r:id="rId12" xr:uid="{AAFCF877-24C5-4C27-BD37-A31F887027DC}"/>
    <hyperlink ref="E6" r:id="rId13" display="https://www.iqiyi.com/v_1u0x3rzzbjs.html" xr:uid="{1D47B219-86FF-4E8A-B8B9-E3CEA09651CC}"/>
    <hyperlink ref="G6" r:id="rId14" display="http://www.iqiyi.com/v_17l6d2qrdv0.html" xr:uid="{4BF08DDD-A306-4C0B-9E43-27CCDB5FE539}"/>
    <hyperlink ref="A7" r:id="rId15" xr:uid="{DDCDF563-2B2A-4233-85B6-6BA0BD81B7C3}"/>
    <hyperlink ref="E7" r:id="rId16" display="https://www.iqiyi.com/v_g1ofle6l90.html" xr:uid="{248BAB01-0675-4D29-AAC7-7014893512C6}"/>
    <hyperlink ref="G7" r:id="rId17" display="http://www.iqiyi.com/v_1c7atnuhsr4.html" xr:uid="{74135ED0-A67C-418C-9BCE-D8DCC85D9BAF}"/>
    <hyperlink ref="A8" r:id="rId18" xr:uid="{5803B556-9181-41C1-AF0F-808E9CEA7382}"/>
    <hyperlink ref="E8" r:id="rId19" display="https://www.iqiyi.com/v_1s40j847frg.html" xr:uid="{AF4DBBE0-EF07-491B-A4C7-1CA3E2F34B5A}"/>
    <hyperlink ref="G8" r:id="rId20" display="http://www.iqiyi.com/v_1qc2dhhf17c.html" xr:uid="{E49D0A7B-8197-47C2-9EED-EBAD552EE009}"/>
    <hyperlink ref="A9" r:id="rId21" xr:uid="{77A910A9-B5D8-4593-A605-091421A3B5D1}"/>
    <hyperlink ref="E9" r:id="rId22" display="https://www.iqiyi.com/v_1smrdalxvck.html" xr:uid="{2B28398C-BEE1-4F1E-B064-472E96FFC7EC}"/>
    <hyperlink ref="G9" r:id="rId23" display="http://www.iqiyi.com/v_1u0x3rzzbjs.html" xr:uid="{2A71EA44-1CF0-46B1-85C6-A5A58558F0D5}"/>
    <hyperlink ref="A10" r:id="rId24" xr:uid="{A9D0EDAA-C8E7-4B8D-9393-5391E38030D0}"/>
    <hyperlink ref="E10" r:id="rId25" display="https://www.iqiyi.com/v_1p6eeku8olw.html" xr:uid="{8E79031B-119E-499C-9BF6-464FF397FB3D}"/>
    <hyperlink ref="G10" r:id="rId26" display="http://www.iqiyi.com/v_2bufryvc36k.html" xr:uid="{B0EDDAC7-4CC1-4797-92C9-11ED3A86A464}"/>
    <hyperlink ref="A11" r:id="rId27" xr:uid="{628EA787-25EF-436C-ADFB-60F9F4C4BC03}"/>
    <hyperlink ref="E11" r:id="rId28" display="https://www.iqiyi.com/v_28ir6fn3f9w.html" xr:uid="{A0161BB0-2692-4621-A02B-785778CA52F2}"/>
    <hyperlink ref="G11" r:id="rId29" display="http://www.iqiyi.com/v_2docnt7jyw8.html" xr:uid="{BE508729-FA0B-4FB7-B7FB-4921B35C8CC7}"/>
    <hyperlink ref="A12" r:id="rId30" xr:uid="{8AA06179-776C-4296-BEB1-928922EFA0AA}"/>
    <hyperlink ref="E12" r:id="rId31" display="https://www.iqiyi.com/v_2bvr40ahqls.html" xr:uid="{31CF29D3-B833-4F3F-BFBB-1B2CBD15A355}"/>
    <hyperlink ref="G12" r:id="rId32" display="http://www.iqiyi.com/v_2fb1s6tz13k.html" xr:uid="{5C1403B2-2E45-47DF-9928-03AD96E1806B}"/>
    <hyperlink ref="A13" r:id="rId33" xr:uid="{A0E71888-5217-496A-8BBC-A54F8CB6A449}"/>
    <hyperlink ref="E13" r:id="rId34" display="https://www.iqiyi.com/v_17l6d2qrdv0.html" xr:uid="{CF4FD846-D9F5-4046-8D1D-A6CFB7D9E39F}"/>
    <hyperlink ref="G13" r:id="rId35" display="http://www.iqiyi.com/v_fnv2jl6aqc.html" xr:uid="{E8A1E104-79A1-4D39-8BD6-E0C6A9750ADE}"/>
    <hyperlink ref="A14" r:id="rId36" xr:uid="{077412F9-317B-4E43-AC38-B2C77F02D261}"/>
    <hyperlink ref="E14" r:id="rId37" display="https://www.iqiyi.com/v_uscurycmg8.html" xr:uid="{BA29C5D1-ACF9-4C08-AE5D-89B0B7BDC1E6}"/>
    <hyperlink ref="G14" r:id="rId38" display="http://www.iqiyi.com/v_lmhkxrqwlk.html" xr:uid="{80CE8D30-6925-4911-A72B-65143A093626}"/>
    <hyperlink ref="A15" r:id="rId39" xr:uid="{D23E8F1C-3416-4045-9DE7-43911F98C04F}"/>
    <hyperlink ref="E15" r:id="rId40" display="https://www.iqiyi.com/v_2b7dt657dgg.html" xr:uid="{8DC73E70-1ED8-46E7-9BBD-808446F592D8}"/>
    <hyperlink ref="G15" r:id="rId41" display="http://www.iqiyi.com/v_uscurycmg8.html" xr:uid="{94368317-8F78-4586-ABC8-7017A9CB7C60}"/>
    <hyperlink ref="A16" r:id="rId42" xr:uid="{78F9B935-FDEE-4864-AFFB-E3579933D0F9}"/>
    <hyperlink ref="E16" r:id="rId43" display="https://www.iqiyi.com/v_1rshytn0qmw.html" xr:uid="{370E29D1-5EEC-42DC-B31C-3F67B56289F6}"/>
    <hyperlink ref="G16" r:id="rId44" display="https://www.iqiyi.com/v_105jzk25f38.html" xr:uid="{FF3C6495-7714-433C-B6DD-9EC03B23977B}"/>
    <hyperlink ref="A17" r:id="rId45" xr:uid="{74E5DF83-9A88-4189-A4E4-2105EDC75CE5}"/>
    <hyperlink ref="E17" r:id="rId46" display="https://www.iqiyi.com/v_bq95qmvkj0.html" xr:uid="{F7090846-ABED-47B4-93C2-F00920EFFF5C}"/>
    <hyperlink ref="G17" r:id="rId47" display="https://www.iqiyi.com/v_109ugarkbks.html" xr:uid="{AA0C89C0-C975-438C-91ED-6FCF02063E7F}"/>
    <hyperlink ref="A18" r:id="rId48" xr:uid="{577B0C70-9FDF-4F6C-AD6F-26BDD4A65CC5}"/>
    <hyperlink ref="E18" r:id="rId49" display="http://www.iqiyi.com/v_fnv2jl6aqc.html?share_sTime=144" xr:uid="{1C95D3C4-FDFF-44A4-B8A6-0088B7EFCE01}"/>
    <hyperlink ref="G18" r:id="rId50" display="https://www.iqiyi.com/v_174uz7e1yl0.html" xr:uid="{19829DE2-7555-4578-B2AA-D45D6E77A7E5}"/>
    <hyperlink ref="A19" r:id="rId51" xr:uid="{068F0B4C-82C4-409D-8851-07C7DC85C8FD}"/>
    <hyperlink ref="E19" r:id="rId52" display="http://www.iqiyi.com/v_1u0x3rzzbjs.html?share_sTime=187" xr:uid="{AC9C86CE-6783-49D5-B267-A9241182A425}"/>
    <hyperlink ref="G19" r:id="rId53" display="https://www.iqiyi.com/v_17b2rc6qcw0.html" xr:uid="{753703CF-F6A3-4DB0-A23B-BD5DD800909A}"/>
    <hyperlink ref="A20" r:id="rId54" xr:uid="{FC6B3F7A-7233-47EA-B194-00A56EE4368D}"/>
    <hyperlink ref="E20" r:id="rId55" display="http://www.iqiyi.com/v_1u0x3rzzbjs.html?share_sTime=199" xr:uid="{4C7C230A-8E1F-4DFB-8233-4C94FCFA2C02}"/>
    <hyperlink ref="G20" r:id="rId56" display="https://www.iqiyi.com/v_17k557yo4hc.html" xr:uid="{2A9A4288-6F63-4C6E-A712-D0C8A3920B52}"/>
    <hyperlink ref="A21" r:id="rId57" xr:uid="{B9EB76C8-10EE-4C69-9440-2789D7CC1F62}"/>
    <hyperlink ref="E21" r:id="rId58" display="http://www.iqiyi.com/v_1u0x3rzzbjs.html?share_sTime=223" xr:uid="{F714B9B2-C170-4F13-B761-27FF8B20CA02}"/>
    <hyperlink ref="G21" r:id="rId59" display="https://www.iqiyi.com/v_17l6d2qrdv0.html" xr:uid="{4C432939-EAA1-4F63-94C8-0EAAD21FD1A5}"/>
    <hyperlink ref="A22" r:id="rId60" xr:uid="{1A9E010A-76B6-4388-BEA3-63339292EFEE}"/>
    <hyperlink ref="E22" r:id="rId61" display="http://www.iqiyi.com/v_1u0x3rzzbjs.html?share_sTime=306" xr:uid="{30A68261-949C-4595-8106-124829F71DAF}"/>
    <hyperlink ref="G22" r:id="rId62" display="https://www.iqiyi.com/v_19qcoi3tjz0.html" xr:uid="{840C5B37-A485-4A01-B784-2E5889D8FDD6}"/>
    <hyperlink ref="A23" r:id="rId63" xr:uid="{C3282DCE-BE93-4762-B24B-A9F6A1BBAD89}"/>
    <hyperlink ref="E23" r:id="rId64" display="http://www.iqiyi.com/v_105jzk25f38.html?share_sTime=28" xr:uid="{0FEA4193-8E3F-426E-BD65-76936AF574F5}"/>
    <hyperlink ref="G23" r:id="rId65" display="https://www.iqiyi.com/v_1d74ab1jfsk.html" xr:uid="{ED42A35D-08D9-4B41-B96D-F0E87A67D04C}"/>
    <hyperlink ref="A24" r:id="rId66" xr:uid="{E5D3C175-6FB9-4B65-92DE-C859F8F638CD}"/>
    <hyperlink ref="E24" r:id="rId67" display="http://www.iqiyi.com/v_105jzk25f38.html?share_sTime=73" xr:uid="{A0C7B7A9-70A2-4A44-B376-389B04F0550F}"/>
    <hyperlink ref="G24" r:id="rId68" display="https://www.iqiyi.com/v_1deqcff9qko.html" xr:uid="{BA658733-4AC0-4B74-ACC3-5E4264C0D1F0}"/>
    <hyperlink ref="A25" r:id="rId69" xr:uid="{A7C3262F-BD62-409A-97FE-38552D3163D7}"/>
    <hyperlink ref="E25" r:id="rId70" display="http://www.iqiyi.com/v_105jzk25f38.html?share_sTime=98" xr:uid="{841495C7-092B-4860-9B92-82C824A129A4}"/>
    <hyperlink ref="G25" r:id="rId71" display="https://www.iqiyi.com/v_1dz6udux11w.html" xr:uid="{C9C9A01D-CC41-45F5-9A62-709B5B45CC29}"/>
    <hyperlink ref="A26" r:id="rId72" xr:uid="{DA5A6BB5-4305-49FC-94C1-34C5F3E65780}"/>
    <hyperlink ref="E26" r:id="rId73" display="http://www.iqiyi.com/v_105jzk25f38.html?share_sTime=213" xr:uid="{028D8A26-CA6B-4DEE-8ED6-E0C8136A0BFD}"/>
    <hyperlink ref="G26" r:id="rId74" display="https://www.iqiyi.com/v_1i727m0zp2g.html" xr:uid="{EAA6E296-631C-4031-9244-59832BC2A99A}"/>
    <hyperlink ref="A27" r:id="rId75" xr:uid="{C00A6190-8837-4DB1-B9E2-D0DC6938C411}"/>
    <hyperlink ref="E27" r:id="rId76" display="http://www.iqiyi.com/v_105jzk25f38.html?share_sTime=252" xr:uid="{6725124F-F4E3-4CE7-BD9F-F3067FC2C35F}"/>
    <hyperlink ref="G27" r:id="rId77" display="https://www.iqiyi.com/v_1jvbmagcje4.html" xr:uid="{DF576287-0272-4F45-8494-51BE75F13D8B}"/>
    <hyperlink ref="A28" r:id="rId78" xr:uid="{6C8552EE-5F3E-49DC-B570-6452C58281D6}"/>
    <hyperlink ref="E28" r:id="rId79" display="https://www.iqiyi.com/v_1yt8bhslu38.html" xr:uid="{B3E39F64-335B-45FF-A926-89F3171E2DA2}"/>
    <hyperlink ref="G28" r:id="rId80" display="https://www.iqiyi.com/v_1kzf2cy2qq4.html" xr:uid="{B0ADEC17-565C-4DA6-89AE-225195B4C8AB}"/>
    <hyperlink ref="A29" r:id="rId81" xr:uid="{708F27B4-8341-451D-8C36-92331978A42A}"/>
    <hyperlink ref="E29" r:id="rId82" display="https://www.iqiyi.com/v_19qcoi3tjz0.html" xr:uid="{9B2D6348-9DA5-4837-A51B-C28B42E6168D}"/>
    <hyperlink ref="G29" r:id="rId83" display="https://www.iqiyi.com/v_1ni7svvsz98.html" xr:uid="{23944926-63C5-4218-A915-CE4F88CB9D20}"/>
    <hyperlink ref="A30" r:id="rId84" xr:uid="{DD64D9F8-CB9B-419D-B353-2FC330D99FB6}"/>
    <hyperlink ref="E30" r:id="rId85" display="https://www.iqiyi.com/v_1dz6udux11w.html" xr:uid="{A44EA6FF-64B4-4CCC-ACE7-E72C55AA4B2B}"/>
    <hyperlink ref="G30" r:id="rId86" display="https://www.iqiyi.com/v_1p6eeku8olw.html" xr:uid="{31E1BA39-BB43-4582-8DFF-D8F5B17AC520}"/>
    <hyperlink ref="A31" r:id="rId87" xr:uid="{EB2E5EED-9F3C-4401-96CA-55FBDAB0EDD5}"/>
    <hyperlink ref="E31" r:id="rId88" display="https://www.iqiyi.com/v_msxfx2099w.html" xr:uid="{496CA6C7-ED24-4DDB-BC02-6D278EA923F8}"/>
    <hyperlink ref="G31" r:id="rId89" display="https://www.iqiyi.com/v_1qc2dhhf4rc.html" xr:uid="{C8872522-90F6-4C0D-A869-8C8F3B5E8FF1}"/>
    <hyperlink ref="A32" r:id="rId90" xr:uid="{E30A3045-CA2B-4AAA-94D1-827830B940AA}"/>
    <hyperlink ref="E32" r:id="rId91" display="https://www.iqiyi.com/v_hbk4n4wja8.html" xr:uid="{D148E5E9-BA10-4705-BE37-7CE025799379}"/>
    <hyperlink ref="G32" r:id="rId92" display="https://www.iqiyi.com/v_1rshytn0qmw.html" xr:uid="{7B87BA61-8048-4503-8CD9-AFE10BE67C73}"/>
    <hyperlink ref="A33" r:id="rId93" xr:uid="{5ADE1BDD-CA57-4F2E-A5D8-53BFBAD325F7}"/>
    <hyperlink ref="E33" r:id="rId94" display="https://www.iqiyi.com/v_1yt8bhslu38.html" xr:uid="{3CC78FEA-512E-4DFC-9778-B046C91D23F2}"/>
    <hyperlink ref="G33" r:id="rId95" display="https://www.iqiyi.com/v_1s40j847frg.html" xr:uid="{920F5948-78AE-4DC4-9ECD-489BFDD11FB6}"/>
    <hyperlink ref="A34" r:id="rId96" xr:uid="{42487871-37E4-4EF6-A9A9-768DE6AF3C4D}"/>
    <hyperlink ref="E34" r:id="rId97" display="https://www.iqiyi.com/v_1i727m0zp2g.html" xr:uid="{FC21B052-11ED-4161-B70A-1FA8A9F3F1AF}"/>
    <hyperlink ref="G34" r:id="rId98" display="https://www.iqiyi.com/v_1smrdalxvck.html" xr:uid="{03A9452B-4BD7-4043-8296-9C6BAA897802}"/>
    <hyperlink ref="A35" r:id="rId99" xr:uid="{62C6FA63-7711-457D-877F-02BD818E1A75}"/>
    <hyperlink ref="E35" r:id="rId100" display="https://www.iqiyi.com/v_hbk4n4wja8.html" xr:uid="{36E1C429-30FA-46B9-BFA4-1B2D5DB45728}"/>
    <hyperlink ref="G35" r:id="rId101" display="https://www.iqiyi.com/v_1tiq2wkvjj8.html" xr:uid="{7D110777-27A3-4525-A7B7-49621848E84D}"/>
    <hyperlink ref="A36" r:id="rId102" xr:uid="{521F1952-37D5-4B31-9988-AB70EDC3EC76}"/>
    <hyperlink ref="E36" r:id="rId103" display="https://www.iqiyi.com/v_1i727m0zp2g.html" xr:uid="{9C6619D2-40D7-4ABE-91C3-0CACAEFB9F94}"/>
    <hyperlink ref="G36" r:id="rId104" display="https://www.iqiyi.com/v_1u0x3rzzbjs.html" xr:uid="{45AE98AD-CF8C-4785-87C3-D6E8C552502F}"/>
    <hyperlink ref="A37" r:id="rId105" xr:uid="{315FEAEA-5315-4BD8-A4ED-E0604D15599F}"/>
    <hyperlink ref="E37" r:id="rId106" display="https://www.iqiyi.com/v_22oj3vcj014.html" xr:uid="{4E574B09-AE8C-42C7-8F92-4F51498BEAA1}"/>
    <hyperlink ref="G37" r:id="rId107" display="https://www.iqiyi.com/v_1y4efpjcbog.html" xr:uid="{D36CE481-02CD-471B-8C9D-C0A833FD8FCF}"/>
    <hyperlink ref="A38" r:id="rId108" xr:uid="{95873A31-5753-46D6-AB80-423BF928D546}"/>
    <hyperlink ref="E38" r:id="rId109" display="http://www.iqiyi.com/v_lmhkxrqwlk.html?share_sTime=394" xr:uid="{E8EAFEB0-A601-4DD0-B9C2-575D4BD21314}"/>
    <hyperlink ref="G38" r:id="rId110" display="https://www.iqiyi.com/v_1ymadtms6ww.html" xr:uid="{64FFC9C7-5C50-4CD9-8011-9803D2CA9A54}"/>
    <hyperlink ref="A39" r:id="rId111" xr:uid="{43F9DDC6-ABE5-42DE-9DF9-48CBE066A06B}"/>
    <hyperlink ref="E39" r:id="rId112" display="http://www.iqiyi.com/v_lmhkxrqwlk.html?share_sTime=436" xr:uid="{B004165F-126D-4769-B685-4B5C38555B1D}"/>
    <hyperlink ref="G39" r:id="rId113" display="https://www.iqiyi.com/v_1yt8bhslu38.html" xr:uid="{A79EC8BD-8614-43D1-975F-C7398A506A25}"/>
    <hyperlink ref="A40" r:id="rId114" xr:uid="{7ACA7E82-4BF2-4BC4-A438-E599123176DE}"/>
    <hyperlink ref="E40" r:id="rId115" display="http://www.iqiyi.com/v_2bufryvc36k.html?share_sTime=98" xr:uid="{76360ACD-DACD-4783-9F9F-6F20BC30BB41}"/>
    <hyperlink ref="G40" r:id="rId116" display="https://www.iqiyi.com/v_1zj8zpc1uug.html" xr:uid="{4C8890CA-79A9-4B60-A9D2-DE99E7982F72}"/>
    <hyperlink ref="A41" r:id="rId117" xr:uid="{1DCED2CE-7386-4E1F-9E78-D73272EDB739}"/>
    <hyperlink ref="E41" r:id="rId118" display="http://www.iqiyi.com/v_2bufryvc36k.html?share_sTime=160" xr:uid="{0323F9A7-06B4-412B-AB62-C34FBFC875AB}"/>
    <hyperlink ref="G41" r:id="rId119" display="https://www.iqiyi.com/v_22oj3vcj014.html" xr:uid="{600F91BB-39EB-45C4-BF35-44A28911C249}"/>
    <hyperlink ref="A42" r:id="rId120" xr:uid="{7026B31D-749D-4C3D-BAC8-8AB528582E9E}"/>
    <hyperlink ref="E42" r:id="rId121" display="http://www.iqiyi.com/v_2bufryvc36k.html?share_sTime=266" xr:uid="{6C0D972F-C6AD-481C-B2A6-92F988CF399B}"/>
    <hyperlink ref="G42" r:id="rId122" display="https://www.iqiyi.com/v_23ytugssa8c.html" xr:uid="{91973375-BBA9-4777-9F36-1598B9711803}"/>
    <hyperlink ref="A43" r:id="rId123" xr:uid="{7FA0B2A1-A305-46BE-B7F6-58A7FAE288E1}"/>
    <hyperlink ref="E43" r:id="rId124" display="http://www.iqiyi.com/v_2bufryvc36k.html?share_sTime=361" xr:uid="{936E8604-0E6D-46E6-8117-6B11E62734E4}"/>
    <hyperlink ref="G43" r:id="rId125" display="https://www.iqiyi.com/v_26obq94b7l4.html" xr:uid="{238192E1-D62D-41FC-917B-E0D71CF72585}"/>
    <hyperlink ref="A44" r:id="rId126" xr:uid="{399B0AC4-2C04-4BAA-9DC1-A84CF65A009B}"/>
    <hyperlink ref="E44" r:id="rId127" display="http://www.iqiyi.com/v_1c7atnuhsr4.html?share_sTime=435" xr:uid="{105F9BEA-9D9F-4D4F-911D-7E3C6C193052}"/>
    <hyperlink ref="G44" r:id="rId128" display="https://www.iqiyi.com/v_28ir6fn3f9w.html" xr:uid="{19623888-B4E6-4D57-B517-00BAA8CA8A72}"/>
    <hyperlink ref="A45" r:id="rId129" xr:uid="{4AFB89A1-1524-418E-B4D8-B1B11E46C67A}"/>
    <hyperlink ref="E45" r:id="rId130" display="http://www.iqiyi.com/v_1c7atnuhsr4.html?share_sTime=595" xr:uid="{9F9073AE-F547-4CE8-B8AA-89D4FA03A959}"/>
    <hyperlink ref="G45" r:id="rId131" display="https://www.iqiyi.com/v_2993z2f1klc.html" xr:uid="{445CC048-67E0-4FC3-95F2-EF465D8E2D67}"/>
    <hyperlink ref="A46" r:id="rId132" xr:uid="{B1BB773C-17F4-487D-930F-698AE6F364C7}"/>
    <hyperlink ref="E46" r:id="rId133" display="https://www.iqiyi.com/v_1y4efpjcbog.html" xr:uid="{638A2667-F430-4C4F-9B4A-5FA2B838CD7F}"/>
    <hyperlink ref="G46" r:id="rId134" display="https://www.iqiyi.com/v_2b3kfhfd7fo.html" xr:uid="{4107953D-2587-4D43-B256-792BA913B307}"/>
    <hyperlink ref="A47" r:id="rId135" xr:uid="{CE7F6416-7647-410D-9B1D-7224A408257B}"/>
    <hyperlink ref="E47" r:id="rId136" display="https://www.iqiyi.com/v_22oj3vcj014.html" xr:uid="{34CA2B89-E258-4E59-9456-A7414CE2370E}"/>
    <hyperlink ref="G47" r:id="rId137" display="https://www.iqiyi.com/v_2b7dt657dgg.html" xr:uid="{276C345F-43D2-4D3B-997F-38E82680D64A}"/>
    <hyperlink ref="A48" r:id="rId138" xr:uid="{B0C03DF5-953A-4DED-8DCE-93959E162C54}"/>
    <hyperlink ref="E48" r:id="rId139" display="https://www.iqiyi.com/v_1zj8zpc1uug.html" xr:uid="{BB9AC6D5-A029-440F-8F91-E81F70D0CFE8}"/>
    <hyperlink ref="G48" r:id="rId140" display="https://www.iqiyi.com/v_2bufryvc36k.html" xr:uid="{80012C65-336A-48E8-A249-E0973D1BF5D5}"/>
    <hyperlink ref="A49" r:id="rId141" xr:uid="{10341500-4BE1-4E40-823F-402D802850CC}"/>
    <hyperlink ref="E49" r:id="rId142" display="https://www.iqiyi.com/v_1qc2dhhf4rc.html" xr:uid="{DBA4CF90-2193-4D57-82E7-6E845D5FB730}"/>
    <hyperlink ref="G49" r:id="rId143" display="https://www.iqiyi.com/v_2bvr40ahqls.html" xr:uid="{C600EC3B-121F-4A4D-BC63-061F567BA9EB}"/>
    <hyperlink ref="A50" r:id="rId144" xr:uid="{300AEE87-E712-4CC6-B47F-DDFAF3986232}"/>
    <hyperlink ref="E50" r:id="rId145" display="http://www.iqiyi.com/v_2docnt7jyw8.html?share_sTime=299" xr:uid="{C75FA418-FA34-4089-9D42-510E498EFCB3}"/>
    <hyperlink ref="G50" r:id="rId146" display="https://www.iqiyi.com/v_2bx0gdxkbbo.html" xr:uid="{543703B6-836A-4935-A8F0-4741FBC27478}"/>
    <hyperlink ref="A51" r:id="rId147" xr:uid="{B94F0017-43F0-45A2-8B26-BE1F1BCA092E}"/>
    <hyperlink ref="E51" r:id="rId148" display="http://www.iqiyi.com/v_2docnt7jyw8.html?share_sTime=311" xr:uid="{156A8E9A-915F-4302-8834-695CFBE042C6}"/>
    <hyperlink ref="G51" r:id="rId149" display="https://www.iqiyi.com/v_2bx0gdxkbbo.htmll" xr:uid="{7928660F-A65A-4129-9F02-228B87121BDE}"/>
    <hyperlink ref="A52" r:id="rId150" xr:uid="{525723EB-63A4-4C29-A27C-BF9DD46D5AD9}"/>
    <hyperlink ref="E52" r:id="rId151" display="http://www.iqiyi.com/v_2docnt7jyw8.html?share_sTime=440" xr:uid="{BFDE11E3-5171-4A2B-9ECE-F64641F86355}"/>
    <hyperlink ref="G52" r:id="rId152" display="https://www.iqiyi.com/v_2c66zp7rcp0.html" xr:uid="{E17F7990-1020-485B-8567-CA826FA2B3C7}"/>
    <hyperlink ref="A53" r:id="rId153" xr:uid="{EC44E968-A294-45F6-BF6E-02968D20FF4E}"/>
    <hyperlink ref="E53" r:id="rId154" display="http://www.iqiyi.com/v_2docnt7jyw8.html?share_sTime=481" xr:uid="{870850F7-4A7F-4746-8CD3-4359C0DEC106}"/>
    <hyperlink ref="G53" r:id="rId155" display="https://www.iqiyi.com/v_2docnt7jyw8.html" xr:uid="{0F6936E3-8E21-41A2-B923-584F231505FD}"/>
    <hyperlink ref="A54" r:id="rId156" xr:uid="{BC4B14A6-3AF0-45D4-9A20-417947F70D72}"/>
    <hyperlink ref="E54" r:id="rId157" display="http://www.iqiyi.com/v_uscurycmg8.html?share_sTime=67" xr:uid="{639F8119-EF42-4FB2-9A83-8227145250D7}"/>
    <hyperlink ref="G54" r:id="rId158" display="https://www.iqiyi.com/v_2fb1s6tz13k.html" xr:uid="{0BC4ABD8-114D-4225-A5DE-CFFCB80FF865}"/>
    <hyperlink ref="A55" r:id="rId159" xr:uid="{F336C25A-0E4B-4B6B-8A4E-74F3B6C771D6}"/>
    <hyperlink ref="E55" r:id="rId160" display="http://www.iqiyi.com/v_uscurycmg8.html?share_sTime=80" xr:uid="{F9170A64-446A-4D30-866B-D4108712002F}"/>
    <hyperlink ref="G55" r:id="rId161" display="https://www.iqiyi.com/v_bq95qmvkj0.html" xr:uid="{F6CE54EB-C872-430E-BB76-CDB0EA308E9E}"/>
    <hyperlink ref="A56" r:id="rId162" xr:uid="{7327F7C6-2D25-481C-A3B2-919105669166}"/>
    <hyperlink ref="E56" r:id="rId163" display="http://www.iqiyi.com/v_uscurycmg8.html?share_sTime=93" xr:uid="{187EE19E-D281-4BDC-B440-A96CBCB63937}"/>
    <hyperlink ref="G56" r:id="rId164" display="https://www.iqiyi.com/v_csh1i54cfs.html" xr:uid="{33F954A5-B1AB-4AF4-9EBB-C891B468C1E2}"/>
    <hyperlink ref="A57" r:id="rId165" xr:uid="{BA08699E-A62B-4A6D-B0DB-7EB4CB94EB03}"/>
    <hyperlink ref="E57" r:id="rId166" display="http://www.iqiyi.com/v_uscurycmg8.html?share_sTime=165" xr:uid="{BCF694A5-4E25-4538-A51B-52CCB5578A0D}"/>
    <hyperlink ref="G57" r:id="rId167" display="https://www.iqiyi.com/v_fnv2jl6aqc.html" xr:uid="{2C3FAD15-3C4F-4101-A8F3-138771AFF047}"/>
    <hyperlink ref="A58" r:id="rId168" xr:uid="{18C22B7C-C0EE-4825-B553-C68C0783B569}"/>
    <hyperlink ref="E58" r:id="rId169" display="http://www.iqiyi.com/v_uscurycmg8.html?share_sTime=202" xr:uid="{22E886C2-D537-4142-9B64-A822D8074AC9}"/>
    <hyperlink ref="G58" r:id="rId170" display="https://www.iqiyi.com/v_g1ofle6l90.html" xr:uid="{CBAA5592-C927-4314-869E-6F3DE298D651}"/>
    <hyperlink ref="A59" r:id="rId171" xr:uid="{A88558B4-7B2C-47CA-95B4-D9A41F506681}"/>
    <hyperlink ref="E59" r:id="rId172" display="http://www.iqiyi.com/v_uscurycmg8.html?share_sTime=360" xr:uid="{FAE101F0-2DED-41A0-9168-153AEC4FEF62}"/>
    <hyperlink ref="G59" r:id="rId173" display="https://www.iqiyi.com/v_hbk4n4wja8.html" xr:uid="{99AE4351-C70D-4B1B-92F9-B10A13944F9E}"/>
    <hyperlink ref="A60" r:id="rId174" xr:uid="{DB9B8F5A-26CC-4B1C-A3D1-5EF481130B34}"/>
    <hyperlink ref="E60" r:id="rId175" display="http://www.iqiyi.com/v_1qc2dhhf17c.html?share_sTime=32" xr:uid="{DF5E995C-6B9D-47AE-B1CC-1745EBE11FED}"/>
    <hyperlink ref="G60" r:id="rId176" display="https://www.iqiyi.com/v_lb88qku9oc.html" xr:uid="{CEDAADB1-5669-4E3D-A42A-DC24B2F01582}"/>
    <hyperlink ref="A61" r:id="rId177" xr:uid="{4A7F9E62-1DCD-497C-B000-6E94F47BC3F1}"/>
    <hyperlink ref="E61" r:id="rId178" display="http://www.iqiyi.com/v_1qc2dhhf17c.html?share_sTime=296" xr:uid="{3EBD9876-D6AF-4223-9362-43AC68FB7B19}"/>
    <hyperlink ref="G61" r:id="rId179" display="https://www.iqiyi.com/v_lmhkxrqwlk.html" xr:uid="{10C6873E-C280-4538-9560-BB36189A62D4}"/>
    <hyperlink ref="A62" r:id="rId180" xr:uid="{C8DEF3E9-A2B2-4775-BBB4-A60D2B226CD1}"/>
    <hyperlink ref="E62" r:id="rId181" display="http://www.iqiyi.com/v_1qc2dhhf17c.html?share_sTime=311" xr:uid="{25CA3A18-3D7C-4A21-81F6-EF51B2461BFE}"/>
    <hyperlink ref="G62" r:id="rId182" display="https://www.iqiyi.com/v_msxfx2099w.html" xr:uid="{D7D69F70-A49A-467F-B95E-DE74C1D8C787}"/>
    <hyperlink ref="A63" r:id="rId183" xr:uid="{F181B1EC-B62D-47F8-BE2A-BCD75CEB65C0}"/>
    <hyperlink ref="E63" r:id="rId184" display="http://www.iqiyi.com/v_1qc2dhhf17c.html?share_sTime=325" xr:uid="{2DE2ABDB-8D9E-4A35-9905-C79DB6EC3ADC}"/>
    <hyperlink ref="G63" r:id="rId185" display="https://www.iqiyi.com/v_okv7zn6jfo.html" xr:uid="{8E9F86D0-30B7-488D-82EC-111F9A7DE03A}"/>
    <hyperlink ref="A64" r:id="rId186" xr:uid="{FEABF912-D463-4961-9562-E566A043D199}"/>
    <hyperlink ref="E64" r:id="rId187" display="http://www.iqiyi.com/v_17b2rc6qcw0.html?share_sTime=136" xr:uid="{B91AD189-9A1E-4A80-ADFD-03828989CE90}"/>
    <hyperlink ref="G64" r:id="rId188" display="https://www.iqiyi.com/v_tg0bzav0ko.html" xr:uid="{F56B751C-DBB1-4B4A-8956-68C5D15F0221}"/>
    <hyperlink ref="A65" r:id="rId189" xr:uid="{EDCBF765-7368-42B2-9BDE-003D083E2AB5}"/>
    <hyperlink ref="E65" r:id="rId190" display="https://www.iqiyi.com/v_17b2rc6qcw0.html" xr:uid="{576F1F1C-6E24-46B0-B9EE-A00C9D2C33CD}"/>
    <hyperlink ref="G65" r:id="rId191" display="https://www.iqiyi.com/v_uscurycmg8.html" xr:uid="{C6278379-A1B1-42F8-B82A-104F518FD6C7}"/>
    <hyperlink ref="A66" r:id="rId192" xr:uid="{2A3A9080-4475-4808-A28B-8E147D913829}"/>
    <hyperlink ref="E66" r:id="rId193" display="https://www.iqiyi.com/v_17b2rc6qcw0.html" xr:uid="{420C8C73-0E56-4942-965F-82C4D74439D3}"/>
    <hyperlink ref="G66" r:id="rId194" display="https://www.iqiyi.com/v_v9pgkqlzt8.html" xr:uid="{0045AD12-0116-4EA2-9416-26D63DFC6E08}"/>
    <hyperlink ref="A67" r:id="rId195" xr:uid="{84FF5F66-9910-4721-B1B0-2C21547F220B}"/>
    <hyperlink ref="E67" r:id="rId196" display="https://www.iqiyi.com/v_19qcoi3tjz0.html" xr:uid="{AF13B2ED-0BF3-4317-9A15-ED5C0C5E8637}"/>
    <hyperlink ref="G67" r:id="rId197" display="https://www.iqiyi.com/v_v9pgkqlzt8.htmll" xr:uid="{2F2F3E26-FB73-4BCA-A301-184393482D21}"/>
    <hyperlink ref="A68" r:id="rId198" xr:uid="{5402465D-5E6E-493A-8762-48C23172A37B}"/>
    <hyperlink ref="E68" r:id="rId199" display="https://www.iqiyi.com/v_1y4efpjcbog.html" xr:uid="{D8517569-D34C-4A34-ABF0-2A217EB5B8EF}"/>
    <hyperlink ref="A69" r:id="rId200" xr:uid="{66762979-B821-48D8-A29D-9222A65C7236}"/>
    <hyperlink ref="E69" r:id="rId201" display="https://www.iqiyi.com/v_1smrdalxvck.html" xr:uid="{37791262-462A-4572-A666-40CD3FB0E61B}"/>
    <hyperlink ref="A70" r:id="rId202" xr:uid="{D81F5B14-3F46-46E6-85B0-6F1DBDDCD290}"/>
    <hyperlink ref="E70" r:id="rId203" display="https://www.iqiyi.com/v_okv7zn6jfo.html" xr:uid="{9E35550F-A9C7-4859-96C4-8EC89A924345}"/>
    <hyperlink ref="A71" r:id="rId204" xr:uid="{B35E4A14-027D-4275-A7B4-6712F1E68562}"/>
    <hyperlink ref="E71" r:id="rId205" display="https://www.iqiyi.com/v_1tiq2wkvjj8.html" xr:uid="{0711389E-A011-4B45-A79C-8F093E0739DB}"/>
    <hyperlink ref="A72" r:id="rId206" xr:uid="{CA6C83DB-8CC8-4181-B6CD-BA6BFEA7CEA6}"/>
    <hyperlink ref="E72" r:id="rId207" display="https://www.iqiyi.com/v_1tiq2wkvjj8.html" xr:uid="{AB405D13-271C-4FEA-9382-F339929D04DC}"/>
    <hyperlink ref="A73" r:id="rId208" xr:uid="{B62B4CB1-C7F2-4D2C-BE5A-63C0112E182F}"/>
    <hyperlink ref="E73" r:id="rId209" display="https://www.iqiyi.com/v_okv7zn6jfo.html" xr:uid="{50730645-6379-4624-AF23-21FC9B843195}"/>
    <hyperlink ref="A74" r:id="rId210" xr:uid="{A6ED176D-DC9F-421D-B050-77DAC36D8455}"/>
    <hyperlink ref="E74" r:id="rId211" display="https://www.iqiyi.com/v_tg0bzav0ko.html" xr:uid="{C8408C56-6F7C-4678-9817-8ACBF1E4860A}"/>
    <hyperlink ref="A75" r:id="rId212" xr:uid="{1D176876-386E-42BA-8C97-8967CC4FF6E1}"/>
    <hyperlink ref="E75" r:id="rId213" display="https://www.iqiyi.com/v_2b3kfhfd7fo.html" xr:uid="{ADEAED36-A7CA-48EB-8D26-E16182D00085}"/>
    <hyperlink ref="A76" r:id="rId214" xr:uid="{9B748300-7FBA-4945-A3E3-530FCC3EC583}"/>
    <hyperlink ref="E76" r:id="rId215" display="https://www.iqiyi.com/v_lb88qku9oc.html" xr:uid="{6DED1FE6-9F5E-4A2F-B3D2-B6BA264FD761}"/>
    <hyperlink ref="A77" r:id="rId216" xr:uid="{5DE5AC29-B931-4F64-BF29-CC1ECB95897D}"/>
    <hyperlink ref="E77" r:id="rId217" display="https://www.iqiyi.com/v_105jzk25f38.html" xr:uid="{9DBDFED1-358B-49D0-A1F6-253A4F13247B}"/>
    <hyperlink ref="A78" r:id="rId218" xr:uid="{35B7826A-8EC4-4AEB-A67E-DF68B78A7CE3}"/>
    <hyperlink ref="E78" r:id="rId219" display="https://www.iqiyi.com/v_1d74ab1jfsk.html" xr:uid="{28EB4949-B5BC-4401-8736-B0339BB2C270}"/>
    <hyperlink ref="A79" r:id="rId220" xr:uid="{4B9533B5-EE59-4F57-8253-284EB57125A3}"/>
    <hyperlink ref="E79" r:id="rId221" display="https://www.iqiyi.com/v_v9pgkqlzt8.html" xr:uid="{BDED94CB-FB16-45C0-907E-27746055747F}"/>
    <hyperlink ref="A80" r:id="rId222" xr:uid="{DEEA8757-6799-4D05-8B8A-E88AE8C68B01}"/>
    <hyperlink ref="E80" r:id="rId223" display="https://www.iqiyi.com/v_2bx0gdxkbbo.htmll" xr:uid="{5A71DE45-F354-4C10-8B5C-D2A7841528AF}"/>
    <hyperlink ref="A81" r:id="rId224" xr:uid="{99623DD5-A15A-4BA2-97C3-8CB9C08FA262}"/>
    <hyperlink ref="E81" r:id="rId225" display="https://www.iqiyi.com/v_csh1i54cfs.html" xr:uid="{B4C4FB78-D1D6-4F24-A87E-8C213C7FB039}"/>
    <hyperlink ref="A82" r:id="rId226" xr:uid="{1A1A0A71-DB25-4AA4-AD5D-718616E9FE14}"/>
    <hyperlink ref="E82" r:id="rId227" display="https://www.iqiyi.com/v_v9pgkqlzt8.htmll" xr:uid="{9F6ED6CA-54B9-43B9-94A2-A2FF8D42C141}"/>
    <hyperlink ref="A83" r:id="rId228" xr:uid="{D7BFF4D8-B546-4ECE-B654-747D903C7F5A}"/>
    <hyperlink ref="E83" r:id="rId229" display="https://www.iqiyi.com/v_109ugarkbks.html" xr:uid="{DD2EE878-AB92-4080-BF11-5327CBD86E2E}"/>
    <hyperlink ref="A84" r:id="rId230" xr:uid="{5037D557-402C-4590-A74E-3600AA2C1325}"/>
    <hyperlink ref="E84" r:id="rId231" display="https://www.iqiyi.com/v_1kzf2cy2qq4.html" xr:uid="{7C12FF5C-E503-422B-BFD2-CDCA448EE104}"/>
    <hyperlink ref="A85" r:id="rId232" xr:uid="{5963AD3E-BC11-4F9A-A78C-8DDC8DDC8B73}"/>
    <hyperlink ref="E85" r:id="rId233" display="https://www.iqiyi.com/v_17l6d2qrdv0.html" xr:uid="{B120E69B-05E7-4408-B6F6-CE016A182306}"/>
    <hyperlink ref="E86" r:id="rId234" display="http://www.iqiyi.com/v_13zv6vx492s.html?share_sTime=14" xr:uid="{3197D30D-D8FB-44CE-ADB0-5ADBA7FD3118}"/>
    <hyperlink ref="E87" r:id="rId235" display="http://www.iqiyi.com/v_13zv6vx492s.html?share_sTime=164" xr:uid="{705CC833-C019-46BA-B44B-6D715BEDBDCD}"/>
    <hyperlink ref="A88" r:id="rId236" xr:uid="{30558118-3399-4F36-84DD-796BDC77D174}"/>
    <hyperlink ref="E88" r:id="rId237" display="http://www.iqiyi.com/v_13zv6vx492s.html?share_sTime=232" xr:uid="{0D6ED533-1F86-45D3-9479-A88A25F4B5D3}"/>
    <hyperlink ref="A89" r:id="rId238" xr:uid="{ED964E92-8BCA-4B1E-B74F-1E3D2093022C}"/>
    <hyperlink ref="E89" r:id="rId239" display="http://www.iqiyi.com/v_13zv6vx492s.html?share_sTime=255" xr:uid="{8BBF2CD1-66C7-4274-BB4B-4B02328FCFE1}"/>
    <hyperlink ref="E90" r:id="rId240" display="http://www.iqiyi.com/v_13zv6vx492s.html?share_sTime=269" xr:uid="{E2A3EEE5-7FC9-4124-8AAB-583D8054067B}"/>
    <hyperlink ref="A91" r:id="rId241" xr:uid="{18847BA6-59A8-4DCE-AEF4-28BEA54AA050}"/>
    <hyperlink ref="E91" r:id="rId242" display="http://www.iqiyi.com/v_13zv6vx492s.html?share_sTime=295" xr:uid="{90286B45-9AEA-4084-8509-7D1E8480601D}"/>
    <hyperlink ref="E92" r:id="rId243" display="http://www.iqiyi.com/v_13zv6vx492s.html?share_sTime=309" xr:uid="{5654863B-1A0E-432E-9612-3E14C491C7F6}"/>
    <hyperlink ref="A93" r:id="rId244" xr:uid="{586FEDF4-BAD4-4FB1-B628-8B6F4E848243}"/>
    <hyperlink ref="E93" r:id="rId245" display="http://www.iqiyi.com/v_13zv6vx492s.html?share_sTime=446" xr:uid="{2F8EED8B-CFF8-4B33-87E4-1BC41A247D79}"/>
    <hyperlink ref="E94" r:id="rId246" display="http://www.iqiyi.com/v_14006zhf2uo.html?share_sTime=137" xr:uid="{142318DC-0802-4891-BCC4-6879A54D6781}"/>
    <hyperlink ref="E95" r:id="rId247" display="http://www.iqiyi.com/v_17l6d2qrdv0.html?share_sTime=109" xr:uid="{DF2A47D3-6B6D-4C83-8122-25711A1AA56F}"/>
    <hyperlink ref="A96" r:id="rId248" xr:uid="{E468F6F3-72E6-40AB-8D25-08DD7DD2DFE4}"/>
    <hyperlink ref="E96" r:id="rId249" display="http://www.iqiyi.com/v_14006zhf2uo.html?share_sTime=149" xr:uid="{7C7540DF-9EF2-4D56-BF2C-287A7D9490DF}"/>
    <hyperlink ref="A97" r:id="rId250" xr:uid="{346F0D89-C0F5-466E-BF55-BFACD6F0EAE7}"/>
    <hyperlink ref="E97" r:id="rId251" display="http://www.iqiyi.com/v_14006zhf2uo.html?share_sTime=213" xr:uid="{219E5519-E76B-49F6-A594-51DE39EA74C2}"/>
    <hyperlink ref="A98" r:id="rId252" xr:uid="{5156437A-4DBC-43EE-A0E6-BABAF04EB2C7}"/>
    <hyperlink ref="E98" r:id="rId253" display="http://www.iqiyi.com/v_14006zhf2uo.html?share_sTime=251" xr:uid="{ABDB6BC1-2D74-4C40-A565-5DC0FCDE84FC}"/>
    <hyperlink ref="A99" r:id="rId254" xr:uid="{D2E9661E-8181-4B96-A93C-B81DCE8CED15}"/>
    <hyperlink ref="E99" r:id="rId255" display="http://www.iqiyi.com/v_2fb1s6tz13k.html?share_sTime=0" xr:uid="{3AE2ABB0-239F-4904-90A2-99992F98BEB2}"/>
    <hyperlink ref="A100" r:id="rId256" xr:uid="{48F77F5E-426D-4A2B-A6AB-F74C7A263BF5}"/>
    <hyperlink ref="E100" r:id="rId257" display="http://www.iqiyi.com/v_2fb1s6tz13k.html?share_sTime=59" xr:uid="{B6E35F4B-1B1B-425F-BE22-8695F3868E8F}"/>
    <hyperlink ref="A101" r:id="rId258" xr:uid="{1E2F0716-37BF-487E-92C2-21138F976FCB}"/>
    <hyperlink ref="E101" r:id="rId259" display="https://www.iqiyi.com/v_2fb1s6tz13k.html" xr:uid="{BDB4D95F-814D-47C6-930E-AFA4A53D501F}"/>
    <hyperlink ref="A102" r:id="rId260" xr:uid="{BCEDFAED-0C63-487D-B0D1-79AADD56F159}"/>
    <hyperlink ref="E102" r:id="rId261" display="https://www.iqiyi.com/v_26obq94b7l4.html" xr:uid="{EC1C2B6A-CFD0-4F6F-8842-8E817587A088}"/>
    <hyperlink ref="A103" r:id="rId262" xr:uid="{FBFE177A-321E-4C93-A254-462E1E0B002D}"/>
    <hyperlink ref="E103" r:id="rId263" display="https://www.iqiyi.com/v_2c66zp7rcp0.html" xr:uid="{D7D4F723-E130-4662-B2F0-11266C0B4D6B}"/>
    <hyperlink ref="A104" r:id="rId264" xr:uid="{2F005E5C-4BB9-418B-AA5A-7CCE4A0129F2}"/>
    <hyperlink ref="E104" r:id="rId265" display="https://www.iqiyi.com/v_23ytugssa8c.html" xr:uid="{DE4B9110-486A-477D-B7A2-2C675C72D7FD}"/>
    <hyperlink ref="A105" r:id="rId266" xr:uid="{454E52B8-1B45-43B9-BEB1-1148E3321436}"/>
    <hyperlink ref="E105" r:id="rId267" display="https://www.iqiyi.com/v_23ytugssa8c.html" xr:uid="{133C5D68-6C66-4824-ACE6-2B953DA14044}"/>
    <hyperlink ref="A106" r:id="rId268" xr:uid="{90AF29B6-5514-444E-BAB9-80462EE87B4B}"/>
    <hyperlink ref="E106" r:id="rId269" display="https://www.iqiyi.com/v_17k557yo4hc.html" xr:uid="{76C85C33-D601-45F4-84D7-92EBD1C4127B}"/>
    <hyperlink ref="A107" r:id="rId270" xr:uid="{BCD5B04F-3849-40E8-A1B8-B92E8991BB00}"/>
    <hyperlink ref="E107" r:id="rId271" display="https://www.iqiyi.com/v_1deqcff9qko.html" xr:uid="{7CE20E9D-21D7-4940-9EBE-1932966677EC}"/>
    <hyperlink ref="A108" r:id="rId272" xr:uid="{27BA6449-476B-488A-AE00-A4EC05B1B6A8}"/>
    <hyperlink ref="E108" r:id="rId273" display="https://www.iqiyi.com/v_1ymadtms6ww.html" xr:uid="{79BC98F6-9CCE-4040-9C80-3B0490450AB9}"/>
    <hyperlink ref="A109" r:id="rId274" xr:uid="{08509AB9-5570-4FFB-980E-223E2491A6FA}"/>
    <hyperlink ref="E109" r:id="rId275" display="https://www.iqiyi.com/v_1jvbmagcje4.html" xr:uid="{8D2525D8-2EDA-444F-843F-9334A662ED99}"/>
    <hyperlink ref="A110" r:id="rId276" xr:uid="{F4D55768-2982-45C9-A833-7A2C8C687584}"/>
    <hyperlink ref="E110" r:id="rId277" display="https://www.iqiyi.com/v_174uz7e1yl0.html" xr:uid="{87DA1FB2-7E30-4580-9B2C-9ECE54856BA2}"/>
    <hyperlink ref="A111" r:id="rId278" xr:uid="{16D98EB4-EE01-443F-B88B-B98CF0BC05A7}"/>
    <hyperlink ref="E111" r:id="rId279" display="https://www.iqiyi.com/v_1ni7svvsz98.html" xr:uid="{33CCD740-A61C-404E-AE80-1973A62C9D4D}"/>
    <hyperlink ref="A112" r:id="rId280" xr:uid="{C5A1977C-5454-4392-A970-E9B1D5174680}"/>
    <hyperlink ref="E112" r:id="rId281" display="https://www.iqiyi.com/v_2docnt7jyw8.html" xr:uid="{13F1B844-9FDE-467D-AC9D-A3CB0C2F624A}"/>
    <hyperlink ref="A113" r:id="rId282" xr:uid="{76D22EF2-5B05-4388-B569-3871DAE2605E}"/>
    <hyperlink ref="A114" r:id="rId283" xr:uid="{9AC1EA8A-271C-4A16-B8D9-65B41788DC40}"/>
    <hyperlink ref="A115" r:id="rId284" xr:uid="{227C0DE0-57B5-46A8-800D-BDE30B8FEE7F}"/>
    <hyperlink ref="A116" r:id="rId285" xr:uid="{13D79488-64B6-49CD-AF6E-47080BFE728B}"/>
    <hyperlink ref="A117" r:id="rId286" xr:uid="{C0490C5B-894F-4E16-B55E-C40C2EB34EE4}"/>
    <hyperlink ref="A118" r:id="rId287" xr:uid="{40B0F3E7-CE62-48E7-8458-18B3A8208F9B}"/>
    <hyperlink ref="A119" r:id="rId288" xr:uid="{F6D5D3DE-9176-4F9D-9529-FD87249D1FA0}"/>
    <hyperlink ref="A120" r:id="rId289" xr:uid="{A9796A71-D2D1-42C1-9EA4-7F9CCAFF5AD6}"/>
    <hyperlink ref="A121" r:id="rId290" xr:uid="{D59F0FF8-DB60-45BD-8521-9590666E7F17}"/>
    <hyperlink ref="A122" r:id="rId291" xr:uid="{C43D5DFC-D99B-43A9-A623-1F1E5134AB4C}"/>
    <hyperlink ref="A123" r:id="rId292" xr:uid="{3E384AB6-B158-4E27-B76C-5ACB485E3E9D}"/>
    <hyperlink ref="A124" r:id="rId293" xr:uid="{752CAB6C-ED17-4503-AC91-75042F0DDEE3}"/>
    <hyperlink ref="A125" r:id="rId294" xr:uid="{9E9A54C9-CD90-4C91-A00D-A21A3AA7A083}"/>
    <hyperlink ref="A126" r:id="rId295" xr:uid="{BD03C3BC-47CD-4CCF-9EDB-081951478863}"/>
    <hyperlink ref="A127" r:id="rId296" xr:uid="{D7E6E936-1F98-4C05-9627-53B53EB1171A}"/>
    <hyperlink ref="A128" r:id="rId297" xr:uid="{F91303C8-E9AC-49CB-AD96-4BCFB1D03622}"/>
    <hyperlink ref="A129" r:id="rId298" xr:uid="{10806F98-F420-4F86-A8E2-5253656C41B2}"/>
    <hyperlink ref="A130" r:id="rId299" xr:uid="{2E68993F-5C72-463E-8F27-D00FF890FC9F}"/>
    <hyperlink ref="A131" r:id="rId300" xr:uid="{A40354FA-D835-4FFC-B08A-5DAB315D2A6F}"/>
    <hyperlink ref="A132" r:id="rId301" xr:uid="{E55E6446-7EBF-4F13-B4C8-E7026F3DD88B}"/>
    <hyperlink ref="A133" r:id="rId302" xr:uid="{C4741CD2-8452-4C59-A1DB-02BCCE05375B}"/>
    <hyperlink ref="A134" r:id="rId303" xr:uid="{83D965FC-D933-4620-893A-0CD6526290F4}"/>
    <hyperlink ref="A135" r:id="rId304" xr:uid="{BE5B4749-D00A-41DF-99A6-3D3EBB60A3DB}"/>
    <hyperlink ref="A136" r:id="rId305" xr:uid="{9078944E-F373-44FE-8136-74B028A71CBB}"/>
    <hyperlink ref="A137" r:id="rId306" xr:uid="{6A4D2520-4492-4EB3-AA25-2E67F5DC9372}"/>
    <hyperlink ref="A138" r:id="rId307" xr:uid="{9F076573-F6EB-436F-8030-C7058B82C373}"/>
    <hyperlink ref="A139" r:id="rId308" xr:uid="{FBFDEA7F-BC79-42DB-8771-5284C7923393}"/>
    <hyperlink ref="A140" r:id="rId309" xr:uid="{23A42260-34A7-43EF-B998-89969BA60A6A}"/>
    <hyperlink ref="A141" r:id="rId310" xr:uid="{8AD755BB-F191-430D-A875-C9BE0CCA5504}"/>
    <hyperlink ref="A142" r:id="rId311" xr:uid="{9F72448C-F46F-4D30-B621-C8FB1F0F9A98}"/>
    <hyperlink ref="A143" r:id="rId312" xr:uid="{035150B9-3611-4197-A515-3A93D4B5F1AA}"/>
    <hyperlink ref="A144" r:id="rId313" xr:uid="{F15734BB-C54E-40C0-8F74-AF2BBD556515}"/>
    <hyperlink ref="A145" r:id="rId314" xr:uid="{63DD18E8-CB9B-43E6-815B-1B85B3FA0D93}"/>
    <hyperlink ref="A146" r:id="rId315" xr:uid="{9AD1EFE8-9105-48D1-9F49-FD7F21AC3133}"/>
    <hyperlink ref="A147" r:id="rId316" xr:uid="{9C48BFA7-5F1D-4922-ACA9-8E5976B49EFD}"/>
    <hyperlink ref="A148" r:id="rId317" xr:uid="{718530C3-C527-4B23-92A6-59995FA0E379}"/>
    <hyperlink ref="A149" r:id="rId318" xr:uid="{118008AD-2410-410F-9F30-FC699AA7D9B1}"/>
    <hyperlink ref="A150" r:id="rId319" xr:uid="{CE2DDA42-4FFD-4804-BC3B-05FC82BAC3F0}"/>
    <hyperlink ref="A151" r:id="rId320" xr:uid="{678CA22F-8A5A-422B-981F-4B2FC1601E4F}"/>
    <hyperlink ref="A152" r:id="rId321" xr:uid="{9642418D-2859-4355-9087-27021CD7FBCE}"/>
    <hyperlink ref="A153" r:id="rId322" xr:uid="{0B53E7DA-0D7A-49C6-8C01-5B7CC2C295D8}"/>
    <hyperlink ref="A154" r:id="rId323" xr:uid="{FFE25354-9EC5-4FE3-B534-A9C410A7ACEC}"/>
    <hyperlink ref="A155" r:id="rId324" xr:uid="{BC0574BD-95F6-4CA3-8ED5-895FE09231D2}"/>
    <hyperlink ref="A156" r:id="rId325" xr:uid="{178473B0-2534-4893-B314-8F3A2B19B93B}"/>
    <hyperlink ref="A157" r:id="rId326" xr:uid="{70EA06B8-81EF-4C2D-9872-A4C2063BD3BE}"/>
    <hyperlink ref="A158" r:id="rId327" xr:uid="{9F12F7F8-1876-4331-BEDD-763AE987F01C}"/>
    <hyperlink ref="A159" r:id="rId328" xr:uid="{DAEA5C10-9088-4135-8AEE-510726F8B9F9}"/>
    <hyperlink ref="A160" r:id="rId329" xr:uid="{6FD93440-B25C-4849-90C2-E6652C4B508F}"/>
    <hyperlink ref="A161" r:id="rId330" xr:uid="{383D8A64-14B0-4264-B081-7C569491EFCB}"/>
    <hyperlink ref="A162" r:id="rId331" xr:uid="{61E5A016-7B6A-4FFF-8642-A0264BCAEB54}"/>
    <hyperlink ref="A163" r:id="rId332" xr:uid="{48C5D959-3A04-48D6-869B-E7C1CA9CD98B}"/>
    <hyperlink ref="A164" r:id="rId333" xr:uid="{D0C8CF8A-38F3-4380-B684-08BC07EA42C6}"/>
    <hyperlink ref="A165" r:id="rId334" xr:uid="{FF0FF35E-4DD6-4A9E-B378-D5186F9AFAFF}"/>
    <hyperlink ref="A166" r:id="rId335" xr:uid="{1A77E7BB-379D-4CD4-858F-4A24CD672D5C}"/>
    <hyperlink ref="A167" r:id="rId336" xr:uid="{6527F675-F8AF-4699-96DB-E24F429A54D5}"/>
    <hyperlink ref="A168" r:id="rId337" xr:uid="{26ACA11A-F646-4B31-9B2A-0DB420C098AE}"/>
    <hyperlink ref="A169" r:id="rId338" xr:uid="{2C332015-A74D-4FBB-AE35-9C2DA6855068}"/>
    <hyperlink ref="A170" r:id="rId339" xr:uid="{CE3CCAC7-75C4-41F2-A86B-D2261D2CBEA1}"/>
    <hyperlink ref="A171" r:id="rId340" xr:uid="{CF7F456D-B4A7-49EA-8699-0CE2A74BBB4E}"/>
    <hyperlink ref="A172" r:id="rId341" xr:uid="{261D0079-84D9-4F20-82EC-B1D7F227CC58}"/>
    <hyperlink ref="A173" r:id="rId342" xr:uid="{A1BD69D9-CBFB-494D-9CE1-475CB9316847}"/>
    <hyperlink ref="A176" r:id="rId343" xr:uid="{FAB60CB7-5F57-4306-8D7E-50AACD61A549}"/>
    <hyperlink ref="A177" r:id="rId344" xr:uid="{01A4A3C7-3E0E-463A-8869-65EF812EE3BB}"/>
    <hyperlink ref="A180" r:id="rId345" xr:uid="{CBB4B215-B0A8-4036-BB0E-BEBBE189336E}"/>
    <hyperlink ref="A187" r:id="rId346" xr:uid="{CBAD311A-678B-41DA-BEA2-888415F66BE0}"/>
    <hyperlink ref="A188" r:id="rId347" xr:uid="{4DEA6B5D-FC99-4ACF-80D5-0EC54F43D019}"/>
    <hyperlink ref="A189" r:id="rId348" xr:uid="{2886EFDC-7308-4F20-A200-5DBFCACDDD31}"/>
    <hyperlink ref="A190" r:id="rId349" xr:uid="{B9910A97-F73C-4938-9D0C-568D8A9D64BD}"/>
    <hyperlink ref="A191" r:id="rId350" xr:uid="{EA5FD6BD-C85A-4C60-89A1-6CD567DB8509}"/>
    <hyperlink ref="A192" r:id="rId351" xr:uid="{4816C7D0-478B-4CB1-850E-DB7C0855384C}"/>
    <hyperlink ref="A193" r:id="rId352" xr:uid="{7933B7BE-BED3-48C1-BD1F-7D3849C037EC}"/>
    <hyperlink ref="A194" r:id="rId353" xr:uid="{5F37DB4B-A3E4-4440-AA4D-A98AE3F12A9B}"/>
    <hyperlink ref="A195" r:id="rId354" xr:uid="{1FD40818-BA89-440D-9FDC-39F10A9FD7E2}"/>
    <hyperlink ref="A196" r:id="rId355" xr:uid="{B5105BCF-E5E1-4920-9BA9-1DEBD0DAE47E}"/>
    <hyperlink ref="A197" r:id="rId356" xr:uid="{B0A783D7-9F4C-4747-B659-54000C6A24DF}"/>
    <hyperlink ref="A198" r:id="rId357" xr:uid="{6FEDC67A-8669-4098-AA0A-5F2FB792038E}"/>
    <hyperlink ref="A199" r:id="rId358" xr:uid="{D3A9E860-DAC2-479F-9837-214A7F47DD4C}"/>
    <hyperlink ref="A200" r:id="rId359" xr:uid="{2C87A77B-19F0-4B3E-93AD-7CD742352A12}"/>
    <hyperlink ref="A201" r:id="rId360" xr:uid="{A8E2F583-F828-4AEB-9D76-8C5F0456F17F}"/>
    <hyperlink ref="A202" r:id="rId361" xr:uid="{08F4E231-1462-4413-A5D6-20978926C7D9}"/>
    <hyperlink ref="A203" r:id="rId362" xr:uid="{C1B3C67F-61BF-4BA7-9839-62BABFA61278}"/>
    <hyperlink ref="A204" r:id="rId363" xr:uid="{00B5182B-0FCB-4EB3-8270-F4DB621144EE}"/>
    <hyperlink ref="A205" r:id="rId364" xr:uid="{782BE4D6-5730-486C-BCEB-77A944F26FA8}"/>
    <hyperlink ref="A206" r:id="rId365" xr:uid="{2562260A-FA56-4A76-9E28-FCEC1ECCCA61}"/>
    <hyperlink ref="A207" r:id="rId366" xr:uid="{0820FA15-49DD-4FE0-834D-C6C94D9708EA}"/>
    <hyperlink ref="A208" r:id="rId367" xr:uid="{00536DCC-A8F4-4AED-B014-6611C2ED24AB}"/>
    <hyperlink ref="A209" r:id="rId368" xr:uid="{120361DE-D03F-4DDF-8605-613ED162CD41}"/>
    <hyperlink ref="A210" r:id="rId369" xr:uid="{10D42C9C-8FC5-4B15-BB94-74FA42E1297F}"/>
    <hyperlink ref="A211" r:id="rId370" xr:uid="{3FDB0418-AC10-4BFD-907B-9F1AAA234824}"/>
    <hyperlink ref="A212" r:id="rId371" xr:uid="{DDD8A8E1-9420-429A-A380-E2D0A9CBFA0D}"/>
    <hyperlink ref="A213" r:id="rId372" xr:uid="{9F2E36D8-83A4-4619-8254-4A4502A68D36}"/>
    <hyperlink ref="A214" r:id="rId373" xr:uid="{69D0A11E-7FB2-4FDD-B319-797001D401E6}"/>
    <hyperlink ref="A215" r:id="rId374" xr:uid="{1D86240D-A765-4891-A0DB-52E8446F801F}"/>
    <hyperlink ref="A216" r:id="rId375" xr:uid="{AC85D0FE-5E29-4F6A-886B-1EEB99A578B9}"/>
    <hyperlink ref="A217" r:id="rId376" xr:uid="{45784DD2-836F-4004-9BCA-C0F75D7805EC}"/>
    <hyperlink ref="A218" r:id="rId377" xr:uid="{A12121F2-9E34-4D1E-8672-B02DAEB752A9}"/>
    <hyperlink ref="A219" r:id="rId378" xr:uid="{FCD6B829-7E87-421B-B441-5CB6AF843C28}"/>
    <hyperlink ref="A220" r:id="rId379" xr:uid="{5C817099-0C10-46BD-BDCE-5ED8E323F895}"/>
    <hyperlink ref="A221" r:id="rId380" xr:uid="{074AF464-70F9-476F-BD7E-5560944985B7}"/>
    <hyperlink ref="A222" r:id="rId381" xr:uid="{BB916EC1-55F9-43B2-A5B5-232389BCE9CE}"/>
    <hyperlink ref="A223" r:id="rId382" xr:uid="{5C43CBA8-6D49-4217-A40E-99D5833485D8}"/>
    <hyperlink ref="A224" r:id="rId383" xr:uid="{16D8B4D0-ED78-4228-9188-BF6D4B1C031A}"/>
    <hyperlink ref="A225" r:id="rId384" xr:uid="{922540A9-7B37-46A9-8F19-307C65704056}"/>
    <hyperlink ref="A226" r:id="rId385" xr:uid="{E6833B00-A97C-41AE-8DAC-289D59640D27}"/>
    <hyperlink ref="A227" r:id="rId386" xr:uid="{48FE0E5F-5BEC-48EA-B3D3-2820BEB82685}"/>
    <hyperlink ref="A228" r:id="rId387" xr:uid="{EF40E4E0-14B5-4B12-A0B7-D40523F930D1}"/>
    <hyperlink ref="A229" r:id="rId388" xr:uid="{9613508F-DE2A-44A2-8638-CE376CFC8A84}"/>
    <hyperlink ref="A230" r:id="rId389" xr:uid="{EE37097F-D47C-413E-8B71-77A0D27F6C4D}"/>
    <hyperlink ref="A231" r:id="rId390" xr:uid="{74925872-9A61-473B-8FBF-155A8681DFE4}"/>
    <hyperlink ref="A232" r:id="rId391" xr:uid="{2D36627E-22E0-442E-BE4F-A41B5F50E48D}"/>
    <hyperlink ref="A233" r:id="rId392" xr:uid="{70BD667B-8C1C-4C6D-97BC-080EAD7C87B5}"/>
    <hyperlink ref="A234" r:id="rId393" xr:uid="{03F95E25-19CF-48EF-9585-013509DCFD9F}"/>
    <hyperlink ref="A235" r:id="rId394" xr:uid="{602AA80E-7CB7-4AA2-8DFA-B12CF66D0510}"/>
    <hyperlink ref="A236" r:id="rId395" xr:uid="{86E66C95-FD18-4FDF-B3DC-11F4CF22D91C}"/>
    <hyperlink ref="A237" r:id="rId396" xr:uid="{BCEC4CB4-CE4C-46C4-B5AD-AF8B00AEEBDF}"/>
    <hyperlink ref="A238" r:id="rId397" xr:uid="{FEBF2333-C72E-4ABB-92C7-AB8BA676CA56}"/>
    <hyperlink ref="A239" r:id="rId398" xr:uid="{8697F5FA-0B21-4016-88DA-8D35B22B209A}"/>
    <hyperlink ref="A240" r:id="rId399" xr:uid="{18907997-F4DF-4E0D-8E82-453414E8AF23}"/>
    <hyperlink ref="A241" r:id="rId400" xr:uid="{5860E062-9743-4D47-BBE1-3EF1D6FD6957}"/>
    <hyperlink ref="A242" r:id="rId401" xr:uid="{5979E09D-C975-430C-B0D9-13A89207CDDD}"/>
    <hyperlink ref="A243" r:id="rId402" xr:uid="{E699F411-5ADB-4638-A250-F9D367649927}"/>
    <hyperlink ref="A244" r:id="rId403" xr:uid="{A3B34608-061D-47ED-B558-EBD1BF410619}"/>
    <hyperlink ref="A245" r:id="rId404" xr:uid="{A72C7665-A527-4C0C-91B4-66E5062A0C47}"/>
    <hyperlink ref="A246" r:id="rId405" xr:uid="{2164E3B1-69F7-4B60-B8AD-3B1D86541586}"/>
    <hyperlink ref="A247" r:id="rId406" xr:uid="{27767053-DBBE-41DE-A2D7-8BBEF888DCE4}"/>
    <hyperlink ref="A248" r:id="rId407" xr:uid="{C7D9007C-1155-44AD-8585-7B8273025330}"/>
    <hyperlink ref="A249" r:id="rId408" xr:uid="{B8F44CB9-354F-414E-903F-010B1FEF7D4E}"/>
    <hyperlink ref="A250" r:id="rId409" xr:uid="{98B1B9A3-7801-4FE2-B192-3D36C1174D3A}"/>
    <hyperlink ref="A251" r:id="rId410" xr:uid="{858D6B33-4604-4FCE-958C-6D5FA9C839CA}"/>
    <hyperlink ref="A252" r:id="rId411" xr:uid="{A8F7326C-6B55-42B9-8D20-DA5DE0FA8B94}"/>
    <hyperlink ref="A253" r:id="rId412" xr:uid="{2416005F-9D52-4F93-B146-761CE7588682}"/>
    <hyperlink ref="A254" r:id="rId413" xr:uid="{6C45B398-304E-4E24-809D-14FD641C175D}"/>
    <hyperlink ref="A255" r:id="rId414" xr:uid="{BFD32F9D-D717-4CF4-AB05-7CF78C734678}"/>
    <hyperlink ref="A256" r:id="rId415" xr:uid="{BDFCADD8-A410-43BF-8850-BA89ED9B5DA5}"/>
    <hyperlink ref="A257" r:id="rId416" xr:uid="{8FA6AEF0-8F09-46AD-931C-7FBF1B17D8D8}"/>
    <hyperlink ref="A258" r:id="rId417" xr:uid="{691916C1-1CBF-48F2-8D0F-06FC286A62B8}"/>
    <hyperlink ref="A259" r:id="rId418" xr:uid="{8EA0CECA-D0DA-4386-AF4B-44D911F0C8DB}"/>
    <hyperlink ref="A260" r:id="rId419" xr:uid="{99E6C9BA-53B9-4933-BBAA-73A29A562753}"/>
    <hyperlink ref="A261" r:id="rId420" xr:uid="{BA6D2BC5-F955-40FA-BED5-59EC1E84A873}"/>
    <hyperlink ref="A262" r:id="rId421" xr:uid="{2DAF63A8-1230-4085-9257-5C09D80CEDF5}"/>
    <hyperlink ref="A263" r:id="rId422" xr:uid="{58526733-AA16-4BEC-AB92-59E343A97AC7}"/>
    <hyperlink ref="A264" r:id="rId423" xr:uid="{FEACCD80-E28F-4C31-9C1A-C55740A8F476}"/>
    <hyperlink ref="A265" r:id="rId424" xr:uid="{7F8BC88B-0C66-4071-9EBF-405E4967AC35}"/>
    <hyperlink ref="A266" r:id="rId425" xr:uid="{84ED806A-DEED-4A9C-BA31-8F568B6461C3}"/>
    <hyperlink ref="A267" r:id="rId426" xr:uid="{E0A9D960-3934-4608-AD0D-09473D1E9B06}"/>
    <hyperlink ref="A268" r:id="rId427" xr:uid="{923F9B13-81BE-4931-B08A-26CF88FFBB39}"/>
    <hyperlink ref="A269" r:id="rId428" xr:uid="{04D221F2-EAAC-45F5-AC4D-776CE4045CE9}"/>
    <hyperlink ref="A271" r:id="rId429" xr:uid="{6690EE0A-DAAD-4C14-AD82-8B8A5D379A5A}"/>
    <hyperlink ref="A276" r:id="rId430" xr:uid="{AEF671F1-BD34-4613-A935-8A571C0E5DED}"/>
    <hyperlink ref="A278" r:id="rId431" xr:uid="{D15E014D-8DD4-455C-B413-9436BC26A9EB}"/>
    <hyperlink ref="A279" r:id="rId432" xr:uid="{A7955CB0-F826-4A90-B4B5-FC2408B19D50}"/>
    <hyperlink ref="A280" r:id="rId433" xr:uid="{49E8EC88-746E-4C92-AB44-43246EF18E78}"/>
    <hyperlink ref="A281" r:id="rId434" xr:uid="{94651443-C48B-444B-B6D4-FCB14482A799}"/>
    <hyperlink ref="A282" r:id="rId435" xr:uid="{788787B0-8B0F-49D3-9A02-7DE1E74184E5}"/>
    <hyperlink ref="A283" r:id="rId436" xr:uid="{B405010B-4F92-47A7-A93F-34AD0692D300}"/>
    <hyperlink ref="A284" r:id="rId437" xr:uid="{332FEBC1-FC98-407B-BDAC-754AEEED3C45}"/>
    <hyperlink ref="A285" r:id="rId438" xr:uid="{4E2D22A7-06AF-4D05-B2B5-B559B3739556}"/>
    <hyperlink ref="A286" r:id="rId439" xr:uid="{F6A020CE-DC9B-4419-B2A6-66C9055A6563}"/>
    <hyperlink ref="A287" r:id="rId440" xr:uid="{F26D6625-FAC0-404B-9060-6E70452CF5D9}"/>
    <hyperlink ref="A288" r:id="rId441" xr:uid="{52EF6907-C19B-4F55-8F5B-A7027362070E}"/>
    <hyperlink ref="A289" r:id="rId442" xr:uid="{02B468D7-ACAF-4E57-A87E-94BF405740B0}"/>
    <hyperlink ref="A290" r:id="rId443" xr:uid="{2C1C6F86-C7E8-4372-8F6E-837F4BE20922}"/>
    <hyperlink ref="A291" r:id="rId444" xr:uid="{079E5D86-3D9A-458D-9F0C-F32C1FD3695E}"/>
    <hyperlink ref="A292" r:id="rId445" xr:uid="{09BF3678-6A27-48FF-8198-510812EAFC37}"/>
    <hyperlink ref="A293" r:id="rId446" xr:uid="{627B7633-A2DD-4B1D-8ADE-F1B902CE7B9C}"/>
    <hyperlink ref="A294" r:id="rId447" xr:uid="{255396E2-A54C-42FA-B7EE-06D3B04CBD22}"/>
    <hyperlink ref="A295" r:id="rId448" xr:uid="{0C3BE925-F2F1-4F0B-ABFD-211B6536B951}"/>
    <hyperlink ref="A296" r:id="rId449" xr:uid="{42D97EF2-DD2B-48FD-BA29-51B5E8BADF01}"/>
    <hyperlink ref="A297" r:id="rId450" xr:uid="{09556977-AFD0-4F41-80FD-C823E9E34F6C}"/>
    <hyperlink ref="A298" r:id="rId451" xr:uid="{E6183B60-8854-41CB-AB2D-150A81AC1D61}"/>
    <hyperlink ref="A299" r:id="rId452" xr:uid="{7D46C54C-E3A0-463A-AD86-D183828F7198}"/>
    <hyperlink ref="A300" r:id="rId453" xr:uid="{BDD1F022-742B-421D-9258-A88DF31C31D9}"/>
    <hyperlink ref="A301" r:id="rId454" xr:uid="{85A656B9-9840-45BE-93DE-4C873B4DA3AF}"/>
    <hyperlink ref="A302" r:id="rId455" xr:uid="{310091E2-1178-4892-B26D-95D7BAB741EC}"/>
    <hyperlink ref="A303" r:id="rId456" xr:uid="{1A6D307F-0176-440D-88EB-B8FE69DDF355}"/>
    <hyperlink ref="A304" r:id="rId457" xr:uid="{147191C3-286E-4F3B-BD93-EB28AB87C6C8}"/>
    <hyperlink ref="A305" r:id="rId458" xr:uid="{9BE4B556-4553-47BD-A006-AAD618686201}"/>
    <hyperlink ref="A306" r:id="rId459" xr:uid="{855D6C52-B49A-4579-A46E-BAB15963F94A}"/>
    <hyperlink ref="A307" r:id="rId460" xr:uid="{0C9849EA-E3B5-41F0-B820-B270E991184E}"/>
    <hyperlink ref="A308" r:id="rId461" xr:uid="{573F3BC5-DC94-4938-86C2-0FBFA11076A9}"/>
    <hyperlink ref="A309" r:id="rId462" xr:uid="{042BA9D8-77C2-4CBB-982D-3BFF987D260C}"/>
    <hyperlink ref="A310" r:id="rId463" xr:uid="{6CCA9350-8149-4BB6-AF3E-11F17710E351}"/>
    <hyperlink ref="A311" r:id="rId464" xr:uid="{17A30FE4-4576-46C1-85A6-C65DF827F647}"/>
    <hyperlink ref="A312" r:id="rId465" xr:uid="{986C2F67-561D-4F60-B7B7-5C4E418EF460}"/>
    <hyperlink ref="A313" r:id="rId466" xr:uid="{CBEC082A-D253-4260-BA78-713375AC241D}"/>
    <hyperlink ref="A314" r:id="rId467" xr:uid="{0D57EFC9-4B79-48A6-8126-D50B39BE5363}"/>
    <hyperlink ref="A315" r:id="rId468" xr:uid="{4B37A760-86B0-4412-BF33-1D5A49522C72}"/>
    <hyperlink ref="A316" r:id="rId469" xr:uid="{ED8F3140-321D-4F58-AF0B-6A0812446B6D}"/>
    <hyperlink ref="A317" r:id="rId470" xr:uid="{0CD9E76B-CBA0-41E5-A9C7-2C7FBD146BFC}"/>
    <hyperlink ref="A318" r:id="rId471" xr:uid="{E21FCA63-11CD-439A-8319-CE3426A2D2A4}"/>
    <hyperlink ref="A319" r:id="rId472" xr:uid="{C2B11099-09A4-4D49-8469-6DE6D1A7FE7F}"/>
    <hyperlink ref="A320" r:id="rId473" xr:uid="{249694DE-F443-4D2A-AB5F-69EF3FEA9057}"/>
    <hyperlink ref="A321" r:id="rId474" xr:uid="{0BF680F3-479C-4058-B46E-AC2D8CB03B8C}"/>
    <hyperlink ref="A322" r:id="rId475" xr:uid="{F7596184-31B9-484C-A3D8-7D17DD662889}"/>
    <hyperlink ref="A323" r:id="rId476" xr:uid="{32F53BAF-7F71-4583-86FF-A8D69823CCCD}"/>
  </hyperlinks>
  <pageMargins left="0.7" right="0.7" top="0.75" bottom="0.75" header="0.3" footer="0.3"/>
  <pageSetup paperSize="9" orientation="portrait" r:id="rId47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323"/>
  <sheetViews>
    <sheetView tabSelected="1" workbookViewId="0">
      <selection activeCell="A2" sqref="A2"/>
    </sheetView>
  </sheetViews>
  <sheetFormatPr defaultColWidth="14.3984375" defaultRowHeight="15.75" customHeight="1"/>
  <sheetData>
    <row r="1" spans="1:1" ht="15.75" customHeight="1">
      <c r="A1" s="264" t="s">
        <v>6559</v>
      </c>
    </row>
    <row r="2" spans="1:1" ht="15.75" customHeight="1">
      <c r="A2" t="s">
        <v>6505</v>
      </c>
    </row>
    <row r="3" spans="1:1" ht="15.75" customHeight="1">
      <c r="A3" t="s">
        <v>6541</v>
      </c>
    </row>
    <row r="4" spans="1:1" ht="15.75" customHeight="1">
      <c r="A4" t="s">
        <v>6550</v>
      </c>
    </row>
    <row r="5" spans="1:1" ht="15.75" customHeight="1">
      <c r="A5" t="s">
        <v>6537</v>
      </c>
    </row>
    <row r="6" spans="1:1" ht="15.75" customHeight="1">
      <c r="A6" t="s">
        <v>6552</v>
      </c>
    </row>
    <row r="7" spans="1:1" ht="15.75" customHeight="1">
      <c r="A7" t="s">
        <v>6518</v>
      </c>
    </row>
    <row r="8" spans="1:1" ht="15.75" customHeight="1">
      <c r="A8" t="s">
        <v>6533</v>
      </c>
    </row>
    <row r="9" spans="1:1" ht="15.75" customHeight="1">
      <c r="A9" t="s">
        <v>6500</v>
      </c>
    </row>
    <row r="10" spans="1:1" ht="15.75" customHeight="1">
      <c r="A10" t="s">
        <v>6514</v>
      </c>
    </row>
    <row r="11" spans="1:1" ht="15.75" customHeight="1">
      <c r="A11" t="s">
        <v>6521</v>
      </c>
    </row>
    <row r="12" spans="1:1" ht="15.75" customHeight="1">
      <c r="A12" t="s">
        <v>6556</v>
      </c>
    </row>
    <row r="13" spans="1:1" ht="15.75" customHeight="1">
      <c r="A13" t="s">
        <v>6498</v>
      </c>
    </row>
    <row r="14" spans="1:1" ht="15.75" customHeight="1">
      <c r="A14" t="s">
        <v>6511</v>
      </c>
    </row>
    <row r="15" spans="1:1" ht="15.75" customHeight="1">
      <c r="A15" t="s">
        <v>6526</v>
      </c>
    </row>
    <row r="16" spans="1:1" ht="15.75" customHeight="1">
      <c r="A16" t="s">
        <v>1338</v>
      </c>
    </row>
    <row r="17" spans="1:1" ht="15.75" customHeight="1">
      <c r="A17" t="s">
        <v>1511</v>
      </c>
    </row>
    <row r="18" spans="1:1" ht="15.75" customHeight="1">
      <c r="A18" t="s">
        <v>3162</v>
      </c>
    </row>
    <row r="19" spans="1:1" ht="15.75" customHeight="1">
      <c r="A19" t="s">
        <v>1154</v>
      </c>
    </row>
    <row r="20" spans="1:1" ht="15.75" customHeight="1">
      <c r="A20" t="s">
        <v>1682</v>
      </c>
    </row>
    <row r="21" spans="1:1" ht="15.75" customHeight="1">
      <c r="A21" t="s">
        <v>3192</v>
      </c>
    </row>
    <row r="22" spans="1:1" ht="15.75" customHeight="1">
      <c r="A22" t="s">
        <v>543</v>
      </c>
    </row>
    <row r="23" spans="1:1" ht="15.75" customHeight="1">
      <c r="A23" t="s">
        <v>1387</v>
      </c>
    </row>
    <row r="24" spans="1:1" ht="15.75" customHeight="1">
      <c r="A24" t="s">
        <v>1710</v>
      </c>
    </row>
    <row r="25" spans="1:1" ht="13">
      <c r="A25" t="s">
        <v>555</v>
      </c>
    </row>
    <row r="26" spans="1:1" ht="13">
      <c r="A26" t="s">
        <v>701</v>
      </c>
    </row>
    <row r="27" spans="1:1" ht="13">
      <c r="A27" t="s">
        <v>1749</v>
      </c>
    </row>
    <row r="28" spans="1:1" ht="13">
      <c r="A28" t="s">
        <v>1523</v>
      </c>
    </row>
    <row r="29" spans="1:1" ht="13">
      <c r="A29" t="s">
        <v>1790</v>
      </c>
    </row>
    <row r="30" spans="1:1" ht="13">
      <c r="A30" t="s">
        <v>276</v>
      </c>
    </row>
    <row r="31" spans="1:1" ht="13">
      <c r="A31" t="s">
        <v>986</v>
      </c>
    </row>
    <row r="32" spans="1:1" ht="13">
      <c r="A32" t="s">
        <v>958</v>
      </c>
    </row>
    <row r="33" spans="1:1" ht="13">
      <c r="A33" t="s">
        <v>1036</v>
      </c>
    </row>
    <row r="34" spans="1:1" ht="13">
      <c r="A34" t="s">
        <v>1213</v>
      </c>
    </row>
    <row r="35" spans="1:1" ht="13">
      <c r="A35" t="s">
        <v>1233</v>
      </c>
    </row>
    <row r="36" spans="1:1" ht="13">
      <c r="A36" t="s">
        <v>161</v>
      </c>
    </row>
    <row r="37" spans="1:1" ht="13">
      <c r="A37" t="s">
        <v>842</v>
      </c>
    </row>
    <row r="38" spans="1:1" ht="13">
      <c r="A38" t="s">
        <v>1728</v>
      </c>
    </row>
    <row r="39" spans="1:1" ht="13">
      <c r="A39" t="s">
        <v>524</v>
      </c>
    </row>
    <row r="40" spans="1:1" ht="13">
      <c r="A40" t="s">
        <v>924</v>
      </c>
    </row>
    <row r="41" spans="1:1" ht="13">
      <c r="A41" t="s">
        <v>864</v>
      </c>
    </row>
    <row r="42" spans="1:1" ht="13">
      <c r="A42" t="s">
        <v>1664</v>
      </c>
    </row>
    <row r="43" spans="1:1" ht="13">
      <c r="A43" t="s">
        <v>1642</v>
      </c>
    </row>
    <row r="44" spans="1:1" ht="13">
      <c r="A44" t="s">
        <v>875</v>
      </c>
    </row>
    <row r="45" spans="1:1" ht="13">
      <c r="A45" t="s">
        <v>88</v>
      </c>
    </row>
    <row r="46" spans="1:1" ht="13">
      <c r="A46" t="s">
        <v>1305</v>
      </c>
    </row>
    <row r="47" spans="1:1" ht="13">
      <c r="A47" t="s">
        <v>332</v>
      </c>
    </row>
    <row r="48" spans="1:1" ht="13">
      <c r="A48" t="s">
        <v>66</v>
      </c>
    </row>
    <row r="49" spans="1:1" ht="13">
      <c r="A49" t="s">
        <v>301</v>
      </c>
    </row>
    <row r="50" spans="1:1" ht="13">
      <c r="A50" t="s">
        <v>154</v>
      </c>
    </row>
    <row r="51" spans="1:1" ht="13">
      <c r="A51" t="s">
        <v>6539</v>
      </c>
    </row>
    <row r="52" spans="1:1" ht="13">
      <c r="A52" t="s">
        <v>1648</v>
      </c>
    </row>
    <row r="53" spans="1:1" ht="13">
      <c r="A53" t="s">
        <v>1819</v>
      </c>
    </row>
    <row r="54" spans="1:1" ht="13">
      <c r="A54" t="s">
        <v>1633</v>
      </c>
    </row>
    <row r="55" spans="1:1" ht="13">
      <c r="A55" t="s">
        <v>431</v>
      </c>
    </row>
    <row r="56" spans="1:1" ht="13">
      <c r="A56" t="s">
        <v>1438</v>
      </c>
    </row>
    <row r="57" spans="1:1" ht="13">
      <c r="A57" t="s">
        <v>145</v>
      </c>
    </row>
    <row r="58" spans="1:1" ht="13">
      <c r="A58" t="s">
        <v>1888</v>
      </c>
    </row>
    <row r="59" spans="1:1" ht="13">
      <c r="A59" t="s">
        <v>654</v>
      </c>
    </row>
    <row r="60" spans="1:1" ht="13">
      <c r="A60" t="s">
        <v>1312</v>
      </c>
    </row>
    <row r="61" spans="1:1" ht="13">
      <c r="A61" t="s">
        <v>119</v>
      </c>
    </row>
    <row r="62" spans="1:1" ht="13">
      <c r="A62" t="s">
        <v>560</v>
      </c>
    </row>
    <row r="63" spans="1:1" ht="13">
      <c r="A63" t="s">
        <v>1219</v>
      </c>
    </row>
    <row r="64" spans="1:1" ht="13">
      <c r="A64" t="s">
        <v>1269</v>
      </c>
    </row>
    <row r="65" spans="1:1" ht="13">
      <c r="A65" t="s">
        <v>324</v>
      </c>
    </row>
    <row r="66" spans="1:1" ht="13">
      <c r="A66" t="s">
        <v>1379</v>
      </c>
    </row>
    <row r="67" spans="1:1" ht="13">
      <c r="A67" t="s">
        <v>6540</v>
      </c>
    </row>
    <row r="68" spans="1:1" ht="13"/>
    <row r="69" spans="1:1" ht="13"/>
    <row r="70" spans="1:1" ht="13"/>
    <row r="71" spans="1:1" ht="13"/>
    <row r="72" spans="1:1" ht="13"/>
    <row r="73" spans="1:1" ht="13"/>
    <row r="74" spans="1:1" ht="13"/>
    <row r="75" spans="1:1" ht="13"/>
    <row r="76" spans="1:1" ht="13"/>
    <row r="77" spans="1:1" ht="13"/>
    <row r="78" spans="1:1" ht="13"/>
    <row r="79" spans="1:1" ht="13"/>
    <row r="80" spans="1:1" ht="13"/>
    <row r="81" ht="13"/>
    <row r="82" ht="13"/>
    <row r="83" ht="13"/>
    <row r="84" ht="13"/>
    <row r="85" ht="13"/>
    <row r="86" ht="13"/>
    <row r="87" ht="13"/>
    <row r="88" ht="13"/>
    <row r="89" ht="13"/>
    <row r="90" ht="13"/>
    <row r="91" ht="13"/>
    <row r="92" ht="13"/>
    <row r="93" ht="13"/>
    <row r="94" ht="13"/>
    <row r="95" ht="13"/>
    <row r="96" ht="13"/>
    <row r="97" ht="13"/>
    <row r="98" ht="13"/>
    <row r="99" ht="13"/>
    <row r="100" ht="13"/>
    <row r="101" ht="13"/>
    <row r="102" ht="13"/>
    <row r="103" ht="13"/>
    <row r="104" ht="13"/>
    <row r="105" ht="13"/>
    <row r="106" ht="13"/>
    <row r="107" ht="13"/>
    <row r="108" ht="13"/>
    <row r="109" ht="13"/>
    <row r="110" ht="13"/>
    <row r="111" ht="13"/>
    <row r="112" ht="13"/>
    <row r="113" ht="13"/>
    <row r="114" ht="13"/>
    <row r="115" ht="13"/>
    <row r="116" ht="13"/>
    <row r="117" ht="13"/>
    <row r="118" ht="13"/>
    <row r="119" ht="13"/>
    <row r="120" ht="13"/>
    <row r="121" ht="13"/>
    <row r="122" ht="13"/>
    <row r="123" ht="13"/>
    <row r="124" ht="13"/>
    <row r="125" ht="13"/>
    <row r="126" ht="13"/>
    <row r="127" ht="13"/>
    <row r="128" ht="13"/>
    <row r="129" ht="13"/>
    <row r="130" ht="13"/>
    <row r="131" ht="13"/>
    <row r="132" ht="13"/>
    <row r="133" ht="13"/>
    <row r="134" ht="13"/>
    <row r="135" ht="13"/>
    <row r="136" ht="13"/>
    <row r="137" ht="13"/>
    <row r="138" ht="13"/>
    <row r="139" ht="13"/>
    <row r="140" ht="13"/>
    <row r="141" ht="13"/>
    <row r="142" ht="13"/>
    <row r="143" ht="13"/>
    <row r="144" ht="13"/>
    <row r="145" ht="13"/>
    <row r="146" ht="13"/>
    <row r="147" ht="13"/>
    <row r="148" ht="13"/>
    <row r="149" ht="13"/>
    <row r="150" ht="13"/>
    <row r="151" ht="13"/>
    <row r="152" ht="13"/>
    <row r="153" ht="13"/>
    <row r="154" ht="13"/>
    <row r="155" ht="13"/>
    <row r="156" ht="13"/>
    <row r="157" ht="13"/>
    <row r="158" ht="13"/>
    <row r="159" ht="13"/>
    <row r="160" ht="13"/>
    <row r="161" ht="13"/>
    <row r="162" ht="13"/>
    <row r="163" ht="13"/>
    <row r="164" ht="13"/>
    <row r="165" ht="13"/>
    <row r="166" ht="13"/>
    <row r="167" ht="13"/>
    <row r="168" ht="13"/>
    <row r="169" ht="13"/>
    <row r="170" ht="13"/>
    <row r="171" ht="13"/>
    <row r="172" ht="13"/>
    <row r="173" ht="13"/>
    <row r="174" ht="13"/>
    <row r="175" ht="13"/>
    <row r="176" ht="13"/>
    <row r="177" ht="13"/>
    <row r="178" ht="13"/>
    <row r="179" ht="13"/>
    <row r="180" ht="13"/>
    <row r="181" ht="13"/>
    <row r="182" ht="13"/>
    <row r="183" ht="13"/>
    <row r="184" ht="13"/>
    <row r="185" ht="13"/>
    <row r="186" ht="13"/>
    <row r="187" ht="13"/>
    <row r="188" ht="13"/>
    <row r="189" ht="13"/>
    <row r="190" ht="13"/>
    <row r="191" ht="13"/>
    <row r="192" ht="13"/>
    <row r="193" ht="13"/>
    <row r="194" ht="13"/>
    <row r="195" ht="13"/>
    <row r="196" ht="13"/>
    <row r="197" ht="13"/>
    <row r="198" ht="13"/>
    <row r="199" ht="13"/>
    <row r="200" ht="13"/>
    <row r="201" ht="13"/>
    <row r="202" ht="13"/>
    <row r="203" ht="13"/>
    <row r="204" ht="13"/>
    <row r="205" ht="13"/>
    <row r="206" ht="13"/>
    <row r="207" ht="13"/>
    <row r="208" ht="13"/>
    <row r="209" ht="13"/>
    <row r="210" ht="13"/>
    <row r="211" ht="13"/>
    <row r="212" ht="13"/>
    <row r="213" ht="13"/>
    <row r="214" ht="13"/>
    <row r="215" ht="13"/>
    <row r="216" ht="13"/>
    <row r="217" ht="13"/>
    <row r="218" ht="13"/>
    <row r="219" ht="13"/>
    <row r="220" ht="13"/>
    <row r="221" ht="13"/>
    <row r="222" ht="13"/>
    <row r="223" ht="13"/>
    <row r="224" ht="13"/>
    <row r="225" ht="13"/>
    <row r="226" ht="13"/>
    <row r="227" ht="13"/>
    <row r="228" ht="13"/>
    <row r="229" ht="13"/>
    <row r="230" ht="13"/>
    <row r="231" ht="13"/>
    <row r="232" ht="13"/>
    <row r="233" ht="13"/>
    <row r="234" ht="13"/>
    <row r="235" ht="13"/>
    <row r="236" ht="13"/>
    <row r="237" ht="13"/>
    <row r="238" ht="13"/>
    <row r="239" ht="13"/>
    <row r="240" ht="13"/>
    <row r="241" ht="13"/>
    <row r="242" ht="13"/>
    <row r="243" ht="13"/>
    <row r="244" ht="13"/>
    <row r="245" ht="13"/>
    <row r="246" ht="13"/>
    <row r="247" ht="13"/>
    <row r="248" ht="13"/>
    <row r="249" ht="13"/>
    <row r="250" ht="13"/>
    <row r="251" ht="13"/>
    <row r="252" ht="13"/>
    <row r="253" ht="13"/>
    <row r="254" ht="13"/>
    <row r="255" ht="13"/>
    <row r="256" ht="13"/>
    <row r="257" ht="13"/>
    <row r="258" ht="13"/>
    <row r="259" ht="13"/>
    <row r="260" ht="13"/>
    <row r="261" ht="13"/>
    <row r="262" ht="13"/>
    <row r="263" ht="13"/>
    <row r="264" ht="13"/>
    <row r="265" ht="13"/>
    <row r="266" ht="13"/>
    <row r="267" ht="13"/>
    <row r="268" ht="13"/>
    <row r="269" ht="13"/>
    <row r="270" ht="13"/>
    <row r="271" ht="13"/>
    <row r="272" ht="13"/>
    <row r="273" ht="13"/>
    <row r="274" ht="13"/>
    <row r="275" ht="13"/>
    <row r="276" ht="13"/>
    <row r="277" ht="13"/>
    <row r="278" ht="13"/>
    <row r="279" ht="13"/>
    <row r="280" ht="13"/>
    <row r="281" ht="13"/>
    <row r="282" ht="13"/>
    <row r="283" ht="13"/>
    <row r="284" ht="13"/>
    <row r="285" ht="13"/>
    <row r="286" ht="13"/>
    <row r="287" ht="13"/>
    <row r="288" ht="13"/>
    <row r="289" ht="13"/>
    <row r="290" ht="13"/>
    <row r="291" ht="13"/>
    <row r="292" ht="13"/>
    <row r="293" ht="13"/>
    <row r="294" ht="13"/>
    <row r="295" ht="13"/>
    <row r="296" ht="13"/>
    <row r="297" ht="13"/>
    <row r="298" ht="13"/>
    <row r="299" ht="13"/>
    <row r="300" ht="13"/>
    <row r="301" ht="13"/>
    <row r="302" ht="13"/>
    <row r="303" ht="13"/>
    <row r="304" ht="13"/>
    <row r="305" ht="13"/>
    <row r="306" ht="13"/>
    <row r="307" ht="13"/>
    <row r="308" ht="13"/>
    <row r="309" ht="13"/>
    <row r="310" ht="13"/>
    <row r="311" ht="13"/>
    <row r="312" ht="13"/>
    <row r="313" ht="13"/>
    <row r="314" ht="13"/>
    <row r="315" ht="13"/>
    <row r="316" ht="13"/>
    <row r="317" ht="13"/>
    <row r="318" ht="13"/>
    <row r="319" ht="13"/>
    <row r="320" ht="13"/>
    <row r="321" ht="13"/>
    <row r="322" ht="13"/>
    <row r="323" ht="13"/>
  </sheetData>
  <phoneticPr fontId="85"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S90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3984375" defaultRowHeight="15.75" customHeight="1"/>
  <cols>
    <col min="1" max="1" width="12.296875" customWidth="1"/>
    <col min="2" max="2" width="30" customWidth="1"/>
    <col min="3" max="3" width="55.59765625" customWidth="1"/>
    <col min="4" max="4" width="72.59765625" customWidth="1"/>
    <col min="5" max="5" width="16.8984375" customWidth="1"/>
    <col min="6" max="6" width="21" customWidth="1"/>
    <col min="7" max="7" width="24.296875" customWidth="1"/>
    <col min="8" max="8" width="24.09765625" customWidth="1"/>
    <col min="11" max="11" width="19.69921875" customWidth="1"/>
    <col min="12" max="12" width="22.296875" customWidth="1"/>
    <col min="14" max="14" width="18.59765625" customWidth="1"/>
    <col min="22" max="22" width="15.69921875" customWidth="1"/>
    <col min="23" max="23" width="16.69921875" customWidth="1"/>
    <col min="24" max="24" width="50" customWidth="1"/>
    <col min="25" max="27" width="8.3984375" customWidth="1"/>
    <col min="28" max="28" width="17" customWidth="1"/>
    <col min="29" max="29" width="15.3984375" customWidth="1"/>
    <col min="30" max="30" width="10.59765625" customWidth="1"/>
    <col min="31" max="31" width="15.3984375" customWidth="1"/>
    <col min="32" max="32" width="54.8984375" customWidth="1"/>
    <col min="33" max="33" width="60.59765625" customWidth="1"/>
    <col min="34" max="35" width="38.59765625" customWidth="1"/>
    <col min="36" max="36" width="33" customWidth="1"/>
    <col min="38" max="38" width="22" customWidth="1"/>
    <col min="39" max="39" width="31.69921875" customWidth="1"/>
    <col min="40" max="40" width="27.59765625" customWidth="1"/>
    <col min="41" max="41" width="21.3984375" customWidth="1"/>
    <col min="42" max="42" width="33.59765625" customWidth="1"/>
    <col min="43" max="43" width="23" customWidth="1"/>
    <col min="44" max="44" width="16.3984375" customWidth="1"/>
  </cols>
  <sheetData>
    <row r="1" spans="1:45" ht="15.5">
      <c r="A1" s="1"/>
      <c r="B1" s="1"/>
      <c r="C1" s="2"/>
      <c r="D1" s="3"/>
      <c r="E1" s="4" t="s">
        <v>0</v>
      </c>
      <c r="F1" s="4"/>
      <c r="G1" s="4"/>
      <c r="H1" s="5" t="s">
        <v>1</v>
      </c>
      <c r="I1" s="5"/>
      <c r="J1" s="5"/>
      <c r="K1" s="5"/>
      <c r="L1" s="5"/>
      <c r="M1" s="5"/>
      <c r="N1" s="5"/>
      <c r="O1" s="5"/>
      <c r="P1" s="5"/>
      <c r="Q1" s="5"/>
      <c r="R1" s="5"/>
      <c r="S1" s="5"/>
      <c r="T1" s="5"/>
      <c r="U1" s="5"/>
      <c r="V1" s="5"/>
      <c r="W1" s="6"/>
      <c r="AB1" s="7"/>
      <c r="AC1" s="8"/>
      <c r="AD1" s="9"/>
      <c r="AE1" s="9"/>
      <c r="AF1" s="9"/>
      <c r="AG1" s="9"/>
    </row>
    <row r="2" spans="1:45" ht="15.5">
      <c r="A2" s="1" t="s">
        <v>2</v>
      </c>
      <c r="B2" s="1" t="s">
        <v>3</v>
      </c>
      <c r="C2" s="2" t="s">
        <v>4</v>
      </c>
      <c r="D2" s="3" t="s">
        <v>5</v>
      </c>
      <c r="E2" s="4" t="s">
        <v>6</v>
      </c>
      <c r="F2" s="4" t="s">
        <v>7</v>
      </c>
      <c r="G2" s="4" t="s">
        <v>8</v>
      </c>
      <c r="H2" s="10" t="s">
        <v>9</v>
      </c>
      <c r="I2" s="10" t="s">
        <v>10</v>
      </c>
      <c r="J2" s="10" t="s">
        <v>11</v>
      </c>
      <c r="K2" s="10" t="s">
        <v>12</v>
      </c>
      <c r="L2" s="10" t="s">
        <v>13</v>
      </c>
      <c r="M2" s="10" t="s">
        <v>14</v>
      </c>
      <c r="N2" s="10" t="s">
        <v>15</v>
      </c>
      <c r="O2" s="10" t="s">
        <v>16</v>
      </c>
      <c r="P2" s="10" t="s">
        <v>17</v>
      </c>
      <c r="Q2" s="11" t="s">
        <v>18</v>
      </c>
      <c r="R2" s="11" t="s">
        <v>18</v>
      </c>
      <c r="S2" s="10" t="s">
        <v>19</v>
      </c>
      <c r="T2" s="10" t="s">
        <v>20</v>
      </c>
      <c r="U2" s="12" t="s">
        <v>21</v>
      </c>
      <c r="V2" s="12" t="s">
        <v>22</v>
      </c>
      <c r="W2" s="13" t="s">
        <v>23</v>
      </c>
      <c r="X2" s="14" t="s">
        <v>24</v>
      </c>
      <c r="Y2" s="15" t="s">
        <v>25</v>
      </c>
      <c r="Z2" s="15" t="s">
        <v>26</v>
      </c>
      <c r="AA2" s="15" t="s">
        <v>27</v>
      </c>
      <c r="AB2" s="1" t="s">
        <v>28</v>
      </c>
      <c r="AC2" s="8" t="s">
        <v>29</v>
      </c>
      <c r="AD2" s="9" t="s">
        <v>30</v>
      </c>
      <c r="AE2" s="9" t="s">
        <v>31</v>
      </c>
      <c r="AF2" s="9" t="s">
        <v>32</v>
      </c>
      <c r="AG2" s="9" t="s">
        <v>33</v>
      </c>
      <c r="AH2" s="16" t="s">
        <v>34</v>
      </c>
      <c r="AI2" s="17" t="s">
        <v>35</v>
      </c>
      <c r="AJ2" s="17" t="s">
        <v>36</v>
      </c>
      <c r="AK2" s="17" t="s">
        <v>37</v>
      </c>
      <c r="AL2" s="18" t="s">
        <v>38</v>
      </c>
      <c r="AM2" s="19" t="s">
        <v>39</v>
      </c>
      <c r="AN2" s="19" t="s">
        <v>40</v>
      </c>
      <c r="AO2" s="19" t="s">
        <v>41</v>
      </c>
      <c r="AP2" s="19" t="s">
        <v>42</v>
      </c>
      <c r="AQ2" s="20" t="s">
        <v>43</v>
      </c>
      <c r="AR2" s="20" t="s">
        <v>44</v>
      </c>
      <c r="AS2" s="21" t="s">
        <v>28</v>
      </c>
    </row>
    <row r="3" spans="1:45" ht="31">
      <c r="A3" s="7" t="s">
        <v>45</v>
      </c>
      <c r="B3" s="7" t="s">
        <v>46</v>
      </c>
      <c r="C3" s="22" t="s">
        <v>47</v>
      </c>
      <c r="D3" s="23" t="s">
        <v>48</v>
      </c>
      <c r="E3" s="22" t="s">
        <v>49</v>
      </c>
      <c r="F3" s="22" t="s">
        <v>50</v>
      </c>
      <c r="G3" s="22" t="s">
        <v>49</v>
      </c>
      <c r="H3" s="22" t="s">
        <v>51</v>
      </c>
      <c r="I3" s="22" t="s">
        <v>52</v>
      </c>
      <c r="J3" s="22" t="s">
        <v>53</v>
      </c>
      <c r="K3" s="22" t="s">
        <v>54</v>
      </c>
      <c r="L3" s="22" t="s">
        <v>55</v>
      </c>
      <c r="M3" s="22" t="s">
        <v>56</v>
      </c>
      <c r="N3" s="24" t="s">
        <v>57</v>
      </c>
      <c r="O3" s="22" t="s">
        <v>58</v>
      </c>
      <c r="P3" s="22" t="s">
        <v>59</v>
      </c>
      <c r="Q3" s="22" t="s">
        <v>60</v>
      </c>
      <c r="R3" s="25"/>
      <c r="S3" s="24" t="s">
        <v>61</v>
      </c>
      <c r="T3" s="22" t="s">
        <v>62</v>
      </c>
      <c r="U3" s="22" t="s">
        <v>63</v>
      </c>
      <c r="V3" s="22" t="s">
        <v>64</v>
      </c>
      <c r="W3" s="22" t="s">
        <v>65</v>
      </c>
      <c r="X3" s="26" t="s">
        <v>66</v>
      </c>
      <c r="Y3" s="22" t="s">
        <v>67</v>
      </c>
      <c r="Z3" s="22" t="s">
        <v>68</v>
      </c>
      <c r="AA3" s="22" t="s">
        <v>69</v>
      </c>
      <c r="AC3" s="22" t="s">
        <v>70</v>
      </c>
      <c r="AD3" s="27" t="s">
        <v>71</v>
      </c>
      <c r="AE3" s="22" t="s">
        <v>72</v>
      </c>
      <c r="AF3" s="28"/>
      <c r="AG3" s="29"/>
      <c r="AH3" s="22" t="s">
        <v>73</v>
      </c>
      <c r="AI3" s="25"/>
      <c r="AJ3" s="25"/>
      <c r="AK3" s="22" t="s">
        <v>74</v>
      </c>
      <c r="AL3" s="30"/>
      <c r="AQ3" s="25"/>
      <c r="AR3" s="25"/>
    </row>
    <row r="4" spans="1:45" ht="31">
      <c r="A4" s="7" t="s">
        <v>45</v>
      </c>
      <c r="B4" s="7" t="s">
        <v>75</v>
      </c>
      <c r="C4" s="22" t="s">
        <v>76</v>
      </c>
      <c r="D4" s="23" t="s">
        <v>77</v>
      </c>
      <c r="E4" s="22" t="s">
        <v>49</v>
      </c>
      <c r="F4" s="22" t="s">
        <v>78</v>
      </c>
      <c r="G4" s="22" t="s">
        <v>79</v>
      </c>
      <c r="H4" s="22" t="s">
        <v>80</v>
      </c>
      <c r="I4" s="22" t="s">
        <v>81</v>
      </c>
      <c r="J4" s="22" t="s">
        <v>53</v>
      </c>
      <c r="K4" s="22" t="s">
        <v>82</v>
      </c>
      <c r="L4" s="22" t="s">
        <v>53</v>
      </c>
      <c r="M4" s="22" t="s">
        <v>83</v>
      </c>
      <c r="N4" s="22" t="s">
        <v>59</v>
      </c>
      <c r="O4" s="22" t="s">
        <v>84</v>
      </c>
      <c r="P4" s="22" t="s">
        <v>85</v>
      </c>
      <c r="Q4" s="22" t="s">
        <v>86</v>
      </c>
      <c r="R4" s="22" t="s">
        <v>60</v>
      </c>
      <c r="S4" s="22" t="s">
        <v>85</v>
      </c>
      <c r="T4" s="22" t="s">
        <v>62</v>
      </c>
      <c r="U4" s="22" t="s">
        <v>63</v>
      </c>
      <c r="V4" s="22" t="s">
        <v>87</v>
      </c>
      <c r="W4" s="22" t="s">
        <v>65</v>
      </c>
      <c r="X4" s="26" t="s">
        <v>88</v>
      </c>
      <c r="Y4" s="22" t="s">
        <v>89</v>
      </c>
      <c r="Z4" s="22" t="s">
        <v>90</v>
      </c>
      <c r="AA4" s="22" t="s">
        <v>91</v>
      </c>
      <c r="AC4" s="22" t="s">
        <v>70</v>
      </c>
      <c r="AD4" s="27" t="s">
        <v>71</v>
      </c>
      <c r="AE4" s="22" t="s">
        <v>72</v>
      </c>
      <c r="AF4" s="28"/>
      <c r="AG4" s="29"/>
    </row>
    <row r="5" spans="1:45" ht="46.5">
      <c r="A5" s="7" t="s">
        <v>45</v>
      </c>
      <c r="B5" s="7" t="s">
        <v>92</v>
      </c>
      <c r="C5" s="22" t="s">
        <v>93</v>
      </c>
      <c r="D5" s="23" t="s">
        <v>94</v>
      </c>
      <c r="E5" s="22" t="s">
        <v>49</v>
      </c>
      <c r="F5" s="22" t="s">
        <v>95</v>
      </c>
      <c r="G5" s="22" t="s">
        <v>79</v>
      </c>
      <c r="H5" s="22" t="s">
        <v>51</v>
      </c>
      <c r="I5" s="22" t="s">
        <v>52</v>
      </c>
      <c r="J5" s="22" t="s">
        <v>53</v>
      </c>
      <c r="K5" s="22" t="s">
        <v>96</v>
      </c>
      <c r="L5" s="22" t="s">
        <v>55</v>
      </c>
      <c r="M5" s="22" t="s">
        <v>83</v>
      </c>
      <c r="N5" s="22" t="s">
        <v>59</v>
      </c>
      <c r="O5" s="22" t="s">
        <v>97</v>
      </c>
      <c r="P5" s="22" t="s">
        <v>59</v>
      </c>
      <c r="Q5" s="22" t="s">
        <v>98</v>
      </c>
      <c r="R5" s="25"/>
      <c r="S5" s="22" t="s">
        <v>61</v>
      </c>
      <c r="T5" s="22" t="s">
        <v>62</v>
      </c>
      <c r="U5" s="22" t="s">
        <v>63</v>
      </c>
      <c r="V5" s="22" t="s">
        <v>64</v>
      </c>
      <c r="W5" s="22" t="s">
        <v>65</v>
      </c>
      <c r="X5" s="31" t="s">
        <v>88</v>
      </c>
      <c r="Y5" s="22" t="s">
        <v>99</v>
      </c>
      <c r="Z5" s="22" t="s">
        <v>100</v>
      </c>
      <c r="AA5" s="22" t="s">
        <v>101</v>
      </c>
      <c r="AC5" s="22" t="s">
        <v>70</v>
      </c>
      <c r="AD5" s="27" t="s">
        <v>71</v>
      </c>
      <c r="AE5" s="22" t="s">
        <v>72</v>
      </c>
      <c r="AF5" s="32" t="s">
        <v>102</v>
      </c>
      <c r="AG5" s="33" t="s">
        <v>103</v>
      </c>
    </row>
    <row r="6" spans="1:45" ht="31">
      <c r="A6" s="7" t="s">
        <v>45</v>
      </c>
      <c r="B6" s="7" t="s">
        <v>104</v>
      </c>
      <c r="C6" s="22" t="s">
        <v>105</v>
      </c>
      <c r="D6" s="23" t="s">
        <v>106</v>
      </c>
      <c r="E6" s="22" t="s">
        <v>49</v>
      </c>
      <c r="F6" s="22" t="s">
        <v>50</v>
      </c>
      <c r="G6" s="22" t="s">
        <v>49</v>
      </c>
      <c r="H6" s="22" t="s">
        <v>51</v>
      </c>
      <c r="I6" s="22" t="s">
        <v>81</v>
      </c>
      <c r="J6" s="22" t="s">
        <v>107</v>
      </c>
      <c r="K6" s="22" t="s">
        <v>82</v>
      </c>
      <c r="L6" s="22" t="s">
        <v>53</v>
      </c>
      <c r="M6" s="22" t="s">
        <v>83</v>
      </c>
      <c r="N6" s="22" t="s">
        <v>108</v>
      </c>
      <c r="O6" s="22" t="s">
        <v>84</v>
      </c>
      <c r="P6" s="22" t="s">
        <v>59</v>
      </c>
      <c r="Q6" s="22" t="s">
        <v>63</v>
      </c>
      <c r="R6" s="25"/>
      <c r="S6" s="22" t="s">
        <v>109</v>
      </c>
      <c r="T6" s="22" t="s">
        <v>62</v>
      </c>
      <c r="U6" s="22" t="s">
        <v>63</v>
      </c>
      <c r="V6" s="22" t="s">
        <v>64</v>
      </c>
      <c r="W6" s="22" t="s">
        <v>65</v>
      </c>
      <c r="X6" s="31" t="s">
        <v>110</v>
      </c>
      <c r="Y6" s="22" t="s">
        <v>111</v>
      </c>
      <c r="Z6" s="22" t="s">
        <v>112</v>
      </c>
      <c r="AA6" s="22" t="s">
        <v>113</v>
      </c>
      <c r="AB6" s="22" t="s">
        <v>114</v>
      </c>
      <c r="AC6" s="22" t="s">
        <v>70</v>
      </c>
      <c r="AD6" s="27" t="s">
        <v>71</v>
      </c>
      <c r="AE6" s="22" t="s">
        <v>72</v>
      </c>
      <c r="AF6" s="34"/>
      <c r="AG6" s="34"/>
    </row>
    <row r="7" spans="1:45" ht="31">
      <c r="A7" s="7" t="s">
        <v>45</v>
      </c>
      <c r="B7" s="7" t="s">
        <v>115</v>
      </c>
      <c r="C7" s="22" t="s">
        <v>116</v>
      </c>
      <c r="D7" s="23" t="s">
        <v>117</v>
      </c>
      <c r="E7" s="22" t="s">
        <v>49</v>
      </c>
      <c r="F7" s="22" t="s">
        <v>78</v>
      </c>
      <c r="G7" s="22" t="s">
        <v>49</v>
      </c>
      <c r="H7" s="22" t="s">
        <v>51</v>
      </c>
      <c r="I7" s="22" t="s">
        <v>52</v>
      </c>
      <c r="J7" s="22" t="s">
        <v>53</v>
      </c>
      <c r="K7" s="22" t="s">
        <v>96</v>
      </c>
      <c r="L7" s="22" t="s">
        <v>55</v>
      </c>
      <c r="M7" s="22" t="s">
        <v>56</v>
      </c>
      <c r="N7" s="22" t="s">
        <v>59</v>
      </c>
      <c r="O7" s="22" t="s">
        <v>58</v>
      </c>
      <c r="P7" s="22" t="s">
        <v>59</v>
      </c>
      <c r="Q7" s="22" t="s">
        <v>98</v>
      </c>
      <c r="R7" s="25"/>
      <c r="S7" s="22" t="s">
        <v>61</v>
      </c>
      <c r="T7" s="22" t="s">
        <v>62</v>
      </c>
      <c r="U7" s="22" t="s">
        <v>63</v>
      </c>
      <c r="V7" s="22" t="s">
        <v>118</v>
      </c>
      <c r="W7" s="22" t="s">
        <v>65</v>
      </c>
      <c r="X7" s="26" t="s">
        <v>119</v>
      </c>
      <c r="Y7" s="22" t="s">
        <v>120</v>
      </c>
      <c r="Z7" s="22" t="s">
        <v>121</v>
      </c>
      <c r="AA7" s="22" t="s">
        <v>122</v>
      </c>
      <c r="AC7" s="22" t="s">
        <v>70</v>
      </c>
      <c r="AD7" s="27" t="s">
        <v>71</v>
      </c>
      <c r="AE7" s="22" t="s">
        <v>72</v>
      </c>
      <c r="AF7" s="28"/>
      <c r="AG7" s="29"/>
    </row>
    <row r="8" spans="1:45" ht="46.5">
      <c r="A8" s="7" t="s">
        <v>45</v>
      </c>
      <c r="B8" s="7" t="s">
        <v>123</v>
      </c>
      <c r="C8" s="22" t="s">
        <v>124</v>
      </c>
      <c r="D8" s="23" t="s">
        <v>125</v>
      </c>
      <c r="E8" s="22" t="s">
        <v>49</v>
      </c>
      <c r="F8" s="22" t="s">
        <v>95</v>
      </c>
      <c r="G8" s="22" t="s">
        <v>49</v>
      </c>
      <c r="H8" s="22" t="s">
        <v>126</v>
      </c>
      <c r="I8" s="22" t="s">
        <v>81</v>
      </c>
      <c r="J8" s="22" t="s">
        <v>127</v>
      </c>
      <c r="K8" s="22" t="s">
        <v>128</v>
      </c>
      <c r="L8" s="22" t="s">
        <v>53</v>
      </c>
      <c r="M8" s="22" t="s">
        <v>129</v>
      </c>
      <c r="N8" s="22" t="s">
        <v>59</v>
      </c>
      <c r="O8" s="22" t="s">
        <v>84</v>
      </c>
      <c r="P8" s="22" t="s">
        <v>109</v>
      </c>
      <c r="Q8" s="22" t="s">
        <v>130</v>
      </c>
      <c r="R8" s="25"/>
      <c r="S8" s="22" t="s">
        <v>109</v>
      </c>
      <c r="T8" s="22" t="s">
        <v>62</v>
      </c>
      <c r="U8" s="22" t="s">
        <v>63</v>
      </c>
      <c r="V8" s="22" t="s">
        <v>64</v>
      </c>
      <c r="W8" s="25"/>
      <c r="X8" s="35" t="s">
        <v>119</v>
      </c>
      <c r="Y8" s="22" t="s">
        <v>131</v>
      </c>
      <c r="Z8" s="22" t="s">
        <v>132</v>
      </c>
      <c r="AA8" s="22" t="s">
        <v>133</v>
      </c>
      <c r="AC8" s="22" t="s">
        <v>70</v>
      </c>
      <c r="AD8" s="27" t="s">
        <v>71</v>
      </c>
      <c r="AE8" s="22" t="s">
        <v>72</v>
      </c>
      <c r="AF8" s="36"/>
      <c r="AG8" s="34"/>
    </row>
    <row r="9" spans="1:45" ht="31">
      <c r="A9" s="7" t="s">
        <v>45</v>
      </c>
      <c r="B9" s="7" t="s">
        <v>134</v>
      </c>
      <c r="C9" s="22" t="s">
        <v>135</v>
      </c>
      <c r="D9" s="23" t="s">
        <v>136</v>
      </c>
      <c r="E9" s="22" t="s">
        <v>49</v>
      </c>
      <c r="F9" s="22" t="s">
        <v>78</v>
      </c>
      <c r="G9" s="22" t="s">
        <v>79</v>
      </c>
      <c r="H9" s="22" t="s">
        <v>51</v>
      </c>
      <c r="I9" s="22" t="s">
        <v>81</v>
      </c>
      <c r="J9" s="22" t="s">
        <v>53</v>
      </c>
      <c r="K9" s="22" t="s">
        <v>54</v>
      </c>
      <c r="L9" s="22" t="s">
        <v>53</v>
      </c>
      <c r="M9" s="22" t="s">
        <v>83</v>
      </c>
      <c r="N9" s="22" t="s">
        <v>59</v>
      </c>
      <c r="O9" s="22" t="s">
        <v>84</v>
      </c>
      <c r="P9" s="22" t="s">
        <v>137</v>
      </c>
      <c r="Q9" s="22" t="s">
        <v>60</v>
      </c>
      <c r="R9" s="25"/>
      <c r="S9" s="22" t="s">
        <v>85</v>
      </c>
      <c r="T9" s="22" t="s">
        <v>62</v>
      </c>
      <c r="U9" s="22" t="s">
        <v>63</v>
      </c>
      <c r="V9" s="22" t="s">
        <v>64</v>
      </c>
      <c r="W9" s="37"/>
      <c r="X9" s="26" t="s">
        <v>88</v>
      </c>
      <c r="Y9" s="22" t="s">
        <v>120</v>
      </c>
      <c r="Z9" s="22" t="s">
        <v>138</v>
      </c>
      <c r="AA9" s="22" t="s">
        <v>139</v>
      </c>
      <c r="AB9" s="37"/>
      <c r="AC9" s="22" t="s">
        <v>70</v>
      </c>
      <c r="AD9" s="27" t="s">
        <v>71</v>
      </c>
      <c r="AE9" s="22" t="s">
        <v>72</v>
      </c>
      <c r="AF9" s="33" t="s">
        <v>140</v>
      </c>
      <c r="AG9" s="33" t="s">
        <v>103</v>
      </c>
    </row>
    <row r="10" spans="1:45" ht="46.5">
      <c r="A10" s="7" t="s">
        <v>45</v>
      </c>
      <c r="B10" s="7" t="s">
        <v>141</v>
      </c>
      <c r="C10" s="22" t="s">
        <v>142</v>
      </c>
      <c r="D10" s="23" t="s">
        <v>143</v>
      </c>
      <c r="E10" s="22" t="s">
        <v>49</v>
      </c>
      <c r="F10" s="22" t="s">
        <v>78</v>
      </c>
      <c r="G10" s="22" t="s">
        <v>79</v>
      </c>
      <c r="H10" s="22" t="s">
        <v>126</v>
      </c>
      <c r="I10" s="22" t="s">
        <v>52</v>
      </c>
      <c r="J10" s="22" t="s">
        <v>53</v>
      </c>
      <c r="K10" s="22" t="s">
        <v>144</v>
      </c>
      <c r="L10" s="22" t="s">
        <v>53</v>
      </c>
      <c r="M10" s="22" t="s">
        <v>83</v>
      </c>
      <c r="N10" s="22" t="s">
        <v>59</v>
      </c>
      <c r="O10" s="22" t="s">
        <v>84</v>
      </c>
      <c r="P10" s="22" t="s">
        <v>108</v>
      </c>
      <c r="Q10" s="22" t="s">
        <v>60</v>
      </c>
      <c r="R10" s="25"/>
      <c r="S10" s="22" t="s">
        <v>61</v>
      </c>
      <c r="T10" s="22" t="s">
        <v>62</v>
      </c>
      <c r="U10" s="22" t="s">
        <v>63</v>
      </c>
      <c r="V10" s="22" t="s">
        <v>64</v>
      </c>
      <c r="W10" s="22"/>
      <c r="X10" s="26" t="s">
        <v>145</v>
      </c>
      <c r="Y10" s="22" t="s">
        <v>146</v>
      </c>
      <c r="Z10" s="22" t="s">
        <v>147</v>
      </c>
      <c r="AA10" s="22" t="s">
        <v>148</v>
      </c>
      <c r="AC10" s="22" t="s">
        <v>70</v>
      </c>
      <c r="AD10" s="27" t="s">
        <v>71</v>
      </c>
      <c r="AE10" s="22" t="s">
        <v>72</v>
      </c>
      <c r="AF10" s="34"/>
      <c r="AG10" s="34"/>
    </row>
    <row r="11" spans="1:45" ht="46.5">
      <c r="A11" s="7" t="s">
        <v>45</v>
      </c>
      <c r="B11" s="7" t="s">
        <v>149</v>
      </c>
      <c r="C11" s="22" t="s">
        <v>150</v>
      </c>
      <c r="D11" s="23" t="s">
        <v>151</v>
      </c>
      <c r="E11" s="22" t="s">
        <v>49</v>
      </c>
      <c r="F11" s="22" t="s">
        <v>95</v>
      </c>
      <c r="G11" s="22" t="s">
        <v>79</v>
      </c>
      <c r="H11" s="22" t="s">
        <v>126</v>
      </c>
      <c r="I11" s="22" t="s">
        <v>81</v>
      </c>
      <c r="J11" s="22" t="s">
        <v>53</v>
      </c>
      <c r="K11" s="22" t="s">
        <v>128</v>
      </c>
      <c r="L11" s="22" t="s">
        <v>53</v>
      </c>
      <c r="M11" s="22" t="s">
        <v>83</v>
      </c>
      <c r="N11" s="22" t="s">
        <v>152</v>
      </c>
      <c r="O11" s="22" t="s">
        <v>84</v>
      </c>
      <c r="P11" s="22" t="s">
        <v>59</v>
      </c>
      <c r="Q11" s="22" t="s">
        <v>153</v>
      </c>
      <c r="R11" s="25"/>
      <c r="S11" s="22" t="s">
        <v>152</v>
      </c>
      <c r="T11" s="22" t="s">
        <v>62</v>
      </c>
      <c r="U11" s="22" t="s">
        <v>63</v>
      </c>
      <c r="V11" s="22" t="s">
        <v>118</v>
      </c>
      <c r="W11" s="22"/>
      <c r="X11" s="26" t="s">
        <v>154</v>
      </c>
      <c r="Y11" s="22" t="s">
        <v>89</v>
      </c>
      <c r="Z11" s="22" t="s">
        <v>155</v>
      </c>
      <c r="AA11" s="22" t="s">
        <v>156</v>
      </c>
      <c r="AB11" s="22" t="s">
        <v>157</v>
      </c>
      <c r="AC11" s="22" t="s">
        <v>70</v>
      </c>
      <c r="AD11" s="27" t="s">
        <v>71</v>
      </c>
      <c r="AE11" s="22" t="s">
        <v>72</v>
      </c>
      <c r="AF11" s="34"/>
      <c r="AG11" s="34"/>
    </row>
    <row r="12" spans="1:45" ht="31">
      <c r="A12" s="7" t="s">
        <v>45</v>
      </c>
      <c r="B12" s="7" t="s">
        <v>158</v>
      </c>
      <c r="C12" s="22" t="s">
        <v>159</v>
      </c>
      <c r="D12" s="23" t="s">
        <v>160</v>
      </c>
      <c r="E12" s="22" t="s">
        <v>49</v>
      </c>
      <c r="F12" s="22" t="s">
        <v>95</v>
      </c>
      <c r="G12" s="22" t="s">
        <v>49</v>
      </c>
      <c r="H12" s="22" t="s">
        <v>51</v>
      </c>
      <c r="I12" s="22" t="s">
        <v>52</v>
      </c>
      <c r="J12" s="22" t="s">
        <v>127</v>
      </c>
      <c r="K12" s="22" t="s">
        <v>54</v>
      </c>
      <c r="L12" s="22" t="s">
        <v>55</v>
      </c>
      <c r="M12" s="22" t="s">
        <v>83</v>
      </c>
      <c r="N12" s="22" t="s">
        <v>59</v>
      </c>
      <c r="O12" s="22" t="s">
        <v>84</v>
      </c>
      <c r="P12" s="22" t="s">
        <v>85</v>
      </c>
      <c r="Q12" s="22" t="s">
        <v>60</v>
      </c>
      <c r="R12" s="25"/>
      <c r="S12" s="22" t="s">
        <v>85</v>
      </c>
      <c r="T12" s="22" t="s">
        <v>62</v>
      </c>
      <c r="U12" s="22" t="s">
        <v>63</v>
      </c>
      <c r="V12" s="22" t="s">
        <v>64</v>
      </c>
      <c r="W12" s="37"/>
      <c r="X12" s="26" t="s">
        <v>161</v>
      </c>
      <c r="Y12" s="22" t="s">
        <v>162</v>
      </c>
      <c r="Z12" s="22" t="s">
        <v>163</v>
      </c>
      <c r="AA12" s="22" t="s">
        <v>164</v>
      </c>
      <c r="AB12" s="37"/>
      <c r="AC12" s="22" t="s">
        <v>70</v>
      </c>
      <c r="AD12" s="27" t="s">
        <v>71</v>
      </c>
      <c r="AE12" s="22" t="s">
        <v>72</v>
      </c>
      <c r="AF12" s="33" t="s">
        <v>165</v>
      </c>
      <c r="AG12" s="33" t="s">
        <v>103</v>
      </c>
    </row>
    <row r="13" spans="1:45" ht="46.5">
      <c r="A13" s="7" t="s">
        <v>45</v>
      </c>
      <c r="B13" s="7" t="s">
        <v>166</v>
      </c>
      <c r="C13" s="22" t="s">
        <v>167</v>
      </c>
      <c r="D13" s="23" t="s">
        <v>168</v>
      </c>
      <c r="E13" s="22" t="s">
        <v>49</v>
      </c>
      <c r="F13" s="22" t="s">
        <v>50</v>
      </c>
      <c r="G13" s="22" t="s">
        <v>49</v>
      </c>
      <c r="H13" s="22" t="s">
        <v>169</v>
      </c>
      <c r="I13" s="22" t="s">
        <v>52</v>
      </c>
      <c r="J13" s="22" t="s">
        <v>53</v>
      </c>
      <c r="K13" s="22" t="s">
        <v>170</v>
      </c>
      <c r="L13" s="22" t="s">
        <v>53</v>
      </c>
      <c r="M13" s="22" t="s">
        <v>171</v>
      </c>
      <c r="N13" s="22" t="s">
        <v>59</v>
      </c>
      <c r="O13" s="22" t="s">
        <v>84</v>
      </c>
      <c r="P13" s="22" t="s">
        <v>57</v>
      </c>
      <c r="Q13" s="22" t="s">
        <v>60</v>
      </c>
      <c r="R13" s="25"/>
      <c r="S13" s="22" t="s">
        <v>61</v>
      </c>
      <c r="T13" s="22" t="s">
        <v>62</v>
      </c>
      <c r="U13" s="22" t="s">
        <v>63</v>
      </c>
      <c r="V13" s="22" t="s">
        <v>172</v>
      </c>
      <c r="W13" s="22" t="s">
        <v>65</v>
      </c>
      <c r="X13" s="35" t="s">
        <v>173</v>
      </c>
      <c r="Y13" s="22" t="s">
        <v>89</v>
      </c>
      <c r="Z13" s="22" t="s">
        <v>174</v>
      </c>
      <c r="AA13" s="22" t="s">
        <v>175</v>
      </c>
      <c r="AC13" s="22" t="s">
        <v>176</v>
      </c>
      <c r="AD13" s="27" t="s">
        <v>71</v>
      </c>
      <c r="AE13" s="22" t="s">
        <v>72</v>
      </c>
      <c r="AF13" s="33" t="s">
        <v>177</v>
      </c>
      <c r="AG13" s="33" t="s">
        <v>178</v>
      </c>
    </row>
    <row r="14" spans="1:45" ht="46.5">
      <c r="A14" s="7" t="s">
        <v>45</v>
      </c>
      <c r="B14" s="38" t="s">
        <v>179</v>
      </c>
      <c r="C14" s="22" t="s">
        <v>180</v>
      </c>
      <c r="D14" s="23" t="s">
        <v>181</v>
      </c>
      <c r="E14" s="22" t="s">
        <v>49</v>
      </c>
      <c r="F14" s="22" t="s">
        <v>50</v>
      </c>
      <c r="G14" s="22" t="s">
        <v>49</v>
      </c>
      <c r="H14" s="22" t="s">
        <v>51</v>
      </c>
      <c r="I14" s="22" t="s">
        <v>81</v>
      </c>
      <c r="J14" s="22" t="s">
        <v>53</v>
      </c>
      <c r="K14" s="22" t="s">
        <v>182</v>
      </c>
      <c r="L14" s="22" t="s">
        <v>53</v>
      </c>
      <c r="M14" s="22" t="s">
        <v>83</v>
      </c>
      <c r="N14" s="22" t="s">
        <v>59</v>
      </c>
      <c r="O14" s="22" t="s">
        <v>84</v>
      </c>
      <c r="P14" s="22" t="s">
        <v>108</v>
      </c>
      <c r="Q14" s="22" t="s">
        <v>183</v>
      </c>
      <c r="R14" s="22" t="s">
        <v>86</v>
      </c>
      <c r="S14" s="22" t="s">
        <v>85</v>
      </c>
      <c r="T14" s="22" t="s">
        <v>62</v>
      </c>
      <c r="U14" s="22" t="s">
        <v>63</v>
      </c>
      <c r="V14" s="22" t="s">
        <v>118</v>
      </c>
      <c r="W14" s="22" t="s">
        <v>65</v>
      </c>
      <c r="X14" s="35" t="s">
        <v>173</v>
      </c>
      <c r="Y14" s="22" t="s">
        <v>184</v>
      </c>
      <c r="Z14" s="22" t="s">
        <v>185</v>
      </c>
      <c r="AA14" s="22" t="s">
        <v>186</v>
      </c>
      <c r="AC14" s="22" t="s">
        <v>176</v>
      </c>
      <c r="AD14" s="27" t="s">
        <v>71</v>
      </c>
      <c r="AE14" s="22" t="s">
        <v>72</v>
      </c>
      <c r="AF14" s="33" t="s">
        <v>187</v>
      </c>
      <c r="AG14" s="33" t="s">
        <v>188</v>
      </c>
    </row>
    <row r="15" spans="1:45" ht="46.5">
      <c r="A15" s="7" t="s">
        <v>45</v>
      </c>
      <c r="B15" s="39" t="s">
        <v>189</v>
      </c>
      <c r="C15" s="22" t="s">
        <v>190</v>
      </c>
      <c r="D15" s="23" t="s">
        <v>191</v>
      </c>
      <c r="E15" s="22" t="s">
        <v>49</v>
      </c>
      <c r="F15" s="22" t="s">
        <v>50</v>
      </c>
      <c r="G15" s="22" t="s">
        <v>49</v>
      </c>
      <c r="H15" s="22" t="s">
        <v>192</v>
      </c>
      <c r="I15" s="22" t="s">
        <v>81</v>
      </c>
      <c r="J15" s="22" t="s">
        <v>53</v>
      </c>
      <c r="K15" s="22" t="s">
        <v>182</v>
      </c>
      <c r="L15" s="22" t="s">
        <v>53</v>
      </c>
      <c r="M15" s="22" t="s">
        <v>83</v>
      </c>
      <c r="N15" s="22" t="s">
        <v>59</v>
      </c>
      <c r="O15" s="22" t="s">
        <v>193</v>
      </c>
      <c r="P15" s="22" t="s">
        <v>194</v>
      </c>
      <c r="Q15" s="22" t="s">
        <v>63</v>
      </c>
      <c r="R15" s="25"/>
      <c r="S15" s="22" t="s">
        <v>85</v>
      </c>
      <c r="T15" s="22" t="s">
        <v>62</v>
      </c>
      <c r="U15" s="22" t="s">
        <v>63</v>
      </c>
      <c r="V15" s="22" t="s">
        <v>64</v>
      </c>
      <c r="W15" s="22" t="s">
        <v>65</v>
      </c>
      <c r="X15" s="35" t="s">
        <v>173</v>
      </c>
      <c r="Y15" s="40" t="s">
        <v>195</v>
      </c>
      <c r="Z15" s="22" t="s">
        <v>101</v>
      </c>
      <c r="AA15" s="22" t="s">
        <v>196</v>
      </c>
      <c r="AB15" s="22" t="s">
        <v>197</v>
      </c>
      <c r="AC15" s="22" t="s">
        <v>176</v>
      </c>
      <c r="AD15" s="27" t="s">
        <v>71</v>
      </c>
      <c r="AE15" s="22" t="s">
        <v>72</v>
      </c>
      <c r="AF15" s="33" t="s">
        <v>198</v>
      </c>
      <c r="AG15" s="33" t="s">
        <v>199</v>
      </c>
    </row>
    <row r="16" spans="1:45" ht="31">
      <c r="A16" s="7" t="s">
        <v>45</v>
      </c>
      <c r="B16" s="39" t="s">
        <v>200</v>
      </c>
      <c r="C16" s="22" t="s">
        <v>201</v>
      </c>
      <c r="D16" s="23" t="s">
        <v>202</v>
      </c>
      <c r="E16" s="22" t="s">
        <v>49</v>
      </c>
      <c r="F16" s="22" t="s">
        <v>50</v>
      </c>
      <c r="G16" s="22" t="s">
        <v>49</v>
      </c>
      <c r="H16" s="22" t="s">
        <v>51</v>
      </c>
      <c r="I16" s="22" t="s">
        <v>81</v>
      </c>
      <c r="J16" s="22" t="s">
        <v>109</v>
      </c>
      <c r="K16" s="22" t="s">
        <v>182</v>
      </c>
      <c r="L16" s="22" t="s">
        <v>53</v>
      </c>
      <c r="M16" s="22" t="s">
        <v>83</v>
      </c>
      <c r="N16" s="22" t="s">
        <v>59</v>
      </c>
      <c r="O16" s="22" t="s">
        <v>84</v>
      </c>
      <c r="P16" s="22" t="s">
        <v>109</v>
      </c>
      <c r="Q16" s="22" t="s">
        <v>203</v>
      </c>
      <c r="R16" s="25"/>
      <c r="S16" s="22" t="s">
        <v>85</v>
      </c>
      <c r="T16" s="22" t="s">
        <v>62</v>
      </c>
      <c r="U16" s="22" t="s">
        <v>63</v>
      </c>
      <c r="V16" s="22" t="s">
        <v>64</v>
      </c>
      <c r="W16" s="22" t="s">
        <v>65</v>
      </c>
      <c r="X16" s="35" t="s">
        <v>173</v>
      </c>
      <c r="Y16" s="40" t="s">
        <v>204</v>
      </c>
      <c r="Z16" s="22" t="s">
        <v>205</v>
      </c>
      <c r="AA16" s="22" t="s">
        <v>206</v>
      </c>
      <c r="AB16" s="22" t="s">
        <v>207</v>
      </c>
      <c r="AC16" s="22" t="s">
        <v>176</v>
      </c>
      <c r="AD16" s="27" t="s">
        <v>71</v>
      </c>
      <c r="AE16" s="22" t="s">
        <v>72</v>
      </c>
      <c r="AF16" s="33" t="s">
        <v>208</v>
      </c>
      <c r="AG16" s="33" t="s">
        <v>209</v>
      </c>
    </row>
    <row r="17" spans="1:33" ht="46.5">
      <c r="A17" s="7" t="s">
        <v>45</v>
      </c>
      <c r="B17" s="39" t="s">
        <v>210</v>
      </c>
      <c r="C17" s="22" t="s">
        <v>211</v>
      </c>
      <c r="D17" s="23" t="s">
        <v>212</v>
      </c>
      <c r="E17" s="22" t="s">
        <v>49</v>
      </c>
      <c r="F17" s="22" t="s">
        <v>50</v>
      </c>
      <c r="G17" s="22" t="s">
        <v>49</v>
      </c>
      <c r="H17" s="22" t="s">
        <v>80</v>
      </c>
      <c r="I17" s="22" t="s">
        <v>81</v>
      </c>
      <c r="J17" s="22" t="s">
        <v>53</v>
      </c>
      <c r="K17" s="22" t="s">
        <v>96</v>
      </c>
      <c r="L17" s="22" t="s">
        <v>53</v>
      </c>
      <c r="M17" s="22" t="s">
        <v>83</v>
      </c>
      <c r="N17" s="22" t="s">
        <v>59</v>
      </c>
      <c r="O17" s="22" t="s">
        <v>84</v>
      </c>
      <c r="P17" s="22" t="s">
        <v>194</v>
      </c>
      <c r="Q17" s="22" t="s">
        <v>86</v>
      </c>
      <c r="R17" s="25"/>
      <c r="S17" s="22" t="s">
        <v>85</v>
      </c>
      <c r="T17" s="22" t="s">
        <v>62</v>
      </c>
      <c r="U17" s="22" t="s">
        <v>63</v>
      </c>
      <c r="V17" s="22" t="s">
        <v>64</v>
      </c>
      <c r="W17" s="22" t="s">
        <v>65</v>
      </c>
      <c r="X17" s="35" t="s">
        <v>173</v>
      </c>
      <c r="Y17" s="40" t="s">
        <v>213</v>
      </c>
      <c r="Z17" s="22" t="s">
        <v>214</v>
      </c>
      <c r="AA17" s="22" t="s">
        <v>215</v>
      </c>
      <c r="AB17" s="22"/>
      <c r="AC17" s="22" t="s">
        <v>176</v>
      </c>
      <c r="AD17" s="27" t="s">
        <v>71</v>
      </c>
      <c r="AE17" s="22" t="s">
        <v>72</v>
      </c>
      <c r="AF17" s="33" t="s">
        <v>216</v>
      </c>
      <c r="AG17" s="33" t="s">
        <v>217</v>
      </c>
    </row>
    <row r="18" spans="1:33" ht="46.5">
      <c r="A18" s="7" t="s">
        <v>45</v>
      </c>
      <c r="B18" s="38" t="s">
        <v>218</v>
      </c>
      <c r="C18" s="22" t="s">
        <v>219</v>
      </c>
      <c r="D18" s="23" t="s">
        <v>220</v>
      </c>
      <c r="E18" s="22" t="s">
        <v>49</v>
      </c>
      <c r="F18" s="22" t="s">
        <v>95</v>
      </c>
      <c r="G18" s="22" t="s">
        <v>49</v>
      </c>
      <c r="H18" s="22" t="s">
        <v>126</v>
      </c>
      <c r="I18" s="22" t="s">
        <v>221</v>
      </c>
      <c r="J18" s="22" t="s">
        <v>107</v>
      </c>
      <c r="K18" s="22" t="s">
        <v>144</v>
      </c>
      <c r="L18" s="22" t="s">
        <v>53</v>
      </c>
      <c r="M18" s="22" t="s">
        <v>83</v>
      </c>
      <c r="N18" s="22" t="s">
        <v>59</v>
      </c>
      <c r="O18" s="22" t="s">
        <v>84</v>
      </c>
      <c r="P18" s="22" t="s">
        <v>108</v>
      </c>
      <c r="Q18" s="22" t="s">
        <v>130</v>
      </c>
      <c r="R18" s="25"/>
      <c r="S18" s="22" t="s">
        <v>85</v>
      </c>
      <c r="T18" s="22" t="s">
        <v>62</v>
      </c>
      <c r="U18" s="22" t="s">
        <v>63</v>
      </c>
      <c r="V18" s="22" t="s">
        <v>64</v>
      </c>
      <c r="W18" s="22" t="s">
        <v>65</v>
      </c>
      <c r="X18" s="35" t="s">
        <v>173</v>
      </c>
      <c r="Y18" s="22" t="s">
        <v>222</v>
      </c>
      <c r="Z18" s="22" t="s">
        <v>223</v>
      </c>
      <c r="AA18" s="22" t="s">
        <v>224</v>
      </c>
      <c r="AB18" s="22" t="s">
        <v>225</v>
      </c>
      <c r="AC18" s="22" t="s">
        <v>176</v>
      </c>
      <c r="AD18" s="27" t="s">
        <v>71</v>
      </c>
      <c r="AE18" s="22" t="s">
        <v>72</v>
      </c>
      <c r="AF18" s="34"/>
      <c r="AG18" s="34"/>
    </row>
    <row r="19" spans="1:33" ht="46.5">
      <c r="A19" s="7" t="s">
        <v>45</v>
      </c>
      <c r="B19" s="38" t="s">
        <v>226</v>
      </c>
      <c r="C19" s="22" t="s">
        <v>135</v>
      </c>
      <c r="D19" s="23" t="s">
        <v>227</v>
      </c>
      <c r="E19" s="22" t="s">
        <v>49</v>
      </c>
      <c r="F19" s="22" t="s">
        <v>228</v>
      </c>
      <c r="G19" s="22" t="s">
        <v>49</v>
      </c>
      <c r="H19" s="22" t="s">
        <v>126</v>
      </c>
      <c r="I19" s="22" t="s">
        <v>81</v>
      </c>
      <c r="J19" s="22" t="s">
        <v>53</v>
      </c>
      <c r="K19" s="22" t="s">
        <v>229</v>
      </c>
      <c r="L19" s="22" t="s">
        <v>55</v>
      </c>
      <c r="M19" s="22" t="s">
        <v>83</v>
      </c>
      <c r="N19" s="22" t="s">
        <v>59</v>
      </c>
      <c r="O19" s="22" t="s">
        <v>84</v>
      </c>
      <c r="P19" s="22" t="s">
        <v>137</v>
      </c>
      <c r="Q19" s="22" t="s">
        <v>60</v>
      </c>
      <c r="R19" s="25"/>
      <c r="S19" s="22" t="s">
        <v>61</v>
      </c>
      <c r="T19" s="22" t="s">
        <v>62</v>
      </c>
      <c r="U19" s="22" t="s">
        <v>63</v>
      </c>
      <c r="V19" s="22" t="s">
        <v>64</v>
      </c>
      <c r="W19" s="22" t="s">
        <v>65</v>
      </c>
      <c r="X19" s="35" t="s">
        <v>230</v>
      </c>
      <c r="Y19" s="22" t="s">
        <v>231</v>
      </c>
      <c r="Z19" s="22" t="s">
        <v>232</v>
      </c>
      <c r="AA19" s="22" t="s">
        <v>233</v>
      </c>
      <c r="AC19" s="22" t="s">
        <v>176</v>
      </c>
      <c r="AD19" s="27" t="s">
        <v>71</v>
      </c>
      <c r="AE19" s="22" t="s">
        <v>72</v>
      </c>
      <c r="AF19" s="34"/>
      <c r="AG19" s="34"/>
    </row>
    <row r="20" spans="1:33" ht="46.5">
      <c r="A20" s="7" t="s">
        <v>45</v>
      </c>
      <c r="B20" s="38" t="s">
        <v>234</v>
      </c>
      <c r="C20" s="22" t="s">
        <v>235</v>
      </c>
      <c r="D20" s="23" t="s">
        <v>236</v>
      </c>
      <c r="E20" s="22" t="s">
        <v>49</v>
      </c>
      <c r="F20" s="22" t="s">
        <v>95</v>
      </c>
      <c r="G20" s="22" t="s">
        <v>49</v>
      </c>
      <c r="H20" s="22" t="s">
        <v>237</v>
      </c>
      <c r="I20" s="22" t="s">
        <v>52</v>
      </c>
      <c r="J20" s="22" t="s">
        <v>53</v>
      </c>
      <c r="K20" s="22" t="s">
        <v>182</v>
      </c>
      <c r="L20" s="22" t="s">
        <v>53</v>
      </c>
      <c r="M20" s="22" t="s">
        <v>83</v>
      </c>
      <c r="N20" s="22" t="s">
        <v>59</v>
      </c>
      <c r="O20" s="22" t="s">
        <v>84</v>
      </c>
      <c r="P20" s="22" t="s">
        <v>59</v>
      </c>
      <c r="Q20" s="22" t="s">
        <v>238</v>
      </c>
      <c r="R20" s="25"/>
      <c r="S20" s="22" t="s">
        <v>61</v>
      </c>
      <c r="T20" s="22" t="s">
        <v>62</v>
      </c>
      <c r="U20" s="22" t="s">
        <v>63</v>
      </c>
      <c r="V20" s="22" t="s">
        <v>64</v>
      </c>
      <c r="W20" s="22" t="s">
        <v>65</v>
      </c>
      <c r="X20" s="35" t="s">
        <v>239</v>
      </c>
      <c r="Y20" s="22" t="s">
        <v>240</v>
      </c>
      <c r="Z20" s="22" t="s">
        <v>241</v>
      </c>
      <c r="AA20" s="22" t="s">
        <v>242</v>
      </c>
      <c r="AB20" s="22" t="s">
        <v>243</v>
      </c>
      <c r="AC20" s="22" t="s">
        <v>176</v>
      </c>
      <c r="AD20" s="27" t="s">
        <v>71</v>
      </c>
      <c r="AE20" s="22" t="s">
        <v>244</v>
      </c>
      <c r="AF20" s="28"/>
      <c r="AG20" s="34"/>
    </row>
    <row r="21" spans="1:33" ht="31">
      <c r="A21" s="7" t="s">
        <v>45</v>
      </c>
      <c r="B21" s="38" t="s">
        <v>245</v>
      </c>
      <c r="C21" s="22" t="s">
        <v>246</v>
      </c>
      <c r="D21" s="23" t="s">
        <v>247</v>
      </c>
      <c r="E21" s="22" t="s">
        <v>49</v>
      </c>
      <c r="F21" s="22" t="s">
        <v>95</v>
      </c>
      <c r="G21" s="22" t="s">
        <v>49</v>
      </c>
      <c r="H21" s="22" t="s">
        <v>51</v>
      </c>
      <c r="I21" s="22" t="s">
        <v>81</v>
      </c>
      <c r="J21" s="22" t="s">
        <v>53</v>
      </c>
      <c r="K21" s="22" t="s">
        <v>182</v>
      </c>
      <c r="L21" s="22" t="s">
        <v>53</v>
      </c>
      <c r="M21" s="22" t="s">
        <v>129</v>
      </c>
      <c r="N21" s="22" t="s">
        <v>59</v>
      </c>
      <c r="O21" s="22" t="s">
        <v>84</v>
      </c>
      <c r="P21" s="22" t="s">
        <v>194</v>
      </c>
      <c r="Q21" s="22" t="s">
        <v>86</v>
      </c>
      <c r="R21" s="25"/>
      <c r="S21" s="22" t="s">
        <v>85</v>
      </c>
      <c r="T21" s="22" t="s">
        <v>62</v>
      </c>
      <c r="U21" s="22" t="s">
        <v>63</v>
      </c>
      <c r="V21" s="22" t="s">
        <v>118</v>
      </c>
      <c r="W21" s="22" t="s">
        <v>65</v>
      </c>
      <c r="X21" s="35" t="s">
        <v>239</v>
      </c>
      <c r="Y21" s="22" t="s">
        <v>248</v>
      </c>
      <c r="Z21" s="22" t="s">
        <v>249</v>
      </c>
      <c r="AA21" s="22" t="s">
        <v>250</v>
      </c>
      <c r="AC21" s="22" t="s">
        <v>176</v>
      </c>
      <c r="AD21" s="27" t="s">
        <v>71</v>
      </c>
      <c r="AE21" s="22" t="s">
        <v>244</v>
      </c>
      <c r="AF21" s="34"/>
      <c r="AG21" s="34"/>
    </row>
    <row r="22" spans="1:33" ht="46.5">
      <c r="A22" s="7" t="s">
        <v>45</v>
      </c>
      <c r="B22" s="38" t="s">
        <v>251</v>
      </c>
      <c r="C22" s="7" t="s">
        <v>252</v>
      </c>
      <c r="D22" s="23" t="s">
        <v>253</v>
      </c>
      <c r="E22" s="22" t="s">
        <v>49</v>
      </c>
      <c r="F22" s="22" t="s">
        <v>50</v>
      </c>
      <c r="G22" s="22" t="s">
        <v>49</v>
      </c>
      <c r="H22" s="22" t="s">
        <v>169</v>
      </c>
      <c r="I22" s="22" t="s">
        <v>52</v>
      </c>
      <c r="J22" s="22" t="s">
        <v>53</v>
      </c>
      <c r="K22" s="22" t="s">
        <v>170</v>
      </c>
      <c r="L22" s="22" t="s">
        <v>55</v>
      </c>
      <c r="M22" s="22" t="s">
        <v>129</v>
      </c>
      <c r="N22" s="22" t="s">
        <v>59</v>
      </c>
      <c r="O22" s="22" t="s">
        <v>84</v>
      </c>
      <c r="P22" s="22" t="s">
        <v>194</v>
      </c>
      <c r="Q22" s="22" t="s">
        <v>60</v>
      </c>
      <c r="R22" s="25"/>
      <c r="S22" s="22" t="s">
        <v>85</v>
      </c>
      <c r="T22" s="22" t="s">
        <v>62</v>
      </c>
      <c r="U22" s="22" t="s">
        <v>63</v>
      </c>
      <c r="V22" s="22" t="s">
        <v>64</v>
      </c>
      <c r="W22" s="22" t="s">
        <v>65</v>
      </c>
      <c r="X22" s="35" t="s">
        <v>239</v>
      </c>
      <c r="Y22" s="40" t="s">
        <v>254</v>
      </c>
      <c r="Z22" s="22" t="s">
        <v>255</v>
      </c>
      <c r="AA22" s="22" t="s">
        <v>256</v>
      </c>
      <c r="AB22" s="22" t="s">
        <v>257</v>
      </c>
      <c r="AC22" s="22" t="s">
        <v>176</v>
      </c>
      <c r="AD22" s="27" t="s">
        <v>71</v>
      </c>
      <c r="AE22" s="22" t="s">
        <v>244</v>
      </c>
      <c r="AF22" s="28"/>
      <c r="AG22" s="34"/>
    </row>
    <row r="23" spans="1:33" ht="31">
      <c r="A23" s="7" t="s">
        <v>45</v>
      </c>
      <c r="B23" s="38" t="s">
        <v>258</v>
      </c>
      <c r="C23" s="41" t="s">
        <v>259</v>
      </c>
      <c r="D23" s="42" t="s">
        <v>260</v>
      </c>
      <c r="E23" s="22" t="s">
        <v>49</v>
      </c>
      <c r="F23" s="22" t="s">
        <v>50</v>
      </c>
      <c r="G23" s="22" t="s">
        <v>49</v>
      </c>
      <c r="H23" s="22" t="s">
        <v>192</v>
      </c>
      <c r="I23" s="43" t="s">
        <v>81</v>
      </c>
      <c r="J23" s="22" t="s">
        <v>109</v>
      </c>
      <c r="K23" s="22" t="s">
        <v>144</v>
      </c>
      <c r="L23" s="22" t="s">
        <v>53</v>
      </c>
      <c r="M23" s="22" t="s">
        <v>129</v>
      </c>
      <c r="N23" s="22" t="s">
        <v>59</v>
      </c>
      <c r="O23" s="22" t="s">
        <v>84</v>
      </c>
      <c r="P23" s="22" t="s">
        <v>109</v>
      </c>
      <c r="Q23" s="43" t="s">
        <v>60</v>
      </c>
      <c r="R23" s="25"/>
      <c r="S23" s="22" t="s">
        <v>109</v>
      </c>
      <c r="T23" s="22" t="s">
        <v>62</v>
      </c>
      <c r="U23" s="22" t="s">
        <v>63</v>
      </c>
      <c r="V23" s="22" t="s">
        <v>64</v>
      </c>
      <c r="W23" s="44"/>
      <c r="X23" s="35" t="s">
        <v>261</v>
      </c>
      <c r="Y23" s="22" t="s">
        <v>262</v>
      </c>
      <c r="Z23" s="22" t="s">
        <v>263</v>
      </c>
      <c r="AA23" s="22" t="s">
        <v>264</v>
      </c>
      <c r="AB23" s="44"/>
      <c r="AC23" s="22" t="s">
        <v>265</v>
      </c>
      <c r="AD23" s="27" t="s">
        <v>71</v>
      </c>
      <c r="AE23" s="22" t="s">
        <v>244</v>
      </c>
      <c r="AF23" s="34"/>
      <c r="AG23" s="34"/>
    </row>
    <row r="24" spans="1:33" ht="31">
      <c r="A24" s="7" t="s">
        <v>45</v>
      </c>
      <c r="B24" s="38" t="s">
        <v>266</v>
      </c>
      <c r="C24" s="41" t="s">
        <v>267</v>
      </c>
      <c r="D24" s="42" t="s">
        <v>268</v>
      </c>
      <c r="E24" s="22" t="s">
        <v>53</v>
      </c>
      <c r="F24" s="22" t="s">
        <v>269</v>
      </c>
      <c r="G24" s="22" t="s">
        <v>49</v>
      </c>
      <c r="H24" s="22" t="s">
        <v>80</v>
      </c>
      <c r="I24" s="22" t="s">
        <v>81</v>
      </c>
      <c r="J24" s="22" t="s">
        <v>53</v>
      </c>
      <c r="K24" s="22" t="s">
        <v>182</v>
      </c>
      <c r="L24" s="22" t="s">
        <v>53</v>
      </c>
      <c r="M24" s="22" t="s">
        <v>129</v>
      </c>
      <c r="N24" s="22" t="s">
        <v>59</v>
      </c>
      <c r="O24" s="22" t="s">
        <v>84</v>
      </c>
      <c r="P24" s="7" t="s">
        <v>194</v>
      </c>
      <c r="Q24" s="7" t="s">
        <v>60</v>
      </c>
      <c r="R24" s="45"/>
      <c r="S24" s="7" t="s">
        <v>85</v>
      </c>
      <c r="T24" s="22" t="s">
        <v>62</v>
      </c>
      <c r="U24" s="22" t="s">
        <v>63</v>
      </c>
      <c r="V24" s="22" t="s">
        <v>64</v>
      </c>
      <c r="W24" s="44"/>
      <c r="X24" s="35" t="s">
        <v>270</v>
      </c>
      <c r="Y24" s="22" t="s">
        <v>271</v>
      </c>
      <c r="Z24" s="22" t="s">
        <v>215</v>
      </c>
      <c r="AA24" s="22" t="s">
        <v>272</v>
      </c>
      <c r="AB24" s="44"/>
      <c r="AC24" s="22" t="s">
        <v>265</v>
      </c>
      <c r="AD24" s="27" t="s">
        <v>71</v>
      </c>
      <c r="AE24" s="22" t="s">
        <v>244</v>
      </c>
      <c r="AF24" s="34"/>
      <c r="AG24" s="34"/>
    </row>
    <row r="25" spans="1:33" ht="31">
      <c r="A25" s="7" t="s">
        <v>45</v>
      </c>
      <c r="B25" s="38" t="s">
        <v>273</v>
      </c>
      <c r="C25" s="41" t="s">
        <v>274</v>
      </c>
      <c r="D25" s="42" t="s">
        <v>275</v>
      </c>
      <c r="E25" s="22" t="s">
        <v>49</v>
      </c>
      <c r="F25" s="22" t="s">
        <v>50</v>
      </c>
      <c r="G25" s="22" t="s">
        <v>49</v>
      </c>
      <c r="H25" s="22" t="s">
        <v>126</v>
      </c>
      <c r="I25" s="22" t="s">
        <v>81</v>
      </c>
      <c r="J25" s="22" t="s">
        <v>53</v>
      </c>
      <c r="K25" s="22" t="s">
        <v>170</v>
      </c>
      <c r="L25" s="22" t="s">
        <v>53</v>
      </c>
      <c r="M25" s="22" t="s">
        <v>129</v>
      </c>
      <c r="N25" s="22" t="s">
        <v>59</v>
      </c>
      <c r="O25" s="22" t="s">
        <v>84</v>
      </c>
      <c r="P25" s="7" t="s">
        <v>108</v>
      </c>
      <c r="Q25" s="22" t="s">
        <v>130</v>
      </c>
      <c r="R25" s="25"/>
      <c r="S25" s="22" t="s">
        <v>85</v>
      </c>
      <c r="T25" s="22" t="s">
        <v>62</v>
      </c>
      <c r="U25" s="22" t="s">
        <v>63</v>
      </c>
      <c r="V25" s="22" t="s">
        <v>64</v>
      </c>
      <c r="W25" s="22"/>
      <c r="X25" s="26" t="s">
        <v>276</v>
      </c>
      <c r="Y25" s="22" t="s">
        <v>277</v>
      </c>
      <c r="Z25" s="22" t="s">
        <v>278</v>
      </c>
      <c r="AA25" s="22" t="s">
        <v>279</v>
      </c>
      <c r="AC25" s="22" t="s">
        <v>265</v>
      </c>
      <c r="AD25" s="27" t="s">
        <v>71</v>
      </c>
      <c r="AE25" s="22" t="s">
        <v>244</v>
      </c>
      <c r="AF25" s="34"/>
      <c r="AG25" s="34"/>
    </row>
    <row r="26" spans="1:33" ht="46.5">
      <c r="A26" s="7" t="s">
        <v>45</v>
      </c>
      <c r="B26" s="38" t="s">
        <v>280</v>
      </c>
      <c r="C26" s="41" t="s">
        <v>281</v>
      </c>
      <c r="D26" s="42" t="s">
        <v>282</v>
      </c>
      <c r="E26" s="22" t="s">
        <v>49</v>
      </c>
      <c r="F26" s="22" t="s">
        <v>50</v>
      </c>
      <c r="G26" s="22" t="s">
        <v>49</v>
      </c>
      <c r="H26" s="22" t="s">
        <v>51</v>
      </c>
      <c r="I26" s="22" t="s">
        <v>81</v>
      </c>
      <c r="J26" s="22" t="s">
        <v>53</v>
      </c>
      <c r="K26" s="22" t="s">
        <v>182</v>
      </c>
      <c r="L26" s="22" t="s">
        <v>53</v>
      </c>
      <c r="M26" s="22" t="s">
        <v>129</v>
      </c>
      <c r="N26" s="22" t="s">
        <v>59</v>
      </c>
      <c r="O26" s="22" t="s">
        <v>84</v>
      </c>
      <c r="P26" s="43" t="s">
        <v>137</v>
      </c>
      <c r="Q26" s="22" t="s">
        <v>63</v>
      </c>
      <c r="R26" s="25"/>
      <c r="S26" s="22" t="s">
        <v>85</v>
      </c>
      <c r="T26" s="22" t="s">
        <v>62</v>
      </c>
      <c r="U26" s="22" t="s">
        <v>63</v>
      </c>
      <c r="V26" s="22" t="s">
        <v>64</v>
      </c>
      <c r="W26" s="25"/>
      <c r="X26" s="31" t="s">
        <v>276</v>
      </c>
      <c r="Y26" s="22" t="s">
        <v>184</v>
      </c>
      <c r="Z26" s="22" t="s">
        <v>283</v>
      </c>
      <c r="AA26" s="22" t="s">
        <v>284</v>
      </c>
      <c r="AC26" s="22" t="s">
        <v>265</v>
      </c>
      <c r="AD26" s="27" t="s">
        <v>71</v>
      </c>
      <c r="AE26" s="22" t="s">
        <v>244</v>
      </c>
      <c r="AF26" s="34"/>
      <c r="AG26" s="34"/>
    </row>
    <row r="27" spans="1:33" ht="46.5">
      <c r="A27" s="7" t="s">
        <v>45</v>
      </c>
      <c r="B27" s="38" t="s">
        <v>285</v>
      </c>
      <c r="C27" s="41" t="s">
        <v>286</v>
      </c>
      <c r="D27" s="42" t="s">
        <v>287</v>
      </c>
      <c r="E27" s="22" t="s">
        <v>49</v>
      </c>
      <c r="F27" s="22" t="s">
        <v>50</v>
      </c>
      <c r="G27" s="22" t="s">
        <v>79</v>
      </c>
      <c r="H27" s="22" t="s">
        <v>126</v>
      </c>
      <c r="I27" s="22" t="s">
        <v>81</v>
      </c>
      <c r="J27" s="22" t="s">
        <v>53</v>
      </c>
      <c r="K27" s="22" t="s">
        <v>144</v>
      </c>
      <c r="L27" s="22" t="s">
        <v>53</v>
      </c>
      <c r="M27" s="40" t="s">
        <v>129</v>
      </c>
      <c r="N27" s="22" t="s">
        <v>59</v>
      </c>
      <c r="O27" s="22" t="s">
        <v>84</v>
      </c>
      <c r="P27" s="43" t="s">
        <v>85</v>
      </c>
      <c r="Q27" s="43" t="s">
        <v>60</v>
      </c>
      <c r="R27" s="25"/>
      <c r="S27" s="22" t="s">
        <v>85</v>
      </c>
      <c r="T27" s="22" t="s">
        <v>62</v>
      </c>
      <c r="U27" s="22" t="s">
        <v>63</v>
      </c>
      <c r="V27" s="22" t="s">
        <v>64</v>
      </c>
      <c r="W27" s="44"/>
      <c r="X27" s="26" t="s">
        <v>276</v>
      </c>
      <c r="Y27" s="22" t="s">
        <v>288</v>
      </c>
      <c r="Z27" s="22" t="s">
        <v>289</v>
      </c>
      <c r="AA27" s="22" t="s">
        <v>163</v>
      </c>
      <c r="AB27" s="44"/>
      <c r="AC27" s="22" t="s">
        <v>265</v>
      </c>
      <c r="AD27" s="27" t="s">
        <v>71</v>
      </c>
      <c r="AE27" s="22" t="s">
        <v>244</v>
      </c>
      <c r="AF27" s="34"/>
      <c r="AG27" s="34"/>
    </row>
    <row r="28" spans="1:33" ht="46.5">
      <c r="A28" s="7" t="s">
        <v>45</v>
      </c>
      <c r="B28" s="38" t="s">
        <v>290</v>
      </c>
      <c r="C28" s="41" t="s">
        <v>291</v>
      </c>
      <c r="D28" s="42" t="s">
        <v>292</v>
      </c>
      <c r="E28" s="22" t="s">
        <v>53</v>
      </c>
      <c r="F28" s="22" t="s">
        <v>269</v>
      </c>
      <c r="G28" s="22" t="s">
        <v>49</v>
      </c>
      <c r="H28" s="22" t="s">
        <v>51</v>
      </c>
      <c r="I28" s="22" t="s">
        <v>81</v>
      </c>
      <c r="J28" s="22" t="s">
        <v>53</v>
      </c>
      <c r="K28" s="22" t="s">
        <v>144</v>
      </c>
      <c r="L28" s="22" t="s">
        <v>53</v>
      </c>
      <c r="M28" s="22" t="s">
        <v>129</v>
      </c>
      <c r="N28" s="22" t="s">
        <v>59</v>
      </c>
      <c r="O28" s="22" t="s">
        <v>84</v>
      </c>
      <c r="P28" s="22" t="s">
        <v>293</v>
      </c>
      <c r="Q28" s="43" t="s">
        <v>153</v>
      </c>
      <c r="R28" s="46"/>
      <c r="S28" s="43" t="s">
        <v>294</v>
      </c>
      <c r="T28" s="22" t="s">
        <v>62</v>
      </c>
      <c r="U28" s="22" t="s">
        <v>63</v>
      </c>
      <c r="V28" s="22" t="s">
        <v>64</v>
      </c>
      <c r="W28" s="25"/>
      <c r="X28" s="26" t="s">
        <v>276</v>
      </c>
      <c r="Z28" s="22" t="s">
        <v>295</v>
      </c>
      <c r="AA28" s="22" t="s">
        <v>296</v>
      </c>
      <c r="AB28" s="22" t="s">
        <v>297</v>
      </c>
      <c r="AC28" s="22" t="s">
        <v>265</v>
      </c>
      <c r="AD28" s="27" t="s">
        <v>71</v>
      </c>
      <c r="AE28" s="22" t="s">
        <v>244</v>
      </c>
      <c r="AF28" s="34"/>
      <c r="AG28" s="34"/>
    </row>
    <row r="29" spans="1:33" ht="46.5">
      <c r="A29" s="7" t="s">
        <v>45</v>
      </c>
      <c r="B29" s="38" t="s">
        <v>298</v>
      </c>
      <c r="C29" s="41" t="s">
        <v>299</v>
      </c>
      <c r="D29" s="42" t="s">
        <v>300</v>
      </c>
      <c r="E29" s="22" t="s">
        <v>49</v>
      </c>
      <c r="F29" s="22" t="s">
        <v>95</v>
      </c>
      <c r="G29" s="22" t="s">
        <v>49</v>
      </c>
      <c r="H29" s="22" t="s">
        <v>192</v>
      </c>
      <c r="I29" s="22" t="s">
        <v>81</v>
      </c>
      <c r="J29" s="22" t="s">
        <v>53</v>
      </c>
      <c r="K29" s="22" t="s">
        <v>182</v>
      </c>
      <c r="L29" s="22" t="s">
        <v>53</v>
      </c>
      <c r="M29" s="22" t="s">
        <v>83</v>
      </c>
      <c r="N29" s="22" t="s">
        <v>194</v>
      </c>
      <c r="O29" s="22" t="s">
        <v>84</v>
      </c>
      <c r="P29" s="43" t="s">
        <v>194</v>
      </c>
      <c r="Q29" s="43" t="s">
        <v>60</v>
      </c>
      <c r="R29" s="25"/>
      <c r="S29" s="22" t="s">
        <v>85</v>
      </c>
      <c r="T29" s="22" t="s">
        <v>62</v>
      </c>
      <c r="U29" s="22" t="s">
        <v>63</v>
      </c>
      <c r="V29" s="22" t="s">
        <v>64</v>
      </c>
      <c r="W29" s="22"/>
      <c r="X29" s="35" t="s">
        <v>301</v>
      </c>
      <c r="Y29" s="22" t="s">
        <v>302</v>
      </c>
      <c r="Z29" s="22" t="s">
        <v>263</v>
      </c>
      <c r="AA29" s="22" t="s">
        <v>303</v>
      </c>
      <c r="AC29" s="22" t="s">
        <v>265</v>
      </c>
      <c r="AD29" s="27" t="s">
        <v>71</v>
      </c>
      <c r="AE29" s="22" t="s">
        <v>244</v>
      </c>
      <c r="AF29" s="34"/>
      <c r="AG29" s="34"/>
    </row>
    <row r="30" spans="1:33" ht="46.5">
      <c r="A30" s="7" t="s">
        <v>45</v>
      </c>
      <c r="B30" s="38" t="s">
        <v>304</v>
      </c>
      <c r="C30" s="41" t="s">
        <v>305</v>
      </c>
      <c r="D30" s="42" t="s">
        <v>306</v>
      </c>
      <c r="E30" s="22" t="s">
        <v>49</v>
      </c>
      <c r="F30" s="22" t="s">
        <v>228</v>
      </c>
      <c r="G30" s="22" t="s">
        <v>49</v>
      </c>
      <c r="H30" s="22" t="s">
        <v>126</v>
      </c>
      <c r="I30" s="22" t="s">
        <v>307</v>
      </c>
      <c r="J30" s="22" t="s">
        <v>53</v>
      </c>
      <c r="K30" s="22" t="s">
        <v>182</v>
      </c>
      <c r="L30" s="22" t="s">
        <v>53</v>
      </c>
      <c r="M30" s="22" t="s">
        <v>129</v>
      </c>
      <c r="N30" s="22" t="s">
        <v>59</v>
      </c>
      <c r="O30" s="22" t="s">
        <v>84</v>
      </c>
      <c r="P30" s="22" t="s">
        <v>52</v>
      </c>
      <c r="Q30" s="43" t="s">
        <v>63</v>
      </c>
      <c r="R30" s="46"/>
      <c r="S30" s="43" t="s">
        <v>61</v>
      </c>
      <c r="T30" s="22" t="s">
        <v>62</v>
      </c>
      <c r="U30" s="22" t="s">
        <v>63</v>
      </c>
      <c r="V30" s="22" t="s">
        <v>64</v>
      </c>
      <c r="W30" s="25"/>
      <c r="X30" s="31" t="s">
        <v>301</v>
      </c>
      <c r="Y30" s="22" t="s">
        <v>271</v>
      </c>
      <c r="Z30" s="22" t="s">
        <v>308</v>
      </c>
      <c r="AA30" s="22" t="s">
        <v>215</v>
      </c>
      <c r="AC30" s="22" t="s">
        <v>265</v>
      </c>
      <c r="AD30" s="27" t="s">
        <v>71</v>
      </c>
      <c r="AE30" s="22" t="s">
        <v>244</v>
      </c>
      <c r="AF30" s="28"/>
      <c r="AG30" s="34"/>
    </row>
    <row r="31" spans="1:33" ht="46.5">
      <c r="A31" s="7" t="s">
        <v>45</v>
      </c>
      <c r="B31" s="38" t="s">
        <v>309</v>
      </c>
      <c r="C31" s="41" t="s">
        <v>310</v>
      </c>
      <c r="D31" s="42" t="s">
        <v>311</v>
      </c>
      <c r="E31" s="22" t="s">
        <v>49</v>
      </c>
      <c r="F31" s="22" t="s">
        <v>50</v>
      </c>
      <c r="G31" s="22" t="s">
        <v>49</v>
      </c>
      <c r="H31" s="22" t="s">
        <v>51</v>
      </c>
      <c r="I31" s="22" t="s">
        <v>81</v>
      </c>
      <c r="J31" s="22" t="s">
        <v>53</v>
      </c>
      <c r="K31" s="22" t="s">
        <v>96</v>
      </c>
      <c r="L31" s="22" t="s">
        <v>55</v>
      </c>
      <c r="M31" s="22" t="s">
        <v>83</v>
      </c>
      <c r="N31" s="22" t="s">
        <v>312</v>
      </c>
      <c r="O31" s="22" t="s">
        <v>84</v>
      </c>
      <c r="P31" s="22" t="s">
        <v>85</v>
      </c>
      <c r="Q31" s="43" t="s">
        <v>60</v>
      </c>
      <c r="R31" s="25"/>
      <c r="S31" s="22" t="s">
        <v>85</v>
      </c>
      <c r="T31" s="22" t="s">
        <v>62</v>
      </c>
      <c r="U31" s="22" t="s">
        <v>63</v>
      </c>
      <c r="V31" s="22" t="s">
        <v>64</v>
      </c>
      <c r="W31" s="25"/>
      <c r="X31" s="35" t="s">
        <v>313</v>
      </c>
      <c r="Z31" s="22" t="s">
        <v>314</v>
      </c>
      <c r="AA31" s="22" t="s">
        <v>315</v>
      </c>
      <c r="AC31" s="22" t="s">
        <v>265</v>
      </c>
      <c r="AD31" s="27" t="s">
        <v>71</v>
      </c>
      <c r="AE31" s="22" t="s">
        <v>244</v>
      </c>
      <c r="AF31" s="34"/>
      <c r="AG31" s="34"/>
    </row>
    <row r="32" spans="1:33" ht="46.5">
      <c r="A32" s="7" t="s">
        <v>45</v>
      </c>
      <c r="B32" s="38" t="s">
        <v>316</v>
      </c>
      <c r="C32" s="44" t="s">
        <v>317</v>
      </c>
      <c r="D32" s="23" t="s">
        <v>318</v>
      </c>
      <c r="E32" s="22" t="s">
        <v>49</v>
      </c>
      <c r="F32" s="22" t="s">
        <v>95</v>
      </c>
      <c r="G32" s="22" t="s">
        <v>49</v>
      </c>
      <c r="H32" s="22" t="s">
        <v>51</v>
      </c>
      <c r="I32" s="22" t="s">
        <v>307</v>
      </c>
      <c r="J32" s="22" t="s">
        <v>53</v>
      </c>
      <c r="K32" s="22" t="s">
        <v>182</v>
      </c>
      <c r="L32" s="22" t="s">
        <v>53</v>
      </c>
      <c r="M32" s="22" t="s">
        <v>83</v>
      </c>
      <c r="N32" s="22" t="s">
        <v>59</v>
      </c>
      <c r="O32" s="22" t="s">
        <v>84</v>
      </c>
      <c r="P32" s="22" t="s">
        <v>52</v>
      </c>
      <c r="Q32" s="43" t="s">
        <v>60</v>
      </c>
      <c r="R32" s="46"/>
      <c r="S32" s="43" t="s">
        <v>85</v>
      </c>
      <c r="T32" s="22" t="s">
        <v>62</v>
      </c>
      <c r="U32" s="22" t="s">
        <v>63</v>
      </c>
      <c r="V32" s="22" t="s">
        <v>64</v>
      </c>
      <c r="W32" s="25"/>
      <c r="X32" s="35" t="s">
        <v>313</v>
      </c>
      <c r="Z32" s="22" t="s">
        <v>319</v>
      </c>
      <c r="AA32" s="22" t="s">
        <v>320</v>
      </c>
      <c r="AC32" s="22" t="s">
        <v>265</v>
      </c>
      <c r="AD32" s="27" t="s">
        <v>71</v>
      </c>
      <c r="AE32" s="22" t="s">
        <v>244</v>
      </c>
      <c r="AF32" s="28"/>
      <c r="AG32" s="34"/>
    </row>
    <row r="33" spans="1:33" ht="62">
      <c r="A33" s="7" t="s">
        <v>45</v>
      </c>
      <c r="B33" s="38" t="s">
        <v>321</v>
      </c>
      <c r="C33" s="22" t="s">
        <v>322</v>
      </c>
      <c r="D33" s="23" t="s">
        <v>323</v>
      </c>
      <c r="E33" s="22" t="s">
        <v>53</v>
      </c>
      <c r="F33" s="22" t="s">
        <v>95</v>
      </c>
      <c r="G33" s="22" t="s">
        <v>49</v>
      </c>
      <c r="H33" s="22" t="s">
        <v>192</v>
      </c>
      <c r="I33" s="22" t="s">
        <v>52</v>
      </c>
      <c r="J33" s="22" t="s">
        <v>127</v>
      </c>
      <c r="K33" s="22" t="s">
        <v>82</v>
      </c>
      <c r="L33" s="22" t="s">
        <v>55</v>
      </c>
      <c r="M33" s="22" t="s">
        <v>83</v>
      </c>
      <c r="N33" s="22" t="s">
        <v>59</v>
      </c>
      <c r="O33" s="22" t="s">
        <v>84</v>
      </c>
      <c r="P33" s="22" t="s">
        <v>194</v>
      </c>
      <c r="Q33" s="22" t="s">
        <v>183</v>
      </c>
      <c r="R33" s="25"/>
      <c r="S33" s="22" t="s">
        <v>85</v>
      </c>
      <c r="T33" s="22" t="s">
        <v>62</v>
      </c>
      <c r="U33" s="22" t="s">
        <v>63</v>
      </c>
      <c r="V33" s="22" t="s">
        <v>64</v>
      </c>
      <c r="W33" s="25"/>
      <c r="X33" s="26" t="s">
        <v>324</v>
      </c>
      <c r="Y33" s="22" t="s">
        <v>325</v>
      </c>
      <c r="Z33" s="22" t="s">
        <v>326</v>
      </c>
      <c r="AA33" s="22" t="s">
        <v>327</v>
      </c>
      <c r="AC33" s="22" t="s">
        <v>328</v>
      </c>
      <c r="AD33" s="27" t="s">
        <v>71</v>
      </c>
      <c r="AE33" s="22" t="s">
        <v>244</v>
      </c>
      <c r="AF33" s="28"/>
      <c r="AG33" s="34"/>
    </row>
    <row r="34" spans="1:33" ht="46.5">
      <c r="A34" s="7" t="s">
        <v>45</v>
      </c>
      <c r="B34" s="38" t="s">
        <v>329</v>
      </c>
      <c r="C34" s="22" t="s">
        <v>330</v>
      </c>
      <c r="D34" s="23" t="s">
        <v>331</v>
      </c>
      <c r="E34" s="22" t="s">
        <v>49</v>
      </c>
      <c r="F34" s="22" t="s">
        <v>78</v>
      </c>
      <c r="G34" s="22" t="s">
        <v>49</v>
      </c>
      <c r="H34" s="22" t="s">
        <v>126</v>
      </c>
      <c r="I34" s="22" t="s">
        <v>52</v>
      </c>
      <c r="J34" s="22" t="s">
        <v>53</v>
      </c>
      <c r="K34" s="22" t="s">
        <v>144</v>
      </c>
      <c r="L34" s="22" t="s">
        <v>53</v>
      </c>
      <c r="M34" s="22" t="s">
        <v>83</v>
      </c>
      <c r="N34" s="22" t="s">
        <v>59</v>
      </c>
      <c r="O34" s="22" t="s">
        <v>84</v>
      </c>
      <c r="P34" s="22" t="s">
        <v>59</v>
      </c>
      <c r="Q34" s="22" t="s">
        <v>153</v>
      </c>
      <c r="R34" s="25"/>
      <c r="S34" s="22" t="s">
        <v>61</v>
      </c>
      <c r="T34" s="22" t="s">
        <v>62</v>
      </c>
      <c r="U34" s="22" t="s">
        <v>63</v>
      </c>
      <c r="V34" s="22" t="s">
        <v>64</v>
      </c>
      <c r="W34" s="22"/>
      <c r="X34" s="35" t="s">
        <v>332</v>
      </c>
      <c r="Y34" s="22" t="s">
        <v>120</v>
      </c>
      <c r="Z34" s="22" t="s">
        <v>333</v>
      </c>
      <c r="AA34" s="22" t="s">
        <v>334</v>
      </c>
      <c r="AC34" s="22" t="s">
        <v>328</v>
      </c>
      <c r="AD34" s="27" t="s">
        <v>71</v>
      </c>
      <c r="AE34" s="22" t="s">
        <v>244</v>
      </c>
      <c r="AF34" s="34"/>
      <c r="AG34" s="34"/>
    </row>
    <row r="35" spans="1:33" ht="46.5">
      <c r="A35" s="7" t="s">
        <v>45</v>
      </c>
      <c r="B35" s="38" t="s">
        <v>335</v>
      </c>
      <c r="C35" s="22" t="s">
        <v>135</v>
      </c>
      <c r="D35" s="42" t="s">
        <v>336</v>
      </c>
      <c r="E35" s="22" t="s">
        <v>49</v>
      </c>
      <c r="F35" s="22" t="s">
        <v>95</v>
      </c>
      <c r="G35" s="22" t="s">
        <v>49</v>
      </c>
      <c r="H35" s="22" t="s">
        <v>126</v>
      </c>
      <c r="I35" s="22" t="s">
        <v>307</v>
      </c>
      <c r="J35" s="22" t="s">
        <v>53</v>
      </c>
      <c r="K35" s="22" t="s">
        <v>54</v>
      </c>
      <c r="L35" s="22" t="s">
        <v>53</v>
      </c>
      <c r="M35" s="22" t="s">
        <v>83</v>
      </c>
      <c r="N35" s="22" t="s">
        <v>59</v>
      </c>
      <c r="O35" s="22" t="s">
        <v>84</v>
      </c>
      <c r="P35" s="22" t="s">
        <v>194</v>
      </c>
      <c r="Q35" s="22" t="s">
        <v>60</v>
      </c>
      <c r="R35" s="25"/>
      <c r="S35" s="22" t="s">
        <v>85</v>
      </c>
      <c r="T35" s="22" t="s">
        <v>62</v>
      </c>
      <c r="U35" s="22" t="s">
        <v>63</v>
      </c>
      <c r="V35" s="22" t="s">
        <v>64</v>
      </c>
      <c r="W35" s="25"/>
      <c r="X35" s="35" t="s">
        <v>332</v>
      </c>
      <c r="Y35" s="22" t="s">
        <v>184</v>
      </c>
      <c r="Z35" s="22" t="s">
        <v>337</v>
      </c>
      <c r="AA35" s="22" t="s">
        <v>338</v>
      </c>
      <c r="AC35" s="22" t="s">
        <v>328</v>
      </c>
      <c r="AD35" s="27" t="s">
        <v>71</v>
      </c>
      <c r="AE35" s="22" t="s">
        <v>244</v>
      </c>
      <c r="AF35" s="28"/>
      <c r="AG35" s="34"/>
    </row>
    <row r="36" spans="1:33" ht="46.5">
      <c r="A36" s="7" t="s">
        <v>45</v>
      </c>
      <c r="B36" s="38" t="s">
        <v>339</v>
      </c>
      <c r="C36" s="22" t="s">
        <v>340</v>
      </c>
      <c r="D36" s="23" t="s">
        <v>341</v>
      </c>
      <c r="E36" s="22" t="s">
        <v>49</v>
      </c>
      <c r="F36" s="22" t="s">
        <v>95</v>
      </c>
      <c r="G36" s="22" t="s">
        <v>49</v>
      </c>
      <c r="H36" s="22" t="s">
        <v>126</v>
      </c>
      <c r="I36" s="22" t="s">
        <v>52</v>
      </c>
      <c r="J36" s="22" t="s">
        <v>127</v>
      </c>
      <c r="K36" s="22" t="s">
        <v>170</v>
      </c>
      <c r="L36" s="22" t="s">
        <v>53</v>
      </c>
      <c r="M36" s="22" t="s">
        <v>83</v>
      </c>
      <c r="N36" s="22" t="s">
        <v>59</v>
      </c>
      <c r="O36" s="22" t="s">
        <v>84</v>
      </c>
      <c r="P36" s="22" t="s">
        <v>108</v>
      </c>
      <c r="Q36" s="22" t="s">
        <v>183</v>
      </c>
      <c r="R36" s="25"/>
      <c r="S36" s="22" t="s">
        <v>61</v>
      </c>
      <c r="T36" s="22" t="s">
        <v>62</v>
      </c>
      <c r="U36" s="22" t="s">
        <v>63</v>
      </c>
      <c r="V36" s="22" t="s">
        <v>118</v>
      </c>
      <c r="W36" s="25"/>
      <c r="X36" s="35" t="s">
        <v>332</v>
      </c>
      <c r="Y36" s="22" t="s">
        <v>342</v>
      </c>
      <c r="Z36" s="22" t="s">
        <v>343</v>
      </c>
      <c r="AA36" s="22" t="s">
        <v>344</v>
      </c>
      <c r="AC36" s="22" t="s">
        <v>328</v>
      </c>
      <c r="AD36" s="27" t="s">
        <v>71</v>
      </c>
      <c r="AE36" s="22" t="s">
        <v>244</v>
      </c>
      <c r="AF36" s="34"/>
      <c r="AG36" s="34"/>
    </row>
    <row r="37" spans="1:33" ht="46.5">
      <c r="A37" s="7" t="s">
        <v>45</v>
      </c>
      <c r="B37" s="38" t="s">
        <v>345</v>
      </c>
      <c r="C37" s="22" t="s">
        <v>346</v>
      </c>
      <c r="D37" s="23" t="s">
        <v>347</v>
      </c>
      <c r="E37" s="22" t="s">
        <v>49</v>
      </c>
      <c r="F37" s="22" t="s">
        <v>95</v>
      </c>
      <c r="G37" s="22" t="s">
        <v>49</v>
      </c>
      <c r="H37" s="22" t="s">
        <v>126</v>
      </c>
      <c r="I37" s="22" t="s">
        <v>52</v>
      </c>
      <c r="J37" s="22" t="s">
        <v>53</v>
      </c>
      <c r="K37" s="22" t="s">
        <v>182</v>
      </c>
      <c r="L37" s="22" t="s">
        <v>55</v>
      </c>
      <c r="M37" s="22" t="s">
        <v>83</v>
      </c>
      <c r="N37" s="22" t="s">
        <v>59</v>
      </c>
      <c r="O37" s="22" t="s">
        <v>84</v>
      </c>
      <c r="P37" s="22" t="s">
        <v>348</v>
      </c>
      <c r="Q37" s="22" t="s">
        <v>98</v>
      </c>
      <c r="R37" s="25"/>
      <c r="S37" s="22" t="s">
        <v>61</v>
      </c>
      <c r="T37" s="22" t="s">
        <v>62</v>
      </c>
      <c r="U37" s="22" t="s">
        <v>63</v>
      </c>
      <c r="V37" s="22" t="s">
        <v>64</v>
      </c>
      <c r="W37" s="22"/>
      <c r="X37" s="35" t="s">
        <v>332</v>
      </c>
      <c r="Y37" s="22" t="s">
        <v>240</v>
      </c>
      <c r="Z37" s="22" t="s">
        <v>344</v>
      </c>
      <c r="AA37" s="22" t="s">
        <v>349</v>
      </c>
      <c r="AB37" s="22"/>
      <c r="AC37" s="22" t="s">
        <v>328</v>
      </c>
      <c r="AD37" s="27" t="s">
        <v>71</v>
      </c>
      <c r="AE37" s="22" t="s">
        <v>350</v>
      </c>
      <c r="AF37" s="33" t="s">
        <v>351</v>
      </c>
      <c r="AG37" s="33" t="s">
        <v>352</v>
      </c>
    </row>
    <row r="38" spans="1:33" ht="62">
      <c r="A38" s="7" t="s">
        <v>45</v>
      </c>
      <c r="B38" s="38" t="s">
        <v>353</v>
      </c>
      <c r="C38" s="22" t="s">
        <v>354</v>
      </c>
      <c r="D38" s="23" t="s">
        <v>355</v>
      </c>
      <c r="E38" s="22" t="s">
        <v>49</v>
      </c>
      <c r="F38" s="22" t="s">
        <v>50</v>
      </c>
      <c r="G38" s="22" t="s">
        <v>49</v>
      </c>
      <c r="H38" s="22" t="s">
        <v>126</v>
      </c>
      <c r="I38" s="22" t="s">
        <v>81</v>
      </c>
      <c r="J38" s="22" t="s">
        <v>53</v>
      </c>
      <c r="K38" s="22" t="s">
        <v>356</v>
      </c>
      <c r="L38" s="22" t="s">
        <v>53</v>
      </c>
      <c r="M38" s="22" t="s">
        <v>83</v>
      </c>
      <c r="N38" s="22" t="s">
        <v>59</v>
      </c>
      <c r="O38" s="22" t="s">
        <v>84</v>
      </c>
      <c r="P38" s="22" t="s">
        <v>194</v>
      </c>
      <c r="Q38" s="22" t="s">
        <v>60</v>
      </c>
      <c r="R38" s="25"/>
      <c r="S38" s="22" t="s">
        <v>85</v>
      </c>
      <c r="T38" s="22" t="s">
        <v>62</v>
      </c>
      <c r="U38" s="22" t="s">
        <v>63</v>
      </c>
      <c r="V38" s="22" t="s">
        <v>64</v>
      </c>
      <c r="W38" s="22"/>
      <c r="X38" s="35" t="s">
        <v>332</v>
      </c>
      <c r="Y38" s="22" t="s">
        <v>357</v>
      </c>
      <c r="Z38" s="22" t="s">
        <v>349</v>
      </c>
      <c r="AA38" s="22" t="s">
        <v>358</v>
      </c>
      <c r="AC38" s="22" t="s">
        <v>328</v>
      </c>
      <c r="AD38" s="27" t="s">
        <v>71</v>
      </c>
      <c r="AE38" s="22" t="s">
        <v>350</v>
      </c>
      <c r="AF38" s="33" t="s">
        <v>359</v>
      </c>
      <c r="AG38" s="33" t="s">
        <v>352</v>
      </c>
    </row>
    <row r="39" spans="1:33" ht="46.5">
      <c r="A39" s="7" t="s">
        <v>45</v>
      </c>
      <c r="B39" s="38" t="s">
        <v>360</v>
      </c>
      <c r="C39" s="22" t="s">
        <v>361</v>
      </c>
      <c r="D39" s="23" t="s">
        <v>362</v>
      </c>
      <c r="E39" s="22" t="s">
        <v>49</v>
      </c>
      <c r="F39" s="22" t="s">
        <v>50</v>
      </c>
      <c r="G39" s="22" t="s">
        <v>49</v>
      </c>
      <c r="H39" s="22" t="s">
        <v>51</v>
      </c>
      <c r="I39" s="22" t="s">
        <v>81</v>
      </c>
      <c r="J39" s="22" t="s">
        <v>53</v>
      </c>
      <c r="K39" s="22" t="s">
        <v>82</v>
      </c>
      <c r="L39" s="22" t="s">
        <v>53</v>
      </c>
      <c r="M39" s="22" t="s">
        <v>83</v>
      </c>
      <c r="N39" s="22" t="s">
        <v>294</v>
      </c>
      <c r="O39" s="22" t="s">
        <v>84</v>
      </c>
      <c r="P39" s="22" t="s">
        <v>194</v>
      </c>
      <c r="Q39" s="22" t="s">
        <v>60</v>
      </c>
      <c r="R39" s="25"/>
      <c r="S39" s="22" t="s">
        <v>294</v>
      </c>
      <c r="T39" s="22" t="s">
        <v>62</v>
      </c>
      <c r="U39" s="22" t="s">
        <v>63</v>
      </c>
      <c r="V39" s="22" t="s">
        <v>64</v>
      </c>
      <c r="W39" s="25"/>
      <c r="X39" s="35" t="s">
        <v>332</v>
      </c>
      <c r="Y39" s="22" t="s">
        <v>363</v>
      </c>
      <c r="Z39" s="22" t="s">
        <v>364</v>
      </c>
      <c r="AA39" s="22" t="s">
        <v>365</v>
      </c>
      <c r="AC39" s="22" t="s">
        <v>328</v>
      </c>
      <c r="AD39" s="27" t="s">
        <v>71</v>
      </c>
      <c r="AE39" s="22" t="s">
        <v>350</v>
      </c>
      <c r="AF39" s="33" t="s">
        <v>366</v>
      </c>
      <c r="AG39" s="33" t="s">
        <v>352</v>
      </c>
    </row>
    <row r="40" spans="1:33" ht="31">
      <c r="A40" s="7" t="s">
        <v>45</v>
      </c>
      <c r="B40" s="38" t="s">
        <v>367</v>
      </c>
      <c r="C40" s="22" t="s">
        <v>368</v>
      </c>
      <c r="D40" s="23" t="s">
        <v>369</v>
      </c>
      <c r="E40" s="22" t="s">
        <v>49</v>
      </c>
      <c r="F40" s="22" t="s">
        <v>95</v>
      </c>
      <c r="G40" s="22" t="s">
        <v>49</v>
      </c>
      <c r="H40" s="22" t="s">
        <v>126</v>
      </c>
      <c r="I40" s="22" t="s">
        <v>52</v>
      </c>
      <c r="J40" s="22" t="s">
        <v>53</v>
      </c>
      <c r="K40" s="22" t="s">
        <v>54</v>
      </c>
      <c r="L40" s="22" t="s">
        <v>55</v>
      </c>
      <c r="M40" s="22" t="s">
        <v>56</v>
      </c>
      <c r="N40" s="22" t="s">
        <v>57</v>
      </c>
      <c r="O40" s="22" t="s">
        <v>84</v>
      </c>
      <c r="P40" s="22" t="s">
        <v>57</v>
      </c>
      <c r="Q40" s="22" t="s">
        <v>60</v>
      </c>
      <c r="R40" s="25"/>
      <c r="S40" s="22" t="s">
        <v>85</v>
      </c>
      <c r="T40" s="22" t="s">
        <v>62</v>
      </c>
      <c r="U40" s="22" t="s">
        <v>63</v>
      </c>
      <c r="V40" s="22" t="s">
        <v>64</v>
      </c>
      <c r="W40" s="25"/>
      <c r="X40" s="35" t="s">
        <v>332</v>
      </c>
      <c r="Y40" s="22" t="s">
        <v>288</v>
      </c>
      <c r="Z40" s="22" t="s">
        <v>206</v>
      </c>
      <c r="AA40" s="22" t="s">
        <v>370</v>
      </c>
      <c r="AC40" s="22" t="s">
        <v>328</v>
      </c>
      <c r="AD40" s="27" t="s">
        <v>71</v>
      </c>
      <c r="AE40" s="22" t="s">
        <v>350</v>
      </c>
      <c r="AF40" s="40" t="s">
        <v>371</v>
      </c>
      <c r="AG40" s="33" t="s">
        <v>352</v>
      </c>
    </row>
    <row r="41" spans="1:33" ht="46.5">
      <c r="A41" s="7" t="s">
        <v>45</v>
      </c>
      <c r="B41" s="38" t="s">
        <v>372</v>
      </c>
      <c r="C41" s="22" t="s">
        <v>373</v>
      </c>
      <c r="D41" s="23" t="s">
        <v>374</v>
      </c>
      <c r="E41" s="22" t="s">
        <v>49</v>
      </c>
      <c r="F41" s="22" t="s">
        <v>95</v>
      </c>
      <c r="G41" s="22" t="s">
        <v>49</v>
      </c>
      <c r="H41" s="22" t="s">
        <v>126</v>
      </c>
      <c r="I41" s="22" t="s">
        <v>375</v>
      </c>
      <c r="J41" s="22" t="s">
        <v>53</v>
      </c>
      <c r="K41" s="22" t="s">
        <v>54</v>
      </c>
      <c r="L41" s="22" t="s">
        <v>53</v>
      </c>
      <c r="M41" s="22" t="s">
        <v>83</v>
      </c>
      <c r="N41" s="22" t="s">
        <v>57</v>
      </c>
      <c r="O41" s="22" t="s">
        <v>84</v>
      </c>
      <c r="P41" s="22" t="s">
        <v>57</v>
      </c>
      <c r="Q41" s="22" t="s">
        <v>60</v>
      </c>
      <c r="R41" s="25"/>
      <c r="S41" s="22" t="s">
        <v>85</v>
      </c>
      <c r="T41" s="22" t="s">
        <v>62</v>
      </c>
      <c r="U41" s="22" t="s">
        <v>63</v>
      </c>
      <c r="V41" s="22" t="s">
        <v>172</v>
      </c>
      <c r="W41" s="22"/>
      <c r="X41" s="35" t="s">
        <v>332</v>
      </c>
      <c r="Y41" s="22" t="s">
        <v>376</v>
      </c>
      <c r="Z41" s="22" t="s">
        <v>308</v>
      </c>
      <c r="AA41" s="22" t="s">
        <v>377</v>
      </c>
      <c r="AC41" s="22" t="s">
        <v>328</v>
      </c>
      <c r="AD41" s="27" t="s">
        <v>71</v>
      </c>
      <c r="AE41" s="22" t="s">
        <v>350</v>
      </c>
      <c r="AF41" s="40" t="s">
        <v>378</v>
      </c>
      <c r="AG41" s="33" t="s">
        <v>352</v>
      </c>
    </row>
    <row r="42" spans="1:33" ht="46.5">
      <c r="A42" s="7" t="s">
        <v>45</v>
      </c>
      <c r="B42" s="38" t="s">
        <v>379</v>
      </c>
      <c r="C42" s="22" t="s">
        <v>373</v>
      </c>
      <c r="D42" s="23" t="s">
        <v>380</v>
      </c>
      <c r="E42" s="22" t="s">
        <v>53</v>
      </c>
      <c r="F42" s="22" t="s">
        <v>50</v>
      </c>
      <c r="G42" s="22" t="s">
        <v>79</v>
      </c>
      <c r="H42" s="22" t="s">
        <v>51</v>
      </c>
      <c r="I42" s="22" t="s">
        <v>81</v>
      </c>
      <c r="J42" s="22" t="s">
        <v>53</v>
      </c>
      <c r="K42" s="22" t="s">
        <v>182</v>
      </c>
      <c r="L42" s="22" t="s">
        <v>53</v>
      </c>
      <c r="M42" s="22" t="s">
        <v>56</v>
      </c>
      <c r="N42" s="22" t="s">
        <v>59</v>
      </c>
      <c r="O42" s="22" t="s">
        <v>193</v>
      </c>
      <c r="P42" s="22" t="s">
        <v>109</v>
      </c>
      <c r="Q42" s="22" t="s">
        <v>60</v>
      </c>
      <c r="R42" s="25"/>
      <c r="S42" s="22" t="s">
        <v>85</v>
      </c>
      <c r="T42" s="22" t="s">
        <v>62</v>
      </c>
      <c r="U42" s="22" t="s">
        <v>63</v>
      </c>
      <c r="V42" s="22" t="s">
        <v>64</v>
      </c>
      <c r="W42" s="25"/>
      <c r="X42" s="35" t="s">
        <v>332</v>
      </c>
      <c r="Y42" s="22" t="s">
        <v>381</v>
      </c>
      <c r="Z42" s="22" t="s">
        <v>382</v>
      </c>
      <c r="AA42" s="22" t="s">
        <v>383</v>
      </c>
      <c r="AC42" s="22" t="s">
        <v>328</v>
      </c>
      <c r="AD42" s="27" t="s">
        <v>71</v>
      </c>
      <c r="AE42" s="22" t="s">
        <v>350</v>
      </c>
      <c r="AF42" s="40" t="s">
        <v>371</v>
      </c>
      <c r="AG42" s="33" t="s">
        <v>384</v>
      </c>
    </row>
    <row r="43" spans="1:33" ht="62">
      <c r="A43" s="7" t="s">
        <v>45</v>
      </c>
      <c r="B43" s="38" t="s">
        <v>385</v>
      </c>
      <c r="C43" s="22" t="s">
        <v>386</v>
      </c>
      <c r="D43" s="23" t="s">
        <v>387</v>
      </c>
      <c r="E43" s="22" t="s">
        <v>49</v>
      </c>
      <c r="F43" s="22" t="s">
        <v>50</v>
      </c>
      <c r="G43" s="22" t="s">
        <v>79</v>
      </c>
      <c r="H43" s="22" t="s">
        <v>51</v>
      </c>
      <c r="I43" s="22" t="s">
        <v>52</v>
      </c>
      <c r="J43" s="22" t="s">
        <v>53</v>
      </c>
      <c r="K43" s="22" t="s">
        <v>54</v>
      </c>
      <c r="L43" s="22" t="s">
        <v>55</v>
      </c>
      <c r="M43" s="22" t="s">
        <v>129</v>
      </c>
      <c r="N43" s="22" t="s">
        <v>59</v>
      </c>
      <c r="O43" s="22" t="s">
        <v>84</v>
      </c>
      <c r="P43" s="22" t="s">
        <v>294</v>
      </c>
      <c r="Q43" s="22" t="s">
        <v>86</v>
      </c>
      <c r="R43" s="25"/>
      <c r="S43" s="22" t="s">
        <v>388</v>
      </c>
      <c r="T43" s="22" t="s">
        <v>62</v>
      </c>
      <c r="U43" s="22" t="s">
        <v>63</v>
      </c>
      <c r="V43" s="22" t="s">
        <v>64</v>
      </c>
      <c r="W43" s="22" t="s">
        <v>65</v>
      </c>
      <c r="X43" s="35" t="s">
        <v>389</v>
      </c>
      <c r="Y43" s="22" t="s">
        <v>390</v>
      </c>
      <c r="Z43" s="22" t="s">
        <v>391</v>
      </c>
      <c r="AA43" s="22" t="s">
        <v>138</v>
      </c>
      <c r="AB43" s="22" t="s">
        <v>392</v>
      </c>
      <c r="AC43" s="22" t="s">
        <v>393</v>
      </c>
      <c r="AD43" s="27" t="s">
        <v>71</v>
      </c>
      <c r="AE43" s="22" t="s">
        <v>350</v>
      </c>
      <c r="AF43" s="32" t="s">
        <v>394</v>
      </c>
      <c r="AG43" s="33" t="s">
        <v>352</v>
      </c>
    </row>
    <row r="44" spans="1:33" ht="46.5">
      <c r="A44" s="7" t="s">
        <v>45</v>
      </c>
      <c r="B44" s="38" t="s">
        <v>395</v>
      </c>
      <c r="C44" s="22" t="s">
        <v>396</v>
      </c>
      <c r="D44" s="23" t="s">
        <v>397</v>
      </c>
      <c r="E44" s="22" t="s">
        <v>49</v>
      </c>
      <c r="F44" s="22" t="s">
        <v>78</v>
      </c>
      <c r="G44" s="22" t="s">
        <v>49</v>
      </c>
      <c r="H44" s="22" t="s">
        <v>126</v>
      </c>
      <c r="I44" s="22" t="s">
        <v>52</v>
      </c>
      <c r="J44" s="22" t="s">
        <v>53</v>
      </c>
      <c r="K44" s="22" t="s">
        <v>128</v>
      </c>
      <c r="L44" s="22" t="s">
        <v>53</v>
      </c>
      <c r="M44" s="22" t="s">
        <v>398</v>
      </c>
      <c r="N44" s="22" t="s">
        <v>59</v>
      </c>
      <c r="O44" s="22" t="s">
        <v>84</v>
      </c>
      <c r="P44" s="22" t="s">
        <v>52</v>
      </c>
      <c r="Q44" s="22" t="s">
        <v>60</v>
      </c>
      <c r="R44" s="25"/>
      <c r="S44" s="22" t="s">
        <v>61</v>
      </c>
      <c r="T44" s="22" t="s">
        <v>62</v>
      </c>
      <c r="U44" s="22" t="s">
        <v>63</v>
      </c>
      <c r="V44" s="22" t="s">
        <v>64</v>
      </c>
      <c r="W44" s="22" t="s">
        <v>65</v>
      </c>
      <c r="X44" s="26" t="s">
        <v>389</v>
      </c>
      <c r="Y44" s="22" t="s">
        <v>399</v>
      </c>
      <c r="Z44" s="22" t="s">
        <v>400</v>
      </c>
      <c r="AA44" s="22" t="s">
        <v>401</v>
      </c>
      <c r="AB44" s="22" t="s">
        <v>402</v>
      </c>
      <c r="AC44" s="22" t="s">
        <v>393</v>
      </c>
      <c r="AD44" s="27" t="s">
        <v>71</v>
      </c>
      <c r="AE44" s="22" t="s">
        <v>350</v>
      </c>
      <c r="AF44" s="33"/>
      <c r="AG44" s="34"/>
    </row>
    <row r="45" spans="1:33" ht="46.5">
      <c r="A45" s="7" t="s">
        <v>45</v>
      </c>
      <c r="B45" s="38" t="s">
        <v>403</v>
      </c>
      <c r="C45" s="22" t="s">
        <v>404</v>
      </c>
      <c r="D45" s="23" t="s">
        <v>405</v>
      </c>
      <c r="E45" s="22" t="s">
        <v>49</v>
      </c>
      <c r="F45" s="22" t="s">
        <v>50</v>
      </c>
      <c r="G45" s="22" t="s">
        <v>79</v>
      </c>
      <c r="H45" s="22" t="s">
        <v>51</v>
      </c>
      <c r="I45" s="22" t="s">
        <v>52</v>
      </c>
      <c r="J45" s="22" t="s">
        <v>53</v>
      </c>
      <c r="K45" s="22" t="s">
        <v>128</v>
      </c>
      <c r="L45" s="22" t="s">
        <v>55</v>
      </c>
      <c r="M45" s="22" t="s">
        <v>129</v>
      </c>
      <c r="N45" s="22" t="s">
        <v>59</v>
      </c>
      <c r="O45" s="22" t="s">
        <v>84</v>
      </c>
      <c r="P45" s="22" t="s">
        <v>59</v>
      </c>
      <c r="Q45" s="22" t="s">
        <v>86</v>
      </c>
      <c r="R45" s="25"/>
      <c r="S45" s="22" t="s">
        <v>388</v>
      </c>
      <c r="T45" s="22" t="s">
        <v>62</v>
      </c>
      <c r="U45" s="22" t="s">
        <v>63</v>
      </c>
      <c r="V45" s="22" t="s">
        <v>64</v>
      </c>
      <c r="W45" s="22" t="s">
        <v>65</v>
      </c>
      <c r="X45" s="26" t="s">
        <v>389</v>
      </c>
      <c r="Y45" s="22" t="s">
        <v>406</v>
      </c>
      <c r="Z45" s="22" t="s">
        <v>401</v>
      </c>
      <c r="AA45" s="22" t="s">
        <v>407</v>
      </c>
      <c r="AB45" s="22" t="s">
        <v>408</v>
      </c>
      <c r="AC45" s="22" t="s">
        <v>393</v>
      </c>
      <c r="AD45" s="27" t="s">
        <v>71</v>
      </c>
      <c r="AE45" s="22" t="s">
        <v>350</v>
      </c>
      <c r="AF45" s="33" t="s">
        <v>409</v>
      </c>
      <c r="AG45" s="33" t="s">
        <v>410</v>
      </c>
    </row>
    <row r="46" spans="1:33" ht="31">
      <c r="A46" s="7" t="s">
        <v>45</v>
      </c>
      <c r="B46" s="38" t="s">
        <v>411</v>
      </c>
      <c r="C46" s="22" t="s">
        <v>412</v>
      </c>
      <c r="D46" s="23" t="s">
        <v>413</v>
      </c>
      <c r="E46" s="22" t="s">
        <v>49</v>
      </c>
      <c r="F46" s="22" t="s">
        <v>50</v>
      </c>
      <c r="G46" s="22" t="s">
        <v>79</v>
      </c>
      <c r="H46" s="22" t="s">
        <v>51</v>
      </c>
      <c r="I46" s="22" t="s">
        <v>307</v>
      </c>
      <c r="J46" s="22" t="s">
        <v>53</v>
      </c>
      <c r="K46" s="22" t="s">
        <v>82</v>
      </c>
      <c r="L46" s="22" t="s">
        <v>53</v>
      </c>
      <c r="M46" s="22" t="s">
        <v>56</v>
      </c>
      <c r="N46" s="22" t="s">
        <v>59</v>
      </c>
      <c r="O46" s="22" t="s">
        <v>84</v>
      </c>
      <c r="P46" s="22" t="s">
        <v>109</v>
      </c>
      <c r="Q46" s="22" t="s">
        <v>130</v>
      </c>
      <c r="R46" s="25"/>
      <c r="S46" s="22" t="s">
        <v>294</v>
      </c>
      <c r="T46" s="22" t="s">
        <v>62</v>
      </c>
      <c r="U46" s="22" t="s">
        <v>63</v>
      </c>
      <c r="V46" s="22" t="s">
        <v>64</v>
      </c>
      <c r="W46" s="22" t="s">
        <v>65</v>
      </c>
      <c r="X46" s="26" t="s">
        <v>389</v>
      </c>
      <c r="Y46" s="22" t="s">
        <v>414</v>
      </c>
      <c r="Z46" s="22" t="s">
        <v>415</v>
      </c>
      <c r="AA46" s="22" t="s">
        <v>416</v>
      </c>
      <c r="AB46" s="22" t="s">
        <v>417</v>
      </c>
      <c r="AC46" s="22" t="s">
        <v>393</v>
      </c>
      <c r="AD46" s="27" t="s">
        <v>71</v>
      </c>
      <c r="AE46" s="22" t="s">
        <v>350</v>
      </c>
      <c r="AF46" s="34"/>
      <c r="AG46" s="34"/>
    </row>
    <row r="47" spans="1:33" ht="62">
      <c r="A47" s="7" t="s">
        <v>45</v>
      </c>
      <c r="B47" s="38" t="s">
        <v>418</v>
      </c>
      <c r="C47" s="22" t="s">
        <v>419</v>
      </c>
      <c r="D47" s="23" t="s">
        <v>420</v>
      </c>
      <c r="E47" s="22" t="s">
        <v>53</v>
      </c>
      <c r="F47" s="22" t="s">
        <v>95</v>
      </c>
      <c r="G47" s="22" t="s">
        <v>49</v>
      </c>
      <c r="H47" s="22" t="s">
        <v>421</v>
      </c>
      <c r="I47" s="22" t="s">
        <v>81</v>
      </c>
      <c r="J47" s="22" t="s">
        <v>53</v>
      </c>
      <c r="K47" s="22" t="s">
        <v>128</v>
      </c>
      <c r="L47" s="22" t="s">
        <v>53</v>
      </c>
      <c r="M47" s="22" t="s">
        <v>56</v>
      </c>
      <c r="N47" s="22" t="s">
        <v>59</v>
      </c>
      <c r="O47" s="22" t="s">
        <v>84</v>
      </c>
      <c r="P47" s="22" t="s">
        <v>422</v>
      </c>
      <c r="Q47" s="22" t="s">
        <v>423</v>
      </c>
      <c r="R47" s="25"/>
      <c r="S47" s="22" t="s">
        <v>388</v>
      </c>
      <c r="T47" s="22" t="s">
        <v>62</v>
      </c>
      <c r="U47" s="22" t="s">
        <v>63</v>
      </c>
      <c r="V47" s="22" t="s">
        <v>64</v>
      </c>
      <c r="W47" s="22" t="s">
        <v>65</v>
      </c>
      <c r="X47" s="26" t="s">
        <v>389</v>
      </c>
      <c r="Y47" s="22" t="s">
        <v>424</v>
      </c>
      <c r="Z47" s="22" t="s">
        <v>416</v>
      </c>
      <c r="AA47" s="22" t="s">
        <v>425</v>
      </c>
      <c r="AB47" s="22" t="s">
        <v>426</v>
      </c>
      <c r="AC47" s="22" t="s">
        <v>393</v>
      </c>
      <c r="AD47" s="27" t="s">
        <v>71</v>
      </c>
      <c r="AE47" s="22" t="s">
        <v>350</v>
      </c>
      <c r="AF47" s="33" t="s">
        <v>427</v>
      </c>
      <c r="AG47" s="33" t="s">
        <v>352</v>
      </c>
    </row>
    <row r="48" spans="1:33" ht="46.5">
      <c r="A48" s="7" t="s">
        <v>45</v>
      </c>
      <c r="B48" s="38" t="s">
        <v>428</v>
      </c>
      <c r="C48" s="22" t="s">
        <v>429</v>
      </c>
      <c r="D48" s="23" t="s">
        <v>430</v>
      </c>
      <c r="E48" s="22" t="s">
        <v>53</v>
      </c>
      <c r="F48" s="22" t="s">
        <v>95</v>
      </c>
      <c r="G48" s="22" t="s">
        <v>49</v>
      </c>
      <c r="H48" s="22" t="s">
        <v>51</v>
      </c>
      <c r="I48" s="22" t="s">
        <v>81</v>
      </c>
      <c r="J48" s="22" t="s">
        <v>53</v>
      </c>
      <c r="K48" s="22" t="s">
        <v>144</v>
      </c>
      <c r="L48" s="22" t="s">
        <v>55</v>
      </c>
      <c r="M48" s="22" t="s">
        <v>56</v>
      </c>
      <c r="N48" s="22" t="s">
        <v>59</v>
      </c>
      <c r="O48" s="22" t="s">
        <v>84</v>
      </c>
      <c r="P48" s="22" t="s">
        <v>194</v>
      </c>
      <c r="Q48" s="22" t="s">
        <v>183</v>
      </c>
      <c r="R48" s="25"/>
      <c r="S48" s="22" t="s">
        <v>294</v>
      </c>
      <c r="T48" s="22" t="s">
        <v>62</v>
      </c>
      <c r="U48" s="22" t="s">
        <v>63</v>
      </c>
      <c r="V48" s="22" t="s">
        <v>64</v>
      </c>
      <c r="W48" s="22" t="s">
        <v>65</v>
      </c>
      <c r="X48" s="26" t="s">
        <v>431</v>
      </c>
      <c r="Y48" s="22" t="s">
        <v>432</v>
      </c>
      <c r="Z48" s="22" t="s">
        <v>433</v>
      </c>
      <c r="AA48" s="22" t="s">
        <v>434</v>
      </c>
      <c r="AB48" s="22" t="s">
        <v>435</v>
      </c>
      <c r="AC48" s="22" t="s">
        <v>393</v>
      </c>
      <c r="AD48" s="27" t="s">
        <v>71</v>
      </c>
      <c r="AE48" s="22" t="s">
        <v>350</v>
      </c>
      <c r="AF48" s="33" t="s">
        <v>436</v>
      </c>
      <c r="AG48" s="33" t="s">
        <v>352</v>
      </c>
    </row>
    <row r="49" spans="1:33" ht="46.5">
      <c r="A49" s="7" t="s">
        <v>45</v>
      </c>
      <c r="B49" s="36" t="s">
        <v>437</v>
      </c>
      <c r="C49" s="22" t="s">
        <v>438</v>
      </c>
      <c r="D49" s="23" t="s">
        <v>439</v>
      </c>
      <c r="E49" s="22" t="s">
        <v>49</v>
      </c>
      <c r="F49" s="22" t="s">
        <v>50</v>
      </c>
      <c r="G49" s="22" t="s">
        <v>49</v>
      </c>
      <c r="H49" s="22" t="s">
        <v>126</v>
      </c>
      <c r="I49" s="22" t="s">
        <v>52</v>
      </c>
      <c r="J49" s="22" t="s">
        <v>53</v>
      </c>
      <c r="K49" s="22" t="s">
        <v>182</v>
      </c>
      <c r="L49" s="22" t="s">
        <v>55</v>
      </c>
      <c r="M49" s="22" t="s">
        <v>56</v>
      </c>
      <c r="N49" s="22" t="s">
        <v>59</v>
      </c>
      <c r="O49" s="22" t="s">
        <v>84</v>
      </c>
      <c r="P49" s="22" t="s">
        <v>108</v>
      </c>
      <c r="Q49" s="22" t="s">
        <v>60</v>
      </c>
      <c r="R49" s="25"/>
      <c r="S49" s="22" t="s">
        <v>85</v>
      </c>
      <c r="T49" s="22" t="s">
        <v>62</v>
      </c>
      <c r="U49" s="22" t="s">
        <v>63</v>
      </c>
      <c r="V49" s="22" t="s">
        <v>64</v>
      </c>
      <c r="W49" s="22" t="s">
        <v>65</v>
      </c>
      <c r="X49" s="26" t="s">
        <v>431</v>
      </c>
      <c r="Y49" s="22" t="s">
        <v>440</v>
      </c>
      <c r="Z49" s="22" t="s">
        <v>441</v>
      </c>
      <c r="AA49" s="22" t="s">
        <v>442</v>
      </c>
      <c r="AB49" s="22" t="s">
        <v>443</v>
      </c>
      <c r="AC49" s="22" t="s">
        <v>393</v>
      </c>
      <c r="AD49" s="27" t="s">
        <v>71</v>
      </c>
      <c r="AE49" s="22" t="s">
        <v>350</v>
      </c>
      <c r="AF49" s="32" t="s">
        <v>444</v>
      </c>
      <c r="AG49" s="33" t="s">
        <v>352</v>
      </c>
    </row>
    <row r="50" spans="1:33" ht="46.5">
      <c r="A50" s="7" t="s">
        <v>45</v>
      </c>
      <c r="B50" s="38" t="s">
        <v>445</v>
      </c>
      <c r="C50" s="22" t="s">
        <v>446</v>
      </c>
      <c r="D50" s="23" t="s">
        <v>447</v>
      </c>
      <c r="E50" s="22" t="s">
        <v>49</v>
      </c>
      <c r="F50" s="22" t="s">
        <v>95</v>
      </c>
      <c r="G50" s="22" t="s">
        <v>49</v>
      </c>
      <c r="H50" s="22" t="s">
        <v>126</v>
      </c>
      <c r="I50" s="22" t="s">
        <v>81</v>
      </c>
      <c r="J50" s="22" t="s">
        <v>53</v>
      </c>
      <c r="K50" s="22" t="s">
        <v>144</v>
      </c>
      <c r="L50" s="22" t="s">
        <v>53</v>
      </c>
      <c r="M50" s="22" t="s">
        <v>56</v>
      </c>
      <c r="N50" s="22" t="s">
        <v>59</v>
      </c>
      <c r="O50" s="22" t="s">
        <v>84</v>
      </c>
      <c r="P50" s="22" t="s">
        <v>137</v>
      </c>
      <c r="Q50" s="22" t="s">
        <v>60</v>
      </c>
      <c r="R50" s="25"/>
      <c r="S50" s="22" t="s">
        <v>85</v>
      </c>
      <c r="T50" s="22" t="s">
        <v>62</v>
      </c>
      <c r="U50" s="22" t="s">
        <v>63</v>
      </c>
      <c r="V50" s="22" t="s">
        <v>64</v>
      </c>
      <c r="W50" s="22" t="s">
        <v>65</v>
      </c>
      <c r="X50" s="26" t="s">
        <v>431</v>
      </c>
      <c r="Y50" s="22" t="s">
        <v>448</v>
      </c>
      <c r="Z50" s="22" t="s">
        <v>442</v>
      </c>
      <c r="AA50" s="22" t="s">
        <v>449</v>
      </c>
      <c r="AB50" s="22" t="s">
        <v>450</v>
      </c>
      <c r="AC50" s="22" t="s">
        <v>393</v>
      </c>
      <c r="AD50" s="27" t="s">
        <v>71</v>
      </c>
      <c r="AE50" s="22" t="s">
        <v>350</v>
      </c>
      <c r="AF50" s="33" t="s">
        <v>451</v>
      </c>
      <c r="AG50" s="33" t="s">
        <v>352</v>
      </c>
    </row>
    <row r="51" spans="1:33" ht="46.5">
      <c r="A51" s="7" t="s">
        <v>45</v>
      </c>
      <c r="B51" s="38" t="s">
        <v>452</v>
      </c>
      <c r="C51" s="22" t="s">
        <v>453</v>
      </c>
      <c r="D51" s="23" t="s">
        <v>454</v>
      </c>
      <c r="E51" s="25" t="s">
        <v>455</v>
      </c>
      <c r="F51" s="22" t="s">
        <v>78</v>
      </c>
      <c r="G51" s="25" t="s">
        <v>455</v>
      </c>
      <c r="H51" s="22" t="s">
        <v>80</v>
      </c>
      <c r="I51" s="22" t="s">
        <v>81</v>
      </c>
      <c r="J51" s="22" t="s">
        <v>456</v>
      </c>
      <c r="K51" s="22" t="s">
        <v>128</v>
      </c>
      <c r="L51" s="22" t="s">
        <v>53</v>
      </c>
      <c r="M51" s="22" t="s">
        <v>56</v>
      </c>
      <c r="N51" s="22" t="s">
        <v>59</v>
      </c>
      <c r="O51" s="22" t="s">
        <v>457</v>
      </c>
      <c r="P51" s="22" t="s">
        <v>59</v>
      </c>
      <c r="Q51" s="47" t="s">
        <v>458</v>
      </c>
      <c r="R51" s="25"/>
      <c r="S51" s="47" t="s">
        <v>109</v>
      </c>
      <c r="T51" s="22" t="s">
        <v>62</v>
      </c>
      <c r="U51" s="22" t="s">
        <v>63</v>
      </c>
      <c r="V51" s="22" t="s">
        <v>64</v>
      </c>
      <c r="W51" s="22" t="s">
        <v>65</v>
      </c>
      <c r="X51" s="26" t="s">
        <v>431</v>
      </c>
      <c r="Y51" s="22" t="s">
        <v>459</v>
      </c>
      <c r="Z51" s="22" t="s">
        <v>460</v>
      </c>
      <c r="AA51" s="22" t="s">
        <v>461</v>
      </c>
      <c r="AB51" s="22" t="s">
        <v>462</v>
      </c>
      <c r="AC51" s="22" t="s">
        <v>393</v>
      </c>
      <c r="AD51" s="27" t="s">
        <v>71</v>
      </c>
      <c r="AE51" s="22" t="s">
        <v>350</v>
      </c>
      <c r="AF51" s="32" t="s">
        <v>463</v>
      </c>
      <c r="AG51" s="33" t="s">
        <v>352</v>
      </c>
    </row>
    <row r="52" spans="1:33" ht="62">
      <c r="A52" s="7" t="s">
        <v>45</v>
      </c>
      <c r="B52" s="38" t="s">
        <v>464</v>
      </c>
      <c r="C52" s="22" t="s">
        <v>465</v>
      </c>
      <c r="D52" s="23" t="s">
        <v>466</v>
      </c>
      <c r="E52" s="22" t="s">
        <v>49</v>
      </c>
      <c r="F52" s="22" t="s">
        <v>78</v>
      </c>
      <c r="G52" s="22" t="s">
        <v>49</v>
      </c>
      <c r="H52" s="22" t="s">
        <v>51</v>
      </c>
      <c r="I52" s="22" t="s">
        <v>81</v>
      </c>
      <c r="J52" s="22" t="s">
        <v>53</v>
      </c>
      <c r="K52" s="22" t="s">
        <v>54</v>
      </c>
      <c r="L52" s="22" t="s">
        <v>53</v>
      </c>
      <c r="M52" s="22" t="s">
        <v>56</v>
      </c>
      <c r="N52" s="22" t="s">
        <v>59</v>
      </c>
      <c r="O52" s="22" t="s">
        <v>84</v>
      </c>
      <c r="P52" s="22" t="s">
        <v>194</v>
      </c>
      <c r="Q52" s="22" t="s">
        <v>86</v>
      </c>
      <c r="R52" s="25"/>
      <c r="S52" s="22" t="s">
        <v>467</v>
      </c>
      <c r="T52" s="22" t="s">
        <v>62</v>
      </c>
      <c r="U52" s="22" t="s">
        <v>63</v>
      </c>
      <c r="V52" s="22" t="s">
        <v>118</v>
      </c>
      <c r="W52" s="22" t="s">
        <v>65</v>
      </c>
      <c r="X52" s="26" t="s">
        <v>431</v>
      </c>
      <c r="Y52" s="22" t="s">
        <v>406</v>
      </c>
      <c r="Z52" s="22" t="s">
        <v>468</v>
      </c>
      <c r="AA52" s="22" t="s">
        <v>250</v>
      </c>
      <c r="AB52" s="22" t="s">
        <v>469</v>
      </c>
      <c r="AC52" s="22" t="s">
        <v>393</v>
      </c>
      <c r="AD52" s="27" t="s">
        <v>71</v>
      </c>
      <c r="AE52" s="22" t="s">
        <v>350</v>
      </c>
      <c r="AF52" s="32" t="s">
        <v>470</v>
      </c>
      <c r="AG52" s="33" t="s">
        <v>352</v>
      </c>
    </row>
    <row r="53" spans="1:33" ht="46.5">
      <c r="A53" s="7" t="s">
        <v>45</v>
      </c>
      <c r="B53" s="48" t="s">
        <v>471</v>
      </c>
      <c r="C53" s="33" t="s">
        <v>472</v>
      </c>
      <c r="D53" s="49" t="s">
        <v>473</v>
      </c>
      <c r="E53" s="22" t="s">
        <v>49</v>
      </c>
      <c r="F53" s="22" t="s">
        <v>50</v>
      </c>
      <c r="G53" s="22" t="s">
        <v>79</v>
      </c>
      <c r="H53" s="22" t="s">
        <v>51</v>
      </c>
      <c r="I53" s="22" t="s">
        <v>81</v>
      </c>
      <c r="J53" s="22" t="s">
        <v>107</v>
      </c>
      <c r="K53" s="22" t="s">
        <v>144</v>
      </c>
      <c r="L53" s="22" t="s">
        <v>53</v>
      </c>
      <c r="M53" s="22" t="s">
        <v>83</v>
      </c>
      <c r="N53" s="22" t="s">
        <v>59</v>
      </c>
      <c r="O53" s="22" t="s">
        <v>84</v>
      </c>
      <c r="P53" s="22" t="s">
        <v>85</v>
      </c>
      <c r="Q53" s="22" t="s">
        <v>60</v>
      </c>
      <c r="R53" s="25"/>
      <c r="S53" s="7" t="s">
        <v>85</v>
      </c>
      <c r="T53" s="22" t="s">
        <v>62</v>
      </c>
      <c r="U53" s="22" t="s">
        <v>63</v>
      </c>
      <c r="V53" s="22" t="s">
        <v>64</v>
      </c>
      <c r="W53" s="22" t="s">
        <v>65</v>
      </c>
      <c r="X53" s="35" t="s">
        <v>474</v>
      </c>
      <c r="Y53" s="22" t="s">
        <v>195</v>
      </c>
      <c r="Z53" s="22">
        <v>144</v>
      </c>
      <c r="AA53" s="22">
        <v>160</v>
      </c>
      <c r="AC53" s="22" t="s">
        <v>475</v>
      </c>
      <c r="AD53" s="27" t="s">
        <v>71</v>
      </c>
      <c r="AE53" s="22" t="s">
        <v>350</v>
      </c>
      <c r="AF53" s="32" t="s">
        <v>476</v>
      </c>
      <c r="AG53" s="34"/>
    </row>
    <row r="54" spans="1:33" ht="46.5">
      <c r="A54" s="7" t="s">
        <v>45</v>
      </c>
      <c r="B54" s="48" t="s">
        <v>477</v>
      </c>
      <c r="C54" s="33" t="s">
        <v>472</v>
      </c>
      <c r="D54" s="49" t="s">
        <v>473</v>
      </c>
      <c r="E54" s="22" t="s">
        <v>49</v>
      </c>
      <c r="F54" s="22" t="s">
        <v>50</v>
      </c>
      <c r="G54" s="22" t="s">
        <v>79</v>
      </c>
      <c r="H54" s="22" t="s">
        <v>51</v>
      </c>
      <c r="I54" s="22" t="s">
        <v>81</v>
      </c>
      <c r="J54" s="22" t="s">
        <v>107</v>
      </c>
      <c r="K54" s="22" t="s">
        <v>144</v>
      </c>
      <c r="L54" s="22" t="s">
        <v>53</v>
      </c>
      <c r="M54" s="22" t="s">
        <v>83</v>
      </c>
      <c r="N54" s="22" t="s">
        <v>59</v>
      </c>
      <c r="O54" s="22" t="s">
        <v>84</v>
      </c>
      <c r="P54" s="22" t="s">
        <v>85</v>
      </c>
      <c r="Q54" s="22" t="s">
        <v>60</v>
      </c>
      <c r="R54" s="25"/>
      <c r="S54" s="7" t="s">
        <v>85</v>
      </c>
      <c r="T54" s="22" t="s">
        <v>62</v>
      </c>
      <c r="U54" s="22" t="s">
        <v>63</v>
      </c>
      <c r="V54" s="22" t="s">
        <v>64</v>
      </c>
      <c r="W54" s="22" t="s">
        <v>65</v>
      </c>
      <c r="X54" s="35" t="s">
        <v>474</v>
      </c>
      <c r="Y54" s="22" t="s">
        <v>195</v>
      </c>
      <c r="Z54" s="22">
        <v>144</v>
      </c>
      <c r="AA54" s="22">
        <v>160</v>
      </c>
      <c r="AC54" s="22" t="s">
        <v>475</v>
      </c>
      <c r="AD54" s="27" t="s">
        <v>71</v>
      </c>
      <c r="AE54" s="22" t="s">
        <v>478</v>
      </c>
      <c r="AF54" s="28"/>
      <c r="AG54" s="34"/>
    </row>
    <row r="55" spans="1:33" ht="46.5">
      <c r="A55" s="7" t="s">
        <v>45</v>
      </c>
      <c r="B55" s="36" t="s">
        <v>479</v>
      </c>
      <c r="C55" s="33" t="s">
        <v>480</v>
      </c>
      <c r="D55" s="49" t="s">
        <v>481</v>
      </c>
      <c r="E55" s="22" t="s">
        <v>49</v>
      </c>
      <c r="F55" s="22" t="s">
        <v>50</v>
      </c>
      <c r="G55" s="22" t="s">
        <v>49</v>
      </c>
      <c r="H55" s="22" t="s">
        <v>51</v>
      </c>
      <c r="I55" s="22" t="s">
        <v>81</v>
      </c>
      <c r="J55" s="22" t="s">
        <v>107</v>
      </c>
      <c r="K55" s="22" t="s">
        <v>54</v>
      </c>
      <c r="L55" s="22" t="s">
        <v>53</v>
      </c>
      <c r="M55" s="22" t="s">
        <v>83</v>
      </c>
      <c r="N55" s="22" t="s">
        <v>59</v>
      </c>
      <c r="O55" s="22" t="s">
        <v>84</v>
      </c>
      <c r="P55" s="22" t="s">
        <v>108</v>
      </c>
      <c r="Q55" s="22" t="s">
        <v>183</v>
      </c>
      <c r="R55" s="25"/>
      <c r="S55" s="7" t="s">
        <v>61</v>
      </c>
      <c r="T55" s="22" t="s">
        <v>62</v>
      </c>
      <c r="U55" s="22" t="s">
        <v>63</v>
      </c>
      <c r="V55" s="22" t="s">
        <v>64</v>
      </c>
      <c r="W55" s="22" t="s">
        <v>65</v>
      </c>
      <c r="X55" s="26" t="s">
        <v>482</v>
      </c>
      <c r="Y55" s="22" t="s">
        <v>131</v>
      </c>
      <c r="Z55" s="22">
        <v>187</v>
      </c>
      <c r="AA55" s="22">
        <v>199</v>
      </c>
      <c r="AC55" s="22" t="s">
        <v>475</v>
      </c>
      <c r="AD55" s="27" t="s">
        <v>71</v>
      </c>
      <c r="AE55" s="22" t="s">
        <v>478</v>
      </c>
      <c r="AF55" s="28"/>
      <c r="AG55" s="29"/>
    </row>
    <row r="56" spans="1:33" ht="46.5">
      <c r="A56" s="7" t="s">
        <v>45</v>
      </c>
      <c r="B56" s="36" t="s">
        <v>483</v>
      </c>
      <c r="C56" s="33" t="s">
        <v>484</v>
      </c>
      <c r="D56" s="49" t="s">
        <v>485</v>
      </c>
      <c r="E56" s="22" t="s">
        <v>49</v>
      </c>
      <c r="F56" s="22" t="s">
        <v>50</v>
      </c>
      <c r="G56" s="22" t="s">
        <v>49</v>
      </c>
      <c r="H56" s="22" t="s">
        <v>51</v>
      </c>
      <c r="I56" s="22" t="s">
        <v>307</v>
      </c>
      <c r="J56" s="22" t="s">
        <v>53</v>
      </c>
      <c r="K56" s="22" t="s">
        <v>82</v>
      </c>
      <c r="L56" s="22" t="s">
        <v>53</v>
      </c>
      <c r="M56" s="22" t="s">
        <v>83</v>
      </c>
      <c r="N56" s="22" t="s">
        <v>59</v>
      </c>
      <c r="O56" s="22" t="s">
        <v>84</v>
      </c>
      <c r="P56" s="22" t="s">
        <v>137</v>
      </c>
      <c r="Q56" s="22" t="s">
        <v>60</v>
      </c>
      <c r="R56" s="25"/>
      <c r="S56" s="22" t="s">
        <v>85</v>
      </c>
      <c r="T56" s="22" t="s">
        <v>62</v>
      </c>
      <c r="U56" s="22" t="s">
        <v>63</v>
      </c>
      <c r="V56" s="22" t="s">
        <v>64</v>
      </c>
      <c r="W56" s="22" t="s">
        <v>65</v>
      </c>
      <c r="X56" s="35" t="s">
        <v>486</v>
      </c>
      <c r="Y56" s="22" t="s">
        <v>342</v>
      </c>
      <c r="Z56" s="22">
        <v>199</v>
      </c>
      <c r="AA56" s="22">
        <v>211</v>
      </c>
      <c r="AC56" s="22" t="s">
        <v>475</v>
      </c>
      <c r="AD56" s="27" t="s">
        <v>71</v>
      </c>
      <c r="AE56" s="22" t="s">
        <v>478</v>
      </c>
      <c r="AF56" s="28"/>
      <c r="AG56" s="34"/>
    </row>
    <row r="57" spans="1:33" ht="46.5">
      <c r="A57" s="7" t="s">
        <v>45</v>
      </c>
      <c r="B57" s="36" t="s">
        <v>487</v>
      </c>
      <c r="C57" s="33" t="s">
        <v>488</v>
      </c>
      <c r="D57" s="49" t="s">
        <v>489</v>
      </c>
      <c r="E57" s="22" t="s">
        <v>49</v>
      </c>
      <c r="F57" s="22" t="s">
        <v>95</v>
      </c>
      <c r="G57" s="22" t="s">
        <v>79</v>
      </c>
      <c r="H57" s="22" t="s">
        <v>51</v>
      </c>
      <c r="I57" s="22" t="s">
        <v>81</v>
      </c>
      <c r="J57" s="22" t="s">
        <v>53</v>
      </c>
      <c r="K57" s="22" t="s">
        <v>54</v>
      </c>
      <c r="L57" s="22" t="s">
        <v>53</v>
      </c>
      <c r="M57" s="22" t="s">
        <v>83</v>
      </c>
      <c r="N57" s="22" t="s">
        <v>59</v>
      </c>
      <c r="O57" s="22" t="s">
        <v>490</v>
      </c>
      <c r="P57" s="22" t="s">
        <v>85</v>
      </c>
      <c r="Q57" s="22" t="s">
        <v>60</v>
      </c>
      <c r="R57" s="25"/>
      <c r="S57" s="22" t="s">
        <v>85</v>
      </c>
      <c r="T57" s="22" t="s">
        <v>62</v>
      </c>
      <c r="U57" s="22" t="s">
        <v>63</v>
      </c>
      <c r="V57" s="22" t="s">
        <v>64</v>
      </c>
      <c r="W57" s="22" t="s">
        <v>65</v>
      </c>
      <c r="X57" s="26" t="s">
        <v>491</v>
      </c>
      <c r="Y57" s="22" t="s">
        <v>357</v>
      </c>
      <c r="Z57" s="22">
        <v>223</v>
      </c>
      <c r="AA57" s="22">
        <v>238</v>
      </c>
      <c r="AC57" s="22" t="s">
        <v>475</v>
      </c>
      <c r="AD57" s="27" t="s">
        <v>71</v>
      </c>
      <c r="AE57" s="22" t="s">
        <v>478</v>
      </c>
      <c r="AF57" s="28"/>
      <c r="AG57" s="34"/>
    </row>
    <row r="58" spans="1:33" ht="62">
      <c r="A58" s="7" t="s">
        <v>45</v>
      </c>
      <c r="B58" s="36" t="s">
        <v>492</v>
      </c>
      <c r="C58" s="33" t="s">
        <v>493</v>
      </c>
      <c r="D58" s="49" t="s">
        <v>494</v>
      </c>
      <c r="E58" s="22" t="s">
        <v>49</v>
      </c>
      <c r="F58" s="22" t="s">
        <v>50</v>
      </c>
      <c r="G58" s="22" t="s">
        <v>79</v>
      </c>
      <c r="H58" s="22" t="s">
        <v>126</v>
      </c>
      <c r="I58" s="22" t="s">
        <v>307</v>
      </c>
      <c r="J58" s="22" t="s">
        <v>107</v>
      </c>
      <c r="K58" s="22" t="s">
        <v>144</v>
      </c>
      <c r="L58" s="22" t="s">
        <v>53</v>
      </c>
      <c r="M58" s="22" t="s">
        <v>83</v>
      </c>
      <c r="N58" s="22" t="s">
        <v>59</v>
      </c>
      <c r="O58" s="22" t="s">
        <v>84</v>
      </c>
      <c r="P58" s="22" t="s">
        <v>108</v>
      </c>
      <c r="Q58" s="22" t="s">
        <v>60</v>
      </c>
      <c r="R58" s="25"/>
      <c r="S58" s="22" t="s">
        <v>61</v>
      </c>
      <c r="T58" s="22" t="s">
        <v>62</v>
      </c>
      <c r="U58" s="22" t="s">
        <v>63</v>
      </c>
      <c r="V58" s="22" t="s">
        <v>64</v>
      </c>
      <c r="W58" s="22" t="s">
        <v>65</v>
      </c>
      <c r="X58" s="26" t="s">
        <v>495</v>
      </c>
      <c r="Y58" s="22" t="s">
        <v>496</v>
      </c>
      <c r="Z58" s="22">
        <v>303</v>
      </c>
      <c r="AA58" s="22">
        <v>314</v>
      </c>
      <c r="AB58" s="22" t="s">
        <v>497</v>
      </c>
      <c r="AC58" s="22" t="s">
        <v>475</v>
      </c>
      <c r="AD58" s="27" t="s">
        <v>71</v>
      </c>
      <c r="AE58" s="22" t="s">
        <v>478</v>
      </c>
      <c r="AF58" s="34"/>
      <c r="AG58" s="34"/>
    </row>
    <row r="59" spans="1:33" ht="46.5">
      <c r="A59" s="7" t="s">
        <v>45</v>
      </c>
      <c r="B59" s="36" t="s">
        <v>498</v>
      </c>
      <c r="C59" s="33" t="s">
        <v>499</v>
      </c>
      <c r="D59" s="49" t="s">
        <v>500</v>
      </c>
      <c r="E59" s="22" t="s">
        <v>49</v>
      </c>
      <c r="F59" s="22" t="s">
        <v>95</v>
      </c>
      <c r="G59" s="22" t="s">
        <v>49</v>
      </c>
      <c r="H59" s="22" t="s">
        <v>80</v>
      </c>
      <c r="I59" s="22" t="s">
        <v>81</v>
      </c>
      <c r="J59" s="22" t="s">
        <v>501</v>
      </c>
      <c r="K59" s="22" t="s">
        <v>54</v>
      </c>
      <c r="L59" s="22" t="s">
        <v>53</v>
      </c>
      <c r="M59" s="22" t="s">
        <v>83</v>
      </c>
      <c r="N59" s="22" t="s">
        <v>59</v>
      </c>
      <c r="O59" s="22" t="s">
        <v>84</v>
      </c>
      <c r="P59" s="22" t="s">
        <v>137</v>
      </c>
      <c r="Q59" s="22" t="s">
        <v>60</v>
      </c>
      <c r="R59" s="25"/>
      <c r="S59" s="22" t="s">
        <v>85</v>
      </c>
      <c r="T59" s="22" t="s">
        <v>62</v>
      </c>
      <c r="U59" s="22" t="s">
        <v>63</v>
      </c>
      <c r="V59" s="22" t="s">
        <v>64</v>
      </c>
      <c r="W59" s="22" t="s">
        <v>65</v>
      </c>
      <c r="X59" s="35" t="s">
        <v>502</v>
      </c>
      <c r="Y59" s="22" t="s">
        <v>503</v>
      </c>
      <c r="Z59" s="22">
        <v>28</v>
      </c>
      <c r="AA59" s="22">
        <v>41</v>
      </c>
      <c r="AC59" s="22" t="s">
        <v>475</v>
      </c>
      <c r="AD59" s="27" t="s">
        <v>71</v>
      </c>
      <c r="AE59" s="22" t="s">
        <v>478</v>
      </c>
      <c r="AF59" s="34"/>
      <c r="AG59" s="34"/>
    </row>
    <row r="60" spans="1:33" ht="31">
      <c r="A60" s="7" t="s">
        <v>45</v>
      </c>
      <c r="B60" s="36" t="s">
        <v>504</v>
      </c>
      <c r="C60" s="22" t="s">
        <v>505</v>
      </c>
      <c r="D60" s="49" t="s">
        <v>506</v>
      </c>
      <c r="E60" s="22" t="s">
        <v>49</v>
      </c>
      <c r="F60" s="22" t="s">
        <v>50</v>
      </c>
      <c r="G60" s="22" t="s">
        <v>49</v>
      </c>
      <c r="H60" s="22" t="s">
        <v>51</v>
      </c>
      <c r="I60" s="22" t="s">
        <v>81</v>
      </c>
      <c r="J60" s="22" t="s">
        <v>109</v>
      </c>
      <c r="K60" s="22" t="s">
        <v>182</v>
      </c>
      <c r="L60" s="22" t="s">
        <v>53</v>
      </c>
      <c r="M60" s="22" t="s">
        <v>83</v>
      </c>
      <c r="N60" s="22" t="s">
        <v>59</v>
      </c>
      <c r="O60" s="22" t="s">
        <v>84</v>
      </c>
      <c r="P60" s="22" t="s">
        <v>137</v>
      </c>
      <c r="Q60" s="22" t="s">
        <v>183</v>
      </c>
      <c r="R60" s="25"/>
      <c r="S60" s="22" t="s">
        <v>85</v>
      </c>
      <c r="T60" s="22" t="s">
        <v>62</v>
      </c>
      <c r="U60" s="22" t="s">
        <v>63</v>
      </c>
      <c r="V60" s="22" t="s">
        <v>64</v>
      </c>
      <c r="W60" s="22" t="s">
        <v>65</v>
      </c>
      <c r="X60" s="26" t="s">
        <v>507</v>
      </c>
      <c r="Y60" s="22" t="s">
        <v>120</v>
      </c>
      <c r="Z60" s="22">
        <v>73</v>
      </c>
      <c r="AA60" s="22">
        <v>83</v>
      </c>
      <c r="AC60" s="22" t="s">
        <v>475</v>
      </c>
      <c r="AD60" s="27" t="s">
        <v>71</v>
      </c>
      <c r="AE60" s="22" t="s">
        <v>478</v>
      </c>
      <c r="AF60" s="34"/>
      <c r="AG60" s="34"/>
    </row>
    <row r="61" spans="1:33" ht="31">
      <c r="A61" s="7" t="s">
        <v>45</v>
      </c>
      <c r="B61" s="36" t="s">
        <v>508</v>
      </c>
      <c r="C61" s="22" t="s">
        <v>509</v>
      </c>
      <c r="D61" s="49" t="s">
        <v>510</v>
      </c>
      <c r="E61" s="22" t="s">
        <v>49</v>
      </c>
      <c r="F61" s="22" t="s">
        <v>95</v>
      </c>
      <c r="G61" s="22" t="s">
        <v>79</v>
      </c>
      <c r="H61" s="22" t="s">
        <v>126</v>
      </c>
      <c r="I61" s="22" t="s">
        <v>81</v>
      </c>
      <c r="J61" s="22" t="s">
        <v>53</v>
      </c>
      <c r="K61" s="22" t="s">
        <v>144</v>
      </c>
      <c r="L61" s="22" t="s">
        <v>53</v>
      </c>
      <c r="M61" s="22" t="s">
        <v>83</v>
      </c>
      <c r="N61" s="22" t="s">
        <v>59</v>
      </c>
      <c r="O61" s="22" t="s">
        <v>84</v>
      </c>
      <c r="P61" s="22" t="s">
        <v>85</v>
      </c>
      <c r="Q61" s="22" t="s">
        <v>60</v>
      </c>
      <c r="R61" s="25"/>
      <c r="S61" s="22" t="s">
        <v>85</v>
      </c>
      <c r="T61" s="22" t="s">
        <v>62</v>
      </c>
      <c r="U61" s="22" t="s">
        <v>63</v>
      </c>
      <c r="V61" s="22" t="s">
        <v>64</v>
      </c>
      <c r="W61" s="22" t="s">
        <v>65</v>
      </c>
      <c r="X61" s="35" t="s">
        <v>511</v>
      </c>
      <c r="Y61" s="22" t="s">
        <v>89</v>
      </c>
      <c r="Z61" s="22">
        <v>98</v>
      </c>
      <c r="AA61" s="22">
        <v>109</v>
      </c>
      <c r="AC61" s="22" t="s">
        <v>475</v>
      </c>
      <c r="AD61" s="27" t="s">
        <v>71</v>
      </c>
      <c r="AE61" s="22" t="s">
        <v>478</v>
      </c>
      <c r="AF61" s="34"/>
      <c r="AG61" s="34"/>
    </row>
    <row r="62" spans="1:33" ht="31">
      <c r="A62" s="7" t="s">
        <v>45</v>
      </c>
      <c r="B62" s="36" t="s">
        <v>512</v>
      </c>
      <c r="C62" s="22" t="s">
        <v>513</v>
      </c>
      <c r="D62" s="49" t="s">
        <v>514</v>
      </c>
      <c r="E62" s="22" t="s">
        <v>49</v>
      </c>
      <c r="F62" s="22" t="s">
        <v>95</v>
      </c>
      <c r="G62" s="22" t="s">
        <v>79</v>
      </c>
      <c r="H62" s="22" t="s">
        <v>126</v>
      </c>
      <c r="I62" s="22" t="s">
        <v>307</v>
      </c>
      <c r="J62" s="22" t="s">
        <v>53</v>
      </c>
      <c r="K62" s="22" t="s">
        <v>144</v>
      </c>
      <c r="L62" s="22" t="s">
        <v>53</v>
      </c>
      <c r="M62" s="22" t="s">
        <v>83</v>
      </c>
      <c r="N62" s="22" t="s">
        <v>57</v>
      </c>
      <c r="O62" s="22" t="s">
        <v>84</v>
      </c>
      <c r="P62" s="22" t="s">
        <v>85</v>
      </c>
      <c r="Q62" s="22" t="s">
        <v>60</v>
      </c>
      <c r="R62" s="25"/>
      <c r="S62" s="22" t="s">
        <v>61</v>
      </c>
      <c r="T62" s="22" t="s">
        <v>62</v>
      </c>
      <c r="U62" s="22" t="s">
        <v>515</v>
      </c>
      <c r="V62" s="22" t="s">
        <v>118</v>
      </c>
      <c r="W62" s="22" t="s">
        <v>65</v>
      </c>
      <c r="X62" s="26" t="s">
        <v>516</v>
      </c>
      <c r="Y62" s="22" t="s">
        <v>357</v>
      </c>
      <c r="Z62" s="22">
        <v>213</v>
      </c>
      <c r="AA62" s="22">
        <v>227</v>
      </c>
      <c r="AB62" s="22" t="s">
        <v>517</v>
      </c>
      <c r="AC62" s="22" t="s">
        <v>475</v>
      </c>
      <c r="AD62" s="27" t="s">
        <v>71</v>
      </c>
      <c r="AE62" s="22" t="s">
        <v>478</v>
      </c>
      <c r="AF62" s="34"/>
      <c r="AG62" s="34"/>
    </row>
    <row r="63" spans="1:33" ht="31">
      <c r="A63" s="7" t="s">
        <v>45</v>
      </c>
      <c r="B63" s="36" t="s">
        <v>518</v>
      </c>
      <c r="C63" s="50" t="s">
        <v>519</v>
      </c>
      <c r="D63" s="49" t="s">
        <v>520</v>
      </c>
      <c r="E63" s="22" t="s">
        <v>49</v>
      </c>
      <c r="F63" s="22" t="s">
        <v>50</v>
      </c>
      <c r="G63" s="22" t="s">
        <v>49</v>
      </c>
      <c r="H63" s="22" t="s">
        <v>126</v>
      </c>
      <c r="I63" s="22" t="s">
        <v>307</v>
      </c>
      <c r="J63" s="22" t="s">
        <v>53</v>
      </c>
      <c r="K63" s="22" t="s">
        <v>144</v>
      </c>
      <c r="L63" s="22" t="s">
        <v>53</v>
      </c>
      <c r="M63" s="22" t="s">
        <v>83</v>
      </c>
      <c r="N63" s="22" t="s">
        <v>348</v>
      </c>
      <c r="O63" s="22" t="s">
        <v>84</v>
      </c>
      <c r="P63" s="22" t="s">
        <v>59</v>
      </c>
      <c r="Q63" s="22" t="s">
        <v>60</v>
      </c>
      <c r="R63" s="25"/>
      <c r="S63" s="22" t="s">
        <v>61</v>
      </c>
      <c r="T63" s="22" t="s">
        <v>62</v>
      </c>
      <c r="U63" s="22" t="s">
        <v>63</v>
      </c>
      <c r="V63" s="22" t="s">
        <v>64</v>
      </c>
      <c r="W63" s="22" t="s">
        <v>65</v>
      </c>
      <c r="X63" s="35" t="s">
        <v>521</v>
      </c>
      <c r="Y63" s="22" t="s">
        <v>67</v>
      </c>
      <c r="Z63" s="22">
        <v>252</v>
      </c>
      <c r="AA63" s="22">
        <v>263</v>
      </c>
      <c r="AC63" s="22" t="s">
        <v>475</v>
      </c>
      <c r="AD63" s="27" t="s">
        <v>71</v>
      </c>
      <c r="AE63" s="22" t="s">
        <v>478</v>
      </c>
      <c r="AF63" s="34"/>
      <c r="AG63" s="34"/>
    </row>
    <row r="64" spans="1:33" ht="46.5">
      <c r="A64" s="7" t="s">
        <v>45</v>
      </c>
      <c r="B64" s="51" t="s">
        <v>522</v>
      </c>
      <c r="C64" s="22" t="s">
        <v>93</v>
      </c>
      <c r="D64" s="23" t="s">
        <v>523</v>
      </c>
      <c r="E64" s="22" t="s">
        <v>49</v>
      </c>
      <c r="F64" s="22" t="s">
        <v>95</v>
      </c>
      <c r="G64" s="22" t="s">
        <v>79</v>
      </c>
      <c r="H64" s="22" t="s">
        <v>126</v>
      </c>
      <c r="I64" s="22" t="s">
        <v>52</v>
      </c>
      <c r="J64" s="22" t="s">
        <v>53</v>
      </c>
      <c r="K64" s="22" t="s">
        <v>144</v>
      </c>
      <c r="L64" s="22" t="s">
        <v>55</v>
      </c>
      <c r="M64" s="22" t="s">
        <v>83</v>
      </c>
      <c r="N64" s="22" t="s">
        <v>59</v>
      </c>
      <c r="O64" s="22" t="s">
        <v>97</v>
      </c>
      <c r="P64" s="22" t="s">
        <v>59</v>
      </c>
      <c r="Q64" s="22" t="s">
        <v>98</v>
      </c>
      <c r="R64" s="25"/>
      <c r="S64" s="22" t="s">
        <v>61</v>
      </c>
      <c r="T64" s="22" t="s">
        <v>62</v>
      </c>
      <c r="U64" s="22" t="s">
        <v>63</v>
      </c>
      <c r="V64" s="22" t="s">
        <v>64</v>
      </c>
      <c r="W64" s="25"/>
      <c r="X64" s="26" t="s">
        <v>524</v>
      </c>
      <c r="Y64" s="22" t="s">
        <v>525</v>
      </c>
      <c r="Z64" s="22" t="s">
        <v>526</v>
      </c>
      <c r="AA64" s="22" t="s">
        <v>527</v>
      </c>
      <c r="AC64" s="22" t="s">
        <v>70</v>
      </c>
      <c r="AD64" s="27" t="s">
        <v>71</v>
      </c>
      <c r="AE64" s="22" t="s">
        <v>478</v>
      </c>
      <c r="AF64" s="34"/>
      <c r="AG64" s="33" t="s">
        <v>528</v>
      </c>
    </row>
    <row r="65" spans="1:33" ht="46.5">
      <c r="A65" s="7" t="s">
        <v>45</v>
      </c>
      <c r="B65" s="51" t="s">
        <v>529</v>
      </c>
      <c r="C65" s="22" t="s">
        <v>530</v>
      </c>
      <c r="D65" s="23" t="s">
        <v>531</v>
      </c>
      <c r="E65" s="22" t="s">
        <v>49</v>
      </c>
      <c r="F65" s="22" t="s">
        <v>78</v>
      </c>
      <c r="G65" s="22" t="s">
        <v>49</v>
      </c>
      <c r="H65" s="22" t="s">
        <v>51</v>
      </c>
      <c r="I65" s="22" t="s">
        <v>81</v>
      </c>
      <c r="J65" s="22" t="s">
        <v>127</v>
      </c>
      <c r="K65" s="22" t="s">
        <v>356</v>
      </c>
      <c r="L65" s="22" t="s">
        <v>53</v>
      </c>
      <c r="M65" s="22" t="s">
        <v>83</v>
      </c>
      <c r="N65" s="22" t="s">
        <v>59</v>
      </c>
      <c r="O65" s="22" t="s">
        <v>84</v>
      </c>
      <c r="P65" s="22" t="s">
        <v>137</v>
      </c>
      <c r="Q65" s="22" t="s">
        <v>60</v>
      </c>
      <c r="R65" s="25"/>
      <c r="S65" s="22" t="s">
        <v>85</v>
      </c>
      <c r="T65" s="22" t="s">
        <v>62</v>
      </c>
      <c r="U65" s="22" t="s">
        <v>63</v>
      </c>
      <c r="V65" s="22" t="s">
        <v>64</v>
      </c>
      <c r="W65" s="25"/>
      <c r="X65" s="26" t="s">
        <v>524</v>
      </c>
      <c r="Y65" s="22" t="s">
        <v>184</v>
      </c>
      <c r="Z65" s="22" t="s">
        <v>532</v>
      </c>
      <c r="AA65" s="22" t="s">
        <v>533</v>
      </c>
      <c r="AC65" s="22" t="s">
        <v>70</v>
      </c>
      <c r="AD65" s="27" t="s">
        <v>71</v>
      </c>
      <c r="AE65" s="22" t="s">
        <v>478</v>
      </c>
      <c r="AF65" s="34"/>
      <c r="AG65" s="33" t="s">
        <v>103</v>
      </c>
    </row>
    <row r="66" spans="1:33" ht="46.5">
      <c r="A66" s="7" t="s">
        <v>45</v>
      </c>
      <c r="B66" s="51" t="s">
        <v>534</v>
      </c>
      <c r="C66" s="22" t="s">
        <v>535</v>
      </c>
      <c r="D66" s="23" t="s">
        <v>536</v>
      </c>
      <c r="E66" s="22" t="s">
        <v>49</v>
      </c>
      <c r="F66" s="22" t="s">
        <v>95</v>
      </c>
      <c r="G66" s="22" t="s">
        <v>79</v>
      </c>
      <c r="H66" s="22" t="s">
        <v>51</v>
      </c>
      <c r="I66" s="22" t="s">
        <v>81</v>
      </c>
      <c r="J66" s="22" t="s">
        <v>53</v>
      </c>
      <c r="K66" s="22" t="s">
        <v>82</v>
      </c>
      <c r="L66" s="22" t="s">
        <v>53</v>
      </c>
      <c r="M66" s="22" t="s">
        <v>83</v>
      </c>
      <c r="N66" s="22" t="s">
        <v>59</v>
      </c>
      <c r="O66" s="22" t="s">
        <v>84</v>
      </c>
      <c r="P66" s="22" t="s">
        <v>537</v>
      </c>
      <c r="Q66" s="22" t="s">
        <v>153</v>
      </c>
      <c r="R66" s="25"/>
      <c r="S66" s="22" t="s">
        <v>85</v>
      </c>
      <c r="T66" s="22" t="s">
        <v>62</v>
      </c>
      <c r="U66" s="22" t="s">
        <v>515</v>
      </c>
      <c r="V66" s="22" t="s">
        <v>64</v>
      </c>
      <c r="W66" s="25"/>
      <c r="X66" s="26" t="s">
        <v>524</v>
      </c>
      <c r="Y66" s="40" t="s">
        <v>99</v>
      </c>
      <c r="Z66" s="22" t="s">
        <v>538</v>
      </c>
      <c r="AA66" s="22" t="s">
        <v>539</v>
      </c>
      <c r="AC66" s="22" t="s">
        <v>70</v>
      </c>
      <c r="AD66" s="27" t="s">
        <v>71</v>
      </c>
      <c r="AE66" s="22" t="s">
        <v>478</v>
      </c>
      <c r="AF66" s="34"/>
      <c r="AG66" s="33" t="s">
        <v>103</v>
      </c>
    </row>
    <row r="67" spans="1:33" ht="46.5">
      <c r="A67" s="7" t="s">
        <v>45</v>
      </c>
      <c r="B67" s="51" t="s">
        <v>540</v>
      </c>
      <c r="C67" s="22" t="s">
        <v>541</v>
      </c>
      <c r="D67" s="23" t="s">
        <v>542</v>
      </c>
      <c r="E67" s="22" t="s">
        <v>49</v>
      </c>
      <c r="F67" s="22" t="s">
        <v>78</v>
      </c>
      <c r="G67" s="22" t="s">
        <v>49</v>
      </c>
      <c r="H67" s="22" t="s">
        <v>126</v>
      </c>
      <c r="I67" s="22" t="s">
        <v>307</v>
      </c>
      <c r="J67" s="22" t="s">
        <v>53</v>
      </c>
      <c r="K67" s="22" t="s">
        <v>144</v>
      </c>
      <c r="L67" s="22" t="s">
        <v>53</v>
      </c>
      <c r="M67" s="22" t="s">
        <v>83</v>
      </c>
      <c r="N67" s="22" t="s">
        <v>59</v>
      </c>
      <c r="O67" s="22" t="s">
        <v>84</v>
      </c>
      <c r="P67" s="22" t="s">
        <v>348</v>
      </c>
      <c r="Q67" s="22" t="s">
        <v>60</v>
      </c>
      <c r="R67" s="25"/>
      <c r="S67" s="22" t="s">
        <v>85</v>
      </c>
      <c r="T67" s="22" t="s">
        <v>62</v>
      </c>
      <c r="U67" s="22" t="s">
        <v>63</v>
      </c>
      <c r="V67" s="22" t="s">
        <v>118</v>
      </c>
      <c r="W67" s="25"/>
      <c r="X67" s="26" t="s">
        <v>543</v>
      </c>
      <c r="Y67" s="22" t="s">
        <v>381</v>
      </c>
      <c r="Z67" s="22" t="s">
        <v>544</v>
      </c>
      <c r="AA67" s="22" t="s">
        <v>545</v>
      </c>
      <c r="AC67" s="22" t="s">
        <v>70</v>
      </c>
      <c r="AD67" s="27" t="s">
        <v>71</v>
      </c>
      <c r="AE67" s="22" t="s">
        <v>478</v>
      </c>
      <c r="AF67" s="52"/>
      <c r="AG67" s="32" t="s">
        <v>546</v>
      </c>
    </row>
    <row r="68" spans="1:33" ht="31">
      <c r="A68" s="7" t="s">
        <v>45</v>
      </c>
      <c r="B68" s="51" t="s">
        <v>547</v>
      </c>
      <c r="C68" s="22" t="s">
        <v>548</v>
      </c>
      <c r="D68" s="23" t="s">
        <v>549</v>
      </c>
      <c r="E68" s="22" t="s">
        <v>49</v>
      </c>
      <c r="F68" s="22" t="s">
        <v>95</v>
      </c>
      <c r="G68" s="22" t="s">
        <v>49</v>
      </c>
      <c r="H68" s="22" t="s">
        <v>51</v>
      </c>
      <c r="I68" s="22" t="s">
        <v>81</v>
      </c>
      <c r="J68" s="22" t="s">
        <v>53</v>
      </c>
      <c r="K68" s="22" t="s">
        <v>229</v>
      </c>
      <c r="L68" s="22" t="s">
        <v>53</v>
      </c>
      <c r="M68" s="22" t="s">
        <v>56</v>
      </c>
      <c r="N68" s="22" t="s">
        <v>59</v>
      </c>
      <c r="O68" s="22" t="s">
        <v>84</v>
      </c>
      <c r="P68" s="22" t="s">
        <v>85</v>
      </c>
      <c r="Q68" s="22" t="s">
        <v>60</v>
      </c>
      <c r="R68" s="25"/>
      <c r="S68" s="22" t="s">
        <v>85</v>
      </c>
      <c r="T68" s="22" t="s">
        <v>62</v>
      </c>
      <c r="U68" s="22" t="s">
        <v>63</v>
      </c>
      <c r="V68" s="22" t="s">
        <v>64</v>
      </c>
      <c r="W68" s="25"/>
      <c r="X68" s="26" t="s">
        <v>543</v>
      </c>
      <c r="Y68" s="22" t="s">
        <v>550</v>
      </c>
      <c r="Z68" s="22" t="s">
        <v>551</v>
      </c>
      <c r="AA68" s="22" t="s">
        <v>544</v>
      </c>
      <c r="AC68" s="22" t="s">
        <v>393</v>
      </c>
      <c r="AD68" s="27" t="s">
        <v>71</v>
      </c>
      <c r="AE68" s="22" t="s">
        <v>478</v>
      </c>
      <c r="AF68" s="34"/>
      <c r="AG68" s="34"/>
    </row>
    <row r="69" spans="1:33" ht="31">
      <c r="A69" s="7" t="s">
        <v>45</v>
      </c>
      <c r="B69" s="51" t="s">
        <v>552</v>
      </c>
      <c r="C69" s="22" t="s">
        <v>553</v>
      </c>
      <c r="D69" s="23" t="s">
        <v>554</v>
      </c>
      <c r="E69" s="22" t="s">
        <v>49</v>
      </c>
      <c r="F69" s="22" t="s">
        <v>50</v>
      </c>
      <c r="G69" s="22" t="s">
        <v>49</v>
      </c>
      <c r="H69" s="22" t="s">
        <v>51</v>
      </c>
      <c r="I69" s="22" t="s">
        <v>52</v>
      </c>
      <c r="J69" s="22" t="s">
        <v>107</v>
      </c>
      <c r="K69" s="22" t="s">
        <v>54</v>
      </c>
      <c r="L69" s="22" t="s">
        <v>53</v>
      </c>
      <c r="M69" s="22" t="s">
        <v>56</v>
      </c>
      <c r="N69" s="22" t="s">
        <v>59</v>
      </c>
      <c r="O69" s="22" t="s">
        <v>84</v>
      </c>
      <c r="P69" s="22" t="s">
        <v>52</v>
      </c>
      <c r="Q69" s="22" t="s">
        <v>60</v>
      </c>
      <c r="R69" s="22" t="s">
        <v>183</v>
      </c>
      <c r="S69" s="22" t="s">
        <v>61</v>
      </c>
      <c r="T69" s="22" t="s">
        <v>62</v>
      </c>
      <c r="U69" s="22" t="s">
        <v>63</v>
      </c>
      <c r="V69" s="22" t="s">
        <v>64</v>
      </c>
      <c r="W69" s="25"/>
      <c r="X69" s="26" t="s">
        <v>555</v>
      </c>
      <c r="Y69" s="22" t="s">
        <v>146</v>
      </c>
      <c r="Z69" s="22" t="s">
        <v>556</v>
      </c>
      <c r="AA69" s="22" t="s">
        <v>434</v>
      </c>
      <c r="AC69" s="22" t="s">
        <v>393</v>
      </c>
      <c r="AD69" s="27" t="s">
        <v>71</v>
      </c>
      <c r="AE69" s="22" t="s">
        <v>478</v>
      </c>
      <c r="AF69" s="34"/>
      <c r="AG69" s="34"/>
    </row>
    <row r="70" spans="1:33" ht="46.5">
      <c r="A70" s="7" t="s">
        <v>45</v>
      </c>
      <c r="B70" s="51" t="s">
        <v>557</v>
      </c>
      <c r="C70" s="22" t="s">
        <v>558</v>
      </c>
      <c r="D70" s="23" t="s">
        <v>559</v>
      </c>
      <c r="E70" s="22" t="s">
        <v>49</v>
      </c>
      <c r="F70" s="22" t="s">
        <v>78</v>
      </c>
      <c r="G70" s="22" t="s">
        <v>79</v>
      </c>
      <c r="H70" s="22" t="s">
        <v>51</v>
      </c>
      <c r="I70" s="22" t="s">
        <v>52</v>
      </c>
      <c r="J70" s="22" t="s">
        <v>53</v>
      </c>
      <c r="K70" s="22" t="s">
        <v>54</v>
      </c>
      <c r="L70" s="22" t="s">
        <v>55</v>
      </c>
      <c r="M70" s="22" t="s">
        <v>83</v>
      </c>
      <c r="N70" s="22" t="s">
        <v>312</v>
      </c>
      <c r="O70" s="22" t="s">
        <v>84</v>
      </c>
      <c r="P70" s="22" t="s">
        <v>59</v>
      </c>
      <c r="Q70" s="22" t="s">
        <v>60</v>
      </c>
      <c r="R70" s="22" t="s">
        <v>98</v>
      </c>
      <c r="S70" s="22" t="s">
        <v>61</v>
      </c>
      <c r="T70" s="22" t="s">
        <v>62</v>
      </c>
      <c r="U70" s="22" t="s">
        <v>63</v>
      </c>
      <c r="V70" s="22" t="s">
        <v>118</v>
      </c>
      <c r="W70" s="25"/>
      <c r="X70" s="26" t="s">
        <v>560</v>
      </c>
      <c r="Y70" s="22" t="s">
        <v>376</v>
      </c>
      <c r="Z70" s="22" t="s">
        <v>561</v>
      </c>
      <c r="AA70" s="22" t="s">
        <v>562</v>
      </c>
      <c r="AC70" s="22" t="s">
        <v>393</v>
      </c>
      <c r="AD70" s="27" t="s">
        <v>71</v>
      </c>
      <c r="AE70" s="22" t="s">
        <v>73</v>
      </c>
      <c r="AF70" s="33" t="s">
        <v>563</v>
      </c>
      <c r="AG70" s="33" t="s">
        <v>564</v>
      </c>
    </row>
    <row r="71" spans="1:33" ht="31">
      <c r="A71" s="7" t="s">
        <v>45</v>
      </c>
      <c r="B71" s="51" t="s">
        <v>565</v>
      </c>
      <c r="C71" s="22" t="s">
        <v>566</v>
      </c>
      <c r="D71" s="23" t="s">
        <v>567</v>
      </c>
      <c r="E71" s="22" t="s">
        <v>49</v>
      </c>
      <c r="F71" s="22" t="s">
        <v>50</v>
      </c>
      <c r="G71" s="22" t="s">
        <v>49</v>
      </c>
      <c r="H71" s="22" t="s">
        <v>126</v>
      </c>
      <c r="I71" s="22" t="s">
        <v>307</v>
      </c>
      <c r="J71" s="22" t="s">
        <v>501</v>
      </c>
      <c r="K71" s="22" t="s">
        <v>144</v>
      </c>
      <c r="L71" s="22" t="s">
        <v>53</v>
      </c>
      <c r="M71" s="22" t="s">
        <v>83</v>
      </c>
      <c r="N71" s="22" t="s">
        <v>59</v>
      </c>
      <c r="O71" s="22" t="s">
        <v>84</v>
      </c>
      <c r="P71" s="22" t="s">
        <v>57</v>
      </c>
      <c r="Q71" s="22" t="s">
        <v>60</v>
      </c>
      <c r="R71" s="25"/>
      <c r="S71" s="22" t="s">
        <v>61</v>
      </c>
      <c r="T71" s="22" t="s">
        <v>62</v>
      </c>
      <c r="U71" s="22" t="s">
        <v>63</v>
      </c>
      <c r="V71" s="22" t="s">
        <v>64</v>
      </c>
      <c r="W71" s="25"/>
      <c r="X71" s="26" t="s">
        <v>568</v>
      </c>
      <c r="Y71" s="22" t="s">
        <v>569</v>
      </c>
      <c r="Z71" s="22" t="s">
        <v>570</v>
      </c>
      <c r="AA71" s="22" t="s">
        <v>571</v>
      </c>
      <c r="AC71" s="22" t="s">
        <v>328</v>
      </c>
      <c r="AD71" s="27" t="s">
        <v>71</v>
      </c>
      <c r="AE71" s="22" t="s">
        <v>73</v>
      </c>
      <c r="AF71" s="34"/>
      <c r="AG71" s="34"/>
    </row>
    <row r="72" spans="1:33" ht="31">
      <c r="A72" s="7" t="s">
        <v>45</v>
      </c>
      <c r="B72" s="51" t="s">
        <v>572</v>
      </c>
      <c r="C72" s="22" t="s">
        <v>573</v>
      </c>
      <c r="D72" s="23" t="s">
        <v>574</v>
      </c>
      <c r="E72" s="22" t="s">
        <v>49</v>
      </c>
      <c r="F72" s="22" t="s">
        <v>95</v>
      </c>
      <c r="G72" s="22" t="s">
        <v>49</v>
      </c>
      <c r="H72" s="22" t="s">
        <v>421</v>
      </c>
      <c r="I72" s="22" t="s">
        <v>307</v>
      </c>
      <c r="J72" s="22" t="s">
        <v>53</v>
      </c>
      <c r="K72" s="22" t="s">
        <v>170</v>
      </c>
      <c r="L72" s="22" t="s">
        <v>53</v>
      </c>
      <c r="M72" s="22" t="s">
        <v>83</v>
      </c>
      <c r="N72" s="22" t="s">
        <v>59</v>
      </c>
      <c r="O72" s="22" t="s">
        <v>84</v>
      </c>
      <c r="P72" s="22" t="s">
        <v>348</v>
      </c>
      <c r="Q72" s="22" t="s">
        <v>60</v>
      </c>
      <c r="R72" s="25"/>
      <c r="S72" s="22" t="s">
        <v>61</v>
      </c>
      <c r="T72" s="22" t="s">
        <v>62</v>
      </c>
      <c r="U72" s="22" t="s">
        <v>63</v>
      </c>
      <c r="V72" s="22" t="s">
        <v>64</v>
      </c>
      <c r="W72" s="25"/>
      <c r="X72" s="26" t="s">
        <v>560</v>
      </c>
      <c r="Y72" s="22" t="s">
        <v>213</v>
      </c>
      <c r="Z72" s="22" t="s">
        <v>575</v>
      </c>
      <c r="AA72" s="22" t="s">
        <v>576</v>
      </c>
      <c r="AC72" s="22" t="s">
        <v>328</v>
      </c>
      <c r="AD72" s="27" t="s">
        <v>71</v>
      </c>
      <c r="AE72" s="22" t="s">
        <v>73</v>
      </c>
      <c r="AF72" s="32" t="s">
        <v>577</v>
      </c>
      <c r="AG72" s="33" t="s">
        <v>578</v>
      </c>
    </row>
    <row r="73" spans="1:33" ht="31">
      <c r="A73" s="7" t="s">
        <v>45</v>
      </c>
      <c r="B73" s="51" t="s">
        <v>579</v>
      </c>
      <c r="C73" s="22" t="s">
        <v>580</v>
      </c>
      <c r="D73" s="23" t="s">
        <v>581</v>
      </c>
      <c r="E73" s="22" t="s">
        <v>49</v>
      </c>
      <c r="F73" s="22" t="s">
        <v>95</v>
      </c>
      <c r="G73" s="22" t="s">
        <v>49</v>
      </c>
      <c r="H73" s="22" t="s">
        <v>421</v>
      </c>
      <c r="I73" s="22" t="s">
        <v>81</v>
      </c>
      <c r="J73" s="22" t="s">
        <v>53</v>
      </c>
      <c r="K73" s="22" t="s">
        <v>170</v>
      </c>
      <c r="L73" s="22" t="s">
        <v>53</v>
      </c>
      <c r="M73" s="22" t="s">
        <v>83</v>
      </c>
      <c r="N73" s="22" t="s">
        <v>59</v>
      </c>
      <c r="O73" s="22" t="s">
        <v>84</v>
      </c>
      <c r="P73" s="22" t="s">
        <v>422</v>
      </c>
      <c r="Q73" s="22" t="s">
        <v>60</v>
      </c>
      <c r="R73" s="25"/>
      <c r="S73" s="22" t="s">
        <v>388</v>
      </c>
      <c r="T73" s="22" t="s">
        <v>62</v>
      </c>
      <c r="U73" s="22" t="s">
        <v>63</v>
      </c>
      <c r="V73" s="22" t="s">
        <v>87</v>
      </c>
      <c r="W73" s="25"/>
      <c r="X73" s="26" t="s">
        <v>543</v>
      </c>
      <c r="Y73" s="22" t="s">
        <v>569</v>
      </c>
      <c r="Z73" s="22" t="s">
        <v>582</v>
      </c>
      <c r="AA73" s="22" t="s">
        <v>583</v>
      </c>
      <c r="AC73" s="22" t="s">
        <v>328</v>
      </c>
      <c r="AD73" s="27" t="s">
        <v>71</v>
      </c>
      <c r="AE73" s="22" t="s">
        <v>73</v>
      </c>
      <c r="AF73" s="33" t="s">
        <v>584</v>
      </c>
      <c r="AG73" s="33" t="s">
        <v>585</v>
      </c>
    </row>
    <row r="74" spans="1:33" ht="31">
      <c r="A74" s="7" t="s">
        <v>45</v>
      </c>
      <c r="B74" s="51" t="s">
        <v>586</v>
      </c>
      <c r="C74" s="22" t="s">
        <v>587</v>
      </c>
      <c r="D74" s="23" t="s">
        <v>588</v>
      </c>
      <c r="E74" s="22" t="s">
        <v>49</v>
      </c>
      <c r="F74" s="22" t="s">
        <v>589</v>
      </c>
      <c r="G74" s="22" t="s">
        <v>49</v>
      </c>
      <c r="H74" s="22" t="s">
        <v>126</v>
      </c>
      <c r="I74" s="22" t="s">
        <v>307</v>
      </c>
      <c r="J74" s="22" t="s">
        <v>501</v>
      </c>
      <c r="K74" s="22" t="s">
        <v>144</v>
      </c>
      <c r="L74" s="22" t="s">
        <v>55</v>
      </c>
      <c r="M74" s="22" t="s">
        <v>83</v>
      </c>
      <c r="N74" s="22" t="s">
        <v>59</v>
      </c>
      <c r="O74" s="22" t="s">
        <v>84</v>
      </c>
      <c r="P74" s="22" t="s">
        <v>59</v>
      </c>
      <c r="Q74" s="22" t="s">
        <v>86</v>
      </c>
      <c r="R74" s="22" t="s">
        <v>60</v>
      </c>
      <c r="S74" s="22" t="s">
        <v>61</v>
      </c>
      <c r="T74" s="22" t="s">
        <v>62</v>
      </c>
      <c r="U74" s="22" t="s">
        <v>63</v>
      </c>
      <c r="V74" s="22" t="s">
        <v>64</v>
      </c>
      <c r="W74" s="25"/>
      <c r="X74" s="26" t="s">
        <v>543</v>
      </c>
      <c r="Y74" s="22" t="s">
        <v>590</v>
      </c>
      <c r="Z74" s="22" t="s">
        <v>425</v>
      </c>
      <c r="AA74" s="22" t="s">
        <v>591</v>
      </c>
      <c r="AC74" s="22" t="s">
        <v>328</v>
      </c>
      <c r="AD74" s="27" t="s">
        <v>71</v>
      </c>
      <c r="AE74" s="22" t="s">
        <v>73</v>
      </c>
      <c r="AF74" s="33" t="s">
        <v>592</v>
      </c>
      <c r="AG74" s="33" t="s">
        <v>593</v>
      </c>
    </row>
    <row r="75" spans="1:33" ht="46.5">
      <c r="A75" s="7" t="s">
        <v>45</v>
      </c>
      <c r="B75" s="51" t="s">
        <v>594</v>
      </c>
      <c r="C75" s="22" t="s">
        <v>595</v>
      </c>
      <c r="D75" s="49" t="s">
        <v>596</v>
      </c>
      <c r="E75" s="22" t="s">
        <v>49</v>
      </c>
      <c r="F75" s="22" t="s">
        <v>95</v>
      </c>
      <c r="G75" s="22" t="s">
        <v>49</v>
      </c>
      <c r="H75" s="22" t="s">
        <v>51</v>
      </c>
      <c r="I75" s="22" t="s">
        <v>52</v>
      </c>
      <c r="J75" s="22" t="s">
        <v>127</v>
      </c>
      <c r="K75" s="22" t="s">
        <v>82</v>
      </c>
      <c r="L75" s="22" t="s">
        <v>55</v>
      </c>
      <c r="M75" s="22" t="s">
        <v>83</v>
      </c>
      <c r="N75" s="22" t="s">
        <v>312</v>
      </c>
      <c r="O75" s="22" t="s">
        <v>84</v>
      </c>
      <c r="P75" s="22" t="s">
        <v>85</v>
      </c>
      <c r="Q75" s="22" t="s">
        <v>60</v>
      </c>
      <c r="R75" s="25"/>
      <c r="S75" s="22" t="s">
        <v>85</v>
      </c>
      <c r="T75" s="22" t="s">
        <v>62</v>
      </c>
      <c r="U75" s="22" t="s">
        <v>63</v>
      </c>
      <c r="V75" s="22" t="s">
        <v>64</v>
      </c>
      <c r="W75" s="22" t="s">
        <v>65</v>
      </c>
      <c r="X75" s="26" t="s">
        <v>560</v>
      </c>
      <c r="Y75" s="22" t="s">
        <v>195</v>
      </c>
      <c r="Z75" s="22" t="s">
        <v>597</v>
      </c>
      <c r="AA75" s="22" t="s">
        <v>539</v>
      </c>
      <c r="AC75" s="22" t="s">
        <v>475</v>
      </c>
      <c r="AD75" s="27" t="s">
        <v>71</v>
      </c>
      <c r="AE75" s="22" t="s">
        <v>73</v>
      </c>
      <c r="AF75" s="33" t="s">
        <v>598</v>
      </c>
      <c r="AG75" s="34"/>
    </row>
    <row r="76" spans="1:33" ht="31">
      <c r="A76" s="7" t="s">
        <v>45</v>
      </c>
      <c r="B76" s="51" t="s">
        <v>599</v>
      </c>
      <c r="C76" s="22" t="s">
        <v>600</v>
      </c>
      <c r="D76" s="49" t="s">
        <v>601</v>
      </c>
      <c r="E76" s="22" t="s">
        <v>49</v>
      </c>
      <c r="F76" s="22" t="s">
        <v>95</v>
      </c>
      <c r="G76" s="22" t="s">
        <v>49</v>
      </c>
      <c r="H76" s="22" t="s">
        <v>51</v>
      </c>
      <c r="I76" s="22" t="s">
        <v>307</v>
      </c>
      <c r="J76" s="22" t="s">
        <v>53</v>
      </c>
      <c r="K76" s="22" t="s">
        <v>82</v>
      </c>
      <c r="L76" s="22" t="s">
        <v>53</v>
      </c>
      <c r="M76" s="22" t="s">
        <v>83</v>
      </c>
      <c r="N76" s="22" t="s">
        <v>59</v>
      </c>
      <c r="O76" s="22" t="s">
        <v>84</v>
      </c>
      <c r="P76" s="22" t="s">
        <v>57</v>
      </c>
      <c r="Q76" s="22" t="s">
        <v>60</v>
      </c>
      <c r="R76" s="25"/>
      <c r="S76" s="22" t="s">
        <v>61</v>
      </c>
      <c r="T76" s="22" t="s">
        <v>62</v>
      </c>
      <c r="U76" s="22" t="s">
        <v>63</v>
      </c>
      <c r="V76" s="22" t="s">
        <v>64</v>
      </c>
      <c r="W76" s="22" t="s">
        <v>65</v>
      </c>
      <c r="X76" s="26" t="s">
        <v>543</v>
      </c>
      <c r="Y76" s="22" t="s">
        <v>503</v>
      </c>
      <c r="Z76" s="22" t="s">
        <v>602</v>
      </c>
      <c r="AA76" s="22" t="s">
        <v>603</v>
      </c>
      <c r="AC76" s="22" t="s">
        <v>475</v>
      </c>
      <c r="AD76" s="27" t="s">
        <v>71</v>
      </c>
      <c r="AE76" s="22" t="s">
        <v>73</v>
      </c>
      <c r="AF76" s="28"/>
      <c r="AG76" s="34"/>
    </row>
    <row r="77" spans="1:33" ht="31">
      <c r="A77" s="7" t="s">
        <v>45</v>
      </c>
      <c r="B77" s="51" t="s">
        <v>604</v>
      </c>
      <c r="C77" s="22" t="s">
        <v>605</v>
      </c>
      <c r="D77" s="49" t="s">
        <v>606</v>
      </c>
      <c r="E77" s="22" t="s">
        <v>49</v>
      </c>
      <c r="F77" s="22" t="s">
        <v>50</v>
      </c>
      <c r="G77" s="22" t="s">
        <v>49</v>
      </c>
      <c r="H77" s="22" t="s">
        <v>51</v>
      </c>
      <c r="I77" s="22" t="s">
        <v>307</v>
      </c>
      <c r="J77" s="22" t="s">
        <v>53</v>
      </c>
      <c r="K77" s="22" t="s">
        <v>82</v>
      </c>
      <c r="L77" s="22" t="s">
        <v>53</v>
      </c>
      <c r="M77" s="22" t="s">
        <v>83</v>
      </c>
      <c r="N77" s="22" t="s">
        <v>59</v>
      </c>
      <c r="O77" s="22" t="s">
        <v>490</v>
      </c>
      <c r="P77" s="22" t="s">
        <v>109</v>
      </c>
      <c r="Q77" s="22" t="s">
        <v>60</v>
      </c>
      <c r="R77" s="25"/>
      <c r="S77" s="22" t="s">
        <v>61</v>
      </c>
      <c r="T77" s="22" t="s">
        <v>62</v>
      </c>
      <c r="U77" s="22" t="s">
        <v>63</v>
      </c>
      <c r="V77" s="22" t="s">
        <v>64</v>
      </c>
      <c r="W77" s="22" t="s">
        <v>65</v>
      </c>
      <c r="X77" s="26" t="s">
        <v>543</v>
      </c>
      <c r="Y77" s="22" t="s">
        <v>288</v>
      </c>
      <c r="Z77" s="22" t="s">
        <v>607</v>
      </c>
      <c r="AA77" s="22" t="s">
        <v>249</v>
      </c>
      <c r="AC77" s="22" t="s">
        <v>475</v>
      </c>
      <c r="AD77" s="27" t="s">
        <v>71</v>
      </c>
      <c r="AE77" s="22" t="s">
        <v>73</v>
      </c>
      <c r="AF77" s="32" t="s">
        <v>608</v>
      </c>
      <c r="AG77" s="34"/>
    </row>
    <row r="78" spans="1:33" ht="31">
      <c r="A78" s="7" t="s">
        <v>45</v>
      </c>
      <c r="B78" s="51" t="s">
        <v>609</v>
      </c>
      <c r="C78" s="22" t="s">
        <v>610</v>
      </c>
      <c r="D78" s="49" t="s">
        <v>611</v>
      </c>
      <c r="E78" s="22" t="s">
        <v>49</v>
      </c>
      <c r="F78" s="22" t="s">
        <v>50</v>
      </c>
      <c r="G78" s="22" t="s">
        <v>49</v>
      </c>
      <c r="H78" s="22" t="s">
        <v>126</v>
      </c>
      <c r="I78" s="22" t="s">
        <v>307</v>
      </c>
      <c r="J78" s="22" t="s">
        <v>53</v>
      </c>
      <c r="K78" s="22" t="s">
        <v>144</v>
      </c>
      <c r="L78" s="22" t="s">
        <v>53</v>
      </c>
      <c r="M78" s="22" t="s">
        <v>83</v>
      </c>
      <c r="N78" s="22" t="s">
        <v>348</v>
      </c>
      <c r="O78" s="22" t="s">
        <v>84</v>
      </c>
      <c r="P78" s="22" t="s">
        <v>59</v>
      </c>
      <c r="Q78" s="22" t="s">
        <v>63</v>
      </c>
      <c r="R78" s="25"/>
      <c r="S78" s="22" t="s">
        <v>61</v>
      </c>
      <c r="T78" s="22" t="s">
        <v>62</v>
      </c>
      <c r="U78" s="22" t="s">
        <v>63</v>
      </c>
      <c r="V78" s="22" t="s">
        <v>64</v>
      </c>
      <c r="W78" s="22" t="s">
        <v>65</v>
      </c>
      <c r="X78" s="26" t="s">
        <v>543</v>
      </c>
      <c r="Y78" s="22" t="s">
        <v>271</v>
      </c>
      <c r="Z78" s="22" t="s">
        <v>612</v>
      </c>
      <c r="AA78" s="22" t="s">
        <v>613</v>
      </c>
      <c r="AC78" s="22" t="s">
        <v>475</v>
      </c>
      <c r="AD78" s="27" t="s">
        <v>71</v>
      </c>
      <c r="AE78" s="22" t="s">
        <v>73</v>
      </c>
      <c r="AF78" s="32" t="s">
        <v>614</v>
      </c>
      <c r="AG78" s="34"/>
    </row>
    <row r="79" spans="1:33" ht="46.5">
      <c r="A79" s="7" t="s">
        <v>45</v>
      </c>
      <c r="B79" s="51" t="s">
        <v>615</v>
      </c>
      <c r="C79" s="22" t="s">
        <v>616</v>
      </c>
      <c r="D79" s="23" t="s">
        <v>617</v>
      </c>
      <c r="E79" s="22" t="s">
        <v>49</v>
      </c>
      <c r="F79" s="22" t="s">
        <v>618</v>
      </c>
      <c r="G79" s="22" t="s">
        <v>49</v>
      </c>
      <c r="H79" s="22" t="s">
        <v>126</v>
      </c>
      <c r="I79" s="22" t="s">
        <v>307</v>
      </c>
      <c r="J79" s="22" t="s">
        <v>53</v>
      </c>
      <c r="K79" s="22" t="s">
        <v>144</v>
      </c>
      <c r="L79" s="22" t="s">
        <v>53</v>
      </c>
      <c r="M79" s="22" t="s">
        <v>83</v>
      </c>
      <c r="N79" s="22" t="s">
        <v>59</v>
      </c>
      <c r="O79" s="22" t="s">
        <v>84</v>
      </c>
      <c r="P79" s="22" t="s">
        <v>348</v>
      </c>
      <c r="Q79" s="22" t="s">
        <v>153</v>
      </c>
      <c r="R79" s="25"/>
      <c r="S79" s="22" t="s">
        <v>61</v>
      </c>
      <c r="T79" s="22" t="s">
        <v>62</v>
      </c>
      <c r="U79" s="22" t="s">
        <v>63</v>
      </c>
      <c r="V79" s="22" t="s">
        <v>64</v>
      </c>
      <c r="W79" s="25"/>
      <c r="X79" s="26" t="s">
        <v>543</v>
      </c>
      <c r="Y79" s="22" t="s">
        <v>271</v>
      </c>
      <c r="Z79" s="22" t="s">
        <v>619</v>
      </c>
      <c r="AA79" s="22" t="s">
        <v>613</v>
      </c>
      <c r="AC79" s="22" t="s">
        <v>265</v>
      </c>
      <c r="AD79" s="27" t="s">
        <v>71</v>
      </c>
      <c r="AE79" s="22" t="s">
        <v>73</v>
      </c>
      <c r="AF79" s="32" t="s">
        <v>620</v>
      </c>
      <c r="AG79" s="34"/>
    </row>
    <row r="80" spans="1:33" ht="46.5">
      <c r="A80" s="7" t="s">
        <v>45</v>
      </c>
      <c r="B80" s="51" t="s">
        <v>621</v>
      </c>
      <c r="C80" s="22" t="s">
        <v>622</v>
      </c>
      <c r="D80" s="23" t="s">
        <v>623</v>
      </c>
      <c r="E80" s="22" t="s">
        <v>49</v>
      </c>
      <c r="F80" s="22" t="s">
        <v>78</v>
      </c>
      <c r="G80" s="22" t="s">
        <v>49</v>
      </c>
      <c r="H80" s="22" t="s">
        <v>126</v>
      </c>
      <c r="I80" s="22" t="s">
        <v>52</v>
      </c>
      <c r="J80" s="7" t="s">
        <v>127</v>
      </c>
      <c r="K80" s="22" t="s">
        <v>144</v>
      </c>
      <c r="L80" s="22" t="s">
        <v>53</v>
      </c>
      <c r="M80" s="22" t="s">
        <v>83</v>
      </c>
      <c r="N80" s="22" t="s">
        <v>59</v>
      </c>
      <c r="O80" s="22" t="s">
        <v>84</v>
      </c>
      <c r="P80" s="22" t="s">
        <v>624</v>
      </c>
      <c r="Q80" s="22" t="s">
        <v>86</v>
      </c>
      <c r="R80" s="25"/>
      <c r="S80" s="22" t="s">
        <v>625</v>
      </c>
      <c r="T80" s="22" t="s">
        <v>62</v>
      </c>
      <c r="U80" s="22" t="s">
        <v>515</v>
      </c>
      <c r="V80" s="22" t="s">
        <v>64</v>
      </c>
      <c r="W80" s="25"/>
      <c r="X80" s="26" t="s">
        <v>543</v>
      </c>
      <c r="Y80" s="22" t="s">
        <v>525</v>
      </c>
      <c r="Z80" s="22" t="s">
        <v>626</v>
      </c>
      <c r="AA80" s="22" t="s">
        <v>627</v>
      </c>
      <c r="AC80" s="22" t="s">
        <v>265</v>
      </c>
      <c r="AD80" s="27" t="s">
        <v>71</v>
      </c>
      <c r="AE80" s="22" t="s">
        <v>73</v>
      </c>
      <c r="AF80" s="33" t="s">
        <v>628</v>
      </c>
      <c r="AG80" s="34"/>
    </row>
    <row r="81" spans="1:33" ht="46.5">
      <c r="A81" s="7" t="s">
        <v>45</v>
      </c>
      <c r="B81" s="51" t="s">
        <v>629</v>
      </c>
      <c r="C81" s="22" t="s">
        <v>630</v>
      </c>
      <c r="D81" s="23" t="s">
        <v>631</v>
      </c>
      <c r="E81" s="22" t="s">
        <v>49</v>
      </c>
      <c r="F81" s="22" t="s">
        <v>228</v>
      </c>
      <c r="G81" s="22" t="s">
        <v>49</v>
      </c>
      <c r="H81" s="22" t="s">
        <v>126</v>
      </c>
      <c r="I81" s="22" t="s">
        <v>52</v>
      </c>
      <c r="J81" s="22" t="s">
        <v>53</v>
      </c>
      <c r="K81" s="22" t="s">
        <v>144</v>
      </c>
      <c r="L81" s="22" t="s">
        <v>55</v>
      </c>
      <c r="M81" s="22" t="s">
        <v>56</v>
      </c>
      <c r="N81" s="22" t="s">
        <v>108</v>
      </c>
      <c r="O81" s="22" t="s">
        <v>84</v>
      </c>
      <c r="P81" s="22" t="s">
        <v>59</v>
      </c>
      <c r="Q81" s="22" t="s">
        <v>153</v>
      </c>
      <c r="R81" s="25"/>
      <c r="S81" s="22" t="s">
        <v>61</v>
      </c>
      <c r="T81" s="22" t="s">
        <v>62</v>
      </c>
      <c r="U81" s="22" t="s">
        <v>63</v>
      </c>
      <c r="V81" s="22" t="s">
        <v>64</v>
      </c>
      <c r="W81" s="25"/>
      <c r="X81" s="26" t="s">
        <v>560</v>
      </c>
      <c r="Y81" s="22" t="s">
        <v>222</v>
      </c>
      <c r="Z81" s="22" t="s">
        <v>632</v>
      </c>
      <c r="AA81" s="22" t="s">
        <v>633</v>
      </c>
      <c r="AC81" s="22" t="s">
        <v>265</v>
      </c>
      <c r="AD81" s="27" t="s">
        <v>71</v>
      </c>
      <c r="AE81" s="22" t="s">
        <v>73</v>
      </c>
      <c r="AF81" s="33" t="s">
        <v>634</v>
      </c>
      <c r="AG81" s="34"/>
    </row>
    <row r="82" spans="1:33" ht="31">
      <c r="A82" s="7" t="s">
        <v>45</v>
      </c>
      <c r="B82" s="51" t="s">
        <v>635</v>
      </c>
      <c r="C82" s="22" t="s">
        <v>636</v>
      </c>
      <c r="D82" s="23" t="s">
        <v>637</v>
      </c>
      <c r="E82" s="22" t="s">
        <v>49</v>
      </c>
      <c r="F82" s="22" t="s">
        <v>78</v>
      </c>
      <c r="G82" s="22" t="s">
        <v>49</v>
      </c>
      <c r="H82" s="22" t="s">
        <v>126</v>
      </c>
      <c r="I82" s="22" t="s">
        <v>81</v>
      </c>
      <c r="J82" s="7" t="s">
        <v>107</v>
      </c>
      <c r="K82" s="22" t="s">
        <v>170</v>
      </c>
      <c r="L82" s="22" t="s">
        <v>53</v>
      </c>
      <c r="M82" s="22" t="s">
        <v>83</v>
      </c>
      <c r="N82" s="22" t="s">
        <v>59</v>
      </c>
      <c r="O82" s="22" t="s">
        <v>84</v>
      </c>
      <c r="P82" s="7" t="s">
        <v>52</v>
      </c>
      <c r="Q82" s="22" t="s">
        <v>63</v>
      </c>
      <c r="R82" s="25"/>
      <c r="S82" s="22" t="s">
        <v>61</v>
      </c>
      <c r="T82" s="22" t="s">
        <v>62</v>
      </c>
      <c r="U82" s="22" t="s">
        <v>515</v>
      </c>
      <c r="V82" s="22" t="s">
        <v>64</v>
      </c>
      <c r="W82" s="25"/>
      <c r="X82" s="26" t="s">
        <v>543</v>
      </c>
      <c r="Y82" s="22" t="s">
        <v>240</v>
      </c>
      <c r="Z82" s="22" t="s">
        <v>638</v>
      </c>
      <c r="AA82" s="22" t="s">
        <v>639</v>
      </c>
      <c r="AC82" s="22" t="s">
        <v>265</v>
      </c>
      <c r="AD82" s="27" t="s">
        <v>71</v>
      </c>
      <c r="AE82" s="22" t="s">
        <v>73</v>
      </c>
      <c r="AF82" s="33" t="s">
        <v>640</v>
      </c>
      <c r="AG82" s="34"/>
    </row>
    <row r="83" spans="1:33" ht="31">
      <c r="A83" s="7" t="s">
        <v>45</v>
      </c>
      <c r="B83" s="51" t="s">
        <v>641</v>
      </c>
      <c r="C83" s="22" t="s">
        <v>642</v>
      </c>
      <c r="D83" s="23" t="s">
        <v>643</v>
      </c>
      <c r="E83" s="22" t="s">
        <v>49</v>
      </c>
      <c r="F83" s="22" t="s">
        <v>78</v>
      </c>
      <c r="G83" s="22" t="s">
        <v>49</v>
      </c>
      <c r="H83" s="22" t="s">
        <v>51</v>
      </c>
      <c r="I83" s="22" t="s">
        <v>52</v>
      </c>
      <c r="J83" s="22" t="s">
        <v>53</v>
      </c>
      <c r="K83" s="22" t="s">
        <v>144</v>
      </c>
      <c r="L83" s="22" t="s">
        <v>55</v>
      </c>
      <c r="M83" s="22" t="s">
        <v>83</v>
      </c>
      <c r="N83" s="22" t="s">
        <v>59</v>
      </c>
      <c r="O83" s="22" t="s">
        <v>84</v>
      </c>
      <c r="P83" s="22" t="s">
        <v>108</v>
      </c>
      <c r="Q83" s="22" t="s">
        <v>203</v>
      </c>
      <c r="R83" s="22" t="s">
        <v>130</v>
      </c>
      <c r="S83" s="22" t="s">
        <v>61</v>
      </c>
      <c r="T83" s="22" t="s">
        <v>62</v>
      </c>
      <c r="U83" s="22" t="s">
        <v>63</v>
      </c>
      <c r="V83" s="22" t="s">
        <v>64</v>
      </c>
      <c r="W83" s="22" t="s">
        <v>65</v>
      </c>
      <c r="X83" s="26" t="s">
        <v>560</v>
      </c>
      <c r="Y83" s="22" t="s">
        <v>222</v>
      </c>
      <c r="Z83" s="22" t="s">
        <v>632</v>
      </c>
      <c r="AA83" s="22" t="s">
        <v>633</v>
      </c>
      <c r="AC83" s="22" t="s">
        <v>176</v>
      </c>
      <c r="AD83" s="27" t="s">
        <v>71</v>
      </c>
      <c r="AE83" s="22" t="s">
        <v>73</v>
      </c>
      <c r="AF83" s="33" t="s">
        <v>644</v>
      </c>
      <c r="AG83" s="33" t="s">
        <v>217</v>
      </c>
    </row>
    <row r="84" spans="1:33" ht="46.5">
      <c r="A84" s="7" t="s">
        <v>45</v>
      </c>
      <c r="B84" s="51" t="s">
        <v>645</v>
      </c>
      <c r="C84" s="22" t="s">
        <v>646</v>
      </c>
      <c r="D84" s="23" t="s">
        <v>647</v>
      </c>
      <c r="E84" s="22" t="s">
        <v>49</v>
      </c>
      <c r="F84" s="22" t="s">
        <v>50</v>
      </c>
      <c r="G84" s="22" t="s">
        <v>49</v>
      </c>
      <c r="H84" s="22" t="s">
        <v>51</v>
      </c>
      <c r="I84" s="22" t="s">
        <v>81</v>
      </c>
      <c r="J84" s="22" t="s">
        <v>107</v>
      </c>
      <c r="K84" s="22" t="s">
        <v>96</v>
      </c>
      <c r="L84" s="22" t="s">
        <v>53</v>
      </c>
      <c r="M84" s="22" t="s">
        <v>83</v>
      </c>
      <c r="N84" s="22" t="s">
        <v>59</v>
      </c>
      <c r="O84" s="22" t="s">
        <v>490</v>
      </c>
      <c r="P84" s="22" t="s">
        <v>108</v>
      </c>
      <c r="Q84" s="22" t="s">
        <v>203</v>
      </c>
      <c r="R84" s="22" t="s">
        <v>183</v>
      </c>
      <c r="S84" s="22" t="s">
        <v>85</v>
      </c>
      <c r="T84" s="22" t="s">
        <v>62</v>
      </c>
      <c r="U84" s="22" t="s">
        <v>63</v>
      </c>
      <c r="V84" s="22" t="s">
        <v>64</v>
      </c>
      <c r="W84" s="22" t="s">
        <v>65</v>
      </c>
      <c r="X84" s="26" t="s">
        <v>560</v>
      </c>
      <c r="Y84" s="22" t="s">
        <v>342</v>
      </c>
      <c r="Z84" s="22" t="s">
        <v>648</v>
      </c>
      <c r="AA84" s="22" t="s">
        <v>639</v>
      </c>
      <c r="AC84" s="22" t="s">
        <v>176</v>
      </c>
      <c r="AD84" s="27" t="s">
        <v>71</v>
      </c>
      <c r="AE84" s="22" t="s">
        <v>73</v>
      </c>
      <c r="AF84" s="33" t="s">
        <v>649</v>
      </c>
      <c r="AG84" s="33" t="s">
        <v>650</v>
      </c>
    </row>
    <row r="85" spans="1:33" ht="46.5">
      <c r="A85" s="7" t="s">
        <v>45</v>
      </c>
      <c r="B85" s="51" t="s">
        <v>651</v>
      </c>
      <c r="C85" s="22" t="s">
        <v>652</v>
      </c>
      <c r="D85" s="23" t="s">
        <v>653</v>
      </c>
      <c r="E85" s="22" t="s">
        <v>49</v>
      </c>
      <c r="F85" s="22" t="s">
        <v>95</v>
      </c>
      <c r="G85" s="22" t="s">
        <v>49</v>
      </c>
      <c r="H85" s="22" t="s">
        <v>51</v>
      </c>
      <c r="I85" s="22" t="s">
        <v>81</v>
      </c>
      <c r="J85" s="22" t="s">
        <v>107</v>
      </c>
      <c r="K85" s="22" t="s">
        <v>144</v>
      </c>
      <c r="L85" s="22" t="s">
        <v>53</v>
      </c>
      <c r="M85" s="22" t="s">
        <v>83</v>
      </c>
      <c r="N85" s="22" t="s">
        <v>294</v>
      </c>
      <c r="O85" s="22" t="s">
        <v>84</v>
      </c>
      <c r="P85" s="22" t="s">
        <v>108</v>
      </c>
      <c r="Q85" s="22" t="s">
        <v>153</v>
      </c>
      <c r="R85" s="22" t="s">
        <v>130</v>
      </c>
      <c r="S85" s="22" t="s">
        <v>294</v>
      </c>
      <c r="T85" s="22" t="s">
        <v>62</v>
      </c>
      <c r="U85" s="22" t="s">
        <v>63</v>
      </c>
      <c r="V85" s="22" t="s">
        <v>64</v>
      </c>
      <c r="W85" s="22" t="s">
        <v>65</v>
      </c>
      <c r="X85" s="26" t="s">
        <v>654</v>
      </c>
      <c r="Y85" s="22" t="s">
        <v>342</v>
      </c>
      <c r="Z85" s="22" t="s">
        <v>655</v>
      </c>
      <c r="AA85" s="22" t="s">
        <v>278</v>
      </c>
      <c r="AC85" s="22" t="s">
        <v>176</v>
      </c>
      <c r="AD85" s="27" t="s">
        <v>71</v>
      </c>
      <c r="AE85" s="22" t="s">
        <v>73</v>
      </c>
      <c r="AF85" s="33" t="s">
        <v>656</v>
      </c>
      <c r="AG85" s="33"/>
    </row>
    <row r="86" spans="1:33" ht="74.25" customHeight="1">
      <c r="A86" s="7" t="s">
        <v>45</v>
      </c>
      <c r="B86" s="51" t="s">
        <v>657</v>
      </c>
      <c r="C86" s="22" t="s">
        <v>658</v>
      </c>
      <c r="D86" s="23" t="s">
        <v>659</v>
      </c>
      <c r="E86" s="22" t="s">
        <v>49</v>
      </c>
      <c r="F86" s="22" t="s">
        <v>78</v>
      </c>
      <c r="G86" s="22" t="s">
        <v>49</v>
      </c>
      <c r="H86" s="22" t="s">
        <v>192</v>
      </c>
      <c r="I86" s="22" t="s">
        <v>81</v>
      </c>
      <c r="J86" s="22" t="s">
        <v>53</v>
      </c>
      <c r="K86" s="22" t="s">
        <v>96</v>
      </c>
      <c r="L86" s="22" t="s">
        <v>53</v>
      </c>
      <c r="M86" s="22" t="s">
        <v>83</v>
      </c>
      <c r="N86" s="22" t="s">
        <v>59</v>
      </c>
      <c r="O86" s="22" t="s">
        <v>84</v>
      </c>
      <c r="P86" s="22" t="s">
        <v>294</v>
      </c>
      <c r="Q86" s="22" t="s">
        <v>86</v>
      </c>
      <c r="R86" s="25"/>
      <c r="S86" s="22" t="s">
        <v>388</v>
      </c>
      <c r="T86" s="22" t="s">
        <v>62</v>
      </c>
      <c r="U86" s="22" t="s">
        <v>63</v>
      </c>
      <c r="V86" s="22" t="s">
        <v>64</v>
      </c>
      <c r="W86" s="22" t="s">
        <v>65</v>
      </c>
      <c r="X86" s="26" t="s">
        <v>654</v>
      </c>
      <c r="Y86" s="22" t="s">
        <v>120</v>
      </c>
      <c r="Z86" s="22" t="s">
        <v>660</v>
      </c>
      <c r="AA86" s="22" t="s">
        <v>661</v>
      </c>
      <c r="AC86" s="22" t="s">
        <v>176</v>
      </c>
      <c r="AD86" s="27" t="s">
        <v>71</v>
      </c>
      <c r="AE86" s="22" t="s">
        <v>73</v>
      </c>
      <c r="AF86" s="33" t="s">
        <v>662</v>
      </c>
      <c r="AG86" s="33" t="s">
        <v>663</v>
      </c>
    </row>
    <row r="87" spans="1:33" ht="31">
      <c r="A87" s="51" t="s">
        <v>664</v>
      </c>
      <c r="B87" s="51" t="s">
        <v>665</v>
      </c>
      <c r="C87" s="22" t="s">
        <v>666</v>
      </c>
      <c r="D87" s="23" t="s">
        <v>667</v>
      </c>
      <c r="E87" s="22" t="s">
        <v>49</v>
      </c>
      <c r="F87" s="22" t="s">
        <v>50</v>
      </c>
      <c r="G87" s="22" t="s">
        <v>49</v>
      </c>
      <c r="H87" s="22" t="s">
        <v>51</v>
      </c>
      <c r="I87" s="22" t="s">
        <v>81</v>
      </c>
      <c r="J87" s="22" t="s">
        <v>107</v>
      </c>
      <c r="K87" s="22" t="s">
        <v>182</v>
      </c>
      <c r="L87" s="22" t="s">
        <v>53</v>
      </c>
      <c r="M87" s="22" t="s">
        <v>83</v>
      </c>
      <c r="N87" s="22" t="s">
        <v>59</v>
      </c>
      <c r="O87" s="22" t="s">
        <v>84</v>
      </c>
      <c r="P87" s="22" t="s">
        <v>108</v>
      </c>
      <c r="Q87" s="22" t="s">
        <v>86</v>
      </c>
      <c r="R87" s="22" t="s">
        <v>183</v>
      </c>
      <c r="S87" s="22" t="s">
        <v>85</v>
      </c>
      <c r="T87" s="22" t="s">
        <v>62</v>
      </c>
      <c r="U87" s="22" t="s">
        <v>63</v>
      </c>
      <c r="V87" s="22" t="s">
        <v>118</v>
      </c>
      <c r="W87" s="25"/>
      <c r="X87" s="53" t="s">
        <v>568</v>
      </c>
      <c r="Y87" s="22" t="s">
        <v>496</v>
      </c>
      <c r="Z87" s="22" t="s">
        <v>668</v>
      </c>
      <c r="AA87" s="22" t="s">
        <v>319</v>
      </c>
      <c r="AC87" s="22" t="s">
        <v>70</v>
      </c>
      <c r="AD87" s="27" t="s">
        <v>71</v>
      </c>
      <c r="AE87" s="22" t="s">
        <v>669</v>
      </c>
      <c r="AF87" s="48" t="s">
        <v>670</v>
      </c>
      <c r="AG87" s="33" t="s">
        <v>103</v>
      </c>
    </row>
    <row r="88" spans="1:33" ht="31">
      <c r="A88" s="51" t="s">
        <v>664</v>
      </c>
      <c r="B88" s="51" t="s">
        <v>671</v>
      </c>
      <c r="C88" s="22" t="s">
        <v>672</v>
      </c>
      <c r="D88" s="23" t="s">
        <v>673</v>
      </c>
      <c r="E88" s="22" t="s">
        <v>49</v>
      </c>
      <c r="F88" s="22" t="s">
        <v>78</v>
      </c>
      <c r="G88" s="22" t="s">
        <v>49</v>
      </c>
      <c r="H88" s="22" t="s">
        <v>126</v>
      </c>
      <c r="I88" s="22" t="s">
        <v>52</v>
      </c>
      <c r="J88" s="22" t="s">
        <v>53</v>
      </c>
      <c r="K88" s="22" t="s">
        <v>170</v>
      </c>
      <c r="L88" s="22" t="s">
        <v>53</v>
      </c>
      <c r="M88" s="22" t="s">
        <v>83</v>
      </c>
      <c r="N88" s="22" t="s">
        <v>59</v>
      </c>
      <c r="O88" s="22" t="s">
        <v>84</v>
      </c>
      <c r="P88" s="22" t="s">
        <v>59</v>
      </c>
      <c r="Q88" s="22" t="s">
        <v>153</v>
      </c>
      <c r="R88" s="25"/>
      <c r="S88" s="22" t="s">
        <v>61</v>
      </c>
      <c r="T88" s="22" t="s">
        <v>62</v>
      </c>
      <c r="U88" s="22" t="s">
        <v>63</v>
      </c>
      <c r="V88" s="22" t="s">
        <v>64</v>
      </c>
      <c r="W88" s="25"/>
      <c r="X88" s="53" t="s">
        <v>674</v>
      </c>
      <c r="Y88" s="22" t="s">
        <v>525</v>
      </c>
      <c r="Z88" s="22" t="s">
        <v>675</v>
      </c>
      <c r="AA88" s="22" t="s">
        <v>676</v>
      </c>
      <c r="AC88" s="22" t="s">
        <v>70</v>
      </c>
      <c r="AD88" s="27" t="s">
        <v>71</v>
      </c>
      <c r="AE88" s="22" t="s">
        <v>669</v>
      </c>
      <c r="AF88" s="33" t="s">
        <v>677</v>
      </c>
      <c r="AG88" s="33" t="s">
        <v>678</v>
      </c>
    </row>
    <row r="89" spans="1:33" ht="46.5">
      <c r="A89" s="51" t="s">
        <v>664</v>
      </c>
      <c r="B89" s="51" t="s">
        <v>679</v>
      </c>
      <c r="C89" s="22" t="s">
        <v>680</v>
      </c>
      <c r="D89" s="23" t="s">
        <v>681</v>
      </c>
      <c r="E89" s="22" t="s">
        <v>49</v>
      </c>
      <c r="F89" s="22" t="s">
        <v>78</v>
      </c>
      <c r="G89" s="22" t="s">
        <v>49</v>
      </c>
      <c r="H89" s="22" t="s">
        <v>51</v>
      </c>
      <c r="I89" s="22" t="s">
        <v>81</v>
      </c>
      <c r="J89" s="22" t="s">
        <v>107</v>
      </c>
      <c r="K89" s="22" t="s">
        <v>96</v>
      </c>
      <c r="L89" s="22" t="s">
        <v>53</v>
      </c>
      <c r="M89" s="22" t="s">
        <v>56</v>
      </c>
      <c r="N89" s="22" t="s">
        <v>59</v>
      </c>
      <c r="O89" s="22" t="s">
        <v>84</v>
      </c>
      <c r="P89" s="22" t="s">
        <v>108</v>
      </c>
      <c r="Q89" s="22" t="s">
        <v>60</v>
      </c>
      <c r="R89" s="25"/>
      <c r="S89" s="22" t="s">
        <v>109</v>
      </c>
      <c r="T89" s="22" t="s">
        <v>62</v>
      </c>
      <c r="U89" s="22" t="s">
        <v>63</v>
      </c>
      <c r="V89" s="22" t="s">
        <v>64</v>
      </c>
      <c r="W89" s="25"/>
      <c r="X89" s="54" t="s">
        <v>145</v>
      </c>
      <c r="Y89" s="22" t="s">
        <v>231</v>
      </c>
      <c r="Z89" s="22" t="s">
        <v>232</v>
      </c>
      <c r="AA89" s="22" t="s">
        <v>682</v>
      </c>
      <c r="AC89" s="22" t="s">
        <v>70</v>
      </c>
      <c r="AD89" s="27" t="s">
        <v>71</v>
      </c>
      <c r="AE89" s="22" t="s">
        <v>669</v>
      </c>
      <c r="AF89" s="33" t="s">
        <v>683</v>
      </c>
      <c r="AG89" s="33" t="s">
        <v>684</v>
      </c>
    </row>
    <row r="90" spans="1:33" ht="46.5">
      <c r="A90" s="51" t="s">
        <v>664</v>
      </c>
      <c r="B90" s="51" t="s">
        <v>685</v>
      </c>
      <c r="C90" s="22" t="s">
        <v>686</v>
      </c>
      <c r="D90" s="23" t="s">
        <v>687</v>
      </c>
      <c r="E90" s="22" t="s">
        <v>49</v>
      </c>
      <c r="F90" s="22" t="s">
        <v>95</v>
      </c>
      <c r="G90" s="22" t="s">
        <v>49</v>
      </c>
      <c r="H90" s="22" t="s">
        <v>51</v>
      </c>
      <c r="I90" s="22" t="s">
        <v>52</v>
      </c>
      <c r="J90" s="22" t="s">
        <v>127</v>
      </c>
      <c r="K90" s="22" t="s">
        <v>688</v>
      </c>
      <c r="L90" s="22" t="s">
        <v>53</v>
      </c>
      <c r="M90" s="22" t="s">
        <v>83</v>
      </c>
      <c r="N90" s="22" t="s">
        <v>59</v>
      </c>
      <c r="O90" s="22" t="s">
        <v>84</v>
      </c>
      <c r="P90" s="22" t="s">
        <v>137</v>
      </c>
      <c r="Q90" s="22" t="s">
        <v>60</v>
      </c>
      <c r="R90" s="25"/>
      <c r="S90" s="22" t="s">
        <v>85</v>
      </c>
      <c r="T90" s="22" t="s">
        <v>62</v>
      </c>
      <c r="U90" s="22" t="s">
        <v>63</v>
      </c>
      <c r="V90" s="22" t="s">
        <v>64</v>
      </c>
      <c r="W90" s="25"/>
      <c r="X90" s="54" t="s">
        <v>543</v>
      </c>
      <c r="Y90" s="22" t="s">
        <v>342</v>
      </c>
      <c r="Z90" s="22" t="s">
        <v>689</v>
      </c>
      <c r="AA90" s="22" t="s">
        <v>638</v>
      </c>
      <c r="AC90" s="22" t="s">
        <v>70</v>
      </c>
      <c r="AD90" s="27" t="s">
        <v>71</v>
      </c>
      <c r="AE90" s="22" t="s">
        <v>669</v>
      </c>
      <c r="AF90" s="48" t="s">
        <v>690</v>
      </c>
      <c r="AG90" s="33" t="s">
        <v>691</v>
      </c>
    </row>
    <row r="91" spans="1:33" ht="31">
      <c r="A91" s="51" t="s">
        <v>664</v>
      </c>
      <c r="B91" s="51" t="s">
        <v>692</v>
      </c>
      <c r="C91" s="22" t="s">
        <v>693</v>
      </c>
      <c r="D91" s="23" t="s">
        <v>694</v>
      </c>
      <c r="E91" s="22" t="s">
        <v>49</v>
      </c>
      <c r="F91" s="22" t="s">
        <v>269</v>
      </c>
      <c r="G91" s="22" t="s">
        <v>49</v>
      </c>
      <c r="H91" s="22" t="s">
        <v>51</v>
      </c>
      <c r="I91" s="22" t="s">
        <v>81</v>
      </c>
      <c r="J91" s="22" t="s">
        <v>53</v>
      </c>
      <c r="K91" s="22" t="s">
        <v>182</v>
      </c>
      <c r="L91" s="22" t="s">
        <v>53</v>
      </c>
      <c r="M91" s="22" t="s">
        <v>83</v>
      </c>
      <c r="N91" s="22" t="s">
        <v>59</v>
      </c>
      <c r="O91" s="22" t="s">
        <v>490</v>
      </c>
      <c r="P91" s="22" t="s">
        <v>85</v>
      </c>
      <c r="Q91" s="22" t="s">
        <v>60</v>
      </c>
      <c r="R91" s="25"/>
      <c r="S91" s="22" t="s">
        <v>85</v>
      </c>
      <c r="T91" s="22" t="s">
        <v>62</v>
      </c>
      <c r="U91" s="22" t="s">
        <v>63</v>
      </c>
      <c r="V91" s="22" t="s">
        <v>64</v>
      </c>
      <c r="W91" s="25"/>
      <c r="X91" s="53" t="s">
        <v>695</v>
      </c>
      <c r="Y91" s="22" t="s">
        <v>162</v>
      </c>
      <c r="Z91" s="22" t="s">
        <v>696</v>
      </c>
      <c r="AA91" s="22" t="s">
        <v>570</v>
      </c>
      <c r="AC91" s="22" t="s">
        <v>70</v>
      </c>
      <c r="AD91" s="27" t="s">
        <v>71</v>
      </c>
      <c r="AE91" s="22" t="s">
        <v>669</v>
      </c>
      <c r="AF91" s="33" t="s">
        <v>697</v>
      </c>
      <c r="AG91" s="33" t="s">
        <v>103</v>
      </c>
    </row>
    <row r="92" spans="1:33" ht="46.5">
      <c r="A92" s="51" t="s">
        <v>664</v>
      </c>
      <c r="B92" s="51" t="s">
        <v>698</v>
      </c>
      <c r="C92" s="22" t="s">
        <v>699</v>
      </c>
      <c r="D92" s="23" t="s">
        <v>700</v>
      </c>
      <c r="E92" s="22" t="s">
        <v>49</v>
      </c>
      <c r="F92" s="22" t="s">
        <v>95</v>
      </c>
      <c r="G92" s="22" t="s">
        <v>49</v>
      </c>
      <c r="H92" s="22" t="s">
        <v>126</v>
      </c>
      <c r="I92" s="22" t="s">
        <v>221</v>
      </c>
      <c r="J92" s="22" t="s">
        <v>53</v>
      </c>
      <c r="K92" s="22" t="s">
        <v>170</v>
      </c>
      <c r="L92" s="22" t="s">
        <v>53</v>
      </c>
      <c r="M92" s="22" t="s">
        <v>83</v>
      </c>
      <c r="N92" s="22" t="s">
        <v>59</v>
      </c>
      <c r="O92" s="22" t="s">
        <v>490</v>
      </c>
      <c r="P92" s="22" t="s">
        <v>422</v>
      </c>
      <c r="Q92" s="22" t="s">
        <v>423</v>
      </c>
      <c r="R92" s="25"/>
      <c r="S92" s="22" t="s">
        <v>294</v>
      </c>
      <c r="T92" s="22" t="s">
        <v>62</v>
      </c>
      <c r="U92" s="22" t="s">
        <v>63</v>
      </c>
      <c r="V92" s="22" t="s">
        <v>87</v>
      </c>
      <c r="W92" s="25"/>
      <c r="X92" s="54" t="s">
        <v>701</v>
      </c>
      <c r="Y92" s="22" t="s">
        <v>240</v>
      </c>
      <c r="Z92" s="22" t="s">
        <v>460</v>
      </c>
      <c r="AA92" s="22" t="s">
        <v>702</v>
      </c>
      <c r="AC92" s="22" t="s">
        <v>70</v>
      </c>
      <c r="AD92" s="27" t="s">
        <v>71</v>
      </c>
      <c r="AE92" s="22" t="s">
        <v>669</v>
      </c>
      <c r="AF92" s="33" t="s">
        <v>703</v>
      </c>
      <c r="AG92" s="55" t="s">
        <v>704</v>
      </c>
    </row>
    <row r="93" spans="1:33" ht="31">
      <c r="A93" s="51" t="s">
        <v>664</v>
      </c>
      <c r="B93" s="51" t="s">
        <v>705</v>
      </c>
      <c r="C93" s="22" t="s">
        <v>706</v>
      </c>
      <c r="D93" s="23" t="s">
        <v>707</v>
      </c>
      <c r="E93" s="22" t="s">
        <v>49</v>
      </c>
      <c r="F93" s="22" t="s">
        <v>95</v>
      </c>
      <c r="G93" s="22" t="s">
        <v>49</v>
      </c>
      <c r="H93" s="22" t="s">
        <v>51</v>
      </c>
      <c r="I93" s="22" t="s">
        <v>52</v>
      </c>
      <c r="J93" s="22" t="s">
        <v>53</v>
      </c>
      <c r="K93" s="22" t="s">
        <v>182</v>
      </c>
      <c r="L93" s="22" t="s">
        <v>55</v>
      </c>
      <c r="M93" s="22" t="s">
        <v>83</v>
      </c>
      <c r="N93" s="22" t="s">
        <v>57</v>
      </c>
      <c r="O93" s="22" t="s">
        <v>490</v>
      </c>
      <c r="P93" s="22" t="s">
        <v>59</v>
      </c>
      <c r="Q93" s="22" t="s">
        <v>153</v>
      </c>
      <c r="R93" s="25"/>
      <c r="S93" s="22" t="s">
        <v>109</v>
      </c>
      <c r="T93" s="22" t="s">
        <v>62</v>
      </c>
      <c r="U93" s="22" t="s">
        <v>63</v>
      </c>
      <c r="V93" s="22" t="s">
        <v>64</v>
      </c>
      <c r="W93" s="25"/>
      <c r="X93" s="53" t="s">
        <v>674</v>
      </c>
      <c r="Y93" s="22" t="s">
        <v>184</v>
      </c>
      <c r="Z93" s="22" t="s">
        <v>708</v>
      </c>
      <c r="AA93" s="22" t="s">
        <v>709</v>
      </c>
      <c r="AC93" s="22" t="s">
        <v>70</v>
      </c>
      <c r="AD93" s="27" t="s">
        <v>71</v>
      </c>
      <c r="AE93" s="22" t="s">
        <v>669</v>
      </c>
      <c r="AF93" s="33" t="s">
        <v>710</v>
      </c>
      <c r="AG93" s="32" t="s">
        <v>103</v>
      </c>
    </row>
    <row r="94" spans="1:33" ht="31">
      <c r="A94" s="51" t="s">
        <v>664</v>
      </c>
      <c r="B94" s="51" t="s">
        <v>711</v>
      </c>
      <c r="C94" s="22" t="s">
        <v>712</v>
      </c>
      <c r="D94" s="23" t="s">
        <v>713</v>
      </c>
      <c r="E94" s="22" t="s">
        <v>49</v>
      </c>
      <c r="F94" s="22" t="s">
        <v>95</v>
      </c>
      <c r="G94" s="22" t="s">
        <v>49</v>
      </c>
      <c r="H94" s="22" t="s">
        <v>126</v>
      </c>
      <c r="I94" s="22" t="s">
        <v>307</v>
      </c>
      <c r="J94" s="22" t="s">
        <v>53</v>
      </c>
      <c r="K94" s="22" t="s">
        <v>170</v>
      </c>
      <c r="L94" s="22" t="s">
        <v>53</v>
      </c>
      <c r="M94" s="22" t="s">
        <v>83</v>
      </c>
      <c r="N94" s="22" t="s">
        <v>59</v>
      </c>
      <c r="O94" s="22" t="s">
        <v>84</v>
      </c>
      <c r="P94" s="22" t="s">
        <v>57</v>
      </c>
      <c r="Q94" s="22" t="s">
        <v>153</v>
      </c>
      <c r="R94" s="25"/>
      <c r="S94" s="22" t="s">
        <v>61</v>
      </c>
      <c r="T94" s="22" t="s">
        <v>62</v>
      </c>
      <c r="U94" s="22" t="s">
        <v>63</v>
      </c>
      <c r="V94" s="22" t="s">
        <v>64</v>
      </c>
      <c r="W94" s="25"/>
      <c r="X94" s="54" t="s">
        <v>654</v>
      </c>
      <c r="Y94" s="22" t="s">
        <v>131</v>
      </c>
      <c r="Z94" s="22" t="s">
        <v>186</v>
      </c>
      <c r="AA94" s="22" t="s">
        <v>714</v>
      </c>
      <c r="AC94" s="22" t="s">
        <v>70</v>
      </c>
      <c r="AD94" s="27" t="s">
        <v>71</v>
      </c>
      <c r="AE94" s="22" t="s">
        <v>669</v>
      </c>
      <c r="AF94" s="33"/>
      <c r="AG94" s="28"/>
    </row>
    <row r="95" spans="1:33" ht="31">
      <c r="A95" s="51" t="s">
        <v>664</v>
      </c>
      <c r="B95" s="51" t="s">
        <v>715</v>
      </c>
      <c r="C95" s="22" t="s">
        <v>716</v>
      </c>
      <c r="D95" s="23" t="s">
        <v>717</v>
      </c>
      <c r="E95" s="22" t="s">
        <v>49</v>
      </c>
      <c r="F95" s="22" t="s">
        <v>78</v>
      </c>
      <c r="G95" s="22" t="s">
        <v>79</v>
      </c>
      <c r="H95" s="22" t="s">
        <v>126</v>
      </c>
      <c r="I95" s="22" t="s">
        <v>307</v>
      </c>
      <c r="J95" s="22" t="s">
        <v>53</v>
      </c>
      <c r="K95" s="22" t="s">
        <v>170</v>
      </c>
      <c r="L95" s="22" t="s">
        <v>53</v>
      </c>
      <c r="M95" s="22" t="s">
        <v>83</v>
      </c>
      <c r="N95" s="22" t="s">
        <v>59</v>
      </c>
      <c r="O95" s="22" t="s">
        <v>84</v>
      </c>
      <c r="P95" s="22" t="s">
        <v>59</v>
      </c>
      <c r="Q95" s="22" t="s">
        <v>86</v>
      </c>
      <c r="R95" s="22" t="s">
        <v>60</v>
      </c>
      <c r="S95" s="22" t="s">
        <v>61</v>
      </c>
      <c r="T95" s="22" t="s">
        <v>62</v>
      </c>
      <c r="U95" s="22" t="s">
        <v>63</v>
      </c>
      <c r="V95" s="22" t="s">
        <v>64</v>
      </c>
      <c r="W95" s="25"/>
      <c r="X95" s="53" t="s">
        <v>718</v>
      </c>
      <c r="Y95" s="22" t="s">
        <v>162</v>
      </c>
      <c r="Z95" s="22" t="s">
        <v>719</v>
      </c>
      <c r="AA95" s="22" t="s">
        <v>720</v>
      </c>
      <c r="AC95" s="22" t="s">
        <v>70</v>
      </c>
      <c r="AD95" s="27" t="s">
        <v>71</v>
      </c>
      <c r="AE95" s="22" t="s">
        <v>669</v>
      </c>
      <c r="AF95" s="33"/>
      <c r="AG95" s="28"/>
    </row>
    <row r="96" spans="1:33" ht="31">
      <c r="A96" s="51" t="s">
        <v>664</v>
      </c>
      <c r="B96" s="51" t="s">
        <v>721</v>
      </c>
      <c r="C96" s="22" t="s">
        <v>722</v>
      </c>
      <c r="D96" s="23" t="s">
        <v>723</v>
      </c>
      <c r="E96" s="22" t="s">
        <v>49</v>
      </c>
      <c r="F96" s="22" t="s">
        <v>78</v>
      </c>
      <c r="G96" s="22" t="s">
        <v>49</v>
      </c>
      <c r="H96" s="22" t="s">
        <v>126</v>
      </c>
      <c r="I96" s="22" t="s">
        <v>221</v>
      </c>
      <c r="J96" s="22" t="s">
        <v>107</v>
      </c>
      <c r="K96" s="22" t="s">
        <v>170</v>
      </c>
      <c r="L96" s="22" t="s">
        <v>53</v>
      </c>
      <c r="M96" s="22" t="s">
        <v>83</v>
      </c>
      <c r="N96" s="22" t="s">
        <v>59</v>
      </c>
      <c r="O96" s="22" t="s">
        <v>84</v>
      </c>
      <c r="P96" s="22" t="s">
        <v>422</v>
      </c>
      <c r="Q96" s="22" t="s">
        <v>60</v>
      </c>
      <c r="R96" s="25"/>
      <c r="S96" s="22" t="s">
        <v>388</v>
      </c>
      <c r="T96" s="22" t="s">
        <v>62</v>
      </c>
      <c r="U96" s="22" t="s">
        <v>63</v>
      </c>
      <c r="V96" s="22" t="s">
        <v>64</v>
      </c>
      <c r="W96" s="25"/>
      <c r="X96" s="53" t="s">
        <v>695</v>
      </c>
      <c r="Y96" s="22" t="s">
        <v>262</v>
      </c>
      <c r="Z96" s="22" t="s">
        <v>724</v>
      </c>
      <c r="AA96" s="22" t="s">
        <v>725</v>
      </c>
      <c r="AC96" s="22" t="s">
        <v>70</v>
      </c>
      <c r="AD96" s="27" t="s">
        <v>71</v>
      </c>
      <c r="AE96" s="22" t="s">
        <v>669</v>
      </c>
      <c r="AF96" s="34"/>
      <c r="AG96" s="28"/>
    </row>
    <row r="97" spans="1:45" ht="31">
      <c r="A97" s="51" t="s">
        <v>664</v>
      </c>
      <c r="B97" s="51" t="s">
        <v>726</v>
      </c>
      <c r="C97" s="22" t="s">
        <v>727</v>
      </c>
      <c r="D97" s="23" t="s">
        <v>728</v>
      </c>
      <c r="E97" s="22" t="s">
        <v>49</v>
      </c>
      <c r="F97" s="22" t="s">
        <v>50</v>
      </c>
      <c r="G97" s="22" t="s">
        <v>49</v>
      </c>
      <c r="H97" s="22" t="s">
        <v>126</v>
      </c>
      <c r="I97" s="22" t="s">
        <v>52</v>
      </c>
      <c r="J97" s="22" t="s">
        <v>127</v>
      </c>
      <c r="K97" s="22" t="s">
        <v>128</v>
      </c>
      <c r="L97" s="22" t="s">
        <v>55</v>
      </c>
      <c r="M97" s="22" t="s">
        <v>398</v>
      </c>
      <c r="N97" s="22" t="s">
        <v>59</v>
      </c>
      <c r="O97" s="22" t="s">
        <v>84</v>
      </c>
      <c r="P97" s="22" t="s">
        <v>85</v>
      </c>
      <c r="Q97" s="22" t="s">
        <v>60</v>
      </c>
      <c r="R97" s="22" t="s">
        <v>183</v>
      </c>
      <c r="S97" s="22" t="s">
        <v>85</v>
      </c>
      <c r="T97" s="22" t="s">
        <v>62</v>
      </c>
      <c r="U97" s="22" t="s">
        <v>63</v>
      </c>
      <c r="V97" s="22" t="s">
        <v>64</v>
      </c>
      <c r="W97" s="25"/>
      <c r="X97" s="26" t="s">
        <v>654</v>
      </c>
      <c r="Y97" s="22" t="s">
        <v>231</v>
      </c>
      <c r="Z97" s="22" t="s">
        <v>232</v>
      </c>
      <c r="AA97" s="22" t="s">
        <v>682</v>
      </c>
      <c r="AC97" s="22" t="s">
        <v>393</v>
      </c>
      <c r="AD97" s="27" t="s">
        <v>71</v>
      </c>
      <c r="AE97" s="22" t="s">
        <v>669</v>
      </c>
      <c r="AF97" s="33" t="s">
        <v>729</v>
      </c>
      <c r="AG97" s="34"/>
    </row>
    <row r="98" spans="1:45" ht="46.5">
      <c r="A98" s="51" t="s">
        <v>664</v>
      </c>
      <c r="B98" s="51" t="s">
        <v>730</v>
      </c>
      <c r="C98" s="22" t="s">
        <v>731</v>
      </c>
      <c r="D98" s="23" t="s">
        <v>732</v>
      </c>
      <c r="E98" s="22" t="s">
        <v>49</v>
      </c>
      <c r="F98" s="22" t="s">
        <v>78</v>
      </c>
      <c r="G98" s="22" t="s">
        <v>49</v>
      </c>
      <c r="H98" s="22" t="s">
        <v>51</v>
      </c>
      <c r="I98" s="22" t="s">
        <v>81</v>
      </c>
      <c r="J98" s="22" t="s">
        <v>127</v>
      </c>
      <c r="K98" s="22" t="s">
        <v>54</v>
      </c>
      <c r="L98" s="22" t="s">
        <v>55</v>
      </c>
      <c r="M98" s="22" t="s">
        <v>398</v>
      </c>
      <c r="N98" s="22" t="s">
        <v>59</v>
      </c>
      <c r="O98" s="22" t="s">
        <v>84</v>
      </c>
      <c r="P98" s="22" t="s">
        <v>137</v>
      </c>
      <c r="Q98" s="22" t="s">
        <v>183</v>
      </c>
      <c r="R98" s="25"/>
      <c r="S98" s="22" t="s">
        <v>61</v>
      </c>
      <c r="T98" s="22" t="s">
        <v>62</v>
      </c>
      <c r="U98" s="22" t="s">
        <v>63</v>
      </c>
      <c r="V98" s="22" t="s">
        <v>64</v>
      </c>
      <c r="W98" s="25"/>
      <c r="X98" s="26" t="s">
        <v>145</v>
      </c>
      <c r="Y98" s="22" t="s">
        <v>120</v>
      </c>
      <c r="Z98" s="22" t="s">
        <v>733</v>
      </c>
      <c r="AA98" s="22" t="s">
        <v>734</v>
      </c>
      <c r="AC98" s="22" t="s">
        <v>393</v>
      </c>
      <c r="AD98" s="27" t="s">
        <v>71</v>
      </c>
      <c r="AE98" s="22" t="s">
        <v>669</v>
      </c>
      <c r="AF98" s="33" t="s">
        <v>735</v>
      </c>
      <c r="AG98" s="33" t="s">
        <v>217</v>
      </c>
    </row>
    <row r="99" spans="1:45" ht="46.5">
      <c r="A99" s="51" t="s">
        <v>664</v>
      </c>
      <c r="B99" s="51" t="s">
        <v>736</v>
      </c>
      <c r="C99" s="7" t="s">
        <v>737</v>
      </c>
      <c r="D99" s="42" t="s">
        <v>738</v>
      </c>
      <c r="E99" s="22" t="s">
        <v>49</v>
      </c>
      <c r="F99" s="22" t="s">
        <v>618</v>
      </c>
      <c r="G99" s="22" t="s">
        <v>49</v>
      </c>
      <c r="H99" s="22" t="s">
        <v>51</v>
      </c>
      <c r="I99" s="22" t="s">
        <v>52</v>
      </c>
      <c r="J99" s="22" t="s">
        <v>127</v>
      </c>
      <c r="K99" s="22" t="s">
        <v>54</v>
      </c>
      <c r="L99" s="22" t="s">
        <v>55</v>
      </c>
      <c r="M99" s="22" t="s">
        <v>129</v>
      </c>
      <c r="N99" s="22" t="s">
        <v>194</v>
      </c>
      <c r="O99" s="22" t="s">
        <v>490</v>
      </c>
      <c r="P99" s="22" t="s">
        <v>59</v>
      </c>
      <c r="Q99" s="22" t="s">
        <v>63</v>
      </c>
      <c r="R99" s="22" t="s">
        <v>458</v>
      </c>
      <c r="S99" s="22" t="s">
        <v>61</v>
      </c>
      <c r="T99" s="22" t="s">
        <v>62</v>
      </c>
      <c r="U99" s="22" t="s">
        <v>63</v>
      </c>
      <c r="V99" s="22" t="s">
        <v>64</v>
      </c>
      <c r="W99" s="25"/>
      <c r="X99" s="35" t="s">
        <v>145</v>
      </c>
      <c r="Y99" s="22" t="s">
        <v>99</v>
      </c>
      <c r="Z99" s="22" t="s">
        <v>739</v>
      </c>
      <c r="AA99" s="22" t="s">
        <v>740</v>
      </c>
      <c r="AC99" s="22" t="s">
        <v>393</v>
      </c>
      <c r="AD99" s="27" t="s">
        <v>71</v>
      </c>
      <c r="AE99" s="22" t="s">
        <v>741</v>
      </c>
      <c r="AF99" s="34"/>
      <c r="AG99" s="34"/>
    </row>
    <row r="100" spans="1:45" ht="46.5">
      <c r="A100" s="51" t="s">
        <v>664</v>
      </c>
      <c r="B100" s="51" t="s">
        <v>742</v>
      </c>
      <c r="C100" s="7" t="s">
        <v>743</v>
      </c>
      <c r="D100" s="42" t="s">
        <v>744</v>
      </c>
      <c r="E100" s="22" t="s">
        <v>49</v>
      </c>
      <c r="F100" s="22" t="s">
        <v>228</v>
      </c>
      <c r="G100" s="22" t="s">
        <v>49</v>
      </c>
      <c r="H100" s="22" t="s">
        <v>51</v>
      </c>
      <c r="I100" s="22" t="s">
        <v>52</v>
      </c>
      <c r="J100" s="22" t="s">
        <v>127</v>
      </c>
      <c r="K100" s="22" t="s">
        <v>82</v>
      </c>
      <c r="L100" s="22" t="s">
        <v>55</v>
      </c>
      <c r="M100" s="22" t="s">
        <v>56</v>
      </c>
      <c r="N100" s="22" t="s">
        <v>59</v>
      </c>
      <c r="O100" s="22" t="s">
        <v>84</v>
      </c>
      <c r="P100" s="22" t="s">
        <v>85</v>
      </c>
      <c r="Q100" s="22" t="s">
        <v>60</v>
      </c>
      <c r="R100" s="22" t="s">
        <v>183</v>
      </c>
      <c r="S100" s="22" t="s">
        <v>85</v>
      </c>
      <c r="T100" s="22" t="s">
        <v>62</v>
      </c>
      <c r="U100" s="22" t="s">
        <v>63</v>
      </c>
      <c r="V100" s="22" t="s">
        <v>64</v>
      </c>
      <c r="W100" s="25"/>
      <c r="X100" s="35" t="s">
        <v>145</v>
      </c>
      <c r="Y100" s="22" t="s">
        <v>131</v>
      </c>
      <c r="Z100" s="22" t="s">
        <v>745</v>
      </c>
      <c r="AA100" s="22" t="s">
        <v>746</v>
      </c>
      <c r="AC100" s="22" t="s">
        <v>393</v>
      </c>
      <c r="AD100" s="27" t="s">
        <v>71</v>
      </c>
      <c r="AE100" s="22" t="s">
        <v>741</v>
      </c>
      <c r="AF100" s="34"/>
      <c r="AG100" s="34"/>
    </row>
    <row r="101" spans="1:45" ht="31">
      <c r="A101" s="51" t="s">
        <v>664</v>
      </c>
      <c r="B101" s="51" t="s">
        <v>747</v>
      </c>
      <c r="C101" s="22" t="s">
        <v>748</v>
      </c>
      <c r="D101" s="23" t="s">
        <v>749</v>
      </c>
      <c r="E101" s="22" t="s">
        <v>49</v>
      </c>
      <c r="F101" s="22" t="s">
        <v>50</v>
      </c>
      <c r="G101" s="22" t="s">
        <v>49</v>
      </c>
      <c r="H101" s="22" t="s">
        <v>126</v>
      </c>
      <c r="I101" s="22" t="s">
        <v>307</v>
      </c>
      <c r="J101" s="22" t="s">
        <v>53</v>
      </c>
      <c r="K101" s="22" t="s">
        <v>128</v>
      </c>
      <c r="L101" s="22" t="s">
        <v>53</v>
      </c>
      <c r="M101" s="22" t="s">
        <v>56</v>
      </c>
      <c r="N101" s="22" t="s">
        <v>59</v>
      </c>
      <c r="O101" s="22" t="s">
        <v>84</v>
      </c>
      <c r="P101" s="22" t="s">
        <v>108</v>
      </c>
      <c r="Q101" s="22" t="s">
        <v>60</v>
      </c>
      <c r="R101" s="25"/>
      <c r="S101" s="22" t="s">
        <v>61</v>
      </c>
      <c r="T101" s="22" t="s">
        <v>62</v>
      </c>
      <c r="U101" s="22" t="s">
        <v>515</v>
      </c>
      <c r="V101" s="22" t="s">
        <v>64</v>
      </c>
      <c r="W101" s="25"/>
      <c r="X101" s="35" t="s">
        <v>145</v>
      </c>
      <c r="Y101" s="22" t="s">
        <v>240</v>
      </c>
      <c r="Z101" s="22" t="s">
        <v>750</v>
      </c>
      <c r="AA101" s="22" t="s">
        <v>751</v>
      </c>
      <c r="AC101" s="22" t="s">
        <v>393</v>
      </c>
      <c r="AD101" s="27" t="s">
        <v>71</v>
      </c>
      <c r="AE101" s="22" t="s">
        <v>741</v>
      </c>
      <c r="AF101" s="34"/>
      <c r="AG101" s="34"/>
    </row>
    <row r="102" spans="1:45" ht="31">
      <c r="A102" s="51" t="s">
        <v>664</v>
      </c>
      <c r="B102" s="51" t="s">
        <v>752</v>
      </c>
      <c r="C102" s="22" t="s">
        <v>753</v>
      </c>
      <c r="D102" s="23" t="s">
        <v>754</v>
      </c>
      <c r="E102" s="22" t="s">
        <v>49</v>
      </c>
      <c r="F102" s="22" t="s">
        <v>95</v>
      </c>
      <c r="G102" s="22" t="s">
        <v>49</v>
      </c>
      <c r="H102" s="22" t="s">
        <v>51</v>
      </c>
      <c r="I102" s="22" t="s">
        <v>81</v>
      </c>
      <c r="J102" s="22" t="s">
        <v>107</v>
      </c>
      <c r="K102" s="22" t="s">
        <v>82</v>
      </c>
      <c r="L102" s="22" t="s">
        <v>53</v>
      </c>
      <c r="M102" s="22" t="s">
        <v>755</v>
      </c>
      <c r="N102" s="22" t="s">
        <v>59</v>
      </c>
      <c r="O102" s="22" t="s">
        <v>84</v>
      </c>
      <c r="P102" s="22" t="s">
        <v>109</v>
      </c>
      <c r="Q102" s="22" t="s">
        <v>60</v>
      </c>
      <c r="R102" s="25"/>
      <c r="S102" s="22" t="s">
        <v>388</v>
      </c>
      <c r="T102" s="22" t="s">
        <v>62</v>
      </c>
      <c r="U102" s="22" t="s">
        <v>63</v>
      </c>
      <c r="V102" s="22" t="s">
        <v>64</v>
      </c>
      <c r="W102" s="25"/>
      <c r="X102" s="35" t="s">
        <v>145</v>
      </c>
      <c r="Y102" s="22" t="s">
        <v>363</v>
      </c>
      <c r="Z102" s="22" t="s">
        <v>756</v>
      </c>
      <c r="AA102" s="22" t="s">
        <v>205</v>
      </c>
      <c r="AC102" s="22" t="s">
        <v>393</v>
      </c>
      <c r="AD102" s="27" t="s">
        <v>71</v>
      </c>
      <c r="AE102" s="22" t="s">
        <v>741</v>
      </c>
      <c r="AF102" s="34"/>
      <c r="AG102" s="34"/>
    </row>
    <row r="103" spans="1:45" ht="46.5">
      <c r="A103" s="51" t="s">
        <v>664</v>
      </c>
      <c r="B103" s="51" t="s">
        <v>757</v>
      </c>
      <c r="C103" s="22" t="s">
        <v>758</v>
      </c>
      <c r="D103" s="42" t="s">
        <v>759</v>
      </c>
      <c r="E103" s="22" t="s">
        <v>49</v>
      </c>
      <c r="F103" s="22" t="s">
        <v>95</v>
      </c>
      <c r="G103" s="22" t="s">
        <v>79</v>
      </c>
      <c r="H103" s="22" t="s">
        <v>126</v>
      </c>
      <c r="I103" s="22" t="s">
        <v>307</v>
      </c>
      <c r="J103" s="22" t="s">
        <v>53</v>
      </c>
      <c r="K103" s="22" t="s">
        <v>144</v>
      </c>
      <c r="L103" s="22" t="s">
        <v>53</v>
      </c>
      <c r="M103" s="22" t="s">
        <v>129</v>
      </c>
      <c r="N103" s="22" t="s">
        <v>59</v>
      </c>
      <c r="O103" s="22" t="s">
        <v>84</v>
      </c>
      <c r="P103" s="22" t="s">
        <v>109</v>
      </c>
      <c r="Q103" s="22" t="s">
        <v>60</v>
      </c>
      <c r="R103" s="22" t="s">
        <v>130</v>
      </c>
      <c r="S103" s="22" t="s">
        <v>61</v>
      </c>
      <c r="T103" s="22" t="s">
        <v>62</v>
      </c>
      <c r="U103" s="22" t="s">
        <v>63</v>
      </c>
      <c r="V103" s="22" t="s">
        <v>64</v>
      </c>
      <c r="W103" s="25"/>
      <c r="X103" s="35" t="s">
        <v>119</v>
      </c>
      <c r="Y103" s="22" t="s">
        <v>204</v>
      </c>
      <c r="Z103" s="22" t="s">
        <v>760</v>
      </c>
      <c r="AA103" s="22" t="s">
        <v>761</v>
      </c>
      <c r="AC103" s="22" t="s">
        <v>393</v>
      </c>
      <c r="AD103" s="27" t="s">
        <v>71</v>
      </c>
      <c r="AE103" s="22" t="s">
        <v>741</v>
      </c>
      <c r="AF103" s="34"/>
      <c r="AG103" s="34"/>
    </row>
    <row r="104" spans="1:45" ht="46.5">
      <c r="A104" s="51" t="s">
        <v>664</v>
      </c>
      <c r="B104" s="51" t="s">
        <v>762</v>
      </c>
      <c r="C104" s="22" t="s">
        <v>763</v>
      </c>
      <c r="D104" s="23" t="s">
        <v>764</v>
      </c>
      <c r="E104" s="22" t="s">
        <v>49</v>
      </c>
      <c r="F104" s="22" t="s">
        <v>50</v>
      </c>
      <c r="G104" s="22" t="s">
        <v>49</v>
      </c>
      <c r="H104" s="22" t="s">
        <v>80</v>
      </c>
      <c r="I104" s="22" t="s">
        <v>81</v>
      </c>
      <c r="J104" s="22" t="s">
        <v>53</v>
      </c>
      <c r="K104" s="22" t="s">
        <v>54</v>
      </c>
      <c r="L104" s="22" t="s">
        <v>53</v>
      </c>
      <c r="M104" s="22" t="s">
        <v>83</v>
      </c>
      <c r="N104" s="22" t="s">
        <v>59</v>
      </c>
      <c r="O104" s="22" t="s">
        <v>84</v>
      </c>
      <c r="P104" s="22" t="s">
        <v>85</v>
      </c>
      <c r="Q104" s="22" t="s">
        <v>153</v>
      </c>
      <c r="R104" s="22" t="s">
        <v>238</v>
      </c>
      <c r="S104" s="22" t="s">
        <v>85</v>
      </c>
      <c r="T104" s="22" t="s">
        <v>62</v>
      </c>
      <c r="U104" s="22" t="s">
        <v>515</v>
      </c>
      <c r="V104" s="22" t="s">
        <v>64</v>
      </c>
      <c r="W104" s="25"/>
      <c r="X104" s="35" t="s">
        <v>119</v>
      </c>
      <c r="Y104" s="22" t="s">
        <v>262</v>
      </c>
      <c r="Z104" s="22" t="s">
        <v>765</v>
      </c>
      <c r="AA104" s="22" t="s">
        <v>766</v>
      </c>
      <c r="AC104" s="22" t="s">
        <v>393</v>
      </c>
      <c r="AD104" s="27" t="s">
        <v>71</v>
      </c>
      <c r="AE104" s="22" t="s">
        <v>741</v>
      </c>
      <c r="AF104" s="34"/>
      <c r="AG104" s="34"/>
    </row>
    <row r="105" spans="1:45" ht="46.5">
      <c r="A105" s="51" t="s">
        <v>664</v>
      </c>
      <c r="B105" s="51" t="s">
        <v>767</v>
      </c>
      <c r="C105" s="22" t="s">
        <v>768</v>
      </c>
      <c r="D105" s="23" t="s">
        <v>769</v>
      </c>
      <c r="E105" s="22" t="s">
        <v>49</v>
      </c>
      <c r="F105" s="22" t="s">
        <v>95</v>
      </c>
      <c r="G105" s="22" t="s">
        <v>49</v>
      </c>
      <c r="H105" s="22" t="s">
        <v>51</v>
      </c>
      <c r="I105" s="22" t="s">
        <v>81</v>
      </c>
      <c r="J105" s="22" t="s">
        <v>109</v>
      </c>
      <c r="K105" s="22" t="s">
        <v>54</v>
      </c>
      <c r="L105" s="22" t="s">
        <v>53</v>
      </c>
      <c r="M105" s="22" t="s">
        <v>129</v>
      </c>
      <c r="N105" s="22" t="s">
        <v>59</v>
      </c>
      <c r="O105" s="22" t="s">
        <v>490</v>
      </c>
      <c r="P105" s="22" t="s">
        <v>85</v>
      </c>
      <c r="Q105" s="22" t="s">
        <v>203</v>
      </c>
      <c r="R105" s="25"/>
      <c r="S105" s="22" t="s">
        <v>85</v>
      </c>
      <c r="T105" s="22" t="s">
        <v>62</v>
      </c>
      <c r="U105" s="22" t="s">
        <v>63</v>
      </c>
      <c r="V105" s="22" t="s">
        <v>64</v>
      </c>
      <c r="W105" s="25"/>
      <c r="X105" s="35" t="s">
        <v>119</v>
      </c>
      <c r="Y105" s="22" t="s">
        <v>770</v>
      </c>
      <c r="Z105" s="22" t="s">
        <v>771</v>
      </c>
      <c r="AA105" s="22" t="s">
        <v>772</v>
      </c>
      <c r="AC105" s="22" t="s">
        <v>393</v>
      </c>
      <c r="AD105" s="27" t="s">
        <v>71</v>
      </c>
      <c r="AE105" s="22" t="s">
        <v>741</v>
      </c>
      <c r="AF105" s="34"/>
      <c r="AG105" s="34"/>
    </row>
    <row r="106" spans="1:45" ht="46.5">
      <c r="A106" s="51" t="s">
        <v>664</v>
      </c>
      <c r="B106" s="51" t="s">
        <v>773</v>
      </c>
      <c r="C106" s="22" t="s">
        <v>774</v>
      </c>
      <c r="D106" s="23" t="s">
        <v>775</v>
      </c>
      <c r="E106" s="22" t="s">
        <v>49</v>
      </c>
      <c r="F106" s="22" t="s">
        <v>50</v>
      </c>
      <c r="G106" s="22" t="s">
        <v>49</v>
      </c>
      <c r="H106" s="22" t="s">
        <v>126</v>
      </c>
      <c r="I106" s="22" t="s">
        <v>307</v>
      </c>
      <c r="J106" s="22" t="s">
        <v>127</v>
      </c>
      <c r="K106" s="22" t="s">
        <v>82</v>
      </c>
      <c r="L106" s="22" t="s">
        <v>53</v>
      </c>
      <c r="M106" s="22" t="s">
        <v>56</v>
      </c>
      <c r="N106" s="22" t="s">
        <v>348</v>
      </c>
      <c r="O106" s="22" t="s">
        <v>84</v>
      </c>
      <c r="P106" s="22" t="s">
        <v>85</v>
      </c>
      <c r="Q106" s="22" t="s">
        <v>60</v>
      </c>
      <c r="R106" s="25"/>
      <c r="S106" s="22" t="s">
        <v>61</v>
      </c>
      <c r="T106" s="22" t="s">
        <v>62</v>
      </c>
      <c r="U106" s="22" t="s">
        <v>63</v>
      </c>
      <c r="V106" s="22" t="s">
        <v>64</v>
      </c>
      <c r="W106" s="25"/>
      <c r="X106" s="26" t="s">
        <v>776</v>
      </c>
      <c r="Y106" s="22" t="s">
        <v>777</v>
      </c>
      <c r="Z106" s="22" t="s">
        <v>778</v>
      </c>
      <c r="AA106" s="22" t="s">
        <v>779</v>
      </c>
      <c r="AC106" s="22" t="s">
        <v>328</v>
      </c>
      <c r="AD106" s="27" t="s">
        <v>71</v>
      </c>
      <c r="AE106" s="22" t="s">
        <v>741</v>
      </c>
      <c r="AF106" s="34"/>
      <c r="AG106" s="34"/>
    </row>
    <row r="107" spans="1:45" ht="31">
      <c r="A107" s="51" t="s">
        <v>664</v>
      </c>
      <c r="B107" s="51" t="s">
        <v>780</v>
      </c>
      <c r="C107" s="56" t="s">
        <v>781</v>
      </c>
      <c r="D107" s="57" t="s">
        <v>782</v>
      </c>
      <c r="E107" s="56" t="s">
        <v>49</v>
      </c>
      <c r="F107" s="56" t="s">
        <v>78</v>
      </c>
      <c r="G107" s="56" t="s">
        <v>49</v>
      </c>
      <c r="H107" s="56" t="s">
        <v>421</v>
      </c>
      <c r="I107" s="56" t="s">
        <v>307</v>
      </c>
      <c r="J107" s="56" t="s">
        <v>127</v>
      </c>
      <c r="K107" s="56" t="s">
        <v>54</v>
      </c>
      <c r="L107" s="56" t="s">
        <v>53</v>
      </c>
      <c r="M107" s="56" t="s">
        <v>83</v>
      </c>
      <c r="N107" s="56" t="s">
        <v>59</v>
      </c>
      <c r="O107" s="56" t="s">
        <v>84</v>
      </c>
      <c r="P107" s="56" t="s">
        <v>85</v>
      </c>
      <c r="Q107" s="56" t="s">
        <v>86</v>
      </c>
      <c r="R107" s="56" t="s">
        <v>153</v>
      </c>
      <c r="S107" s="56" t="s">
        <v>388</v>
      </c>
      <c r="T107" s="56" t="s">
        <v>62</v>
      </c>
      <c r="U107" s="56" t="s">
        <v>63</v>
      </c>
      <c r="V107" s="56" t="s">
        <v>87</v>
      </c>
      <c r="W107" s="58"/>
      <c r="X107" s="59" t="s">
        <v>783</v>
      </c>
      <c r="Y107" s="56" t="s">
        <v>784</v>
      </c>
      <c r="Z107" s="56" t="s">
        <v>785</v>
      </c>
      <c r="AA107" s="56" t="s">
        <v>786</v>
      </c>
      <c r="AB107" s="56" t="s">
        <v>787</v>
      </c>
      <c r="AC107" s="56" t="s">
        <v>328</v>
      </c>
      <c r="AD107" s="60" t="s">
        <v>71</v>
      </c>
      <c r="AE107" s="56" t="s">
        <v>741</v>
      </c>
      <c r="AF107" s="61"/>
      <c r="AG107" s="61"/>
      <c r="AH107" s="58"/>
      <c r="AI107" s="58"/>
      <c r="AJ107" s="58"/>
      <c r="AK107" s="58"/>
      <c r="AL107" s="58"/>
      <c r="AM107" s="58"/>
      <c r="AN107" s="58"/>
      <c r="AO107" s="58"/>
      <c r="AP107" s="58"/>
      <c r="AQ107" s="58"/>
      <c r="AR107" s="58"/>
      <c r="AS107" s="58"/>
    </row>
    <row r="108" spans="1:45" ht="31">
      <c r="A108" s="51" t="s">
        <v>664</v>
      </c>
      <c r="B108" s="51" t="s">
        <v>788</v>
      </c>
      <c r="C108" s="22" t="s">
        <v>789</v>
      </c>
      <c r="D108" s="23" t="s">
        <v>790</v>
      </c>
      <c r="E108" s="22" t="s">
        <v>49</v>
      </c>
      <c r="F108" s="22" t="s">
        <v>50</v>
      </c>
      <c r="G108" s="22" t="s">
        <v>49</v>
      </c>
      <c r="H108" s="22" t="s">
        <v>126</v>
      </c>
      <c r="I108" s="22" t="s">
        <v>307</v>
      </c>
      <c r="J108" s="22" t="s">
        <v>127</v>
      </c>
      <c r="K108" s="22" t="s">
        <v>144</v>
      </c>
      <c r="L108" s="22" t="s">
        <v>53</v>
      </c>
      <c r="M108" s="22" t="s">
        <v>56</v>
      </c>
      <c r="N108" s="22" t="s">
        <v>348</v>
      </c>
      <c r="O108" s="22" t="s">
        <v>84</v>
      </c>
      <c r="P108" s="22" t="s">
        <v>59</v>
      </c>
      <c r="Q108" s="22" t="s">
        <v>60</v>
      </c>
      <c r="R108" s="25"/>
      <c r="S108" s="22" t="s">
        <v>61</v>
      </c>
      <c r="T108" s="22" t="s">
        <v>62</v>
      </c>
      <c r="U108" s="22" t="s">
        <v>63</v>
      </c>
      <c r="V108" s="22" t="s">
        <v>64</v>
      </c>
      <c r="W108" s="25"/>
      <c r="X108" s="35" t="s">
        <v>791</v>
      </c>
      <c r="Y108" s="22" t="s">
        <v>792</v>
      </c>
      <c r="Z108" s="22" t="s">
        <v>627</v>
      </c>
      <c r="AA108" s="22" t="s">
        <v>793</v>
      </c>
      <c r="AC108" s="22" t="s">
        <v>328</v>
      </c>
      <c r="AD108" s="27" t="s">
        <v>71</v>
      </c>
      <c r="AE108" s="22" t="s">
        <v>741</v>
      </c>
      <c r="AF108" s="34"/>
      <c r="AG108" s="34"/>
    </row>
    <row r="109" spans="1:45" ht="46.5">
      <c r="A109" s="51" t="s">
        <v>664</v>
      </c>
      <c r="B109" s="51" t="s">
        <v>794</v>
      </c>
      <c r="C109" s="22" t="s">
        <v>795</v>
      </c>
      <c r="D109" s="23" t="s">
        <v>796</v>
      </c>
      <c r="E109" s="22" t="s">
        <v>49</v>
      </c>
      <c r="F109" s="22" t="s">
        <v>50</v>
      </c>
      <c r="G109" s="22" t="s">
        <v>79</v>
      </c>
      <c r="H109" s="22" t="s">
        <v>51</v>
      </c>
      <c r="I109" s="22" t="s">
        <v>81</v>
      </c>
      <c r="J109" s="22" t="s">
        <v>53</v>
      </c>
      <c r="K109" s="22" t="s">
        <v>54</v>
      </c>
      <c r="L109" s="22" t="s">
        <v>53</v>
      </c>
      <c r="M109" s="22" t="s">
        <v>56</v>
      </c>
      <c r="N109" s="22" t="s">
        <v>59</v>
      </c>
      <c r="O109" s="22" t="s">
        <v>84</v>
      </c>
      <c r="P109" s="22" t="s">
        <v>85</v>
      </c>
      <c r="Q109" s="22" t="s">
        <v>60</v>
      </c>
      <c r="R109" s="22" t="s">
        <v>86</v>
      </c>
      <c r="S109" s="22" t="s">
        <v>388</v>
      </c>
      <c r="T109" s="22" t="s">
        <v>62</v>
      </c>
      <c r="U109" s="22" t="s">
        <v>63</v>
      </c>
      <c r="V109" s="22" t="s">
        <v>64</v>
      </c>
      <c r="W109" s="25"/>
      <c r="X109" s="35" t="s">
        <v>797</v>
      </c>
      <c r="Y109" s="22" t="s">
        <v>131</v>
      </c>
      <c r="Z109" s="22" t="s">
        <v>739</v>
      </c>
      <c r="AA109" s="22" t="s">
        <v>196</v>
      </c>
      <c r="AC109" s="22" t="s">
        <v>328</v>
      </c>
      <c r="AD109" s="27" t="s">
        <v>71</v>
      </c>
      <c r="AE109" s="22" t="s">
        <v>741</v>
      </c>
      <c r="AF109" s="34"/>
      <c r="AG109" s="34"/>
    </row>
    <row r="110" spans="1:45" ht="46.5">
      <c r="A110" s="51" t="s">
        <v>664</v>
      </c>
      <c r="B110" s="51" t="s">
        <v>798</v>
      </c>
      <c r="C110" s="22" t="s">
        <v>799</v>
      </c>
      <c r="D110" s="49" t="s">
        <v>800</v>
      </c>
      <c r="E110" s="22" t="s">
        <v>49</v>
      </c>
      <c r="F110" s="22" t="s">
        <v>95</v>
      </c>
      <c r="G110" s="22" t="s">
        <v>49</v>
      </c>
      <c r="H110" s="22" t="s">
        <v>51</v>
      </c>
      <c r="I110" s="22" t="s">
        <v>307</v>
      </c>
      <c r="J110" s="22" t="s">
        <v>127</v>
      </c>
      <c r="K110" s="22" t="s">
        <v>144</v>
      </c>
      <c r="L110" s="22" t="s">
        <v>53</v>
      </c>
      <c r="M110" s="22" t="s">
        <v>56</v>
      </c>
      <c r="N110" s="22" t="s">
        <v>348</v>
      </c>
      <c r="O110" s="22" t="s">
        <v>84</v>
      </c>
      <c r="P110" s="22" t="s">
        <v>194</v>
      </c>
      <c r="Q110" s="22" t="s">
        <v>60</v>
      </c>
      <c r="R110" s="25"/>
      <c r="S110" s="22" t="s">
        <v>61</v>
      </c>
      <c r="T110" s="22" t="s">
        <v>62</v>
      </c>
      <c r="U110" s="22" t="s">
        <v>63</v>
      </c>
      <c r="V110" s="22" t="s">
        <v>118</v>
      </c>
      <c r="W110" s="25"/>
      <c r="X110" s="26" t="s">
        <v>801</v>
      </c>
      <c r="Y110" s="22" t="s">
        <v>248</v>
      </c>
      <c r="Z110" s="22" t="s">
        <v>802</v>
      </c>
      <c r="AA110" s="22" t="s">
        <v>803</v>
      </c>
      <c r="AC110" s="22" t="s">
        <v>328</v>
      </c>
      <c r="AD110" s="27" t="s">
        <v>71</v>
      </c>
      <c r="AE110" s="22" t="s">
        <v>804</v>
      </c>
      <c r="AF110" s="34"/>
      <c r="AG110" s="34"/>
    </row>
    <row r="111" spans="1:45" ht="31">
      <c r="A111" s="51" t="s">
        <v>664</v>
      </c>
      <c r="B111" s="51" t="s">
        <v>805</v>
      </c>
      <c r="C111" s="22" t="s">
        <v>806</v>
      </c>
      <c r="D111" s="23" t="s">
        <v>807</v>
      </c>
      <c r="E111" s="22" t="s">
        <v>49</v>
      </c>
      <c r="F111" s="22" t="s">
        <v>95</v>
      </c>
      <c r="G111" s="22" t="s">
        <v>79</v>
      </c>
      <c r="H111" s="22" t="s">
        <v>126</v>
      </c>
      <c r="I111" s="22" t="s">
        <v>81</v>
      </c>
      <c r="J111" s="22" t="s">
        <v>53</v>
      </c>
      <c r="K111" s="22" t="s">
        <v>54</v>
      </c>
      <c r="L111" s="22" t="s">
        <v>53</v>
      </c>
      <c r="M111" s="22" t="s">
        <v>56</v>
      </c>
      <c r="N111" s="22" t="s">
        <v>59</v>
      </c>
      <c r="O111" s="22" t="s">
        <v>84</v>
      </c>
      <c r="P111" s="22" t="s">
        <v>85</v>
      </c>
      <c r="Q111" s="22" t="s">
        <v>60</v>
      </c>
      <c r="R111" s="25"/>
      <c r="S111" s="22" t="s">
        <v>85</v>
      </c>
      <c r="T111" s="22" t="s">
        <v>62</v>
      </c>
      <c r="U111" s="22" t="s">
        <v>63</v>
      </c>
      <c r="V111" s="22" t="s">
        <v>64</v>
      </c>
      <c r="W111" s="25"/>
      <c r="X111" s="35" t="s">
        <v>808</v>
      </c>
      <c r="Y111" s="22" t="s">
        <v>262</v>
      </c>
      <c r="Z111" s="22" t="s">
        <v>766</v>
      </c>
      <c r="AA111" s="22" t="s">
        <v>809</v>
      </c>
      <c r="AC111" s="22" t="s">
        <v>328</v>
      </c>
      <c r="AD111" s="27" t="s">
        <v>71</v>
      </c>
      <c r="AE111" s="22" t="s">
        <v>804</v>
      </c>
      <c r="AF111" s="34"/>
      <c r="AG111" s="34"/>
    </row>
    <row r="112" spans="1:45" ht="31">
      <c r="A112" s="51" t="s">
        <v>664</v>
      </c>
      <c r="B112" s="51" t="s">
        <v>810</v>
      </c>
      <c r="C112" s="22" t="s">
        <v>811</v>
      </c>
      <c r="D112" s="23" t="s">
        <v>812</v>
      </c>
      <c r="E112" s="22" t="s">
        <v>49</v>
      </c>
      <c r="F112" s="22" t="s">
        <v>50</v>
      </c>
      <c r="G112" s="22" t="s">
        <v>79</v>
      </c>
      <c r="H112" s="22" t="s">
        <v>126</v>
      </c>
      <c r="I112" s="22" t="s">
        <v>81</v>
      </c>
      <c r="J112" s="22" t="s">
        <v>53</v>
      </c>
      <c r="K112" s="22" t="s">
        <v>54</v>
      </c>
      <c r="L112" s="22" t="s">
        <v>53</v>
      </c>
      <c r="M112" s="22" t="s">
        <v>56</v>
      </c>
      <c r="N112" s="22" t="s">
        <v>59</v>
      </c>
      <c r="O112" s="22" t="s">
        <v>84</v>
      </c>
      <c r="P112" s="22" t="s">
        <v>85</v>
      </c>
      <c r="Q112" s="22" t="s">
        <v>60</v>
      </c>
      <c r="R112" s="22" t="s">
        <v>86</v>
      </c>
      <c r="S112" s="22" t="s">
        <v>388</v>
      </c>
      <c r="T112" s="22" t="s">
        <v>62</v>
      </c>
      <c r="U112" s="22" t="s">
        <v>63</v>
      </c>
      <c r="V112" s="22" t="s">
        <v>64</v>
      </c>
      <c r="W112" s="25"/>
      <c r="X112" s="35" t="s">
        <v>797</v>
      </c>
      <c r="Y112" s="22" t="s">
        <v>131</v>
      </c>
      <c r="Z112" s="22" t="s">
        <v>739</v>
      </c>
      <c r="AA112" s="22" t="s">
        <v>196</v>
      </c>
      <c r="AC112" s="22" t="s">
        <v>328</v>
      </c>
      <c r="AD112" s="27" t="s">
        <v>71</v>
      </c>
      <c r="AE112" s="22" t="s">
        <v>804</v>
      </c>
      <c r="AF112" s="34"/>
      <c r="AG112" s="34"/>
    </row>
    <row r="113" spans="1:33" ht="31">
      <c r="A113" s="51" t="s">
        <v>664</v>
      </c>
      <c r="B113" s="51" t="s">
        <v>813</v>
      </c>
      <c r="C113" s="22" t="s">
        <v>806</v>
      </c>
      <c r="D113" s="23" t="s">
        <v>814</v>
      </c>
      <c r="E113" s="22" t="s">
        <v>49</v>
      </c>
      <c r="F113" s="22" t="s">
        <v>95</v>
      </c>
      <c r="G113" s="22" t="s">
        <v>79</v>
      </c>
      <c r="H113" s="22" t="s">
        <v>126</v>
      </c>
      <c r="I113" s="22" t="s">
        <v>81</v>
      </c>
      <c r="J113" s="22" t="s">
        <v>53</v>
      </c>
      <c r="K113" s="22" t="s">
        <v>54</v>
      </c>
      <c r="L113" s="22" t="s">
        <v>53</v>
      </c>
      <c r="M113" s="22" t="s">
        <v>56</v>
      </c>
      <c r="N113" s="22" t="s">
        <v>59</v>
      </c>
      <c r="O113" s="22" t="s">
        <v>84</v>
      </c>
      <c r="P113" s="22" t="s">
        <v>85</v>
      </c>
      <c r="Q113" s="22" t="s">
        <v>60</v>
      </c>
      <c r="R113" s="25"/>
      <c r="S113" s="22" t="s">
        <v>85</v>
      </c>
      <c r="T113" s="22" t="s">
        <v>62</v>
      </c>
      <c r="U113" s="22" t="s">
        <v>63</v>
      </c>
      <c r="V113" s="22" t="s">
        <v>64</v>
      </c>
      <c r="W113" s="25"/>
      <c r="X113" s="35" t="s">
        <v>808</v>
      </c>
      <c r="Y113" s="22" t="s">
        <v>262</v>
      </c>
      <c r="Z113" s="22" t="s">
        <v>766</v>
      </c>
      <c r="AA113" s="22" t="s">
        <v>809</v>
      </c>
      <c r="AC113" s="22" t="s">
        <v>328</v>
      </c>
      <c r="AD113" s="27" t="s">
        <v>71</v>
      </c>
      <c r="AE113" s="22" t="s">
        <v>804</v>
      </c>
      <c r="AF113" s="62"/>
      <c r="AG113" s="34"/>
    </row>
    <row r="114" spans="1:33" ht="46.5">
      <c r="A114" s="51" t="s">
        <v>664</v>
      </c>
      <c r="B114" s="51" t="s">
        <v>815</v>
      </c>
      <c r="C114" s="22" t="s">
        <v>816</v>
      </c>
      <c r="D114" s="23" t="s">
        <v>817</v>
      </c>
      <c r="E114" s="22" t="s">
        <v>49</v>
      </c>
      <c r="F114" s="22" t="s">
        <v>50</v>
      </c>
      <c r="G114" s="22" t="s">
        <v>49</v>
      </c>
      <c r="H114" s="22" t="s">
        <v>126</v>
      </c>
      <c r="I114" s="22" t="s">
        <v>81</v>
      </c>
      <c r="J114" s="22" t="s">
        <v>53</v>
      </c>
      <c r="K114" s="22" t="s">
        <v>128</v>
      </c>
      <c r="L114" s="22" t="s">
        <v>53</v>
      </c>
      <c r="M114" s="22" t="s">
        <v>56</v>
      </c>
      <c r="N114" s="22" t="s">
        <v>59</v>
      </c>
      <c r="O114" s="22" t="s">
        <v>84</v>
      </c>
      <c r="P114" s="56" t="s">
        <v>624</v>
      </c>
      <c r="Q114" s="22" t="s">
        <v>183</v>
      </c>
      <c r="R114" s="25"/>
      <c r="S114" s="22" t="s">
        <v>152</v>
      </c>
      <c r="T114" s="22" t="s">
        <v>62</v>
      </c>
      <c r="U114" s="22" t="s">
        <v>63</v>
      </c>
      <c r="V114" s="22" t="s">
        <v>64</v>
      </c>
      <c r="W114" s="25"/>
      <c r="X114" s="26" t="s">
        <v>818</v>
      </c>
      <c r="Y114" s="22" t="s">
        <v>271</v>
      </c>
      <c r="Z114" s="22" t="s">
        <v>785</v>
      </c>
      <c r="AA114" s="22" t="s">
        <v>819</v>
      </c>
      <c r="AC114" s="22" t="s">
        <v>328</v>
      </c>
      <c r="AD114" s="27" t="s">
        <v>71</v>
      </c>
      <c r="AE114" s="22" t="s">
        <v>804</v>
      </c>
      <c r="AF114" s="34"/>
      <c r="AG114" s="34"/>
    </row>
    <row r="115" spans="1:33" ht="46.5">
      <c r="A115" s="51" t="s">
        <v>664</v>
      </c>
      <c r="B115" s="51" t="s">
        <v>820</v>
      </c>
      <c r="C115" s="22" t="s">
        <v>821</v>
      </c>
      <c r="D115" s="49" t="s">
        <v>822</v>
      </c>
      <c r="E115" s="22" t="s">
        <v>49</v>
      </c>
      <c r="F115" s="22" t="s">
        <v>50</v>
      </c>
      <c r="G115" s="22" t="s">
        <v>79</v>
      </c>
      <c r="H115" s="22" t="s">
        <v>126</v>
      </c>
      <c r="I115" s="22" t="s">
        <v>81</v>
      </c>
      <c r="J115" s="22" t="s">
        <v>53</v>
      </c>
      <c r="K115" s="22" t="s">
        <v>54</v>
      </c>
      <c r="L115" s="22" t="s">
        <v>53</v>
      </c>
      <c r="M115" s="22" t="s">
        <v>56</v>
      </c>
      <c r="N115" s="22" t="s">
        <v>59</v>
      </c>
      <c r="O115" s="22" t="s">
        <v>84</v>
      </c>
      <c r="P115" s="22" t="s">
        <v>85</v>
      </c>
      <c r="Q115" s="22" t="s">
        <v>153</v>
      </c>
      <c r="R115" s="25"/>
      <c r="S115" s="22" t="s">
        <v>85</v>
      </c>
      <c r="T115" s="22" t="s">
        <v>62</v>
      </c>
      <c r="U115" s="22" t="s">
        <v>63</v>
      </c>
      <c r="V115" s="22" t="s">
        <v>64</v>
      </c>
      <c r="W115" s="25"/>
      <c r="X115" s="26" t="s">
        <v>823</v>
      </c>
      <c r="Y115" s="22" t="s">
        <v>824</v>
      </c>
      <c r="Z115" s="22" t="s">
        <v>825</v>
      </c>
      <c r="AA115" s="22" t="s">
        <v>826</v>
      </c>
      <c r="AC115" s="22" t="s">
        <v>328</v>
      </c>
      <c r="AD115" s="27" t="s">
        <v>71</v>
      </c>
      <c r="AE115" s="22" t="s">
        <v>804</v>
      </c>
      <c r="AF115" s="34"/>
      <c r="AG115" s="34"/>
    </row>
    <row r="116" spans="1:33" ht="62">
      <c r="A116" s="51" t="s">
        <v>664</v>
      </c>
      <c r="B116" s="51" t="s">
        <v>827</v>
      </c>
      <c r="C116" s="22" t="s">
        <v>828</v>
      </c>
      <c r="D116" s="49" t="s">
        <v>829</v>
      </c>
      <c r="E116" s="22" t="s">
        <v>49</v>
      </c>
      <c r="F116" s="22" t="s">
        <v>78</v>
      </c>
      <c r="G116" s="22" t="s">
        <v>79</v>
      </c>
      <c r="H116" s="22" t="s">
        <v>80</v>
      </c>
      <c r="I116" s="22" t="s">
        <v>81</v>
      </c>
      <c r="J116" s="22" t="s">
        <v>53</v>
      </c>
      <c r="K116" s="7" t="s">
        <v>128</v>
      </c>
      <c r="L116" s="22" t="s">
        <v>53</v>
      </c>
      <c r="M116" s="22" t="s">
        <v>83</v>
      </c>
      <c r="N116" s="22" t="s">
        <v>59</v>
      </c>
      <c r="O116" s="22" t="s">
        <v>84</v>
      </c>
      <c r="P116" s="22" t="s">
        <v>194</v>
      </c>
      <c r="Q116" s="22" t="s">
        <v>86</v>
      </c>
      <c r="R116" s="22" t="s">
        <v>60</v>
      </c>
      <c r="S116" s="22" t="s">
        <v>388</v>
      </c>
      <c r="T116" s="22" t="s">
        <v>62</v>
      </c>
      <c r="U116" s="22" t="s">
        <v>63</v>
      </c>
      <c r="V116" s="22" t="s">
        <v>64</v>
      </c>
      <c r="W116" s="25"/>
      <c r="X116" s="35" t="s">
        <v>560</v>
      </c>
      <c r="Y116" s="22" t="s">
        <v>146</v>
      </c>
      <c r="Z116" s="22" t="s">
        <v>556</v>
      </c>
      <c r="AA116" s="22" t="s">
        <v>830</v>
      </c>
      <c r="AC116" s="22" t="s">
        <v>475</v>
      </c>
      <c r="AD116" s="27" t="s">
        <v>71</v>
      </c>
      <c r="AE116" s="22" t="s">
        <v>804</v>
      </c>
      <c r="AF116" s="34"/>
      <c r="AG116" s="34"/>
    </row>
    <row r="117" spans="1:33" ht="31">
      <c r="A117" s="51" t="s">
        <v>664</v>
      </c>
      <c r="B117" s="51" t="s">
        <v>831</v>
      </c>
      <c r="C117" s="22" t="s">
        <v>832</v>
      </c>
      <c r="D117" s="49" t="s">
        <v>833</v>
      </c>
      <c r="E117" s="22" t="s">
        <v>49</v>
      </c>
      <c r="F117" s="22" t="s">
        <v>50</v>
      </c>
      <c r="G117" s="22" t="s">
        <v>49</v>
      </c>
      <c r="H117" s="22" t="s">
        <v>51</v>
      </c>
      <c r="I117" s="22" t="s">
        <v>307</v>
      </c>
      <c r="J117" s="22" t="s">
        <v>53</v>
      </c>
      <c r="K117" s="22" t="s">
        <v>82</v>
      </c>
      <c r="L117" s="22" t="s">
        <v>55</v>
      </c>
      <c r="M117" s="22" t="s">
        <v>83</v>
      </c>
      <c r="N117" s="22" t="s">
        <v>348</v>
      </c>
      <c r="O117" s="22" t="s">
        <v>457</v>
      </c>
      <c r="P117" s="22" t="s">
        <v>348</v>
      </c>
      <c r="Q117" s="22" t="s">
        <v>63</v>
      </c>
      <c r="R117" s="25"/>
      <c r="S117" s="22" t="s">
        <v>294</v>
      </c>
      <c r="T117" s="22" t="s">
        <v>62</v>
      </c>
      <c r="U117" s="22" t="s">
        <v>63</v>
      </c>
      <c r="V117" s="22" t="s">
        <v>64</v>
      </c>
      <c r="W117" s="25"/>
      <c r="X117" s="35" t="s">
        <v>543</v>
      </c>
      <c r="Y117" s="22" t="s">
        <v>496</v>
      </c>
      <c r="Z117" s="22" t="s">
        <v>468</v>
      </c>
      <c r="AA117" s="22" t="s">
        <v>834</v>
      </c>
      <c r="AC117" s="22" t="s">
        <v>475</v>
      </c>
      <c r="AD117" s="27" t="s">
        <v>71</v>
      </c>
      <c r="AE117" s="22" t="s">
        <v>804</v>
      </c>
      <c r="AF117" s="34"/>
      <c r="AG117" s="34"/>
    </row>
    <row r="118" spans="1:33" ht="31">
      <c r="A118" s="51" t="s">
        <v>664</v>
      </c>
      <c r="B118" s="51" t="s">
        <v>835</v>
      </c>
      <c r="C118" s="22" t="s">
        <v>836</v>
      </c>
      <c r="D118" s="49" t="s">
        <v>837</v>
      </c>
      <c r="E118" s="22" t="s">
        <v>49</v>
      </c>
      <c r="F118" s="22" t="s">
        <v>50</v>
      </c>
      <c r="G118" s="22" t="s">
        <v>49</v>
      </c>
      <c r="H118" s="22" t="s">
        <v>169</v>
      </c>
      <c r="I118" s="22" t="s">
        <v>307</v>
      </c>
      <c r="J118" s="22" t="s">
        <v>53</v>
      </c>
      <c r="K118" s="22" t="s">
        <v>170</v>
      </c>
      <c r="L118" s="22" t="s">
        <v>53</v>
      </c>
      <c r="M118" s="22" t="s">
        <v>83</v>
      </c>
      <c r="N118" s="22" t="s">
        <v>348</v>
      </c>
      <c r="O118" s="22" t="s">
        <v>84</v>
      </c>
      <c r="P118" s="22" t="s">
        <v>59</v>
      </c>
      <c r="Q118" s="22" t="s">
        <v>153</v>
      </c>
      <c r="R118" s="25"/>
      <c r="S118" s="22" t="s">
        <v>61</v>
      </c>
      <c r="T118" s="22" t="s">
        <v>62</v>
      </c>
      <c r="U118" s="22" t="s">
        <v>63</v>
      </c>
      <c r="V118" s="22" t="s">
        <v>64</v>
      </c>
      <c r="W118" s="25"/>
      <c r="X118" s="35" t="s">
        <v>654</v>
      </c>
      <c r="Y118" s="22" t="s">
        <v>131</v>
      </c>
      <c r="Z118" s="22" t="s">
        <v>838</v>
      </c>
      <c r="AA118" s="22" t="s">
        <v>655</v>
      </c>
      <c r="AC118" s="22" t="s">
        <v>475</v>
      </c>
      <c r="AD118" s="27" t="s">
        <v>71</v>
      </c>
      <c r="AE118" s="22" t="s">
        <v>804</v>
      </c>
      <c r="AF118" s="34"/>
      <c r="AG118" s="34"/>
    </row>
    <row r="119" spans="1:33" ht="31">
      <c r="A119" s="51" t="s">
        <v>664</v>
      </c>
      <c r="B119" s="51" t="s">
        <v>839</v>
      </c>
      <c r="C119" s="22" t="s">
        <v>840</v>
      </c>
      <c r="D119" s="49" t="s">
        <v>841</v>
      </c>
      <c r="E119" s="22" t="s">
        <v>49</v>
      </c>
      <c r="F119" s="22" t="s">
        <v>95</v>
      </c>
      <c r="G119" s="22" t="s">
        <v>49</v>
      </c>
      <c r="H119" s="22" t="s">
        <v>126</v>
      </c>
      <c r="I119" s="22" t="s">
        <v>52</v>
      </c>
      <c r="J119" s="22" t="s">
        <v>53</v>
      </c>
      <c r="K119" s="7" t="s">
        <v>144</v>
      </c>
      <c r="L119" s="22" t="s">
        <v>55</v>
      </c>
      <c r="M119" s="22" t="s">
        <v>83</v>
      </c>
      <c r="N119" s="22" t="s">
        <v>57</v>
      </c>
      <c r="O119" s="22" t="s">
        <v>84</v>
      </c>
      <c r="P119" s="22" t="s">
        <v>57</v>
      </c>
      <c r="Q119" s="22" t="s">
        <v>183</v>
      </c>
      <c r="R119" s="25"/>
      <c r="S119" s="22" t="s">
        <v>61</v>
      </c>
      <c r="T119" s="22" t="s">
        <v>62</v>
      </c>
      <c r="U119" s="22" t="s">
        <v>63</v>
      </c>
      <c r="V119" s="22" t="s">
        <v>64</v>
      </c>
      <c r="W119" s="25"/>
      <c r="X119" s="35" t="s">
        <v>842</v>
      </c>
      <c r="Y119" s="22" t="s">
        <v>120</v>
      </c>
      <c r="Z119" s="22" t="s">
        <v>843</v>
      </c>
      <c r="AA119" s="22" t="s">
        <v>844</v>
      </c>
      <c r="AC119" s="22" t="s">
        <v>475</v>
      </c>
      <c r="AD119" s="27" t="s">
        <v>71</v>
      </c>
      <c r="AE119" s="22" t="s">
        <v>804</v>
      </c>
      <c r="AF119" s="34"/>
      <c r="AG119" s="34"/>
    </row>
    <row r="120" spans="1:33" ht="62">
      <c r="A120" s="51" t="s">
        <v>664</v>
      </c>
      <c r="B120" s="51" t="s">
        <v>845</v>
      </c>
      <c r="C120" s="22" t="s">
        <v>846</v>
      </c>
      <c r="D120" s="49" t="s">
        <v>847</v>
      </c>
      <c r="E120" s="22" t="s">
        <v>49</v>
      </c>
      <c r="F120" s="22" t="s">
        <v>78</v>
      </c>
      <c r="G120" s="22" t="s">
        <v>79</v>
      </c>
      <c r="H120" s="22" t="s">
        <v>80</v>
      </c>
      <c r="I120" s="22" t="s">
        <v>81</v>
      </c>
      <c r="J120" s="22" t="s">
        <v>53</v>
      </c>
      <c r="K120" s="22" t="s">
        <v>128</v>
      </c>
      <c r="L120" s="22" t="s">
        <v>53</v>
      </c>
      <c r="M120" s="22" t="s">
        <v>83</v>
      </c>
      <c r="N120" s="22" t="s">
        <v>59</v>
      </c>
      <c r="O120" s="22" t="s">
        <v>84</v>
      </c>
      <c r="P120" s="22" t="s">
        <v>194</v>
      </c>
      <c r="Q120" s="22" t="s">
        <v>86</v>
      </c>
      <c r="R120" s="22" t="s">
        <v>60</v>
      </c>
      <c r="S120" s="22" t="s">
        <v>388</v>
      </c>
      <c r="T120" s="22" t="s">
        <v>62</v>
      </c>
      <c r="U120" s="22" t="s">
        <v>63</v>
      </c>
      <c r="V120" s="22" t="s">
        <v>64</v>
      </c>
      <c r="W120" s="25"/>
      <c r="X120" s="35" t="s">
        <v>560</v>
      </c>
      <c r="Y120" s="22" t="s">
        <v>146</v>
      </c>
      <c r="Z120" s="22" t="s">
        <v>556</v>
      </c>
      <c r="AA120" s="22" t="s">
        <v>830</v>
      </c>
      <c r="AC120" s="22" t="s">
        <v>475</v>
      </c>
      <c r="AD120" s="27" t="s">
        <v>71</v>
      </c>
      <c r="AE120" s="22" t="s">
        <v>804</v>
      </c>
      <c r="AF120" s="34"/>
      <c r="AG120" s="34"/>
    </row>
    <row r="121" spans="1:33" ht="62">
      <c r="A121" s="51" t="s">
        <v>664</v>
      </c>
      <c r="B121" s="51" t="s">
        <v>848</v>
      </c>
      <c r="C121" s="22" t="s">
        <v>849</v>
      </c>
      <c r="D121" s="49" t="s">
        <v>850</v>
      </c>
      <c r="E121" s="22" t="s">
        <v>49</v>
      </c>
      <c r="F121" s="22" t="s">
        <v>95</v>
      </c>
      <c r="G121" s="22" t="s">
        <v>49</v>
      </c>
      <c r="H121" s="22" t="s">
        <v>126</v>
      </c>
      <c r="I121" s="22" t="s">
        <v>81</v>
      </c>
      <c r="J121" s="22" t="s">
        <v>53</v>
      </c>
      <c r="K121" s="22" t="s">
        <v>144</v>
      </c>
      <c r="L121" s="22" t="s">
        <v>53</v>
      </c>
      <c r="M121" s="22" t="s">
        <v>83</v>
      </c>
      <c r="N121" s="22" t="s">
        <v>59</v>
      </c>
      <c r="O121" s="22" t="s">
        <v>84</v>
      </c>
      <c r="P121" s="22" t="s">
        <v>85</v>
      </c>
      <c r="Q121" s="22" t="s">
        <v>153</v>
      </c>
      <c r="R121" s="22" t="s">
        <v>183</v>
      </c>
      <c r="S121" s="22" t="s">
        <v>85</v>
      </c>
      <c r="T121" s="22" t="s">
        <v>62</v>
      </c>
      <c r="U121" s="22" t="s">
        <v>63</v>
      </c>
      <c r="V121" s="22" t="s">
        <v>118</v>
      </c>
      <c r="W121" s="25"/>
      <c r="X121" s="35" t="s">
        <v>654</v>
      </c>
      <c r="Y121" s="22" t="s">
        <v>184</v>
      </c>
      <c r="Z121" s="22" t="s">
        <v>851</v>
      </c>
      <c r="AA121" s="22" t="s">
        <v>852</v>
      </c>
      <c r="AC121" s="22" t="s">
        <v>475</v>
      </c>
      <c r="AD121" s="27" t="s">
        <v>71</v>
      </c>
      <c r="AE121" s="22" t="s">
        <v>804</v>
      </c>
      <c r="AF121" s="34"/>
      <c r="AG121" s="34"/>
    </row>
    <row r="122" spans="1:33" ht="77.5">
      <c r="A122" s="51" t="s">
        <v>664</v>
      </c>
      <c r="B122" s="51" t="s">
        <v>853</v>
      </c>
      <c r="C122" s="24" t="s">
        <v>854</v>
      </c>
      <c r="D122" s="49" t="s">
        <v>855</v>
      </c>
      <c r="E122" s="22" t="s">
        <v>49</v>
      </c>
      <c r="F122" s="22" t="s">
        <v>95</v>
      </c>
      <c r="G122" s="22" t="s">
        <v>49</v>
      </c>
      <c r="H122" s="22" t="s">
        <v>126</v>
      </c>
      <c r="I122" s="22" t="s">
        <v>52</v>
      </c>
      <c r="J122" s="22" t="s">
        <v>53</v>
      </c>
      <c r="K122" s="24" t="s">
        <v>856</v>
      </c>
      <c r="L122" s="24" t="s">
        <v>55</v>
      </c>
      <c r="M122" s="22" t="s">
        <v>83</v>
      </c>
      <c r="N122" s="22" t="s">
        <v>59</v>
      </c>
      <c r="O122" s="22" t="s">
        <v>84</v>
      </c>
      <c r="P122" s="22" t="s">
        <v>348</v>
      </c>
      <c r="Q122" s="24" t="s">
        <v>60</v>
      </c>
      <c r="R122" s="24" t="s">
        <v>857</v>
      </c>
      <c r="S122" s="22" t="s">
        <v>61</v>
      </c>
      <c r="T122" s="22" t="s">
        <v>62</v>
      </c>
      <c r="U122" s="22" t="s">
        <v>63</v>
      </c>
      <c r="V122" s="22" t="s">
        <v>64</v>
      </c>
      <c r="W122" s="25"/>
      <c r="X122" s="35" t="s">
        <v>842</v>
      </c>
      <c r="Y122" s="22" t="s">
        <v>231</v>
      </c>
      <c r="Z122" s="22" t="s">
        <v>858</v>
      </c>
      <c r="AA122" s="22" t="s">
        <v>556</v>
      </c>
      <c r="AC122" s="22" t="s">
        <v>475</v>
      </c>
      <c r="AD122" s="63" t="s">
        <v>71</v>
      </c>
      <c r="AE122" s="22" t="s">
        <v>859</v>
      </c>
      <c r="AF122" s="30" t="s">
        <v>860</v>
      </c>
      <c r="AG122" s="33" t="s">
        <v>352</v>
      </c>
    </row>
    <row r="123" spans="1:33" ht="46.5">
      <c r="A123" s="51" t="s">
        <v>664</v>
      </c>
      <c r="B123" s="51" t="s">
        <v>861</v>
      </c>
      <c r="C123" s="24" t="s">
        <v>862</v>
      </c>
      <c r="D123" s="49" t="s">
        <v>863</v>
      </c>
      <c r="E123" s="22" t="s">
        <v>49</v>
      </c>
      <c r="F123" s="22" t="s">
        <v>50</v>
      </c>
      <c r="G123" s="22" t="s">
        <v>49</v>
      </c>
      <c r="H123" s="22" t="s">
        <v>126</v>
      </c>
      <c r="I123" s="22" t="s">
        <v>81</v>
      </c>
      <c r="J123" s="22" t="s">
        <v>107</v>
      </c>
      <c r="K123" s="22" t="s">
        <v>144</v>
      </c>
      <c r="L123" s="22" t="s">
        <v>53</v>
      </c>
      <c r="M123" s="22" t="s">
        <v>83</v>
      </c>
      <c r="N123" s="22" t="s">
        <v>59</v>
      </c>
      <c r="O123" s="22" t="s">
        <v>58</v>
      </c>
      <c r="P123" s="22" t="s">
        <v>85</v>
      </c>
      <c r="Q123" s="22" t="s">
        <v>60</v>
      </c>
      <c r="R123" s="25"/>
      <c r="S123" s="22" t="s">
        <v>85</v>
      </c>
      <c r="T123" s="22" t="s">
        <v>62</v>
      </c>
      <c r="U123" s="22" t="s">
        <v>63</v>
      </c>
      <c r="V123" s="22" t="s">
        <v>64</v>
      </c>
      <c r="W123" s="25"/>
      <c r="X123" s="35" t="s">
        <v>864</v>
      </c>
      <c r="Y123" s="22" t="s">
        <v>89</v>
      </c>
      <c r="Z123" s="22" t="s">
        <v>865</v>
      </c>
      <c r="AA123" s="22" t="s">
        <v>866</v>
      </c>
      <c r="AC123" s="22" t="s">
        <v>475</v>
      </c>
      <c r="AD123" s="63" t="s">
        <v>71</v>
      </c>
      <c r="AE123" s="22" t="s">
        <v>859</v>
      </c>
      <c r="AF123" s="30" t="s">
        <v>867</v>
      </c>
      <c r="AG123" s="40" t="s">
        <v>352</v>
      </c>
    </row>
    <row r="124" spans="1:33" ht="46.5">
      <c r="A124" s="51" t="s">
        <v>664</v>
      </c>
      <c r="B124" s="51" t="s">
        <v>868</v>
      </c>
      <c r="C124" s="24" t="s">
        <v>869</v>
      </c>
      <c r="D124" s="49" t="s">
        <v>870</v>
      </c>
      <c r="E124" s="22" t="s">
        <v>49</v>
      </c>
      <c r="F124" s="22" t="s">
        <v>95</v>
      </c>
      <c r="G124" s="22" t="s">
        <v>49</v>
      </c>
      <c r="H124" s="22" t="s">
        <v>126</v>
      </c>
      <c r="I124" s="22" t="s">
        <v>81</v>
      </c>
      <c r="J124" s="22" t="s">
        <v>107</v>
      </c>
      <c r="K124" s="22" t="s">
        <v>144</v>
      </c>
      <c r="L124" s="22" t="s">
        <v>53</v>
      </c>
      <c r="M124" s="22" t="s">
        <v>83</v>
      </c>
      <c r="N124" s="22" t="s">
        <v>59</v>
      </c>
      <c r="O124" s="22" t="s">
        <v>84</v>
      </c>
      <c r="P124" s="22" t="s">
        <v>348</v>
      </c>
      <c r="Q124" s="22" t="s">
        <v>60</v>
      </c>
      <c r="R124" s="25"/>
      <c r="S124" s="22" t="s">
        <v>61</v>
      </c>
      <c r="T124" s="22" t="s">
        <v>62</v>
      </c>
      <c r="U124" s="22" t="s">
        <v>63</v>
      </c>
      <c r="V124" s="22" t="s">
        <v>64</v>
      </c>
      <c r="W124" s="25"/>
      <c r="X124" s="26" t="s">
        <v>555</v>
      </c>
      <c r="Y124" s="22" t="s">
        <v>277</v>
      </c>
      <c r="Z124" s="22" t="s">
        <v>284</v>
      </c>
      <c r="AA124" s="22" t="s">
        <v>739</v>
      </c>
      <c r="AC124" s="22" t="s">
        <v>475</v>
      </c>
      <c r="AD124" s="63" t="s">
        <v>71</v>
      </c>
      <c r="AE124" s="22" t="s">
        <v>859</v>
      </c>
      <c r="AF124" s="30" t="s">
        <v>871</v>
      </c>
      <c r="AG124" s="40" t="s">
        <v>352</v>
      </c>
    </row>
    <row r="125" spans="1:33" ht="46.5">
      <c r="A125" s="51" t="s">
        <v>664</v>
      </c>
      <c r="B125" s="51" t="s">
        <v>872</v>
      </c>
      <c r="C125" s="24" t="s">
        <v>873</v>
      </c>
      <c r="D125" s="49" t="s">
        <v>874</v>
      </c>
      <c r="E125" s="22" t="s">
        <v>49</v>
      </c>
      <c r="F125" s="22" t="s">
        <v>50</v>
      </c>
      <c r="G125" s="22" t="s">
        <v>79</v>
      </c>
      <c r="H125" s="22" t="s">
        <v>126</v>
      </c>
      <c r="I125" s="22" t="s">
        <v>81</v>
      </c>
      <c r="J125" s="22" t="s">
        <v>107</v>
      </c>
      <c r="K125" s="22" t="s">
        <v>144</v>
      </c>
      <c r="L125" s="22" t="s">
        <v>53</v>
      </c>
      <c r="M125" s="22" t="s">
        <v>83</v>
      </c>
      <c r="N125" s="22" t="s">
        <v>59</v>
      </c>
      <c r="O125" s="22" t="s">
        <v>84</v>
      </c>
      <c r="P125" s="22" t="s">
        <v>348</v>
      </c>
      <c r="Q125" s="22" t="s">
        <v>60</v>
      </c>
      <c r="R125" s="25"/>
      <c r="S125" s="22" t="s">
        <v>388</v>
      </c>
      <c r="T125" s="22" t="s">
        <v>62</v>
      </c>
      <c r="U125" s="22" t="s">
        <v>63</v>
      </c>
      <c r="V125" s="22" t="s">
        <v>64</v>
      </c>
      <c r="W125" s="25"/>
      <c r="X125" s="35" t="s">
        <v>875</v>
      </c>
      <c r="Y125" s="22" t="s">
        <v>876</v>
      </c>
      <c r="Z125" s="22" t="s">
        <v>877</v>
      </c>
      <c r="AA125" s="22" t="s">
        <v>878</v>
      </c>
      <c r="AC125" s="22" t="s">
        <v>475</v>
      </c>
      <c r="AD125" s="63" t="s">
        <v>71</v>
      </c>
      <c r="AE125" s="22" t="s">
        <v>859</v>
      </c>
      <c r="AF125" s="30" t="s">
        <v>879</v>
      </c>
      <c r="AG125" s="40" t="s">
        <v>352</v>
      </c>
    </row>
    <row r="126" spans="1:33" ht="46.5">
      <c r="A126" s="51" t="s">
        <v>664</v>
      </c>
      <c r="B126" s="51" t="s">
        <v>880</v>
      </c>
      <c r="C126" s="64" t="s">
        <v>881</v>
      </c>
      <c r="D126" s="23" t="s">
        <v>882</v>
      </c>
      <c r="E126" s="22" t="s">
        <v>49</v>
      </c>
      <c r="F126" s="22" t="s">
        <v>618</v>
      </c>
      <c r="G126" s="22" t="s">
        <v>49</v>
      </c>
      <c r="H126" s="22" t="s">
        <v>51</v>
      </c>
      <c r="I126" s="22" t="s">
        <v>81</v>
      </c>
      <c r="J126" s="22" t="s">
        <v>53</v>
      </c>
      <c r="K126" s="22" t="s">
        <v>96</v>
      </c>
      <c r="L126" s="22" t="s">
        <v>53</v>
      </c>
      <c r="M126" s="22" t="s">
        <v>129</v>
      </c>
      <c r="N126" s="22" t="s">
        <v>59</v>
      </c>
      <c r="O126" s="22" t="s">
        <v>84</v>
      </c>
      <c r="P126" s="22" t="s">
        <v>137</v>
      </c>
      <c r="Q126" s="22" t="s">
        <v>60</v>
      </c>
      <c r="R126" s="25"/>
      <c r="S126" s="22" t="s">
        <v>85</v>
      </c>
      <c r="T126" s="22" t="s">
        <v>62</v>
      </c>
      <c r="U126" s="22" t="s">
        <v>63</v>
      </c>
      <c r="V126" s="22" t="s">
        <v>172</v>
      </c>
      <c r="W126" s="25"/>
      <c r="X126" s="35" t="s">
        <v>875</v>
      </c>
      <c r="Y126" s="22" t="s">
        <v>184</v>
      </c>
      <c r="Z126" s="22" t="s">
        <v>174</v>
      </c>
      <c r="AA126" s="22" t="s">
        <v>533</v>
      </c>
      <c r="AC126" s="22" t="s">
        <v>265</v>
      </c>
      <c r="AD126" s="27" t="s">
        <v>71</v>
      </c>
      <c r="AE126" s="22" t="s">
        <v>859</v>
      </c>
      <c r="AF126" s="65" t="s">
        <v>883</v>
      </c>
      <c r="AG126" s="66" t="s">
        <v>884</v>
      </c>
    </row>
    <row r="127" spans="1:33" ht="46.5">
      <c r="A127" s="51" t="s">
        <v>664</v>
      </c>
      <c r="B127" s="51" t="s">
        <v>885</v>
      </c>
      <c r="C127" s="64" t="s">
        <v>886</v>
      </c>
      <c r="D127" s="23" t="s">
        <v>887</v>
      </c>
      <c r="E127" s="22" t="s">
        <v>53</v>
      </c>
      <c r="F127" s="22" t="s">
        <v>269</v>
      </c>
      <c r="G127" s="22" t="s">
        <v>49</v>
      </c>
      <c r="H127" s="22" t="s">
        <v>126</v>
      </c>
      <c r="I127" s="22" t="s">
        <v>81</v>
      </c>
      <c r="J127" s="22" t="s">
        <v>53</v>
      </c>
      <c r="K127" s="22" t="s">
        <v>144</v>
      </c>
      <c r="L127" s="22" t="s">
        <v>53</v>
      </c>
      <c r="M127" s="22" t="s">
        <v>83</v>
      </c>
      <c r="N127" s="22" t="s">
        <v>59</v>
      </c>
      <c r="O127" s="22" t="s">
        <v>84</v>
      </c>
      <c r="P127" s="22" t="s">
        <v>194</v>
      </c>
      <c r="Q127" s="22" t="s">
        <v>183</v>
      </c>
      <c r="R127" s="22" t="s">
        <v>60</v>
      </c>
      <c r="S127" s="22" t="s">
        <v>85</v>
      </c>
      <c r="T127" s="22" t="s">
        <v>62</v>
      </c>
      <c r="U127" s="22" t="s">
        <v>63</v>
      </c>
      <c r="V127" s="22" t="s">
        <v>64</v>
      </c>
      <c r="W127" s="25"/>
      <c r="X127" s="26" t="s">
        <v>875</v>
      </c>
      <c r="Y127" s="22" t="s">
        <v>204</v>
      </c>
      <c r="Z127" s="22" t="s">
        <v>888</v>
      </c>
      <c r="AA127" s="22" t="s">
        <v>68</v>
      </c>
      <c r="AC127" s="22" t="s">
        <v>265</v>
      </c>
      <c r="AD127" s="27" t="s">
        <v>71</v>
      </c>
      <c r="AE127" s="22" t="s">
        <v>859</v>
      </c>
      <c r="AF127" s="65" t="s">
        <v>889</v>
      </c>
      <c r="AG127" s="66" t="s">
        <v>890</v>
      </c>
    </row>
    <row r="128" spans="1:33" ht="31">
      <c r="A128" s="51" t="s">
        <v>664</v>
      </c>
      <c r="B128" s="51" t="s">
        <v>891</v>
      </c>
      <c r="C128" s="24" t="s">
        <v>892</v>
      </c>
      <c r="D128" s="23" t="s">
        <v>893</v>
      </c>
      <c r="E128" s="22" t="s">
        <v>49</v>
      </c>
      <c r="F128" s="22" t="s">
        <v>95</v>
      </c>
      <c r="G128" s="22" t="s">
        <v>49</v>
      </c>
      <c r="H128" s="22" t="s">
        <v>126</v>
      </c>
      <c r="I128" s="22" t="s">
        <v>81</v>
      </c>
      <c r="J128" s="22" t="s">
        <v>53</v>
      </c>
      <c r="K128" s="22" t="s">
        <v>128</v>
      </c>
      <c r="L128" s="22" t="s">
        <v>53</v>
      </c>
      <c r="M128" s="22" t="s">
        <v>129</v>
      </c>
      <c r="N128" s="22" t="s">
        <v>59</v>
      </c>
      <c r="O128" s="22" t="s">
        <v>84</v>
      </c>
      <c r="P128" s="22" t="s">
        <v>194</v>
      </c>
      <c r="Q128" s="22" t="s">
        <v>203</v>
      </c>
      <c r="R128" s="25"/>
      <c r="S128" s="22" t="s">
        <v>388</v>
      </c>
      <c r="T128" s="22" t="s">
        <v>62</v>
      </c>
      <c r="U128" s="22" t="s">
        <v>63</v>
      </c>
      <c r="V128" s="22" t="s">
        <v>64</v>
      </c>
      <c r="W128" s="25"/>
      <c r="X128" s="26" t="s">
        <v>875</v>
      </c>
      <c r="Y128" s="22" t="s">
        <v>89</v>
      </c>
      <c r="Z128" s="22" t="s">
        <v>894</v>
      </c>
      <c r="AA128" s="22" t="s">
        <v>895</v>
      </c>
      <c r="AC128" s="22" t="s">
        <v>265</v>
      </c>
      <c r="AD128" s="27" t="s">
        <v>71</v>
      </c>
      <c r="AE128" s="22" t="s">
        <v>859</v>
      </c>
      <c r="AF128" s="65" t="s">
        <v>896</v>
      </c>
      <c r="AG128" s="33" t="s">
        <v>352</v>
      </c>
    </row>
    <row r="129" spans="1:33" ht="108.5">
      <c r="A129" s="51" t="s">
        <v>664</v>
      </c>
      <c r="B129" s="51" t="s">
        <v>897</v>
      </c>
      <c r="C129" s="24" t="s">
        <v>898</v>
      </c>
      <c r="D129" s="23" t="s">
        <v>899</v>
      </c>
      <c r="E129" s="22" t="s">
        <v>79</v>
      </c>
      <c r="F129" s="22" t="s">
        <v>78</v>
      </c>
      <c r="G129" s="22" t="s">
        <v>79</v>
      </c>
      <c r="H129" s="22" t="s">
        <v>192</v>
      </c>
      <c r="I129" s="22" t="s">
        <v>81</v>
      </c>
      <c r="J129" s="22" t="s">
        <v>501</v>
      </c>
      <c r="K129" s="22" t="s">
        <v>182</v>
      </c>
      <c r="L129" s="22" t="s">
        <v>53</v>
      </c>
      <c r="M129" s="22" t="s">
        <v>129</v>
      </c>
      <c r="N129" s="22" t="s">
        <v>59</v>
      </c>
      <c r="O129" s="22" t="s">
        <v>84</v>
      </c>
      <c r="P129" s="22" t="s">
        <v>85</v>
      </c>
      <c r="Q129" s="22" t="s">
        <v>60</v>
      </c>
      <c r="R129" s="25"/>
      <c r="S129" s="22" t="s">
        <v>85</v>
      </c>
      <c r="T129" s="22" t="s">
        <v>62</v>
      </c>
      <c r="U129" s="22" t="s">
        <v>63</v>
      </c>
      <c r="V129" s="22" t="s">
        <v>64</v>
      </c>
      <c r="W129" s="25"/>
      <c r="X129" s="26" t="s">
        <v>875</v>
      </c>
      <c r="Y129" s="22" t="s">
        <v>525</v>
      </c>
      <c r="Z129" s="22" t="s">
        <v>122</v>
      </c>
      <c r="AA129" s="22" t="s">
        <v>900</v>
      </c>
      <c r="AC129" s="22" t="s">
        <v>265</v>
      </c>
      <c r="AD129" s="27" t="s">
        <v>71</v>
      </c>
      <c r="AE129" s="22" t="s">
        <v>859</v>
      </c>
      <c r="AF129" s="65" t="s">
        <v>901</v>
      </c>
      <c r="AG129" s="33" t="s">
        <v>902</v>
      </c>
    </row>
    <row r="130" spans="1:33" ht="46.5">
      <c r="A130" s="51" t="s">
        <v>664</v>
      </c>
      <c r="B130" s="51" t="s">
        <v>903</v>
      </c>
      <c r="C130" s="22" t="s">
        <v>904</v>
      </c>
      <c r="D130" s="23" t="s">
        <v>905</v>
      </c>
      <c r="E130" s="22" t="s">
        <v>49</v>
      </c>
      <c r="F130" s="22" t="s">
        <v>50</v>
      </c>
      <c r="G130" s="22" t="s">
        <v>49</v>
      </c>
      <c r="H130" s="22" t="s">
        <v>80</v>
      </c>
      <c r="I130" s="22" t="s">
        <v>81</v>
      </c>
      <c r="J130" s="22" t="s">
        <v>501</v>
      </c>
      <c r="K130" s="22" t="s">
        <v>182</v>
      </c>
      <c r="L130" s="22" t="s">
        <v>53</v>
      </c>
      <c r="M130" s="22" t="s">
        <v>129</v>
      </c>
      <c r="N130" s="22" t="s">
        <v>59</v>
      </c>
      <c r="O130" s="22" t="s">
        <v>84</v>
      </c>
      <c r="P130" s="22" t="s">
        <v>194</v>
      </c>
      <c r="Q130" s="22" t="s">
        <v>183</v>
      </c>
      <c r="R130" s="25"/>
      <c r="S130" s="22" t="s">
        <v>85</v>
      </c>
      <c r="T130" s="22" t="s">
        <v>62</v>
      </c>
      <c r="U130" s="22" t="s">
        <v>63</v>
      </c>
      <c r="V130" s="22" t="s">
        <v>64</v>
      </c>
      <c r="W130" s="25"/>
      <c r="X130" s="26" t="s">
        <v>276</v>
      </c>
      <c r="Y130" s="22" t="s">
        <v>503</v>
      </c>
      <c r="Z130" s="22" t="s">
        <v>906</v>
      </c>
      <c r="AA130" s="22" t="s">
        <v>391</v>
      </c>
      <c r="AC130" s="22" t="s">
        <v>265</v>
      </c>
      <c r="AD130" s="27" t="s">
        <v>71</v>
      </c>
      <c r="AE130" s="22" t="s">
        <v>859</v>
      </c>
      <c r="AF130" s="30" t="s">
        <v>907</v>
      </c>
      <c r="AG130" s="66" t="s">
        <v>908</v>
      </c>
    </row>
    <row r="131" spans="1:33" ht="46.5">
      <c r="A131" s="51" t="s">
        <v>664</v>
      </c>
      <c r="B131" s="67" t="s">
        <v>909</v>
      </c>
      <c r="C131" s="22" t="s">
        <v>910</v>
      </c>
      <c r="D131" s="23" t="s">
        <v>911</v>
      </c>
      <c r="E131" s="22" t="s">
        <v>97</v>
      </c>
      <c r="F131" s="22" t="s">
        <v>50</v>
      </c>
      <c r="G131" s="22" t="s">
        <v>97</v>
      </c>
      <c r="H131" s="22" t="s">
        <v>192</v>
      </c>
      <c r="I131" s="22" t="s">
        <v>81</v>
      </c>
      <c r="J131" s="22" t="s">
        <v>53</v>
      </c>
      <c r="K131" s="22" t="s">
        <v>96</v>
      </c>
      <c r="L131" s="22" t="s">
        <v>53</v>
      </c>
      <c r="M131" s="22" t="s">
        <v>912</v>
      </c>
      <c r="N131" s="22" t="s">
        <v>59</v>
      </c>
      <c r="O131" s="22" t="s">
        <v>84</v>
      </c>
      <c r="P131" s="22" t="s">
        <v>52</v>
      </c>
      <c r="Q131" s="22" t="s">
        <v>183</v>
      </c>
      <c r="R131" s="25"/>
      <c r="S131" s="22" t="s">
        <v>85</v>
      </c>
      <c r="T131" s="22" t="s">
        <v>62</v>
      </c>
      <c r="U131" s="22" t="s">
        <v>63</v>
      </c>
      <c r="V131" s="22" t="s">
        <v>64</v>
      </c>
      <c r="W131" s="25"/>
      <c r="X131" s="35" t="s">
        <v>301</v>
      </c>
      <c r="Y131" s="22" t="s">
        <v>792</v>
      </c>
      <c r="Z131" s="22" t="s">
        <v>913</v>
      </c>
      <c r="AA131" s="22" t="s">
        <v>793</v>
      </c>
      <c r="AC131" s="22" t="s">
        <v>265</v>
      </c>
      <c r="AD131" s="27" t="s">
        <v>71</v>
      </c>
      <c r="AE131" s="22" t="s">
        <v>859</v>
      </c>
      <c r="AF131" s="34"/>
      <c r="AG131" s="34"/>
    </row>
    <row r="132" spans="1:33" ht="46.5">
      <c r="A132" s="51" t="s">
        <v>664</v>
      </c>
      <c r="B132" s="51" t="s">
        <v>914</v>
      </c>
      <c r="C132" s="22" t="s">
        <v>915</v>
      </c>
      <c r="D132" s="23" t="s">
        <v>916</v>
      </c>
      <c r="E132" s="22" t="s">
        <v>49</v>
      </c>
      <c r="F132" s="22" t="s">
        <v>50</v>
      </c>
      <c r="G132" s="22" t="s">
        <v>49</v>
      </c>
      <c r="H132" s="22" t="s">
        <v>192</v>
      </c>
      <c r="I132" s="24" t="s">
        <v>307</v>
      </c>
      <c r="J132" s="22" t="s">
        <v>53</v>
      </c>
      <c r="K132" s="22" t="s">
        <v>144</v>
      </c>
      <c r="L132" s="22" t="s">
        <v>53</v>
      </c>
      <c r="M132" s="22" t="s">
        <v>83</v>
      </c>
      <c r="N132" s="22" t="s">
        <v>59</v>
      </c>
      <c r="O132" s="22" t="s">
        <v>84</v>
      </c>
      <c r="P132" s="22" t="s">
        <v>57</v>
      </c>
      <c r="Q132" s="22" t="s">
        <v>60</v>
      </c>
      <c r="R132" s="25"/>
      <c r="S132" s="22" t="s">
        <v>61</v>
      </c>
      <c r="T132" s="22" t="s">
        <v>62</v>
      </c>
      <c r="U132" s="22" t="s">
        <v>63</v>
      </c>
      <c r="V132" s="22" t="s">
        <v>172</v>
      </c>
      <c r="W132" s="25"/>
      <c r="X132" s="35" t="s">
        <v>917</v>
      </c>
      <c r="Y132" s="22" t="s">
        <v>550</v>
      </c>
      <c r="Z132" s="22" t="s">
        <v>272</v>
      </c>
      <c r="AA132" s="22" t="s">
        <v>918</v>
      </c>
      <c r="AC132" s="22" t="s">
        <v>265</v>
      </c>
      <c r="AD132" s="27" t="s">
        <v>71</v>
      </c>
      <c r="AE132" s="22" t="s">
        <v>859</v>
      </c>
      <c r="AF132" s="30" t="s">
        <v>919</v>
      </c>
      <c r="AG132" s="33" t="s">
        <v>920</v>
      </c>
    </row>
    <row r="133" spans="1:33" ht="46.5">
      <c r="A133" s="51" t="s">
        <v>664</v>
      </c>
      <c r="B133" s="51" t="s">
        <v>921</v>
      </c>
      <c r="C133" s="22" t="s">
        <v>922</v>
      </c>
      <c r="D133" s="23" t="s">
        <v>923</v>
      </c>
      <c r="E133" s="22" t="s">
        <v>49</v>
      </c>
      <c r="F133" s="22" t="s">
        <v>50</v>
      </c>
      <c r="G133" s="22" t="s">
        <v>49</v>
      </c>
      <c r="H133" s="22" t="s">
        <v>192</v>
      </c>
      <c r="I133" s="22" t="s">
        <v>81</v>
      </c>
      <c r="J133" s="22" t="s">
        <v>53</v>
      </c>
      <c r="K133" s="22" t="s">
        <v>82</v>
      </c>
      <c r="L133" s="22" t="s">
        <v>53</v>
      </c>
      <c r="M133" s="22" t="s">
        <v>129</v>
      </c>
      <c r="N133" s="22" t="s">
        <v>59</v>
      </c>
      <c r="O133" s="22" t="s">
        <v>84</v>
      </c>
      <c r="P133" s="22" t="s">
        <v>85</v>
      </c>
      <c r="Q133" s="22" t="s">
        <v>60</v>
      </c>
      <c r="R133" s="25"/>
      <c r="S133" s="22" t="s">
        <v>85</v>
      </c>
      <c r="T133" s="22" t="s">
        <v>62</v>
      </c>
      <c r="U133" s="22" t="s">
        <v>63</v>
      </c>
      <c r="V133" s="22" t="s">
        <v>64</v>
      </c>
      <c r="W133" s="25"/>
      <c r="X133" s="35" t="s">
        <v>924</v>
      </c>
      <c r="Y133" s="22" t="s">
        <v>925</v>
      </c>
      <c r="Z133" s="22" t="s">
        <v>926</v>
      </c>
      <c r="AA133" s="22" t="s">
        <v>927</v>
      </c>
      <c r="AC133" s="22" t="s">
        <v>265</v>
      </c>
      <c r="AD133" s="27" t="s">
        <v>71</v>
      </c>
      <c r="AE133" s="22" t="s">
        <v>928</v>
      </c>
      <c r="AF133" s="34"/>
      <c r="AG133" s="34"/>
    </row>
    <row r="134" spans="1:33" ht="31">
      <c r="A134" s="51" t="s">
        <v>664</v>
      </c>
      <c r="B134" s="51" t="s">
        <v>929</v>
      </c>
      <c r="C134" s="22" t="s">
        <v>930</v>
      </c>
      <c r="D134" s="23" t="s">
        <v>931</v>
      </c>
      <c r="E134" s="22" t="s">
        <v>53</v>
      </c>
      <c r="F134" s="22" t="s">
        <v>269</v>
      </c>
      <c r="G134" s="22" t="s">
        <v>49</v>
      </c>
      <c r="H134" s="22" t="s">
        <v>51</v>
      </c>
      <c r="I134" s="22" t="s">
        <v>81</v>
      </c>
      <c r="J134" s="22" t="s">
        <v>53</v>
      </c>
      <c r="K134" s="22" t="s">
        <v>144</v>
      </c>
      <c r="L134" s="22" t="s">
        <v>53</v>
      </c>
      <c r="M134" s="22" t="s">
        <v>129</v>
      </c>
      <c r="N134" s="22" t="s">
        <v>59</v>
      </c>
      <c r="O134" s="22" t="s">
        <v>84</v>
      </c>
      <c r="P134" s="7" t="s">
        <v>59</v>
      </c>
      <c r="Q134" s="7" t="s">
        <v>183</v>
      </c>
      <c r="R134" s="45"/>
      <c r="S134" s="7" t="s">
        <v>294</v>
      </c>
      <c r="T134" s="22" t="s">
        <v>62</v>
      </c>
      <c r="U134" s="22" t="s">
        <v>63</v>
      </c>
      <c r="V134" s="22" t="s">
        <v>64</v>
      </c>
      <c r="W134" s="25"/>
      <c r="X134" s="35" t="s">
        <v>924</v>
      </c>
      <c r="Y134" s="22" t="s">
        <v>876</v>
      </c>
      <c r="Z134" s="22" t="s">
        <v>391</v>
      </c>
      <c r="AA134" s="22" t="s">
        <v>932</v>
      </c>
      <c r="AC134" s="22" t="s">
        <v>265</v>
      </c>
      <c r="AD134" s="27" t="s">
        <v>71</v>
      </c>
      <c r="AE134" s="22" t="s">
        <v>928</v>
      </c>
      <c r="AF134" s="34"/>
      <c r="AG134" s="34"/>
    </row>
    <row r="135" spans="1:33" ht="31">
      <c r="A135" s="51" t="s">
        <v>664</v>
      </c>
      <c r="B135" s="51" t="s">
        <v>933</v>
      </c>
      <c r="C135" s="22" t="s">
        <v>934</v>
      </c>
      <c r="D135" s="23" t="s">
        <v>935</v>
      </c>
      <c r="E135" s="22" t="s">
        <v>49</v>
      </c>
      <c r="F135" s="22" t="s">
        <v>50</v>
      </c>
      <c r="G135" s="22" t="s">
        <v>49</v>
      </c>
      <c r="H135" s="22" t="s">
        <v>51</v>
      </c>
      <c r="I135" s="22" t="s">
        <v>81</v>
      </c>
      <c r="J135" s="22" t="s">
        <v>53</v>
      </c>
      <c r="K135" s="22" t="s">
        <v>82</v>
      </c>
      <c r="L135" s="22" t="s">
        <v>53</v>
      </c>
      <c r="M135" s="22" t="s">
        <v>56</v>
      </c>
      <c r="N135" s="22" t="s">
        <v>59</v>
      </c>
      <c r="O135" s="22" t="s">
        <v>84</v>
      </c>
      <c r="P135" s="22" t="s">
        <v>137</v>
      </c>
      <c r="Q135" s="22" t="s">
        <v>60</v>
      </c>
      <c r="R135" s="25"/>
      <c r="S135" s="22" t="s">
        <v>85</v>
      </c>
      <c r="T135" s="22" t="s">
        <v>62</v>
      </c>
      <c r="U135" s="22" t="s">
        <v>63</v>
      </c>
      <c r="V135" s="22" t="s">
        <v>64</v>
      </c>
      <c r="W135" s="22" t="s">
        <v>65</v>
      </c>
      <c r="X135" s="26" t="s">
        <v>924</v>
      </c>
      <c r="Y135" s="22" t="s">
        <v>936</v>
      </c>
      <c r="Z135" s="22" t="s">
        <v>937</v>
      </c>
      <c r="AA135" s="22" t="s">
        <v>938</v>
      </c>
      <c r="AC135" s="22" t="s">
        <v>176</v>
      </c>
      <c r="AD135" s="27" t="s">
        <v>71</v>
      </c>
      <c r="AE135" s="22" t="s">
        <v>928</v>
      </c>
      <c r="AF135" s="34"/>
      <c r="AG135" s="34"/>
    </row>
    <row r="136" spans="1:33" ht="31">
      <c r="A136" s="51" t="s">
        <v>664</v>
      </c>
      <c r="B136" s="51" t="s">
        <v>939</v>
      </c>
      <c r="C136" s="22" t="s">
        <v>940</v>
      </c>
      <c r="D136" s="23" t="s">
        <v>941</v>
      </c>
      <c r="E136" s="22" t="s">
        <v>49</v>
      </c>
      <c r="F136" s="22" t="s">
        <v>95</v>
      </c>
      <c r="G136" s="22" t="s">
        <v>49</v>
      </c>
      <c r="H136" s="22" t="s">
        <v>51</v>
      </c>
      <c r="I136" s="22" t="s">
        <v>81</v>
      </c>
      <c r="J136" s="22" t="s">
        <v>53</v>
      </c>
      <c r="K136" s="22" t="s">
        <v>54</v>
      </c>
      <c r="L136" s="22" t="s">
        <v>53</v>
      </c>
      <c r="M136" s="22" t="s">
        <v>56</v>
      </c>
      <c r="N136" s="22" t="s">
        <v>59</v>
      </c>
      <c r="O136" s="22" t="s">
        <v>84</v>
      </c>
      <c r="P136" s="22" t="s">
        <v>85</v>
      </c>
      <c r="Q136" s="22" t="s">
        <v>60</v>
      </c>
      <c r="R136" s="25"/>
      <c r="S136" s="22" t="s">
        <v>85</v>
      </c>
      <c r="T136" s="22" t="s">
        <v>62</v>
      </c>
      <c r="U136" s="22" t="s">
        <v>63</v>
      </c>
      <c r="V136" s="22" t="s">
        <v>64</v>
      </c>
      <c r="W136" s="22" t="s">
        <v>65</v>
      </c>
      <c r="X136" s="26" t="s">
        <v>924</v>
      </c>
      <c r="Y136" s="22" t="s">
        <v>302</v>
      </c>
      <c r="Z136" s="22" t="s">
        <v>942</v>
      </c>
      <c r="AA136" s="22" t="s">
        <v>943</v>
      </c>
      <c r="AC136" s="22" t="s">
        <v>176</v>
      </c>
      <c r="AD136" s="27" t="s">
        <v>71</v>
      </c>
      <c r="AE136" s="22" t="s">
        <v>928</v>
      </c>
      <c r="AF136" s="34"/>
      <c r="AG136" s="34"/>
    </row>
    <row r="137" spans="1:33" ht="46.5">
      <c r="A137" s="51" t="s">
        <v>664</v>
      </c>
      <c r="B137" s="51" t="s">
        <v>944</v>
      </c>
      <c r="C137" s="22" t="s">
        <v>945</v>
      </c>
      <c r="D137" s="23" t="s">
        <v>946</v>
      </c>
      <c r="E137" s="22" t="s">
        <v>49</v>
      </c>
      <c r="F137" s="22" t="s">
        <v>50</v>
      </c>
      <c r="G137" s="22" t="s">
        <v>49</v>
      </c>
      <c r="H137" s="22" t="s">
        <v>51</v>
      </c>
      <c r="I137" s="22" t="s">
        <v>81</v>
      </c>
      <c r="J137" s="22" t="s">
        <v>53</v>
      </c>
      <c r="K137" s="22" t="s">
        <v>54</v>
      </c>
      <c r="L137" s="22" t="s">
        <v>53</v>
      </c>
      <c r="M137" s="22" t="s">
        <v>56</v>
      </c>
      <c r="N137" s="22" t="s">
        <v>59</v>
      </c>
      <c r="O137" s="22" t="s">
        <v>84</v>
      </c>
      <c r="P137" s="22" t="s">
        <v>85</v>
      </c>
      <c r="Q137" s="22" t="s">
        <v>203</v>
      </c>
      <c r="R137" s="22"/>
      <c r="S137" s="22" t="s">
        <v>85</v>
      </c>
      <c r="T137" s="22" t="s">
        <v>62</v>
      </c>
      <c r="U137" s="22" t="s">
        <v>63</v>
      </c>
      <c r="V137" s="22" t="s">
        <v>64</v>
      </c>
      <c r="W137" s="22" t="s">
        <v>65</v>
      </c>
      <c r="X137" s="26" t="s">
        <v>924</v>
      </c>
      <c r="Y137" s="22" t="s">
        <v>213</v>
      </c>
      <c r="Z137" s="22" t="s">
        <v>943</v>
      </c>
      <c r="AA137" s="22" t="s">
        <v>947</v>
      </c>
      <c r="AC137" s="22" t="s">
        <v>176</v>
      </c>
      <c r="AD137" s="27" t="s">
        <v>71</v>
      </c>
      <c r="AE137" s="22" t="s">
        <v>928</v>
      </c>
      <c r="AF137" s="34"/>
      <c r="AG137" s="34"/>
    </row>
    <row r="138" spans="1:33" ht="26.25" customHeight="1">
      <c r="A138" s="51" t="s">
        <v>664</v>
      </c>
      <c r="B138" s="51" t="s">
        <v>948</v>
      </c>
      <c r="C138" s="22" t="s">
        <v>949</v>
      </c>
      <c r="D138" s="23" t="s">
        <v>950</v>
      </c>
      <c r="E138" s="22" t="s">
        <v>49</v>
      </c>
      <c r="F138" s="22" t="s">
        <v>50</v>
      </c>
      <c r="G138" s="22" t="s">
        <v>49</v>
      </c>
      <c r="H138" s="22" t="s">
        <v>126</v>
      </c>
      <c r="I138" s="22" t="s">
        <v>81</v>
      </c>
      <c r="J138" s="22" t="s">
        <v>53</v>
      </c>
      <c r="K138" s="22" t="s">
        <v>170</v>
      </c>
      <c r="L138" s="22" t="s">
        <v>53</v>
      </c>
      <c r="M138" s="22" t="s">
        <v>56</v>
      </c>
      <c r="N138" s="22" t="s">
        <v>59</v>
      </c>
      <c r="O138" s="22" t="s">
        <v>84</v>
      </c>
      <c r="P138" s="22" t="s">
        <v>85</v>
      </c>
      <c r="Q138" s="22" t="s">
        <v>63</v>
      </c>
      <c r="R138" s="25"/>
      <c r="S138" s="22" t="s">
        <v>85</v>
      </c>
      <c r="T138" s="22" t="s">
        <v>62</v>
      </c>
      <c r="U138" s="22" t="s">
        <v>63</v>
      </c>
      <c r="V138" s="22" t="s">
        <v>64</v>
      </c>
      <c r="W138" s="25"/>
      <c r="X138" s="35" t="s">
        <v>924</v>
      </c>
      <c r="Y138" s="22" t="s">
        <v>951</v>
      </c>
      <c r="Z138" s="22" t="s">
        <v>952</v>
      </c>
      <c r="AA138" s="22" t="s">
        <v>953</v>
      </c>
      <c r="AB138" s="22" t="s">
        <v>954</v>
      </c>
      <c r="AC138" s="22" t="s">
        <v>176</v>
      </c>
      <c r="AD138" s="27" t="s">
        <v>71</v>
      </c>
      <c r="AE138" s="22" t="s">
        <v>928</v>
      </c>
      <c r="AF138" s="34"/>
      <c r="AG138" s="34"/>
    </row>
    <row r="139" spans="1:33" ht="31">
      <c r="A139" s="51" t="s">
        <v>664</v>
      </c>
      <c r="B139" s="51" t="s">
        <v>955</v>
      </c>
      <c r="C139" s="22" t="s">
        <v>956</v>
      </c>
      <c r="D139" s="23" t="s">
        <v>957</v>
      </c>
      <c r="E139" s="22" t="s">
        <v>49</v>
      </c>
      <c r="F139" s="22" t="s">
        <v>95</v>
      </c>
      <c r="G139" s="22" t="s">
        <v>49</v>
      </c>
      <c r="H139" s="22" t="s">
        <v>51</v>
      </c>
      <c r="I139" s="22" t="s">
        <v>81</v>
      </c>
      <c r="J139" s="22" t="s">
        <v>53</v>
      </c>
      <c r="K139" s="22" t="s">
        <v>182</v>
      </c>
      <c r="L139" s="22" t="s">
        <v>53</v>
      </c>
      <c r="M139" s="22" t="s">
        <v>56</v>
      </c>
      <c r="N139" s="22" t="s">
        <v>59</v>
      </c>
      <c r="O139" s="22" t="s">
        <v>84</v>
      </c>
      <c r="P139" s="22" t="s">
        <v>85</v>
      </c>
      <c r="Q139" s="22" t="s">
        <v>60</v>
      </c>
      <c r="R139" s="25"/>
      <c r="S139" s="22" t="s">
        <v>85</v>
      </c>
      <c r="T139" s="22" t="s">
        <v>62</v>
      </c>
      <c r="U139" s="22" t="s">
        <v>63</v>
      </c>
      <c r="V139" s="22" t="s">
        <v>64</v>
      </c>
      <c r="W139" s="22" t="s">
        <v>65</v>
      </c>
      <c r="X139" s="35" t="s">
        <v>958</v>
      </c>
      <c r="Y139" s="22" t="s">
        <v>363</v>
      </c>
      <c r="Z139" s="22" t="s">
        <v>959</v>
      </c>
      <c r="AA139" s="22" t="s">
        <v>960</v>
      </c>
      <c r="AC139" s="22" t="s">
        <v>176</v>
      </c>
      <c r="AD139" s="27" t="s">
        <v>71</v>
      </c>
      <c r="AE139" s="22" t="s">
        <v>928</v>
      </c>
      <c r="AF139" s="34"/>
      <c r="AG139" s="34"/>
    </row>
    <row r="140" spans="1:33" ht="46.5">
      <c r="A140" s="51" t="s">
        <v>664</v>
      </c>
      <c r="B140" s="51" t="s">
        <v>961</v>
      </c>
      <c r="C140" s="22" t="s">
        <v>962</v>
      </c>
      <c r="D140" s="23" t="s">
        <v>963</v>
      </c>
      <c r="E140" s="22" t="s">
        <v>49</v>
      </c>
      <c r="F140" s="22" t="s">
        <v>269</v>
      </c>
      <c r="G140" s="22" t="s">
        <v>49</v>
      </c>
      <c r="H140" s="22" t="s">
        <v>80</v>
      </c>
      <c r="I140" s="22" t="s">
        <v>81</v>
      </c>
      <c r="J140" s="22" t="s">
        <v>53</v>
      </c>
      <c r="K140" s="22" t="s">
        <v>688</v>
      </c>
      <c r="L140" s="22" t="s">
        <v>53</v>
      </c>
      <c r="M140" s="22" t="s">
        <v>56</v>
      </c>
      <c r="N140" s="22" t="s">
        <v>59</v>
      </c>
      <c r="O140" s="22" t="s">
        <v>84</v>
      </c>
      <c r="P140" s="22" t="s">
        <v>137</v>
      </c>
      <c r="Q140" s="22" t="s">
        <v>153</v>
      </c>
      <c r="R140" s="25"/>
      <c r="S140" s="22" t="s">
        <v>85</v>
      </c>
      <c r="T140" s="22" t="s">
        <v>62</v>
      </c>
      <c r="U140" s="22" t="s">
        <v>63</v>
      </c>
      <c r="V140" s="22" t="s">
        <v>64</v>
      </c>
      <c r="W140" s="25"/>
      <c r="X140" s="35" t="s">
        <v>431</v>
      </c>
      <c r="Y140" s="22" t="s">
        <v>590</v>
      </c>
      <c r="Z140" s="22" t="s">
        <v>964</v>
      </c>
      <c r="AA140" s="22" t="s">
        <v>965</v>
      </c>
      <c r="AC140" s="22" t="s">
        <v>176</v>
      </c>
      <c r="AD140" s="27" t="s">
        <v>71</v>
      </c>
      <c r="AE140" s="22" t="s">
        <v>928</v>
      </c>
      <c r="AF140" s="34"/>
      <c r="AG140" s="34"/>
    </row>
    <row r="141" spans="1:33" ht="46.5">
      <c r="A141" s="51" t="s">
        <v>664</v>
      </c>
      <c r="B141" s="51" t="s">
        <v>966</v>
      </c>
      <c r="C141" s="22" t="s">
        <v>967</v>
      </c>
      <c r="D141" s="23" t="s">
        <v>968</v>
      </c>
      <c r="E141" s="22" t="s">
        <v>49</v>
      </c>
      <c r="F141" s="22" t="s">
        <v>269</v>
      </c>
      <c r="G141" s="22" t="s">
        <v>49</v>
      </c>
      <c r="H141" s="22" t="s">
        <v>51</v>
      </c>
      <c r="I141" s="22" t="s">
        <v>307</v>
      </c>
      <c r="J141" s="22" t="s">
        <v>53</v>
      </c>
      <c r="K141" s="22" t="s">
        <v>182</v>
      </c>
      <c r="L141" s="22" t="s">
        <v>53</v>
      </c>
      <c r="M141" s="22" t="s">
        <v>56</v>
      </c>
      <c r="N141" s="22" t="s">
        <v>59</v>
      </c>
      <c r="O141" s="22" t="s">
        <v>84</v>
      </c>
      <c r="P141" s="22" t="s">
        <v>52</v>
      </c>
      <c r="Q141" s="22" t="s">
        <v>130</v>
      </c>
      <c r="R141" s="25"/>
      <c r="S141" s="22" t="s">
        <v>61</v>
      </c>
      <c r="T141" s="22" t="s">
        <v>62</v>
      </c>
      <c r="U141" s="22" t="s">
        <v>63</v>
      </c>
      <c r="V141" s="22" t="s">
        <v>64</v>
      </c>
      <c r="W141" s="25"/>
      <c r="X141" s="35" t="s">
        <v>431</v>
      </c>
      <c r="Y141" s="22" t="s">
        <v>969</v>
      </c>
      <c r="Z141" s="22" t="s">
        <v>970</v>
      </c>
      <c r="AA141" s="22" t="s">
        <v>971</v>
      </c>
      <c r="AC141" s="22" t="s">
        <v>176</v>
      </c>
      <c r="AD141" s="27" t="s">
        <v>71</v>
      </c>
      <c r="AE141" s="22" t="s">
        <v>928</v>
      </c>
      <c r="AF141" s="34"/>
      <c r="AG141" s="34"/>
    </row>
    <row r="142" spans="1:33" ht="46.5">
      <c r="A142" s="51" t="s">
        <v>664</v>
      </c>
      <c r="B142" s="51" t="s">
        <v>972</v>
      </c>
      <c r="C142" s="22" t="s">
        <v>973</v>
      </c>
      <c r="D142" s="23" t="s">
        <v>974</v>
      </c>
      <c r="E142" s="22" t="s">
        <v>49</v>
      </c>
      <c r="F142" s="22" t="s">
        <v>50</v>
      </c>
      <c r="G142" s="22" t="s">
        <v>49</v>
      </c>
      <c r="H142" s="22" t="s">
        <v>192</v>
      </c>
      <c r="I142" s="22" t="s">
        <v>375</v>
      </c>
      <c r="J142" s="22" t="s">
        <v>53</v>
      </c>
      <c r="K142" s="22" t="s">
        <v>688</v>
      </c>
      <c r="L142" s="22" t="s">
        <v>53</v>
      </c>
      <c r="M142" s="22" t="s">
        <v>975</v>
      </c>
      <c r="N142" s="22" t="s">
        <v>59</v>
      </c>
      <c r="O142" s="22" t="s">
        <v>84</v>
      </c>
      <c r="P142" s="22" t="s">
        <v>85</v>
      </c>
      <c r="Q142" s="22" t="s">
        <v>130</v>
      </c>
      <c r="R142" s="25"/>
      <c r="S142" s="22" t="s">
        <v>85</v>
      </c>
      <c r="T142" s="22" t="s">
        <v>62</v>
      </c>
      <c r="U142" s="22" t="s">
        <v>63</v>
      </c>
      <c r="V142" s="22" t="s">
        <v>118</v>
      </c>
      <c r="W142" s="25"/>
      <c r="X142" s="35" t="s">
        <v>431</v>
      </c>
      <c r="Y142" s="22" t="s">
        <v>976</v>
      </c>
      <c r="Z142" s="22" t="s">
        <v>977</v>
      </c>
      <c r="AA142" s="22" t="s">
        <v>978</v>
      </c>
      <c r="AC142" s="22" t="s">
        <v>176</v>
      </c>
      <c r="AD142" s="27" t="s">
        <v>71</v>
      </c>
      <c r="AE142" s="22" t="s">
        <v>928</v>
      </c>
      <c r="AF142" s="34"/>
      <c r="AG142" s="34"/>
    </row>
    <row r="143" spans="1:33" ht="46.5">
      <c r="A143" s="51" t="s">
        <v>664</v>
      </c>
      <c r="B143" s="51" t="s">
        <v>979</v>
      </c>
      <c r="C143" s="22" t="s">
        <v>980</v>
      </c>
      <c r="D143" s="23" t="s">
        <v>981</v>
      </c>
      <c r="E143" s="22" t="s">
        <v>49</v>
      </c>
      <c r="F143" s="22" t="s">
        <v>50</v>
      </c>
      <c r="G143" s="22" t="s">
        <v>49</v>
      </c>
      <c r="H143" s="22" t="s">
        <v>51</v>
      </c>
      <c r="I143" s="22" t="s">
        <v>52</v>
      </c>
      <c r="J143" s="22" t="s">
        <v>53</v>
      </c>
      <c r="K143" s="22" t="s">
        <v>96</v>
      </c>
      <c r="L143" s="22" t="s">
        <v>55</v>
      </c>
      <c r="M143" s="22" t="s">
        <v>56</v>
      </c>
      <c r="N143" s="22" t="s">
        <v>59</v>
      </c>
      <c r="O143" s="22" t="s">
        <v>490</v>
      </c>
      <c r="P143" s="22" t="s">
        <v>109</v>
      </c>
      <c r="Q143" s="22" t="s">
        <v>183</v>
      </c>
      <c r="R143" s="22" t="s">
        <v>60</v>
      </c>
      <c r="S143" s="22" t="s">
        <v>85</v>
      </c>
      <c r="T143" s="22" t="s">
        <v>62</v>
      </c>
      <c r="U143" s="22" t="s">
        <v>63</v>
      </c>
      <c r="V143" s="22" t="s">
        <v>64</v>
      </c>
      <c r="W143" s="25"/>
      <c r="X143" s="35" t="s">
        <v>982</v>
      </c>
      <c r="Y143" s="40" t="s">
        <v>925</v>
      </c>
      <c r="Z143" s="22" t="s">
        <v>926</v>
      </c>
      <c r="AA143" s="22" t="s">
        <v>843</v>
      </c>
      <c r="AC143" s="22" t="s">
        <v>176</v>
      </c>
      <c r="AD143" s="27" t="s">
        <v>71</v>
      </c>
      <c r="AE143" s="22" t="s">
        <v>928</v>
      </c>
      <c r="AF143" s="34"/>
      <c r="AG143" s="34"/>
    </row>
    <row r="144" spans="1:33" ht="46.5">
      <c r="A144" s="51" t="s">
        <v>664</v>
      </c>
      <c r="B144" s="51" t="s">
        <v>983</v>
      </c>
      <c r="C144" s="22" t="s">
        <v>984</v>
      </c>
      <c r="D144" s="23" t="s">
        <v>985</v>
      </c>
      <c r="E144" s="22" t="s">
        <v>49</v>
      </c>
      <c r="F144" s="22" t="s">
        <v>50</v>
      </c>
      <c r="G144" s="22" t="s">
        <v>49</v>
      </c>
      <c r="H144" s="22" t="s">
        <v>126</v>
      </c>
      <c r="I144" s="22" t="s">
        <v>52</v>
      </c>
      <c r="J144" s="22" t="s">
        <v>107</v>
      </c>
      <c r="K144" s="22" t="s">
        <v>144</v>
      </c>
      <c r="L144" s="22" t="s">
        <v>53</v>
      </c>
      <c r="M144" s="22" t="s">
        <v>56</v>
      </c>
      <c r="N144" s="22" t="s">
        <v>59</v>
      </c>
      <c r="O144" s="22" t="s">
        <v>84</v>
      </c>
      <c r="P144" s="22" t="s">
        <v>348</v>
      </c>
      <c r="Q144" s="22" t="s">
        <v>203</v>
      </c>
      <c r="R144" s="22" t="s">
        <v>130</v>
      </c>
      <c r="S144" s="22" t="s">
        <v>61</v>
      </c>
      <c r="T144" s="22" t="s">
        <v>62</v>
      </c>
      <c r="U144" s="22" t="s">
        <v>63</v>
      </c>
      <c r="V144" s="22" t="s">
        <v>64</v>
      </c>
      <c r="W144" s="25"/>
      <c r="X144" s="26" t="s">
        <v>986</v>
      </c>
      <c r="Y144" s="22" t="s">
        <v>99</v>
      </c>
      <c r="Z144" s="22" t="s">
        <v>987</v>
      </c>
      <c r="AA144" s="22" t="s">
        <v>101</v>
      </c>
      <c r="AC144" s="22" t="s">
        <v>176</v>
      </c>
      <c r="AD144" s="27" t="s">
        <v>71</v>
      </c>
      <c r="AE144" s="22" t="s">
        <v>928</v>
      </c>
      <c r="AF144" s="34"/>
      <c r="AG144" s="34"/>
    </row>
    <row r="145" spans="1:33" ht="31">
      <c r="A145" s="51" t="s">
        <v>988</v>
      </c>
      <c r="B145" s="51" t="s">
        <v>989</v>
      </c>
      <c r="C145" s="22" t="s">
        <v>990</v>
      </c>
      <c r="D145" s="23" t="s">
        <v>991</v>
      </c>
      <c r="E145" s="22" t="s">
        <v>49</v>
      </c>
      <c r="F145" s="22" t="s">
        <v>50</v>
      </c>
      <c r="G145" s="22" t="s">
        <v>49</v>
      </c>
      <c r="H145" s="22" t="s">
        <v>51</v>
      </c>
      <c r="I145" s="22" t="s">
        <v>52</v>
      </c>
      <c r="J145" s="22" t="s">
        <v>127</v>
      </c>
      <c r="K145" s="22" t="s">
        <v>356</v>
      </c>
      <c r="L145" s="22" t="s">
        <v>55</v>
      </c>
      <c r="M145" s="22" t="s">
        <v>129</v>
      </c>
      <c r="N145" s="22" t="s">
        <v>59</v>
      </c>
      <c r="O145" s="22" t="s">
        <v>84</v>
      </c>
      <c r="P145" s="22" t="s">
        <v>85</v>
      </c>
      <c r="Q145" s="22" t="s">
        <v>60</v>
      </c>
      <c r="R145" s="22" t="s">
        <v>183</v>
      </c>
      <c r="S145" s="22" t="s">
        <v>85</v>
      </c>
      <c r="T145" s="22" t="s">
        <v>62</v>
      </c>
      <c r="U145" s="22" t="s">
        <v>63</v>
      </c>
      <c r="V145" s="22" t="s">
        <v>118</v>
      </c>
      <c r="W145" s="25"/>
      <c r="X145" s="26" t="s">
        <v>986</v>
      </c>
      <c r="Y145" s="22" t="s">
        <v>240</v>
      </c>
      <c r="Z145" s="22" t="s">
        <v>992</v>
      </c>
      <c r="AA145" s="22" t="s">
        <v>993</v>
      </c>
      <c r="AC145" s="22" t="s">
        <v>393</v>
      </c>
      <c r="AD145" s="27" t="s">
        <v>71</v>
      </c>
      <c r="AE145" s="22" t="s">
        <v>244</v>
      </c>
      <c r="AF145" s="34"/>
      <c r="AG145" s="34"/>
    </row>
    <row r="146" spans="1:33" ht="31">
      <c r="A146" s="51" t="s">
        <v>988</v>
      </c>
      <c r="B146" s="51" t="s">
        <v>994</v>
      </c>
      <c r="C146" s="22" t="s">
        <v>995</v>
      </c>
      <c r="D146" s="23" t="s">
        <v>996</v>
      </c>
      <c r="E146" s="22" t="s">
        <v>49</v>
      </c>
      <c r="F146" s="22" t="s">
        <v>50</v>
      </c>
      <c r="G146" s="22" t="s">
        <v>49</v>
      </c>
      <c r="H146" s="22" t="s">
        <v>126</v>
      </c>
      <c r="I146" s="22" t="s">
        <v>307</v>
      </c>
      <c r="J146" s="22" t="s">
        <v>107</v>
      </c>
      <c r="K146" s="22" t="s">
        <v>54</v>
      </c>
      <c r="L146" s="22" t="s">
        <v>53</v>
      </c>
      <c r="M146" s="22" t="s">
        <v>129</v>
      </c>
      <c r="N146" s="22" t="s">
        <v>59</v>
      </c>
      <c r="O146" s="22" t="s">
        <v>84</v>
      </c>
      <c r="P146" s="22" t="s">
        <v>108</v>
      </c>
      <c r="Q146" s="22" t="s">
        <v>60</v>
      </c>
      <c r="R146" s="22" t="s">
        <v>130</v>
      </c>
      <c r="S146" s="22" t="s">
        <v>61</v>
      </c>
      <c r="T146" s="22" t="s">
        <v>62</v>
      </c>
      <c r="U146" s="22" t="s">
        <v>63</v>
      </c>
      <c r="V146" s="22" t="s">
        <v>64</v>
      </c>
      <c r="W146" s="25"/>
      <c r="X146" s="26" t="s">
        <v>986</v>
      </c>
      <c r="Y146" s="22" t="s">
        <v>363</v>
      </c>
      <c r="Z146" s="22" t="s">
        <v>997</v>
      </c>
      <c r="AA146" s="22" t="s">
        <v>888</v>
      </c>
      <c r="AC146" s="22" t="s">
        <v>393</v>
      </c>
      <c r="AD146" s="27" t="s">
        <v>71</v>
      </c>
      <c r="AE146" s="22" t="s">
        <v>244</v>
      </c>
      <c r="AF146" s="34"/>
      <c r="AG146" s="34"/>
    </row>
    <row r="147" spans="1:33" ht="31">
      <c r="A147" s="51" t="s">
        <v>988</v>
      </c>
      <c r="B147" s="51" t="s">
        <v>998</v>
      </c>
      <c r="C147" s="22" t="s">
        <v>999</v>
      </c>
      <c r="D147" s="23" t="s">
        <v>1000</v>
      </c>
      <c r="E147" s="22" t="s">
        <v>49</v>
      </c>
      <c r="F147" s="22" t="s">
        <v>50</v>
      </c>
      <c r="G147" s="22" t="s">
        <v>49</v>
      </c>
      <c r="H147" s="22" t="s">
        <v>51</v>
      </c>
      <c r="I147" s="22" t="s">
        <v>81</v>
      </c>
      <c r="J147" s="22" t="s">
        <v>53</v>
      </c>
      <c r="K147" s="22" t="s">
        <v>82</v>
      </c>
      <c r="L147" s="22" t="s">
        <v>53</v>
      </c>
      <c r="M147" s="22" t="s">
        <v>129</v>
      </c>
      <c r="N147" s="22" t="s">
        <v>59</v>
      </c>
      <c r="O147" s="22" t="s">
        <v>84</v>
      </c>
      <c r="P147" s="22" t="s">
        <v>85</v>
      </c>
      <c r="Q147" s="22" t="s">
        <v>60</v>
      </c>
      <c r="R147" s="22" t="s">
        <v>130</v>
      </c>
      <c r="S147" s="22" t="s">
        <v>85</v>
      </c>
      <c r="T147" s="22" t="s">
        <v>62</v>
      </c>
      <c r="U147" s="22" t="s">
        <v>515</v>
      </c>
      <c r="V147" s="22" t="s">
        <v>87</v>
      </c>
      <c r="W147" s="25"/>
      <c r="X147" s="26" t="s">
        <v>986</v>
      </c>
      <c r="Y147" s="22" t="s">
        <v>204</v>
      </c>
      <c r="Z147" s="22" t="s">
        <v>888</v>
      </c>
      <c r="AA147" s="22" t="s">
        <v>1001</v>
      </c>
      <c r="AB147" s="22" t="s">
        <v>1002</v>
      </c>
      <c r="AC147" s="22" t="s">
        <v>393</v>
      </c>
      <c r="AD147" s="27" t="s">
        <v>71</v>
      </c>
      <c r="AE147" s="22" t="s">
        <v>244</v>
      </c>
      <c r="AF147" s="34"/>
      <c r="AG147" s="34"/>
    </row>
    <row r="148" spans="1:33" ht="31">
      <c r="A148" s="51" t="s">
        <v>988</v>
      </c>
      <c r="B148" s="51" t="s">
        <v>1003</v>
      </c>
      <c r="C148" s="22" t="s">
        <v>1004</v>
      </c>
      <c r="D148" s="23" t="s">
        <v>1005</v>
      </c>
      <c r="E148" s="22" t="s">
        <v>49</v>
      </c>
      <c r="F148" s="22" t="s">
        <v>78</v>
      </c>
      <c r="G148" s="22" t="s">
        <v>49</v>
      </c>
      <c r="H148" s="22" t="s">
        <v>51</v>
      </c>
      <c r="I148" s="22" t="s">
        <v>81</v>
      </c>
      <c r="J148" s="22" t="s">
        <v>53</v>
      </c>
      <c r="K148" s="22" t="s">
        <v>688</v>
      </c>
      <c r="L148" s="22" t="s">
        <v>53</v>
      </c>
      <c r="M148" s="22" t="s">
        <v>129</v>
      </c>
      <c r="N148" s="22" t="s">
        <v>59</v>
      </c>
      <c r="O148" s="22" t="s">
        <v>84</v>
      </c>
      <c r="P148" s="22" t="s">
        <v>108</v>
      </c>
      <c r="Q148" s="22" t="s">
        <v>60</v>
      </c>
      <c r="R148" s="22" t="s">
        <v>183</v>
      </c>
      <c r="S148" s="22" t="s">
        <v>85</v>
      </c>
      <c r="T148" s="22" t="s">
        <v>62</v>
      </c>
      <c r="U148" s="22" t="s">
        <v>63</v>
      </c>
      <c r="V148" s="22" t="s">
        <v>64</v>
      </c>
      <c r="W148" s="25"/>
      <c r="X148" s="26" t="s">
        <v>986</v>
      </c>
      <c r="Y148" s="22" t="s">
        <v>936</v>
      </c>
      <c r="Z148" s="22" t="s">
        <v>1006</v>
      </c>
      <c r="AA148" s="22" t="s">
        <v>937</v>
      </c>
      <c r="AC148" s="22" t="s">
        <v>393</v>
      </c>
      <c r="AD148" s="27" t="s">
        <v>71</v>
      </c>
      <c r="AE148" s="22" t="s">
        <v>244</v>
      </c>
      <c r="AF148" s="34"/>
      <c r="AG148" s="34"/>
    </row>
    <row r="149" spans="1:33" ht="31">
      <c r="A149" s="51" t="s">
        <v>988</v>
      </c>
      <c r="B149" s="51" t="s">
        <v>1007</v>
      </c>
      <c r="C149" s="22" t="s">
        <v>1008</v>
      </c>
      <c r="D149" s="23" t="s">
        <v>1009</v>
      </c>
      <c r="E149" s="22" t="s">
        <v>53</v>
      </c>
      <c r="F149" s="22" t="s">
        <v>269</v>
      </c>
      <c r="G149" s="22" t="s">
        <v>79</v>
      </c>
      <c r="H149" s="22" t="s">
        <v>80</v>
      </c>
      <c r="I149" s="22" t="s">
        <v>81</v>
      </c>
      <c r="J149" s="22" t="s">
        <v>53</v>
      </c>
      <c r="K149" s="22" t="s">
        <v>82</v>
      </c>
      <c r="L149" s="22" t="s">
        <v>53</v>
      </c>
      <c r="M149" s="22" t="s">
        <v>1010</v>
      </c>
      <c r="N149" s="22" t="s">
        <v>59</v>
      </c>
      <c r="O149" s="22" t="s">
        <v>84</v>
      </c>
      <c r="P149" s="22" t="s">
        <v>194</v>
      </c>
      <c r="Q149" s="22" t="s">
        <v>86</v>
      </c>
      <c r="R149" s="25"/>
      <c r="S149" s="22" t="s">
        <v>388</v>
      </c>
      <c r="T149" s="22" t="s">
        <v>62</v>
      </c>
      <c r="U149" s="22" t="s">
        <v>63</v>
      </c>
      <c r="V149" s="22" t="s">
        <v>64</v>
      </c>
      <c r="W149" s="25"/>
      <c r="X149" s="26" t="s">
        <v>986</v>
      </c>
      <c r="Y149" s="22" t="s">
        <v>325</v>
      </c>
      <c r="Z149" s="22" t="s">
        <v>632</v>
      </c>
      <c r="AA149" s="22" t="s">
        <v>1011</v>
      </c>
      <c r="AB149" s="22" t="s">
        <v>1012</v>
      </c>
      <c r="AC149" s="22" t="s">
        <v>393</v>
      </c>
      <c r="AD149" s="27" t="s">
        <v>71</v>
      </c>
      <c r="AE149" s="22" t="s">
        <v>244</v>
      </c>
      <c r="AF149" s="34"/>
      <c r="AG149" s="34"/>
    </row>
    <row r="150" spans="1:33" ht="31">
      <c r="A150" s="51" t="s">
        <v>988</v>
      </c>
      <c r="B150" s="51" t="s">
        <v>1013</v>
      </c>
      <c r="C150" s="22" t="s">
        <v>1014</v>
      </c>
      <c r="D150" s="23" t="s">
        <v>1009</v>
      </c>
      <c r="E150" s="22" t="s">
        <v>49</v>
      </c>
      <c r="F150" s="22" t="s">
        <v>618</v>
      </c>
      <c r="G150" s="22" t="s">
        <v>49</v>
      </c>
      <c r="H150" s="22" t="s">
        <v>51</v>
      </c>
      <c r="I150" s="22" t="s">
        <v>81</v>
      </c>
      <c r="J150" s="22" t="s">
        <v>107</v>
      </c>
      <c r="K150" s="22" t="s">
        <v>54</v>
      </c>
      <c r="L150" s="22" t="s">
        <v>53</v>
      </c>
      <c r="M150" s="22" t="s">
        <v>1015</v>
      </c>
      <c r="N150" s="22" t="s">
        <v>59</v>
      </c>
      <c r="O150" s="22" t="s">
        <v>84</v>
      </c>
      <c r="P150" s="22" t="s">
        <v>109</v>
      </c>
      <c r="Q150" s="22" t="s">
        <v>60</v>
      </c>
      <c r="R150" s="22" t="s">
        <v>130</v>
      </c>
      <c r="S150" s="22" t="s">
        <v>61</v>
      </c>
      <c r="T150" s="22" t="s">
        <v>62</v>
      </c>
      <c r="U150" s="22" t="s">
        <v>63</v>
      </c>
      <c r="V150" s="22" t="s">
        <v>64</v>
      </c>
      <c r="W150" s="25"/>
      <c r="X150" s="26" t="s">
        <v>986</v>
      </c>
      <c r="Y150" s="22" t="s">
        <v>1016</v>
      </c>
      <c r="Z150" s="22" t="s">
        <v>1017</v>
      </c>
      <c r="AA150" s="22" t="s">
        <v>1018</v>
      </c>
      <c r="AC150" s="22" t="s">
        <v>393</v>
      </c>
      <c r="AD150" s="27" t="s">
        <v>71</v>
      </c>
      <c r="AE150" s="22" t="s">
        <v>244</v>
      </c>
      <c r="AF150" s="34"/>
      <c r="AG150" s="34"/>
    </row>
    <row r="151" spans="1:33" ht="31">
      <c r="A151" s="51" t="s">
        <v>988</v>
      </c>
      <c r="B151" s="51" t="s">
        <v>1019</v>
      </c>
      <c r="C151" s="22" t="s">
        <v>1020</v>
      </c>
      <c r="D151" s="23" t="s">
        <v>1021</v>
      </c>
      <c r="E151" s="22" t="s">
        <v>49</v>
      </c>
      <c r="F151" s="22" t="s">
        <v>50</v>
      </c>
      <c r="G151" s="22" t="s">
        <v>49</v>
      </c>
      <c r="H151" s="22" t="s">
        <v>51</v>
      </c>
      <c r="I151" s="22" t="s">
        <v>81</v>
      </c>
      <c r="J151" s="22" t="s">
        <v>501</v>
      </c>
      <c r="K151" s="22" t="s">
        <v>182</v>
      </c>
      <c r="L151" s="22" t="s">
        <v>55</v>
      </c>
      <c r="M151" s="22" t="s">
        <v>398</v>
      </c>
      <c r="N151" s="22" t="s">
        <v>59</v>
      </c>
      <c r="O151" s="22" t="s">
        <v>84</v>
      </c>
      <c r="P151" s="22" t="s">
        <v>85</v>
      </c>
      <c r="Q151" s="22" t="s">
        <v>60</v>
      </c>
      <c r="R151" s="22" t="s">
        <v>183</v>
      </c>
      <c r="S151" s="22" t="s">
        <v>85</v>
      </c>
      <c r="T151" s="22" t="s">
        <v>62</v>
      </c>
      <c r="U151" s="22" t="s">
        <v>63</v>
      </c>
      <c r="V151" s="22" t="s">
        <v>64</v>
      </c>
      <c r="W151" s="25"/>
      <c r="X151" s="35" t="s">
        <v>173</v>
      </c>
      <c r="Y151" s="22" t="s">
        <v>1022</v>
      </c>
      <c r="Z151" s="22" t="s">
        <v>1023</v>
      </c>
      <c r="AA151" s="22" t="s">
        <v>1006</v>
      </c>
      <c r="AC151" s="22" t="s">
        <v>393</v>
      </c>
      <c r="AD151" s="27" t="s">
        <v>71</v>
      </c>
      <c r="AE151" s="22" t="s">
        <v>244</v>
      </c>
      <c r="AF151" s="34"/>
      <c r="AG151" s="34"/>
    </row>
    <row r="152" spans="1:33" ht="31">
      <c r="A152" s="51" t="s">
        <v>988</v>
      </c>
      <c r="B152" s="51" t="s">
        <v>1024</v>
      </c>
      <c r="C152" s="22" t="s">
        <v>1025</v>
      </c>
      <c r="D152" s="23" t="s">
        <v>1026</v>
      </c>
      <c r="E152" s="22" t="s">
        <v>49</v>
      </c>
      <c r="F152" s="22" t="s">
        <v>50</v>
      </c>
      <c r="G152" s="22" t="s">
        <v>49</v>
      </c>
      <c r="H152" s="22" t="s">
        <v>51</v>
      </c>
      <c r="I152" s="22" t="s">
        <v>52</v>
      </c>
      <c r="J152" s="22" t="s">
        <v>53</v>
      </c>
      <c r="K152" s="22" t="s">
        <v>856</v>
      </c>
      <c r="L152" s="22" t="s">
        <v>55</v>
      </c>
      <c r="M152" s="22" t="s">
        <v>56</v>
      </c>
      <c r="N152" s="22" t="s">
        <v>312</v>
      </c>
      <c r="O152" s="22" t="s">
        <v>84</v>
      </c>
      <c r="P152" s="22" t="s">
        <v>59</v>
      </c>
      <c r="Q152" s="22" t="s">
        <v>63</v>
      </c>
      <c r="R152" s="25"/>
      <c r="S152" s="22" t="s">
        <v>61</v>
      </c>
      <c r="T152" s="22" t="s">
        <v>62</v>
      </c>
      <c r="U152" s="22" t="s">
        <v>515</v>
      </c>
      <c r="V152" s="22" t="s">
        <v>64</v>
      </c>
      <c r="W152" s="25"/>
      <c r="X152" s="35" t="s">
        <v>173</v>
      </c>
      <c r="Y152" s="22" t="s">
        <v>120</v>
      </c>
      <c r="Z152" s="22" t="s">
        <v>155</v>
      </c>
      <c r="AA152" s="22" t="s">
        <v>1027</v>
      </c>
      <c r="AB152" s="22" t="s">
        <v>1028</v>
      </c>
      <c r="AC152" s="22" t="s">
        <v>393</v>
      </c>
      <c r="AD152" s="27" t="s">
        <v>71</v>
      </c>
      <c r="AE152" s="22" t="s">
        <v>244</v>
      </c>
      <c r="AF152" s="34"/>
      <c r="AG152" s="34"/>
    </row>
    <row r="153" spans="1:33" ht="46.5">
      <c r="A153" s="51" t="s">
        <v>988</v>
      </c>
      <c r="B153" s="51" t="s">
        <v>1029</v>
      </c>
      <c r="C153" s="22" t="s">
        <v>1014</v>
      </c>
      <c r="D153" s="23" t="s">
        <v>1030</v>
      </c>
      <c r="E153" s="22" t="s">
        <v>49</v>
      </c>
      <c r="F153" s="22" t="s">
        <v>95</v>
      </c>
      <c r="G153" s="22" t="s">
        <v>49</v>
      </c>
      <c r="H153" s="22" t="s">
        <v>51</v>
      </c>
      <c r="I153" s="22" t="s">
        <v>81</v>
      </c>
      <c r="J153" s="22" t="s">
        <v>107</v>
      </c>
      <c r="K153" s="22" t="s">
        <v>54</v>
      </c>
      <c r="L153" s="22" t="s">
        <v>53</v>
      </c>
      <c r="M153" s="22" t="s">
        <v>83</v>
      </c>
      <c r="N153" s="22" t="s">
        <v>59</v>
      </c>
      <c r="O153" s="22" t="s">
        <v>84</v>
      </c>
      <c r="P153" s="22" t="s">
        <v>109</v>
      </c>
      <c r="Q153" s="22" t="s">
        <v>60</v>
      </c>
      <c r="R153" s="22" t="s">
        <v>130</v>
      </c>
      <c r="S153" s="22" t="s">
        <v>61</v>
      </c>
      <c r="T153" s="22" t="s">
        <v>62</v>
      </c>
      <c r="U153" s="22" t="s">
        <v>63</v>
      </c>
      <c r="V153" s="22" t="s">
        <v>64</v>
      </c>
      <c r="W153" s="25"/>
      <c r="X153" s="35" t="s">
        <v>173</v>
      </c>
      <c r="Y153" s="22" t="s">
        <v>222</v>
      </c>
      <c r="Z153" s="22" t="s">
        <v>223</v>
      </c>
      <c r="AA153" s="22" t="s">
        <v>1031</v>
      </c>
      <c r="AB153" s="22" t="s">
        <v>1032</v>
      </c>
      <c r="AC153" s="22" t="s">
        <v>393</v>
      </c>
      <c r="AD153" s="27" t="s">
        <v>71</v>
      </c>
      <c r="AE153" s="22" t="s">
        <v>244</v>
      </c>
      <c r="AF153" s="34"/>
      <c r="AG153" s="34"/>
    </row>
    <row r="154" spans="1:33" ht="46.5">
      <c r="A154" s="51" t="s">
        <v>988</v>
      </c>
      <c r="B154" s="51" t="s">
        <v>1033</v>
      </c>
      <c r="C154" s="22" t="s">
        <v>1034</v>
      </c>
      <c r="D154" s="23" t="s">
        <v>1035</v>
      </c>
      <c r="E154" s="22" t="s">
        <v>49</v>
      </c>
      <c r="F154" s="22" t="s">
        <v>50</v>
      </c>
      <c r="G154" s="22" t="s">
        <v>49</v>
      </c>
      <c r="H154" s="22" t="s">
        <v>51</v>
      </c>
      <c r="I154" s="22" t="s">
        <v>81</v>
      </c>
      <c r="J154" s="22" t="s">
        <v>109</v>
      </c>
      <c r="K154" s="22" t="s">
        <v>54</v>
      </c>
      <c r="L154" s="22" t="s">
        <v>53</v>
      </c>
      <c r="M154" s="22" t="s">
        <v>83</v>
      </c>
      <c r="N154" s="22" t="s">
        <v>59</v>
      </c>
      <c r="O154" s="22" t="s">
        <v>84</v>
      </c>
      <c r="P154" s="22" t="s">
        <v>109</v>
      </c>
      <c r="Q154" s="22" t="s">
        <v>238</v>
      </c>
      <c r="R154" s="22" t="s">
        <v>60</v>
      </c>
      <c r="S154" s="22" t="s">
        <v>109</v>
      </c>
      <c r="T154" s="22" t="s">
        <v>62</v>
      </c>
      <c r="U154" s="22" t="s">
        <v>63</v>
      </c>
      <c r="V154" s="22" t="s">
        <v>64</v>
      </c>
      <c r="W154" s="25"/>
      <c r="X154" s="26" t="s">
        <v>1036</v>
      </c>
      <c r="Y154" s="22" t="s">
        <v>925</v>
      </c>
      <c r="Z154" s="22" t="s">
        <v>906</v>
      </c>
      <c r="AA154" s="22" t="s">
        <v>843</v>
      </c>
      <c r="AB154" s="22" t="s">
        <v>1037</v>
      </c>
      <c r="AC154" s="22" t="s">
        <v>393</v>
      </c>
      <c r="AD154" s="27" t="s">
        <v>71</v>
      </c>
      <c r="AE154" s="22" t="s">
        <v>244</v>
      </c>
      <c r="AF154" s="34"/>
      <c r="AG154" s="34"/>
    </row>
    <row r="155" spans="1:33" ht="46.5">
      <c r="A155" s="51" t="s">
        <v>988</v>
      </c>
      <c r="B155" s="51" t="s">
        <v>1038</v>
      </c>
      <c r="C155" s="22" t="s">
        <v>1039</v>
      </c>
      <c r="D155" s="23" t="s">
        <v>1040</v>
      </c>
      <c r="E155" s="22" t="s">
        <v>49</v>
      </c>
      <c r="F155" s="22" t="s">
        <v>95</v>
      </c>
      <c r="G155" s="22" t="s">
        <v>49</v>
      </c>
      <c r="H155" s="22" t="s">
        <v>51</v>
      </c>
      <c r="I155" s="22" t="s">
        <v>81</v>
      </c>
      <c r="J155" s="22" t="s">
        <v>501</v>
      </c>
      <c r="K155" s="22" t="s">
        <v>82</v>
      </c>
      <c r="L155" s="22" t="s">
        <v>53</v>
      </c>
      <c r="M155" s="22" t="s">
        <v>83</v>
      </c>
      <c r="N155" s="22" t="s">
        <v>59</v>
      </c>
      <c r="O155" s="22" t="s">
        <v>84</v>
      </c>
      <c r="P155" s="22" t="s">
        <v>137</v>
      </c>
      <c r="Q155" s="22" t="s">
        <v>60</v>
      </c>
      <c r="R155" s="22" t="s">
        <v>183</v>
      </c>
      <c r="S155" s="22" t="s">
        <v>388</v>
      </c>
      <c r="T155" s="22" t="s">
        <v>62</v>
      </c>
      <c r="U155" s="22" t="s">
        <v>63</v>
      </c>
      <c r="V155" s="22" t="s">
        <v>64</v>
      </c>
      <c r="W155" s="25"/>
      <c r="X155" s="35" t="s">
        <v>230</v>
      </c>
      <c r="Y155" s="22" t="s">
        <v>792</v>
      </c>
      <c r="Z155" s="22" t="s">
        <v>1041</v>
      </c>
      <c r="AA155" s="22" t="s">
        <v>1042</v>
      </c>
      <c r="AC155" s="22" t="s">
        <v>393</v>
      </c>
      <c r="AD155" s="27" t="s">
        <v>71</v>
      </c>
      <c r="AE155" s="22" t="s">
        <v>244</v>
      </c>
      <c r="AF155" s="34"/>
      <c r="AG155" s="34"/>
    </row>
    <row r="156" spans="1:33" ht="62">
      <c r="A156" s="51" t="s">
        <v>988</v>
      </c>
      <c r="B156" s="51" t="s">
        <v>1043</v>
      </c>
      <c r="C156" s="22" t="s">
        <v>1044</v>
      </c>
      <c r="D156" s="23" t="s">
        <v>1045</v>
      </c>
      <c r="E156" s="22" t="s">
        <v>79</v>
      </c>
      <c r="F156" s="22" t="s">
        <v>78</v>
      </c>
      <c r="G156" s="22" t="s">
        <v>79</v>
      </c>
      <c r="H156" s="22" t="s">
        <v>80</v>
      </c>
      <c r="I156" s="22" t="s">
        <v>81</v>
      </c>
      <c r="J156" s="22" t="s">
        <v>456</v>
      </c>
      <c r="K156" s="22" t="s">
        <v>82</v>
      </c>
      <c r="L156" s="22" t="s">
        <v>53</v>
      </c>
      <c r="M156" s="22" t="s">
        <v>83</v>
      </c>
      <c r="N156" s="22" t="s">
        <v>59</v>
      </c>
      <c r="O156" s="22" t="s">
        <v>84</v>
      </c>
      <c r="P156" s="22" t="s">
        <v>85</v>
      </c>
      <c r="Q156" s="22" t="s">
        <v>60</v>
      </c>
      <c r="R156" s="22" t="s">
        <v>183</v>
      </c>
      <c r="S156" s="22" t="s">
        <v>85</v>
      </c>
      <c r="T156" s="22" t="s">
        <v>62</v>
      </c>
      <c r="U156" s="22" t="s">
        <v>63</v>
      </c>
      <c r="V156" s="22" t="s">
        <v>64</v>
      </c>
      <c r="W156" s="25"/>
      <c r="X156" s="35" t="s">
        <v>230</v>
      </c>
      <c r="Y156" s="22" t="s">
        <v>342</v>
      </c>
      <c r="Z156" s="22" t="s">
        <v>279</v>
      </c>
      <c r="AA156" s="22" t="s">
        <v>1046</v>
      </c>
      <c r="AB156" s="22" t="s">
        <v>1047</v>
      </c>
      <c r="AC156" s="22" t="s">
        <v>393</v>
      </c>
      <c r="AD156" s="27" t="s">
        <v>71</v>
      </c>
      <c r="AE156" s="22" t="s">
        <v>244</v>
      </c>
      <c r="AF156" s="34"/>
      <c r="AG156" s="34"/>
    </row>
    <row r="157" spans="1:33" ht="31">
      <c r="A157" s="51" t="s">
        <v>988</v>
      </c>
      <c r="B157" s="51" t="s">
        <v>1048</v>
      </c>
      <c r="C157" s="22" t="s">
        <v>1049</v>
      </c>
      <c r="D157" s="23" t="s">
        <v>1050</v>
      </c>
      <c r="E157" s="22" t="s">
        <v>49</v>
      </c>
      <c r="F157" s="22" t="s">
        <v>78</v>
      </c>
      <c r="G157" s="22" t="s">
        <v>49</v>
      </c>
      <c r="H157" s="22" t="s">
        <v>126</v>
      </c>
      <c r="I157" s="22" t="s">
        <v>52</v>
      </c>
      <c r="J157" s="22" t="s">
        <v>53</v>
      </c>
      <c r="K157" s="22" t="s">
        <v>144</v>
      </c>
      <c r="L157" s="22" t="s">
        <v>55</v>
      </c>
      <c r="M157" s="22" t="s">
        <v>83</v>
      </c>
      <c r="N157" s="22" t="s">
        <v>59</v>
      </c>
      <c r="O157" s="22" t="s">
        <v>84</v>
      </c>
      <c r="P157" s="22" t="s">
        <v>348</v>
      </c>
      <c r="Q157" s="22" t="s">
        <v>857</v>
      </c>
      <c r="R157" s="25"/>
      <c r="S157" s="22" t="s">
        <v>61</v>
      </c>
      <c r="T157" s="22" t="s">
        <v>62</v>
      </c>
      <c r="U157" s="22" t="s">
        <v>63</v>
      </c>
      <c r="V157" s="22" t="s">
        <v>64</v>
      </c>
      <c r="W157" s="25"/>
      <c r="X157" s="26" t="s">
        <v>230</v>
      </c>
      <c r="Y157" s="22" t="s">
        <v>357</v>
      </c>
      <c r="Z157" s="22" t="s">
        <v>1051</v>
      </c>
      <c r="AA157" s="22" t="s">
        <v>1052</v>
      </c>
      <c r="AC157" s="22" t="s">
        <v>393</v>
      </c>
      <c r="AD157" s="27" t="s">
        <v>71</v>
      </c>
      <c r="AE157" s="22" t="s">
        <v>244</v>
      </c>
      <c r="AF157" s="34"/>
      <c r="AG157" s="34"/>
    </row>
    <row r="158" spans="1:33" ht="31">
      <c r="A158" s="51" t="s">
        <v>988</v>
      </c>
      <c r="B158" s="51" t="s">
        <v>1053</v>
      </c>
      <c r="C158" s="22" t="s">
        <v>1054</v>
      </c>
      <c r="D158" s="23" t="s">
        <v>1055</v>
      </c>
      <c r="E158" s="22" t="s">
        <v>49</v>
      </c>
      <c r="F158" s="22" t="s">
        <v>50</v>
      </c>
      <c r="G158" s="22" t="s">
        <v>49</v>
      </c>
      <c r="H158" s="22" t="s">
        <v>51</v>
      </c>
      <c r="I158" s="22" t="s">
        <v>52</v>
      </c>
      <c r="J158" s="22" t="s">
        <v>501</v>
      </c>
      <c r="K158" s="22" t="s">
        <v>54</v>
      </c>
      <c r="L158" s="22" t="s">
        <v>55</v>
      </c>
      <c r="M158" s="22" t="s">
        <v>1056</v>
      </c>
      <c r="N158" s="22" t="s">
        <v>59</v>
      </c>
      <c r="O158" s="22" t="s">
        <v>84</v>
      </c>
      <c r="P158" s="22" t="s">
        <v>85</v>
      </c>
      <c r="Q158" s="22" t="s">
        <v>60</v>
      </c>
      <c r="R158" s="25"/>
      <c r="S158" s="22" t="s">
        <v>61</v>
      </c>
      <c r="T158" s="22" t="s">
        <v>62</v>
      </c>
      <c r="U158" s="22" t="s">
        <v>63</v>
      </c>
      <c r="V158" s="22" t="s">
        <v>64</v>
      </c>
      <c r="W158" s="25"/>
      <c r="X158" s="35" t="s">
        <v>230</v>
      </c>
      <c r="Y158" s="22" t="s">
        <v>770</v>
      </c>
      <c r="Z158" s="22" t="s">
        <v>1057</v>
      </c>
      <c r="AA158" s="22" t="s">
        <v>1058</v>
      </c>
      <c r="AC158" s="22" t="s">
        <v>393</v>
      </c>
      <c r="AD158" s="27" t="s">
        <v>71</v>
      </c>
      <c r="AE158" s="22" t="s">
        <v>244</v>
      </c>
      <c r="AF158" s="34"/>
      <c r="AG158" s="34"/>
    </row>
    <row r="159" spans="1:33" ht="46.5">
      <c r="A159" s="51" t="s">
        <v>988</v>
      </c>
      <c r="B159" s="51" t="s">
        <v>1059</v>
      </c>
      <c r="C159" s="22" t="s">
        <v>1060</v>
      </c>
      <c r="D159" s="23" t="s">
        <v>1061</v>
      </c>
      <c r="E159" s="22" t="s">
        <v>49</v>
      </c>
      <c r="F159" s="22" t="s">
        <v>95</v>
      </c>
      <c r="G159" s="22" t="s">
        <v>49</v>
      </c>
      <c r="H159" s="22" t="s">
        <v>169</v>
      </c>
      <c r="I159" s="22" t="s">
        <v>307</v>
      </c>
      <c r="J159" s="22" t="s">
        <v>53</v>
      </c>
      <c r="K159" s="22" t="s">
        <v>144</v>
      </c>
      <c r="L159" s="22" t="s">
        <v>53</v>
      </c>
      <c r="M159" s="22" t="s">
        <v>398</v>
      </c>
      <c r="N159" s="22" t="s">
        <v>59</v>
      </c>
      <c r="O159" s="22" t="s">
        <v>84</v>
      </c>
      <c r="P159" s="22" t="s">
        <v>348</v>
      </c>
      <c r="Q159" s="22" t="s">
        <v>60</v>
      </c>
      <c r="R159" s="25"/>
      <c r="S159" s="22" t="s">
        <v>61</v>
      </c>
      <c r="T159" s="22" t="s">
        <v>62</v>
      </c>
      <c r="U159" s="22" t="s">
        <v>63</v>
      </c>
      <c r="V159" s="22" t="s">
        <v>64</v>
      </c>
      <c r="W159" s="25"/>
      <c r="X159" s="26" t="s">
        <v>1062</v>
      </c>
      <c r="Y159" s="22" t="s">
        <v>1063</v>
      </c>
      <c r="Z159" s="22" t="s">
        <v>1064</v>
      </c>
      <c r="AA159" s="22" t="s">
        <v>571</v>
      </c>
      <c r="AC159" s="22" t="s">
        <v>328</v>
      </c>
      <c r="AD159" s="27" t="s">
        <v>71</v>
      </c>
      <c r="AE159" s="22" t="s">
        <v>244</v>
      </c>
      <c r="AF159" s="34"/>
      <c r="AG159" s="34"/>
    </row>
    <row r="160" spans="1:33" ht="46.5">
      <c r="A160" s="51" t="s">
        <v>988</v>
      </c>
      <c r="B160" s="51" t="s">
        <v>1065</v>
      </c>
      <c r="C160" s="22" t="s">
        <v>1066</v>
      </c>
      <c r="D160" s="23" t="s">
        <v>1067</v>
      </c>
      <c r="E160" s="22" t="s">
        <v>49</v>
      </c>
      <c r="F160" s="22" t="s">
        <v>50</v>
      </c>
      <c r="G160" s="22" t="s">
        <v>49</v>
      </c>
      <c r="H160" s="22" t="s">
        <v>51</v>
      </c>
      <c r="I160" s="7" t="s">
        <v>81</v>
      </c>
      <c r="J160" s="22" t="s">
        <v>107</v>
      </c>
      <c r="K160" s="22" t="s">
        <v>54</v>
      </c>
      <c r="L160" s="22" t="s">
        <v>53</v>
      </c>
      <c r="M160" s="22" t="s">
        <v>398</v>
      </c>
      <c r="N160" s="22" t="s">
        <v>59</v>
      </c>
      <c r="O160" s="22" t="s">
        <v>84</v>
      </c>
      <c r="P160" s="22" t="s">
        <v>108</v>
      </c>
      <c r="Q160" s="22" t="s">
        <v>60</v>
      </c>
      <c r="R160" s="25"/>
      <c r="S160" s="22" t="s">
        <v>85</v>
      </c>
      <c r="T160" s="22" t="s">
        <v>62</v>
      </c>
      <c r="U160" s="22" t="s">
        <v>63</v>
      </c>
      <c r="V160" s="22" t="s">
        <v>64</v>
      </c>
      <c r="W160" s="25"/>
      <c r="X160" s="35" t="s">
        <v>1068</v>
      </c>
      <c r="Y160" s="22" t="s">
        <v>1069</v>
      </c>
      <c r="Z160" s="22" t="s">
        <v>571</v>
      </c>
      <c r="AA160" s="22" t="s">
        <v>1070</v>
      </c>
      <c r="AC160" s="22" t="s">
        <v>328</v>
      </c>
      <c r="AD160" s="27" t="s">
        <v>71</v>
      </c>
      <c r="AE160" s="22" t="s">
        <v>244</v>
      </c>
      <c r="AF160" s="34"/>
      <c r="AG160" s="34"/>
    </row>
    <row r="161" spans="1:33" ht="31">
      <c r="A161" s="51" t="s">
        <v>988</v>
      </c>
      <c r="B161" s="51" t="s">
        <v>1071</v>
      </c>
      <c r="C161" s="22" t="s">
        <v>1072</v>
      </c>
      <c r="D161" s="23" t="s">
        <v>1073</v>
      </c>
      <c r="E161" s="22" t="s">
        <v>49</v>
      </c>
      <c r="F161" s="22" t="s">
        <v>95</v>
      </c>
      <c r="G161" s="22" t="s">
        <v>49</v>
      </c>
      <c r="H161" s="22" t="s">
        <v>51</v>
      </c>
      <c r="I161" s="22" t="s">
        <v>52</v>
      </c>
      <c r="J161" s="22" t="s">
        <v>127</v>
      </c>
      <c r="K161" s="22" t="s">
        <v>356</v>
      </c>
      <c r="L161" s="22" t="s">
        <v>55</v>
      </c>
      <c r="M161" s="22" t="s">
        <v>398</v>
      </c>
      <c r="N161" s="22" t="s">
        <v>59</v>
      </c>
      <c r="O161" s="22" t="s">
        <v>84</v>
      </c>
      <c r="P161" s="22" t="s">
        <v>85</v>
      </c>
      <c r="Q161" s="22" t="s">
        <v>183</v>
      </c>
      <c r="R161" s="25"/>
      <c r="S161" s="22" t="s">
        <v>85</v>
      </c>
      <c r="T161" s="22" t="s">
        <v>62</v>
      </c>
      <c r="U161" s="22" t="s">
        <v>63</v>
      </c>
      <c r="V161" s="22" t="s">
        <v>118</v>
      </c>
      <c r="W161" s="25"/>
      <c r="X161" s="26" t="s">
        <v>1074</v>
      </c>
      <c r="Y161" s="22" t="s">
        <v>784</v>
      </c>
      <c r="Z161" s="22" t="s">
        <v>1075</v>
      </c>
      <c r="AA161" s="22" t="s">
        <v>1076</v>
      </c>
      <c r="AC161" s="22" t="s">
        <v>328</v>
      </c>
      <c r="AD161" s="27" t="s">
        <v>71</v>
      </c>
      <c r="AE161" s="22" t="s">
        <v>244</v>
      </c>
      <c r="AF161" s="34"/>
      <c r="AG161" s="34"/>
    </row>
    <row r="162" spans="1:33" ht="46.5">
      <c r="A162" s="51" t="s">
        <v>988</v>
      </c>
      <c r="B162" s="51" t="s">
        <v>1077</v>
      </c>
      <c r="C162" s="22" t="s">
        <v>1078</v>
      </c>
      <c r="D162" s="23" t="s">
        <v>1079</v>
      </c>
      <c r="E162" s="22" t="s">
        <v>49</v>
      </c>
      <c r="F162" s="22" t="s">
        <v>269</v>
      </c>
      <c r="G162" s="22" t="s">
        <v>49</v>
      </c>
      <c r="H162" s="22" t="s">
        <v>192</v>
      </c>
      <c r="I162" s="22" t="s">
        <v>81</v>
      </c>
      <c r="J162" s="22" t="s">
        <v>501</v>
      </c>
      <c r="K162" s="22" t="s">
        <v>856</v>
      </c>
      <c r="L162" s="22" t="s">
        <v>53</v>
      </c>
      <c r="M162" s="22" t="s">
        <v>398</v>
      </c>
      <c r="N162" s="22" t="s">
        <v>59</v>
      </c>
      <c r="O162" s="22" t="s">
        <v>84</v>
      </c>
      <c r="P162" s="22" t="s">
        <v>137</v>
      </c>
      <c r="Q162" s="22" t="s">
        <v>60</v>
      </c>
      <c r="R162" s="25"/>
      <c r="S162" s="22" t="s">
        <v>85</v>
      </c>
      <c r="T162" s="22" t="s">
        <v>62</v>
      </c>
      <c r="U162" s="22" t="s">
        <v>63</v>
      </c>
      <c r="V162" s="22" t="s">
        <v>64</v>
      </c>
      <c r="W162" s="25"/>
      <c r="X162" s="26" t="s">
        <v>1080</v>
      </c>
      <c r="Y162" s="22" t="s">
        <v>1081</v>
      </c>
      <c r="Z162" s="22" t="s">
        <v>295</v>
      </c>
      <c r="AA162" s="22" t="s">
        <v>971</v>
      </c>
      <c r="AC162" s="22" t="s">
        <v>328</v>
      </c>
      <c r="AD162" s="27" t="s">
        <v>71</v>
      </c>
      <c r="AE162" s="22" t="s">
        <v>350</v>
      </c>
      <c r="AF162" s="33" t="s">
        <v>1082</v>
      </c>
      <c r="AG162" s="33" t="s">
        <v>352</v>
      </c>
    </row>
    <row r="163" spans="1:33" ht="62">
      <c r="A163" s="51" t="s">
        <v>988</v>
      </c>
      <c r="B163" s="51" t="s">
        <v>1083</v>
      </c>
      <c r="C163" s="22" t="s">
        <v>1084</v>
      </c>
      <c r="D163" s="23" t="s">
        <v>1085</v>
      </c>
      <c r="E163" s="22" t="s">
        <v>79</v>
      </c>
      <c r="F163" s="22" t="s">
        <v>95</v>
      </c>
      <c r="G163" s="22" t="s">
        <v>79</v>
      </c>
      <c r="H163" s="22" t="s">
        <v>51</v>
      </c>
      <c r="I163" s="22" t="s">
        <v>81</v>
      </c>
      <c r="J163" s="22" t="s">
        <v>53</v>
      </c>
      <c r="K163" s="22" t="s">
        <v>182</v>
      </c>
      <c r="L163" s="22" t="s">
        <v>53</v>
      </c>
      <c r="M163" s="22" t="s">
        <v>398</v>
      </c>
      <c r="N163" s="22" t="s">
        <v>59</v>
      </c>
      <c r="O163" s="22" t="s">
        <v>84</v>
      </c>
      <c r="P163" s="22" t="s">
        <v>348</v>
      </c>
      <c r="Q163" s="22" t="s">
        <v>60</v>
      </c>
      <c r="R163" s="22" t="s">
        <v>183</v>
      </c>
      <c r="S163" s="22" t="s">
        <v>85</v>
      </c>
      <c r="T163" s="22" t="s">
        <v>62</v>
      </c>
      <c r="U163" s="22" t="s">
        <v>63</v>
      </c>
      <c r="V163" s="22" t="s">
        <v>64</v>
      </c>
      <c r="W163" s="25"/>
      <c r="X163" s="35" t="s">
        <v>1086</v>
      </c>
      <c r="Y163" s="22" t="s">
        <v>1087</v>
      </c>
      <c r="Z163" s="22" t="s">
        <v>1088</v>
      </c>
      <c r="AA163" s="22" t="s">
        <v>122</v>
      </c>
      <c r="AC163" s="22" t="s">
        <v>328</v>
      </c>
      <c r="AD163" s="27" t="s">
        <v>71</v>
      </c>
      <c r="AE163" s="22" t="s">
        <v>350</v>
      </c>
      <c r="AF163" s="33" t="s">
        <v>1089</v>
      </c>
      <c r="AG163" s="33" t="s">
        <v>1090</v>
      </c>
    </row>
    <row r="164" spans="1:33" ht="77.5">
      <c r="A164" s="51" t="s">
        <v>988</v>
      </c>
      <c r="B164" s="51" t="s">
        <v>1091</v>
      </c>
      <c r="C164" s="22" t="s">
        <v>1092</v>
      </c>
      <c r="D164" s="23" t="s">
        <v>1093</v>
      </c>
      <c r="E164" s="22" t="s">
        <v>49</v>
      </c>
      <c r="F164" s="22" t="s">
        <v>95</v>
      </c>
      <c r="G164" s="22" t="s">
        <v>79</v>
      </c>
      <c r="H164" s="22" t="s">
        <v>126</v>
      </c>
      <c r="I164" s="22" t="s">
        <v>52</v>
      </c>
      <c r="J164" s="22" t="s">
        <v>53</v>
      </c>
      <c r="K164" s="22" t="s">
        <v>856</v>
      </c>
      <c r="L164" s="22" t="s">
        <v>55</v>
      </c>
      <c r="M164" s="22" t="s">
        <v>398</v>
      </c>
      <c r="N164" s="22" t="s">
        <v>59</v>
      </c>
      <c r="O164" s="22" t="s">
        <v>84</v>
      </c>
      <c r="P164" s="22" t="s">
        <v>348</v>
      </c>
      <c r="Q164" s="22" t="s">
        <v>63</v>
      </c>
      <c r="R164" s="25"/>
      <c r="S164" s="22" t="s">
        <v>61</v>
      </c>
      <c r="T164" s="22" t="s">
        <v>62</v>
      </c>
      <c r="U164" s="22" t="s">
        <v>63</v>
      </c>
      <c r="V164" s="22" t="s">
        <v>118</v>
      </c>
      <c r="W164" s="25"/>
      <c r="X164" s="26" t="s">
        <v>1094</v>
      </c>
      <c r="Y164" s="22" t="s">
        <v>1095</v>
      </c>
      <c r="Z164" s="22" t="s">
        <v>122</v>
      </c>
      <c r="AA164" s="22" t="s">
        <v>1096</v>
      </c>
      <c r="AC164" s="22" t="s">
        <v>328</v>
      </c>
      <c r="AD164" s="27" t="s">
        <v>71</v>
      </c>
      <c r="AE164" s="22" t="s">
        <v>350</v>
      </c>
      <c r="AF164" s="33" t="s">
        <v>1097</v>
      </c>
      <c r="AG164" s="33" t="s">
        <v>1098</v>
      </c>
    </row>
    <row r="165" spans="1:33" ht="62">
      <c r="A165" s="51" t="s">
        <v>988</v>
      </c>
      <c r="B165" s="51" t="s">
        <v>1099</v>
      </c>
      <c r="C165" s="22" t="s">
        <v>1100</v>
      </c>
      <c r="D165" s="23" t="s">
        <v>1101</v>
      </c>
      <c r="E165" s="22" t="s">
        <v>49</v>
      </c>
      <c r="F165" s="22" t="s">
        <v>50</v>
      </c>
      <c r="G165" s="22" t="s">
        <v>79</v>
      </c>
      <c r="H165" s="22" t="s">
        <v>192</v>
      </c>
      <c r="I165" s="22" t="s">
        <v>375</v>
      </c>
      <c r="J165" s="22" t="s">
        <v>109</v>
      </c>
      <c r="K165" s="22" t="s">
        <v>856</v>
      </c>
      <c r="L165" s="22" t="s">
        <v>53</v>
      </c>
      <c r="M165" s="22" t="s">
        <v>398</v>
      </c>
      <c r="N165" s="22" t="s">
        <v>59</v>
      </c>
      <c r="O165" s="22" t="s">
        <v>490</v>
      </c>
      <c r="P165" s="22" t="s">
        <v>137</v>
      </c>
      <c r="Q165" s="22" t="s">
        <v>60</v>
      </c>
      <c r="R165" s="22" t="s">
        <v>183</v>
      </c>
      <c r="S165" s="22" t="s">
        <v>85</v>
      </c>
      <c r="T165" s="22" t="s">
        <v>62</v>
      </c>
      <c r="U165" s="22" t="s">
        <v>63</v>
      </c>
      <c r="V165" s="22" t="s">
        <v>64</v>
      </c>
      <c r="W165" s="25"/>
      <c r="X165" s="26" t="s">
        <v>1102</v>
      </c>
      <c r="Y165" s="22" t="s">
        <v>1103</v>
      </c>
      <c r="Z165" s="22" t="s">
        <v>1096</v>
      </c>
      <c r="AA165" s="22" t="s">
        <v>851</v>
      </c>
      <c r="AC165" s="22" t="s">
        <v>328</v>
      </c>
      <c r="AD165" s="27" t="s">
        <v>71</v>
      </c>
      <c r="AE165" s="22" t="s">
        <v>350</v>
      </c>
      <c r="AF165" s="33" t="s">
        <v>1104</v>
      </c>
      <c r="AG165" s="33" t="s">
        <v>352</v>
      </c>
    </row>
    <row r="166" spans="1:33" ht="46.5">
      <c r="A166" s="51" t="s">
        <v>988</v>
      </c>
      <c r="B166" s="51" t="s">
        <v>1105</v>
      </c>
      <c r="C166" s="22" t="s">
        <v>1106</v>
      </c>
      <c r="D166" s="23" t="s">
        <v>1107</v>
      </c>
      <c r="E166" s="22" t="s">
        <v>49</v>
      </c>
      <c r="F166" s="22" t="s">
        <v>78</v>
      </c>
      <c r="G166" s="22" t="s">
        <v>79</v>
      </c>
      <c r="H166" s="22" t="s">
        <v>126</v>
      </c>
      <c r="I166" s="22" t="s">
        <v>81</v>
      </c>
      <c r="J166" s="22" t="s">
        <v>53</v>
      </c>
      <c r="K166" s="22" t="s">
        <v>54</v>
      </c>
      <c r="L166" s="22" t="s">
        <v>53</v>
      </c>
      <c r="M166" s="22" t="s">
        <v>398</v>
      </c>
      <c r="N166" s="22" t="s">
        <v>59</v>
      </c>
      <c r="O166" s="22" t="s">
        <v>84</v>
      </c>
      <c r="P166" s="22" t="s">
        <v>85</v>
      </c>
      <c r="Q166" s="22" t="s">
        <v>60</v>
      </c>
      <c r="R166" s="22" t="s">
        <v>86</v>
      </c>
      <c r="S166" s="22" t="s">
        <v>85</v>
      </c>
      <c r="T166" s="22" t="s">
        <v>62</v>
      </c>
      <c r="U166" s="22" t="s">
        <v>63</v>
      </c>
      <c r="V166" s="22" t="s">
        <v>87</v>
      </c>
      <c r="W166" s="25"/>
      <c r="X166" s="26" t="s">
        <v>1108</v>
      </c>
      <c r="Y166" s="22" t="s">
        <v>1109</v>
      </c>
      <c r="Z166" s="22" t="s">
        <v>1110</v>
      </c>
      <c r="AA166" s="22" t="s">
        <v>1111</v>
      </c>
      <c r="AC166" s="22" t="s">
        <v>328</v>
      </c>
      <c r="AD166" s="27" t="s">
        <v>71</v>
      </c>
      <c r="AE166" s="22" t="s">
        <v>350</v>
      </c>
      <c r="AF166" s="33" t="s">
        <v>1112</v>
      </c>
      <c r="AG166" s="34"/>
    </row>
    <row r="167" spans="1:33" ht="46.5">
      <c r="A167" s="51" t="s">
        <v>988</v>
      </c>
      <c r="B167" s="51" t="s">
        <v>1113</v>
      </c>
      <c r="C167" s="22" t="s">
        <v>1114</v>
      </c>
      <c r="D167" s="23" t="s">
        <v>1115</v>
      </c>
      <c r="E167" s="22" t="s">
        <v>49</v>
      </c>
      <c r="F167" s="22" t="s">
        <v>78</v>
      </c>
      <c r="G167" s="22" t="s">
        <v>49</v>
      </c>
      <c r="H167" s="22" t="s">
        <v>126</v>
      </c>
      <c r="I167" s="22" t="s">
        <v>81</v>
      </c>
      <c r="J167" s="22" t="s">
        <v>107</v>
      </c>
      <c r="K167" s="22" t="s">
        <v>182</v>
      </c>
      <c r="L167" s="22" t="s">
        <v>53</v>
      </c>
      <c r="M167" s="22" t="s">
        <v>398</v>
      </c>
      <c r="N167" s="22" t="s">
        <v>59</v>
      </c>
      <c r="O167" s="22" t="s">
        <v>1116</v>
      </c>
      <c r="P167" s="22" t="s">
        <v>108</v>
      </c>
      <c r="Q167" s="22" t="s">
        <v>60</v>
      </c>
      <c r="R167" s="25"/>
      <c r="S167" s="22" t="s">
        <v>85</v>
      </c>
      <c r="T167" s="22" t="s">
        <v>62</v>
      </c>
      <c r="U167" s="22" t="s">
        <v>515</v>
      </c>
      <c r="V167" s="22" t="s">
        <v>118</v>
      </c>
      <c r="W167" s="25"/>
      <c r="X167" s="35" t="s">
        <v>1117</v>
      </c>
      <c r="Y167" s="22" t="s">
        <v>1118</v>
      </c>
      <c r="Z167" s="22" t="s">
        <v>992</v>
      </c>
      <c r="AA167" s="22" t="s">
        <v>1119</v>
      </c>
      <c r="AC167" s="22" t="s">
        <v>328</v>
      </c>
      <c r="AD167" s="27" t="s">
        <v>71</v>
      </c>
      <c r="AE167" s="22" t="s">
        <v>350</v>
      </c>
      <c r="AF167" s="34"/>
      <c r="AG167" s="34"/>
    </row>
    <row r="168" spans="1:33" ht="31">
      <c r="A168" s="51" t="s">
        <v>988</v>
      </c>
      <c r="B168" s="51" t="s">
        <v>1120</v>
      </c>
      <c r="C168" s="22" t="s">
        <v>1121</v>
      </c>
      <c r="D168" s="23" t="s">
        <v>1122</v>
      </c>
      <c r="E168" s="22" t="s">
        <v>49</v>
      </c>
      <c r="F168" s="22" t="s">
        <v>95</v>
      </c>
      <c r="G168" s="22" t="s">
        <v>79</v>
      </c>
      <c r="H168" s="22" t="s">
        <v>126</v>
      </c>
      <c r="I168" s="22" t="s">
        <v>52</v>
      </c>
      <c r="J168" s="22" t="s">
        <v>53</v>
      </c>
      <c r="K168" s="22" t="s">
        <v>856</v>
      </c>
      <c r="L168" s="22" t="s">
        <v>55</v>
      </c>
      <c r="M168" s="22" t="s">
        <v>398</v>
      </c>
      <c r="N168" s="22" t="s">
        <v>59</v>
      </c>
      <c r="O168" s="22" t="s">
        <v>84</v>
      </c>
      <c r="P168" s="22" t="s">
        <v>108</v>
      </c>
      <c r="Q168" s="22" t="s">
        <v>60</v>
      </c>
      <c r="R168" s="25"/>
      <c r="S168" s="22" t="s">
        <v>61</v>
      </c>
      <c r="T168" s="22" t="s">
        <v>62</v>
      </c>
      <c r="U168" s="22" t="s">
        <v>63</v>
      </c>
      <c r="V168" s="22" t="s">
        <v>118</v>
      </c>
      <c r="W168" s="25"/>
      <c r="X168" s="26" t="s">
        <v>1123</v>
      </c>
      <c r="Y168" s="68" t="s">
        <v>936</v>
      </c>
      <c r="Z168" s="22" t="s">
        <v>766</v>
      </c>
      <c r="AA168" s="22" t="s">
        <v>937</v>
      </c>
      <c r="AC168" s="22" t="s">
        <v>328</v>
      </c>
      <c r="AD168" s="27" t="s">
        <v>71</v>
      </c>
      <c r="AE168" s="22" t="s">
        <v>350</v>
      </c>
      <c r="AF168" s="33" t="s">
        <v>1124</v>
      </c>
      <c r="AG168" s="33" t="s">
        <v>1125</v>
      </c>
    </row>
    <row r="169" spans="1:33" ht="46.5">
      <c r="A169" s="51" t="s">
        <v>988</v>
      </c>
      <c r="B169" s="51" t="s">
        <v>1126</v>
      </c>
      <c r="C169" s="22" t="s">
        <v>1127</v>
      </c>
      <c r="D169" s="23" t="s">
        <v>1128</v>
      </c>
      <c r="E169" s="22" t="s">
        <v>49</v>
      </c>
      <c r="F169" s="22" t="s">
        <v>95</v>
      </c>
      <c r="G169" s="22" t="s">
        <v>79</v>
      </c>
      <c r="H169" s="22" t="s">
        <v>126</v>
      </c>
      <c r="I169" s="22" t="s">
        <v>52</v>
      </c>
      <c r="J169" s="22" t="s">
        <v>53</v>
      </c>
      <c r="K169" s="22" t="s">
        <v>144</v>
      </c>
      <c r="L169" s="22" t="s">
        <v>55</v>
      </c>
      <c r="M169" s="22" t="s">
        <v>56</v>
      </c>
      <c r="N169" s="22" t="s">
        <v>59</v>
      </c>
      <c r="O169" s="22" t="s">
        <v>84</v>
      </c>
      <c r="P169" s="22" t="s">
        <v>348</v>
      </c>
      <c r="Q169" s="22" t="s">
        <v>60</v>
      </c>
      <c r="R169" s="25"/>
      <c r="S169" s="22" t="s">
        <v>61</v>
      </c>
      <c r="T169" s="22" t="s">
        <v>62</v>
      </c>
      <c r="U169" s="22" t="s">
        <v>63</v>
      </c>
      <c r="V169" s="22" t="s">
        <v>64</v>
      </c>
      <c r="W169" s="25"/>
      <c r="X169" s="26" t="s">
        <v>1129</v>
      </c>
      <c r="Y169" s="68" t="s">
        <v>503</v>
      </c>
      <c r="Z169" s="22" t="s">
        <v>1130</v>
      </c>
      <c r="AA169" s="22" t="s">
        <v>1131</v>
      </c>
      <c r="AC169" s="22" t="s">
        <v>328</v>
      </c>
      <c r="AD169" s="27" t="s">
        <v>71</v>
      </c>
      <c r="AE169" s="22" t="s">
        <v>350</v>
      </c>
      <c r="AF169" s="34"/>
      <c r="AG169" s="34"/>
    </row>
    <row r="170" spans="1:33" ht="31">
      <c r="A170" s="51" t="s">
        <v>988</v>
      </c>
      <c r="B170" s="51" t="s">
        <v>1132</v>
      </c>
      <c r="C170" s="22" t="s">
        <v>806</v>
      </c>
      <c r="D170" s="23" t="s">
        <v>1133</v>
      </c>
      <c r="E170" s="22" t="s">
        <v>49</v>
      </c>
      <c r="F170" s="22" t="s">
        <v>50</v>
      </c>
      <c r="G170" s="22" t="s">
        <v>79</v>
      </c>
      <c r="H170" s="22" t="s">
        <v>126</v>
      </c>
      <c r="I170" s="22" t="s">
        <v>307</v>
      </c>
      <c r="J170" s="22" t="s">
        <v>53</v>
      </c>
      <c r="K170" s="22" t="s">
        <v>128</v>
      </c>
      <c r="L170" s="22" t="s">
        <v>53</v>
      </c>
      <c r="M170" s="22" t="s">
        <v>56</v>
      </c>
      <c r="N170" s="22" t="s">
        <v>59</v>
      </c>
      <c r="O170" s="22" t="s">
        <v>84</v>
      </c>
      <c r="P170" s="22" t="s">
        <v>85</v>
      </c>
      <c r="Q170" s="22" t="s">
        <v>60</v>
      </c>
      <c r="R170" s="25"/>
      <c r="S170" s="22" t="s">
        <v>61</v>
      </c>
      <c r="T170" s="22" t="s">
        <v>62</v>
      </c>
      <c r="U170" s="22" t="s">
        <v>63</v>
      </c>
      <c r="V170" s="22" t="s">
        <v>64</v>
      </c>
      <c r="W170" s="25"/>
      <c r="X170" s="26" t="s">
        <v>1134</v>
      </c>
      <c r="Y170" s="68" t="s">
        <v>288</v>
      </c>
      <c r="Z170" s="22" t="s">
        <v>570</v>
      </c>
      <c r="AA170" s="22" t="s">
        <v>416</v>
      </c>
      <c r="AC170" s="22" t="s">
        <v>328</v>
      </c>
      <c r="AD170" s="27" t="s">
        <v>71</v>
      </c>
      <c r="AE170" s="22" t="s">
        <v>350</v>
      </c>
      <c r="AF170" s="34"/>
      <c r="AG170" s="34"/>
    </row>
    <row r="171" spans="1:33" ht="46.5">
      <c r="A171" s="51" t="s">
        <v>988</v>
      </c>
      <c r="B171" s="51" t="s">
        <v>1135</v>
      </c>
      <c r="C171" s="22" t="s">
        <v>1136</v>
      </c>
      <c r="D171" s="23" t="s">
        <v>1137</v>
      </c>
      <c r="E171" s="22" t="s">
        <v>49</v>
      </c>
      <c r="F171" s="22" t="s">
        <v>50</v>
      </c>
      <c r="G171" s="22" t="s">
        <v>79</v>
      </c>
      <c r="H171" s="22" t="s">
        <v>169</v>
      </c>
      <c r="I171" s="22" t="s">
        <v>52</v>
      </c>
      <c r="J171" s="22" t="s">
        <v>53</v>
      </c>
      <c r="K171" s="22" t="s">
        <v>856</v>
      </c>
      <c r="L171" s="22" t="s">
        <v>55</v>
      </c>
      <c r="M171" s="22" t="s">
        <v>56</v>
      </c>
      <c r="N171" s="22" t="s">
        <v>348</v>
      </c>
      <c r="O171" s="22" t="s">
        <v>84</v>
      </c>
      <c r="P171" s="22" t="s">
        <v>57</v>
      </c>
      <c r="Q171" s="22" t="s">
        <v>63</v>
      </c>
      <c r="R171" s="25"/>
      <c r="S171" s="22" t="s">
        <v>61</v>
      </c>
      <c r="T171" s="22" t="s">
        <v>62</v>
      </c>
      <c r="U171" s="22" t="s">
        <v>63</v>
      </c>
      <c r="V171" s="22" t="s">
        <v>118</v>
      </c>
      <c r="W171" s="25"/>
      <c r="X171" s="26" t="s">
        <v>1138</v>
      </c>
      <c r="Y171" s="68" t="s">
        <v>496</v>
      </c>
      <c r="Z171" s="22" t="s">
        <v>416</v>
      </c>
      <c r="AA171" s="22" t="s">
        <v>719</v>
      </c>
      <c r="AC171" s="22" t="s">
        <v>328</v>
      </c>
      <c r="AD171" s="27" t="s">
        <v>71</v>
      </c>
      <c r="AE171" s="22" t="s">
        <v>350</v>
      </c>
      <c r="AF171" s="34"/>
      <c r="AG171" s="34"/>
    </row>
    <row r="172" spans="1:33" ht="46.5">
      <c r="A172" s="51" t="s">
        <v>988</v>
      </c>
      <c r="B172" s="51" t="s">
        <v>1139</v>
      </c>
      <c r="C172" s="22" t="s">
        <v>1140</v>
      </c>
      <c r="D172" s="23" t="s">
        <v>1141</v>
      </c>
      <c r="E172" s="22" t="s">
        <v>49</v>
      </c>
      <c r="F172" s="22" t="s">
        <v>50</v>
      </c>
      <c r="G172" s="22" t="s">
        <v>79</v>
      </c>
      <c r="H172" s="22" t="s">
        <v>126</v>
      </c>
      <c r="I172" s="22" t="s">
        <v>52</v>
      </c>
      <c r="J172" s="22" t="s">
        <v>127</v>
      </c>
      <c r="K172" s="22" t="s">
        <v>82</v>
      </c>
      <c r="L172" s="22" t="s">
        <v>53</v>
      </c>
      <c r="M172" s="22" t="s">
        <v>56</v>
      </c>
      <c r="N172" s="22" t="s">
        <v>59</v>
      </c>
      <c r="O172" s="22" t="s">
        <v>84</v>
      </c>
      <c r="P172" s="22" t="s">
        <v>85</v>
      </c>
      <c r="Q172" s="22" t="s">
        <v>60</v>
      </c>
      <c r="R172" s="22" t="s">
        <v>183</v>
      </c>
      <c r="S172" s="22" t="s">
        <v>85</v>
      </c>
      <c r="T172" s="22" t="s">
        <v>62</v>
      </c>
      <c r="U172" s="22" t="s">
        <v>63</v>
      </c>
      <c r="V172" s="22" t="s">
        <v>64</v>
      </c>
      <c r="W172" s="25"/>
      <c r="X172" s="35" t="s">
        <v>1142</v>
      </c>
      <c r="Y172" s="68" t="s">
        <v>569</v>
      </c>
      <c r="Z172" s="22" t="s">
        <v>1143</v>
      </c>
      <c r="AA172" s="22" t="s">
        <v>1144</v>
      </c>
      <c r="AC172" s="22" t="s">
        <v>328</v>
      </c>
      <c r="AD172" s="27" t="s">
        <v>71</v>
      </c>
      <c r="AE172" s="22" t="s">
        <v>350</v>
      </c>
      <c r="AF172" s="33" t="s">
        <v>1145</v>
      </c>
      <c r="AG172" s="33" t="s">
        <v>1146</v>
      </c>
    </row>
    <row r="173" spans="1:33" ht="46.5">
      <c r="A173" s="51" t="s">
        <v>988</v>
      </c>
      <c r="B173" s="51" t="s">
        <v>1147</v>
      </c>
      <c r="C173" s="22" t="s">
        <v>1148</v>
      </c>
      <c r="D173" s="23" t="s">
        <v>1149</v>
      </c>
      <c r="E173" s="22" t="s">
        <v>49</v>
      </c>
      <c r="F173" s="22" t="s">
        <v>50</v>
      </c>
      <c r="G173" s="22" t="s">
        <v>79</v>
      </c>
      <c r="H173" s="22" t="s">
        <v>126</v>
      </c>
      <c r="I173" s="22" t="s">
        <v>307</v>
      </c>
      <c r="J173" s="22" t="s">
        <v>53</v>
      </c>
      <c r="K173" s="22" t="s">
        <v>144</v>
      </c>
      <c r="L173" s="22" t="s">
        <v>53</v>
      </c>
      <c r="M173" s="22" t="s">
        <v>56</v>
      </c>
      <c r="N173" s="22" t="s">
        <v>59</v>
      </c>
      <c r="O173" s="22" t="s">
        <v>84</v>
      </c>
      <c r="P173" s="22" t="s">
        <v>537</v>
      </c>
      <c r="Q173" s="22" t="s">
        <v>60</v>
      </c>
      <c r="R173" s="25"/>
      <c r="S173" s="22" t="s">
        <v>61</v>
      </c>
      <c r="T173" s="22" t="s">
        <v>62</v>
      </c>
      <c r="U173" s="22" t="s">
        <v>63</v>
      </c>
      <c r="V173" s="22" t="s">
        <v>118</v>
      </c>
      <c r="W173" s="25"/>
      <c r="X173" s="35" t="s">
        <v>1150</v>
      </c>
      <c r="Y173" s="68" t="s">
        <v>99</v>
      </c>
      <c r="Z173" s="22" t="s">
        <v>283</v>
      </c>
      <c r="AA173" s="22" t="s">
        <v>987</v>
      </c>
      <c r="AC173" s="22" t="s">
        <v>328</v>
      </c>
      <c r="AD173" s="27" t="s">
        <v>71</v>
      </c>
      <c r="AE173" s="22" t="s">
        <v>350</v>
      </c>
      <c r="AF173" s="34"/>
      <c r="AG173" s="34"/>
    </row>
    <row r="174" spans="1:33" ht="31">
      <c r="A174" s="51" t="s">
        <v>988</v>
      </c>
      <c r="B174" s="51" t="s">
        <v>1151</v>
      </c>
      <c r="C174" s="22" t="s">
        <v>1152</v>
      </c>
      <c r="D174" s="42" t="s">
        <v>1153</v>
      </c>
      <c r="E174" s="22" t="s">
        <v>49</v>
      </c>
      <c r="F174" s="22" t="s">
        <v>618</v>
      </c>
      <c r="G174" s="22" t="s">
        <v>79</v>
      </c>
      <c r="H174" s="22" t="s">
        <v>126</v>
      </c>
      <c r="I174" s="22" t="s">
        <v>52</v>
      </c>
      <c r="J174" s="22" t="s">
        <v>53</v>
      </c>
      <c r="K174" s="22" t="s">
        <v>170</v>
      </c>
      <c r="L174" s="22" t="s">
        <v>55</v>
      </c>
      <c r="M174" s="22" t="s">
        <v>398</v>
      </c>
      <c r="N174" s="22" t="s">
        <v>59</v>
      </c>
      <c r="O174" s="22" t="s">
        <v>84</v>
      </c>
      <c r="P174" s="22" t="s">
        <v>348</v>
      </c>
      <c r="Q174" s="22" t="s">
        <v>203</v>
      </c>
      <c r="R174" s="25"/>
      <c r="S174" s="22" t="s">
        <v>61</v>
      </c>
      <c r="T174" s="22" t="s">
        <v>62</v>
      </c>
      <c r="U174" s="22" t="s">
        <v>63</v>
      </c>
      <c r="V174" s="22" t="s">
        <v>64</v>
      </c>
      <c r="W174" s="25"/>
      <c r="X174" s="69" t="s">
        <v>1154</v>
      </c>
      <c r="Y174" s="68" t="s">
        <v>67</v>
      </c>
      <c r="Z174" s="22" t="s">
        <v>959</v>
      </c>
      <c r="AA174" s="22" t="s">
        <v>1155</v>
      </c>
      <c r="AC174" s="22" t="s">
        <v>70</v>
      </c>
      <c r="AD174" s="27" t="s">
        <v>71</v>
      </c>
      <c r="AE174" s="22" t="s">
        <v>350</v>
      </c>
      <c r="AF174" s="33" t="s">
        <v>1156</v>
      </c>
      <c r="AG174" s="33" t="s">
        <v>1157</v>
      </c>
    </row>
    <row r="175" spans="1:33" ht="46.5">
      <c r="A175" s="51" t="s">
        <v>988</v>
      </c>
      <c r="B175" s="51" t="s">
        <v>1158</v>
      </c>
      <c r="C175" s="22" t="s">
        <v>1159</v>
      </c>
      <c r="D175" s="42" t="s">
        <v>1160</v>
      </c>
      <c r="E175" s="22" t="s">
        <v>49</v>
      </c>
      <c r="F175" s="22" t="s">
        <v>95</v>
      </c>
      <c r="G175" s="22" t="s">
        <v>49</v>
      </c>
      <c r="H175" s="22" t="s">
        <v>126</v>
      </c>
      <c r="I175" s="22" t="s">
        <v>52</v>
      </c>
      <c r="J175" s="22" t="s">
        <v>53</v>
      </c>
      <c r="K175" s="22" t="s">
        <v>170</v>
      </c>
      <c r="L175" s="22" t="s">
        <v>55</v>
      </c>
      <c r="M175" s="22" t="s">
        <v>398</v>
      </c>
      <c r="N175" s="22" t="s">
        <v>59</v>
      </c>
      <c r="O175" s="22" t="s">
        <v>84</v>
      </c>
      <c r="P175" s="22" t="s">
        <v>348</v>
      </c>
      <c r="Q175" s="22" t="s">
        <v>60</v>
      </c>
      <c r="R175" s="25"/>
      <c r="S175" s="22" t="s">
        <v>61</v>
      </c>
      <c r="T175" s="22" t="s">
        <v>62</v>
      </c>
      <c r="U175" s="22" t="s">
        <v>63</v>
      </c>
      <c r="V175" s="22" t="s">
        <v>118</v>
      </c>
      <c r="W175" s="25"/>
      <c r="X175" s="68" t="s">
        <v>1154</v>
      </c>
      <c r="Y175" s="68" t="s">
        <v>248</v>
      </c>
      <c r="Z175" s="22" t="s">
        <v>1161</v>
      </c>
      <c r="AA175" s="22" t="s">
        <v>112</v>
      </c>
      <c r="AB175" s="22" t="s">
        <v>1162</v>
      </c>
      <c r="AC175" s="22" t="s">
        <v>70</v>
      </c>
      <c r="AD175" s="27" t="s">
        <v>71</v>
      </c>
      <c r="AE175" s="22" t="s">
        <v>350</v>
      </c>
      <c r="AF175" s="33" t="s">
        <v>1163</v>
      </c>
      <c r="AG175" s="70" t="s">
        <v>1164</v>
      </c>
    </row>
    <row r="176" spans="1:33" ht="31">
      <c r="A176" s="51" t="s">
        <v>988</v>
      </c>
      <c r="B176" s="51" t="s">
        <v>1165</v>
      </c>
      <c r="C176" s="22" t="s">
        <v>1166</v>
      </c>
      <c r="D176" s="23" t="s">
        <v>1167</v>
      </c>
      <c r="E176" s="22" t="s">
        <v>49</v>
      </c>
      <c r="F176" s="22" t="s">
        <v>50</v>
      </c>
      <c r="G176" s="22" t="s">
        <v>49</v>
      </c>
      <c r="H176" s="22" t="s">
        <v>51</v>
      </c>
      <c r="I176" s="22" t="s">
        <v>52</v>
      </c>
      <c r="J176" s="22" t="s">
        <v>127</v>
      </c>
      <c r="K176" s="22" t="s">
        <v>1168</v>
      </c>
      <c r="L176" s="22" t="s">
        <v>55</v>
      </c>
      <c r="M176" s="22" t="s">
        <v>398</v>
      </c>
      <c r="N176" s="22" t="s">
        <v>59</v>
      </c>
      <c r="O176" s="22" t="s">
        <v>84</v>
      </c>
      <c r="P176" s="22" t="s">
        <v>85</v>
      </c>
      <c r="Q176" s="22" t="s">
        <v>86</v>
      </c>
      <c r="R176" s="25"/>
      <c r="S176" s="22" t="s">
        <v>61</v>
      </c>
      <c r="T176" s="22" t="s">
        <v>62</v>
      </c>
      <c r="U176" s="22" t="s">
        <v>63</v>
      </c>
      <c r="V176" s="22" t="s">
        <v>64</v>
      </c>
      <c r="W176" s="25"/>
      <c r="X176" s="68" t="s">
        <v>543</v>
      </c>
      <c r="Y176" s="68" t="s">
        <v>67</v>
      </c>
      <c r="Z176" s="22" t="s">
        <v>1161</v>
      </c>
      <c r="AA176" s="22" t="s">
        <v>112</v>
      </c>
      <c r="AC176" s="22" t="s">
        <v>70</v>
      </c>
      <c r="AD176" s="27" t="s">
        <v>71</v>
      </c>
      <c r="AE176" s="22" t="s">
        <v>350</v>
      </c>
      <c r="AF176" s="33" t="s">
        <v>1169</v>
      </c>
      <c r="AG176" s="33" t="s">
        <v>1170</v>
      </c>
    </row>
    <row r="177" spans="1:33" ht="31">
      <c r="A177" s="51" t="s">
        <v>988</v>
      </c>
      <c r="B177" s="51" t="s">
        <v>1171</v>
      </c>
      <c r="C177" s="22" t="s">
        <v>1172</v>
      </c>
      <c r="D177" s="23" t="s">
        <v>1173</v>
      </c>
      <c r="E177" s="22" t="s">
        <v>49</v>
      </c>
      <c r="F177" s="22" t="s">
        <v>228</v>
      </c>
      <c r="G177" s="22" t="s">
        <v>49</v>
      </c>
      <c r="H177" s="22" t="s">
        <v>126</v>
      </c>
      <c r="I177" s="22" t="s">
        <v>307</v>
      </c>
      <c r="J177" s="22" t="s">
        <v>53</v>
      </c>
      <c r="K177" s="22" t="s">
        <v>128</v>
      </c>
      <c r="L177" s="22" t="s">
        <v>53</v>
      </c>
      <c r="M177" s="22" t="s">
        <v>398</v>
      </c>
      <c r="N177" s="22" t="s">
        <v>59</v>
      </c>
      <c r="O177" s="22" t="s">
        <v>84</v>
      </c>
      <c r="P177" s="22" t="s">
        <v>57</v>
      </c>
      <c r="Q177" s="22" t="s">
        <v>60</v>
      </c>
      <c r="R177" s="25"/>
      <c r="S177" s="22" t="s">
        <v>61</v>
      </c>
      <c r="T177" s="22" t="s">
        <v>62</v>
      </c>
      <c r="U177" s="22" t="s">
        <v>63</v>
      </c>
      <c r="V177" s="22" t="s">
        <v>64</v>
      </c>
      <c r="W177" s="25"/>
      <c r="X177" s="69" t="s">
        <v>654</v>
      </c>
      <c r="Y177" s="68" t="s">
        <v>1022</v>
      </c>
      <c r="Z177" s="22" t="s">
        <v>1174</v>
      </c>
      <c r="AA177" s="22" t="s">
        <v>1175</v>
      </c>
      <c r="AC177" s="22" t="s">
        <v>70</v>
      </c>
      <c r="AD177" s="27" t="s">
        <v>71</v>
      </c>
      <c r="AE177" s="22" t="s">
        <v>350</v>
      </c>
      <c r="AF177" s="34"/>
      <c r="AG177" s="34"/>
    </row>
    <row r="178" spans="1:33" ht="46.5">
      <c r="A178" s="51" t="s">
        <v>988</v>
      </c>
      <c r="B178" s="51" t="s">
        <v>1176</v>
      </c>
      <c r="C178" s="22" t="s">
        <v>1177</v>
      </c>
      <c r="D178" s="23" t="s">
        <v>1178</v>
      </c>
      <c r="E178" s="22" t="s">
        <v>49</v>
      </c>
      <c r="F178" s="22" t="s">
        <v>95</v>
      </c>
      <c r="G178" s="22" t="s">
        <v>79</v>
      </c>
      <c r="H178" s="22" t="s">
        <v>126</v>
      </c>
      <c r="I178" s="22" t="s">
        <v>81</v>
      </c>
      <c r="J178" s="22" t="s">
        <v>107</v>
      </c>
      <c r="K178" s="22" t="s">
        <v>144</v>
      </c>
      <c r="L178" s="22" t="s">
        <v>55</v>
      </c>
      <c r="M178" s="22" t="s">
        <v>398</v>
      </c>
      <c r="N178" s="22" t="s">
        <v>59</v>
      </c>
      <c r="O178" s="22" t="s">
        <v>84</v>
      </c>
      <c r="P178" s="22" t="s">
        <v>108</v>
      </c>
      <c r="Q178" s="22" t="s">
        <v>203</v>
      </c>
      <c r="R178" s="25"/>
      <c r="S178" s="22" t="s">
        <v>109</v>
      </c>
      <c r="T178" s="22" t="s">
        <v>62</v>
      </c>
      <c r="U178" s="22" t="s">
        <v>63</v>
      </c>
      <c r="V178" s="22" t="s">
        <v>64</v>
      </c>
      <c r="W178" s="25"/>
      <c r="X178" s="69" t="s">
        <v>864</v>
      </c>
      <c r="Y178" s="68" t="s">
        <v>503</v>
      </c>
      <c r="Z178" s="22" t="s">
        <v>1179</v>
      </c>
      <c r="AA178" s="22" t="s">
        <v>1180</v>
      </c>
      <c r="AC178" s="22" t="s">
        <v>70</v>
      </c>
      <c r="AD178" s="27" t="s">
        <v>71</v>
      </c>
      <c r="AE178" s="22" t="s">
        <v>350</v>
      </c>
      <c r="AF178" s="34"/>
      <c r="AG178" s="34"/>
    </row>
    <row r="179" spans="1:33" ht="46.5">
      <c r="A179" s="51" t="s">
        <v>988</v>
      </c>
      <c r="B179" s="51" t="s">
        <v>1181</v>
      </c>
      <c r="C179" s="22" t="s">
        <v>1182</v>
      </c>
      <c r="D179" s="23" t="s">
        <v>1183</v>
      </c>
      <c r="E179" s="22" t="s">
        <v>49</v>
      </c>
      <c r="F179" s="22" t="s">
        <v>50</v>
      </c>
      <c r="G179" s="22" t="s">
        <v>49</v>
      </c>
      <c r="H179" s="22" t="s">
        <v>126</v>
      </c>
      <c r="I179" s="22" t="s">
        <v>307</v>
      </c>
      <c r="J179" s="22" t="s">
        <v>127</v>
      </c>
      <c r="K179" s="22" t="s">
        <v>144</v>
      </c>
      <c r="L179" s="22" t="s">
        <v>53</v>
      </c>
      <c r="M179" s="22" t="s">
        <v>398</v>
      </c>
      <c r="N179" s="22" t="s">
        <v>59</v>
      </c>
      <c r="O179" s="22" t="s">
        <v>84</v>
      </c>
      <c r="P179" s="22" t="s">
        <v>537</v>
      </c>
      <c r="Q179" s="22" t="s">
        <v>60</v>
      </c>
      <c r="R179" s="25"/>
      <c r="S179" s="22" t="s">
        <v>85</v>
      </c>
      <c r="T179" s="22" t="s">
        <v>62</v>
      </c>
      <c r="U179" s="22" t="s">
        <v>515</v>
      </c>
      <c r="V179" s="22" t="s">
        <v>64</v>
      </c>
      <c r="W179" s="25"/>
      <c r="X179" s="68" t="s">
        <v>1154</v>
      </c>
      <c r="Y179" s="68" t="s">
        <v>496</v>
      </c>
      <c r="Z179" s="22" t="s">
        <v>1184</v>
      </c>
      <c r="AA179" s="22" t="s">
        <v>1185</v>
      </c>
      <c r="AC179" s="22" t="s">
        <v>70</v>
      </c>
      <c r="AD179" s="27" t="s">
        <v>71</v>
      </c>
      <c r="AE179" s="22" t="s">
        <v>350</v>
      </c>
      <c r="AF179" s="33" t="s">
        <v>1186</v>
      </c>
      <c r="AG179" s="33" t="s">
        <v>103</v>
      </c>
    </row>
    <row r="180" spans="1:33" ht="46.5">
      <c r="A180" s="51" t="s">
        <v>988</v>
      </c>
      <c r="B180" s="51" t="s">
        <v>1187</v>
      </c>
      <c r="C180" s="22" t="s">
        <v>1188</v>
      </c>
      <c r="D180" s="23" t="s">
        <v>1189</v>
      </c>
      <c r="E180" s="22" t="s">
        <v>49</v>
      </c>
      <c r="F180" s="22" t="s">
        <v>618</v>
      </c>
      <c r="G180" s="22" t="s">
        <v>79</v>
      </c>
      <c r="H180" s="22" t="s">
        <v>192</v>
      </c>
      <c r="I180" s="22" t="s">
        <v>81</v>
      </c>
      <c r="J180" s="22" t="s">
        <v>53</v>
      </c>
      <c r="K180" s="22" t="s">
        <v>54</v>
      </c>
      <c r="L180" s="22" t="s">
        <v>53</v>
      </c>
      <c r="M180" s="22" t="s">
        <v>56</v>
      </c>
      <c r="N180" s="22" t="s">
        <v>59</v>
      </c>
      <c r="O180" s="22" t="s">
        <v>84</v>
      </c>
      <c r="P180" s="22" t="s">
        <v>85</v>
      </c>
      <c r="Q180" s="22" t="s">
        <v>60</v>
      </c>
      <c r="R180" s="25"/>
      <c r="S180" s="22" t="s">
        <v>85</v>
      </c>
      <c r="T180" s="22" t="s">
        <v>62</v>
      </c>
      <c r="U180" s="22" t="s">
        <v>63</v>
      </c>
      <c r="V180" s="22" t="s">
        <v>64</v>
      </c>
      <c r="W180" s="25"/>
      <c r="X180" s="68" t="s">
        <v>1154</v>
      </c>
      <c r="Y180" s="68" t="s">
        <v>936</v>
      </c>
      <c r="Z180" s="22" t="s">
        <v>1190</v>
      </c>
      <c r="AA180" s="22" t="s">
        <v>1191</v>
      </c>
      <c r="AB180" s="22" t="s">
        <v>1192</v>
      </c>
      <c r="AC180" s="22" t="s">
        <v>70</v>
      </c>
      <c r="AD180" s="27" t="s">
        <v>71</v>
      </c>
      <c r="AE180" s="22" t="s">
        <v>478</v>
      </c>
      <c r="AF180" s="33" t="s">
        <v>1193</v>
      </c>
      <c r="AG180" s="33" t="s">
        <v>103</v>
      </c>
    </row>
    <row r="181" spans="1:33" ht="31">
      <c r="A181" s="51" t="s">
        <v>988</v>
      </c>
      <c r="B181" s="51" t="s">
        <v>1194</v>
      </c>
      <c r="C181" s="22" t="s">
        <v>1195</v>
      </c>
      <c r="D181" s="23" t="s">
        <v>1196</v>
      </c>
      <c r="E181" s="22" t="s">
        <v>53</v>
      </c>
      <c r="F181" s="22" t="s">
        <v>269</v>
      </c>
      <c r="G181" s="22" t="s">
        <v>79</v>
      </c>
      <c r="H181" s="22" t="s">
        <v>126</v>
      </c>
      <c r="I181" s="22" t="s">
        <v>52</v>
      </c>
      <c r="J181" s="22" t="s">
        <v>501</v>
      </c>
      <c r="K181" s="22" t="s">
        <v>170</v>
      </c>
      <c r="L181" s="22" t="s">
        <v>53</v>
      </c>
      <c r="M181" s="22" t="s">
        <v>56</v>
      </c>
      <c r="N181" s="22" t="s">
        <v>348</v>
      </c>
      <c r="O181" s="22" t="s">
        <v>84</v>
      </c>
      <c r="P181" s="22" t="s">
        <v>422</v>
      </c>
      <c r="Q181" s="22" t="s">
        <v>60</v>
      </c>
      <c r="R181" s="25"/>
      <c r="S181" s="22" t="s">
        <v>61</v>
      </c>
      <c r="T181" s="22" t="s">
        <v>62</v>
      </c>
      <c r="U181" s="22" t="s">
        <v>63</v>
      </c>
      <c r="V181" s="22" t="s">
        <v>118</v>
      </c>
      <c r="W181" s="25"/>
      <c r="X181" s="69" t="s">
        <v>1154</v>
      </c>
      <c r="Y181" s="68" t="s">
        <v>969</v>
      </c>
      <c r="Z181" s="22" t="s">
        <v>1197</v>
      </c>
      <c r="AA181" s="22" t="s">
        <v>1198</v>
      </c>
      <c r="AC181" s="22" t="s">
        <v>70</v>
      </c>
      <c r="AD181" s="27" t="s">
        <v>71</v>
      </c>
      <c r="AE181" s="22" t="s">
        <v>478</v>
      </c>
      <c r="AF181" s="33" t="s">
        <v>1199</v>
      </c>
      <c r="AG181" s="33" t="s">
        <v>103</v>
      </c>
    </row>
    <row r="182" spans="1:33" ht="46.5">
      <c r="A182" s="51" t="s">
        <v>988</v>
      </c>
      <c r="B182" s="51" t="s">
        <v>1200</v>
      </c>
      <c r="C182" s="22" t="s">
        <v>1201</v>
      </c>
      <c r="D182" s="23" t="s">
        <v>1202</v>
      </c>
      <c r="E182" s="22" t="s">
        <v>49</v>
      </c>
      <c r="F182" s="22" t="s">
        <v>95</v>
      </c>
      <c r="G182" s="22" t="s">
        <v>49</v>
      </c>
      <c r="H182" s="22" t="s">
        <v>126</v>
      </c>
      <c r="I182" s="22" t="s">
        <v>81</v>
      </c>
      <c r="J182" s="22" t="s">
        <v>107</v>
      </c>
      <c r="K182" s="22" t="s">
        <v>144</v>
      </c>
      <c r="L182" s="22" t="s">
        <v>53</v>
      </c>
      <c r="M182" s="22" t="s">
        <v>398</v>
      </c>
      <c r="N182" s="22" t="s">
        <v>59</v>
      </c>
      <c r="O182" s="22" t="s">
        <v>84</v>
      </c>
      <c r="P182" s="22" t="s">
        <v>294</v>
      </c>
      <c r="Q182" s="22" t="s">
        <v>60</v>
      </c>
      <c r="R182" s="25"/>
      <c r="S182" s="22" t="s">
        <v>85</v>
      </c>
      <c r="T182" s="22" t="s">
        <v>62</v>
      </c>
      <c r="U182" s="22" t="s">
        <v>63</v>
      </c>
      <c r="V182" s="22" t="s">
        <v>64</v>
      </c>
      <c r="W182" s="25"/>
      <c r="X182" s="68" t="s">
        <v>864</v>
      </c>
      <c r="Y182" s="68" t="s">
        <v>503</v>
      </c>
      <c r="Z182" s="22" t="s">
        <v>1203</v>
      </c>
      <c r="AA182" s="22" t="s">
        <v>434</v>
      </c>
      <c r="AC182" s="22" t="s">
        <v>70</v>
      </c>
      <c r="AD182" s="27" t="s">
        <v>71</v>
      </c>
      <c r="AE182" s="22" t="s">
        <v>478</v>
      </c>
      <c r="AF182" s="33" t="s">
        <v>1204</v>
      </c>
      <c r="AG182" s="33" t="s">
        <v>103</v>
      </c>
    </row>
    <row r="183" spans="1:33" ht="46.5">
      <c r="A183" s="51" t="s">
        <v>988</v>
      </c>
      <c r="B183" s="51" t="s">
        <v>1205</v>
      </c>
      <c r="C183" s="22" t="s">
        <v>1206</v>
      </c>
      <c r="D183" s="23" t="s">
        <v>1207</v>
      </c>
      <c r="E183" s="22" t="s">
        <v>49</v>
      </c>
      <c r="F183" s="22" t="s">
        <v>50</v>
      </c>
      <c r="G183" s="22" t="s">
        <v>49</v>
      </c>
      <c r="H183" s="22" t="s">
        <v>126</v>
      </c>
      <c r="I183" s="22" t="s">
        <v>221</v>
      </c>
      <c r="J183" s="22" t="s">
        <v>53</v>
      </c>
      <c r="K183" s="22" t="s">
        <v>144</v>
      </c>
      <c r="L183" s="22" t="s">
        <v>53</v>
      </c>
      <c r="M183" s="22" t="s">
        <v>398</v>
      </c>
      <c r="N183" s="22" t="s">
        <v>59</v>
      </c>
      <c r="O183" s="22" t="s">
        <v>490</v>
      </c>
      <c r="P183" s="22" t="s">
        <v>85</v>
      </c>
      <c r="Q183" s="22" t="s">
        <v>60</v>
      </c>
      <c r="R183" s="22" t="s">
        <v>238</v>
      </c>
      <c r="S183" s="22" t="s">
        <v>85</v>
      </c>
      <c r="T183" s="22" t="s">
        <v>62</v>
      </c>
      <c r="U183" s="22" t="s">
        <v>63</v>
      </c>
      <c r="V183" s="22" t="s">
        <v>64</v>
      </c>
      <c r="W183" s="25"/>
      <c r="X183" s="68" t="s">
        <v>842</v>
      </c>
      <c r="Y183" s="68" t="s">
        <v>195</v>
      </c>
      <c r="Z183" s="22" t="s">
        <v>1208</v>
      </c>
      <c r="AA183" s="22" t="s">
        <v>1209</v>
      </c>
      <c r="AC183" s="22" t="s">
        <v>70</v>
      </c>
      <c r="AD183" s="27" t="s">
        <v>71</v>
      </c>
      <c r="AE183" s="22" t="s">
        <v>478</v>
      </c>
      <c r="AF183" s="34"/>
      <c r="AG183" s="34"/>
    </row>
    <row r="184" spans="1:33" ht="46.5">
      <c r="A184" s="51" t="s">
        <v>988</v>
      </c>
      <c r="B184" s="51" t="s">
        <v>1210</v>
      </c>
      <c r="C184" s="22" t="s">
        <v>1211</v>
      </c>
      <c r="D184" s="23" t="s">
        <v>1212</v>
      </c>
      <c r="E184" s="22" t="s">
        <v>49</v>
      </c>
      <c r="F184" s="22" t="s">
        <v>95</v>
      </c>
      <c r="G184" s="22" t="s">
        <v>79</v>
      </c>
      <c r="H184" s="22" t="s">
        <v>51</v>
      </c>
      <c r="I184" s="22" t="s">
        <v>52</v>
      </c>
      <c r="J184" s="22" t="s">
        <v>127</v>
      </c>
      <c r="K184" s="22" t="s">
        <v>356</v>
      </c>
      <c r="L184" s="22" t="s">
        <v>55</v>
      </c>
      <c r="M184" s="22" t="s">
        <v>56</v>
      </c>
      <c r="N184" s="22" t="s">
        <v>59</v>
      </c>
      <c r="O184" s="22" t="s">
        <v>84</v>
      </c>
      <c r="P184" s="22" t="s">
        <v>85</v>
      </c>
      <c r="Q184" s="22" t="s">
        <v>60</v>
      </c>
      <c r="R184" s="22" t="s">
        <v>238</v>
      </c>
      <c r="S184" s="22" t="s">
        <v>85</v>
      </c>
      <c r="T184" s="22" t="s">
        <v>62</v>
      </c>
      <c r="U184" s="22" t="s">
        <v>515</v>
      </c>
      <c r="V184" s="22" t="s">
        <v>64</v>
      </c>
      <c r="W184" s="25"/>
      <c r="X184" s="68" t="s">
        <v>1213</v>
      </c>
      <c r="Y184" s="68" t="s">
        <v>99</v>
      </c>
      <c r="Z184" s="22" t="s">
        <v>1214</v>
      </c>
      <c r="AA184" s="22" t="s">
        <v>1215</v>
      </c>
      <c r="AC184" s="22" t="s">
        <v>70</v>
      </c>
      <c r="AD184" s="27" t="s">
        <v>71</v>
      </c>
      <c r="AE184" s="22" t="s">
        <v>478</v>
      </c>
      <c r="AF184" s="34"/>
      <c r="AG184" s="34"/>
    </row>
    <row r="185" spans="1:33" ht="46.5">
      <c r="A185" s="51" t="s">
        <v>988</v>
      </c>
      <c r="B185" s="51" t="s">
        <v>1216</v>
      </c>
      <c r="C185" s="22" t="s">
        <v>1217</v>
      </c>
      <c r="D185" s="23" t="s">
        <v>1218</v>
      </c>
      <c r="E185" s="22" t="s">
        <v>49</v>
      </c>
      <c r="F185" s="22" t="s">
        <v>95</v>
      </c>
      <c r="G185" s="22" t="s">
        <v>79</v>
      </c>
      <c r="H185" s="22" t="s">
        <v>192</v>
      </c>
      <c r="I185" s="22" t="s">
        <v>221</v>
      </c>
      <c r="J185" s="22" t="s">
        <v>53</v>
      </c>
      <c r="K185" s="22" t="s">
        <v>54</v>
      </c>
      <c r="L185" s="22" t="s">
        <v>53</v>
      </c>
      <c r="M185" s="22" t="s">
        <v>398</v>
      </c>
      <c r="N185" s="22" t="s">
        <v>59</v>
      </c>
      <c r="O185" s="22" t="s">
        <v>84</v>
      </c>
      <c r="P185" s="22" t="s">
        <v>85</v>
      </c>
      <c r="Q185" s="22" t="s">
        <v>60</v>
      </c>
      <c r="R185" s="22" t="s">
        <v>86</v>
      </c>
      <c r="S185" s="22" t="s">
        <v>85</v>
      </c>
      <c r="T185" s="22" t="s">
        <v>62</v>
      </c>
      <c r="U185" s="22" t="s">
        <v>63</v>
      </c>
      <c r="V185" s="22" t="s">
        <v>172</v>
      </c>
      <c r="W185" s="25"/>
      <c r="X185" s="71" t="s">
        <v>1219</v>
      </c>
      <c r="Y185" s="71" t="s">
        <v>99</v>
      </c>
      <c r="Z185" s="22" t="s">
        <v>1220</v>
      </c>
      <c r="AA185" s="22" t="s">
        <v>1214</v>
      </c>
      <c r="AC185" s="22" t="s">
        <v>70</v>
      </c>
      <c r="AD185" s="27" t="s">
        <v>71</v>
      </c>
      <c r="AE185" s="22" t="s">
        <v>478</v>
      </c>
      <c r="AF185" s="34"/>
      <c r="AG185" s="34"/>
    </row>
    <row r="186" spans="1:33" ht="46.5">
      <c r="A186" s="51" t="s">
        <v>988</v>
      </c>
      <c r="B186" s="51" t="s">
        <v>1221</v>
      </c>
      <c r="C186" s="22" t="s">
        <v>1222</v>
      </c>
      <c r="D186" s="23" t="s">
        <v>1223</v>
      </c>
      <c r="E186" s="22" t="s">
        <v>49</v>
      </c>
      <c r="F186" s="22" t="s">
        <v>269</v>
      </c>
      <c r="G186" s="22" t="s">
        <v>49</v>
      </c>
      <c r="H186" s="22" t="s">
        <v>126</v>
      </c>
      <c r="I186" s="22" t="s">
        <v>52</v>
      </c>
      <c r="J186" s="22" t="s">
        <v>53</v>
      </c>
      <c r="K186" s="22" t="s">
        <v>54</v>
      </c>
      <c r="L186" s="22" t="s">
        <v>55</v>
      </c>
      <c r="M186" s="22" t="s">
        <v>398</v>
      </c>
      <c r="N186" s="22" t="s">
        <v>59</v>
      </c>
      <c r="O186" s="22" t="s">
        <v>1224</v>
      </c>
      <c r="P186" s="22" t="s">
        <v>59</v>
      </c>
      <c r="Q186" s="22" t="s">
        <v>98</v>
      </c>
      <c r="R186" s="25"/>
      <c r="S186" s="22" t="s">
        <v>61</v>
      </c>
      <c r="T186" s="22" t="s">
        <v>62</v>
      </c>
      <c r="U186" s="22" t="s">
        <v>63</v>
      </c>
      <c r="V186" s="22" t="s">
        <v>64</v>
      </c>
      <c r="W186" s="25"/>
      <c r="X186" s="71" t="s">
        <v>1219</v>
      </c>
      <c r="Y186" s="71" t="s">
        <v>195</v>
      </c>
      <c r="Z186" s="22" t="s">
        <v>1225</v>
      </c>
      <c r="AA186" s="22" t="s">
        <v>1226</v>
      </c>
      <c r="AC186" s="22" t="s">
        <v>70</v>
      </c>
      <c r="AD186" s="27" t="s">
        <v>71</v>
      </c>
      <c r="AE186" s="22" t="s">
        <v>478</v>
      </c>
      <c r="AF186" s="33" t="s">
        <v>1227</v>
      </c>
      <c r="AG186" s="33" t="s">
        <v>103</v>
      </c>
    </row>
    <row r="187" spans="1:33" ht="46.5">
      <c r="A187" s="51" t="s">
        <v>988</v>
      </c>
      <c r="B187" s="51" t="s">
        <v>1228</v>
      </c>
      <c r="C187" s="22" t="s">
        <v>1229</v>
      </c>
      <c r="D187" s="23" t="s">
        <v>1230</v>
      </c>
      <c r="E187" s="22" t="s">
        <v>49</v>
      </c>
      <c r="F187" s="22" t="s">
        <v>50</v>
      </c>
      <c r="G187" s="22" t="s">
        <v>49</v>
      </c>
      <c r="H187" s="22" t="s">
        <v>126</v>
      </c>
      <c r="I187" s="22" t="s">
        <v>307</v>
      </c>
      <c r="J187" s="22" t="s">
        <v>53</v>
      </c>
      <c r="K187" s="22" t="s">
        <v>128</v>
      </c>
      <c r="L187" s="22" t="s">
        <v>53</v>
      </c>
      <c r="M187" s="22" t="s">
        <v>1231</v>
      </c>
      <c r="N187" s="22" t="s">
        <v>59</v>
      </c>
      <c r="O187" s="22" t="s">
        <v>84</v>
      </c>
      <c r="P187" s="22" t="s">
        <v>57</v>
      </c>
      <c r="Q187" s="22" t="s">
        <v>1232</v>
      </c>
      <c r="R187" s="22" t="s">
        <v>60</v>
      </c>
      <c r="S187" s="22" t="s">
        <v>61</v>
      </c>
      <c r="T187" s="22" t="s">
        <v>62</v>
      </c>
      <c r="U187" s="22" t="s">
        <v>63</v>
      </c>
      <c r="V187" s="22" t="s">
        <v>64</v>
      </c>
      <c r="W187" s="25"/>
      <c r="X187" s="71" t="s">
        <v>1233</v>
      </c>
      <c r="Y187" s="71" t="s">
        <v>925</v>
      </c>
      <c r="Z187" s="22" t="s">
        <v>1131</v>
      </c>
      <c r="AA187" s="22" t="s">
        <v>1234</v>
      </c>
      <c r="AC187" s="22" t="s">
        <v>70</v>
      </c>
      <c r="AD187" s="27" t="s">
        <v>71</v>
      </c>
      <c r="AE187" s="22" t="s">
        <v>478</v>
      </c>
      <c r="AF187" s="33" t="s">
        <v>1235</v>
      </c>
      <c r="AG187" s="33" t="s">
        <v>103</v>
      </c>
    </row>
    <row r="188" spans="1:33" ht="31">
      <c r="A188" s="51" t="s">
        <v>988</v>
      </c>
      <c r="B188" s="51" t="s">
        <v>1236</v>
      </c>
      <c r="C188" s="22" t="s">
        <v>1237</v>
      </c>
      <c r="D188" s="23" t="s">
        <v>1238</v>
      </c>
      <c r="E188" s="22" t="s">
        <v>49</v>
      </c>
      <c r="F188" s="22" t="s">
        <v>50</v>
      </c>
      <c r="G188" s="22" t="s">
        <v>49</v>
      </c>
      <c r="H188" s="22" t="s">
        <v>51</v>
      </c>
      <c r="I188" s="22" t="s">
        <v>81</v>
      </c>
      <c r="J188" s="22" t="s">
        <v>53</v>
      </c>
      <c r="K188" s="22" t="s">
        <v>82</v>
      </c>
      <c r="L188" s="22" t="s">
        <v>53</v>
      </c>
      <c r="M188" s="22" t="s">
        <v>398</v>
      </c>
      <c r="N188" s="22" t="s">
        <v>59</v>
      </c>
      <c r="O188" s="22" t="s">
        <v>84</v>
      </c>
      <c r="P188" s="22" t="s">
        <v>85</v>
      </c>
      <c r="Q188" s="22" t="s">
        <v>60</v>
      </c>
      <c r="R188" s="25"/>
      <c r="S188" s="22" t="s">
        <v>85</v>
      </c>
      <c r="T188" s="22" t="s">
        <v>62</v>
      </c>
      <c r="U188" s="22" t="s">
        <v>63</v>
      </c>
      <c r="V188" s="22" t="s">
        <v>64</v>
      </c>
      <c r="W188" s="25"/>
      <c r="X188" s="72" t="s">
        <v>1233</v>
      </c>
      <c r="Y188" s="71" t="s">
        <v>67</v>
      </c>
      <c r="Z188" s="22" t="s">
        <v>315</v>
      </c>
      <c r="AA188" s="22" t="s">
        <v>696</v>
      </c>
      <c r="AC188" s="22" t="s">
        <v>70</v>
      </c>
      <c r="AD188" s="27" t="s">
        <v>71</v>
      </c>
      <c r="AE188" s="22" t="s">
        <v>478</v>
      </c>
      <c r="AF188" s="33" t="s">
        <v>1239</v>
      </c>
      <c r="AG188" s="33" t="s">
        <v>103</v>
      </c>
    </row>
    <row r="189" spans="1:33" ht="46.5">
      <c r="A189" s="51" t="s">
        <v>988</v>
      </c>
      <c r="B189" s="51" t="s">
        <v>1240</v>
      </c>
      <c r="C189" s="22" t="s">
        <v>1241</v>
      </c>
      <c r="D189" s="23" t="s">
        <v>1242</v>
      </c>
      <c r="E189" s="22" t="s">
        <v>49</v>
      </c>
      <c r="F189" s="22" t="s">
        <v>50</v>
      </c>
      <c r="G189" s="22" t="s">
        <v>49</v>
      </c>
      <c r="H189" s="22" t="s">
        <v>1243</v>
      </c>
      <c r="I189" s="22" t="s">
        <v>81</v>
      </c>
      <c r="J189" s="22" t="s">
        <v>109</v>
      </c>
      <c r="K189" s="22" t="s">
        <v>128</v>
      </c>
      <c r="L189" s="22" t="s">
        <v>53</v>
      </c>
      <c r="M189" s="22" t="s">
        <v>398</v>
      </c>
      <c r="N189" s="22" t="s">
        <v>59</v>
      </c>
      <c r="O189" s="22" t="s">
        <v>84</v>
      </c>
      <c r="P189" s="22" t="s">
        <v>109</v>
      </c>
      <c r="Q189" s="22" t="s">
        <v>60</v>
      </c>
      <c r="R189" s="25"/>
      <c r="S189" s="22" t="s">
        <v>109</v>
      </c>
      <c r="T189" s="22" t="s">
        <v>62</v>
      </c>
      <c r="U189" s="22" t="s">
        <v>63</v>
      </c>
      <c r="V189" s="22" t="s">
        <v>64</v>
      </c>
      <c r="W189" s="25"/>
      <c r="X189" s="35" t="s">
        <v>1233</v>
      </c>
      <c r="Y189" s="22" t="s">
        <v>1022</v>
      </c>
      <c r="Z189" s="22" t="s">
        <v>1244</v>
      </c>
      <c r="AA189" s="22" t="s">
        <v>1245</v>
      </c>
      <c r="AC189" s="22" t="s">
        <v>475</v>
      </c>
      <c r="AD189" s="27" t="s">
        <v>71</v>
      </c>
      <c r="AE189" s="22" t="s">
        <v>478</v>
      </c>
      <c r="AF189" s="34"/>
      <c r="AG189" s="34"/>
    </row>
    <row r="190" spans="1:33" ht="46.5">
      <c r="A190" s="51" t="s">
        <v>988</v>
      </c>
      <c r="B190" s="51" t="s">
        <v>1246</v>
      </c>
      <c r="C190" s="22" t="s">
        <v>1247</v>
      </c>
      <c r="D190" s="23" t="s">
        <v>1248</v>
      </c>
      <c r="E190" s="22" t="s">
        <v>49</v>
      </c>
      <c r="F190" s="22" t="s">
        <v>78</v>
      </c>
      <c r="G190" s="22" t="s">
        <v>49</v>
      </c>
      <c r="H190" s="22" t="s">
        <v>126</v>
      </c>
      <c r="I190" s="22" t="s">
        <v>52</v>
      </c>
      <c r="J190" s="22" t="s">
        <v>53</v>
      </c>
      <c r="K190" s="22" t="s">
        <v>856</v>
      </c>
      <c r="L190" s="22" t="s">
        <v>55</v>
      </c>
      <c r="M190" s="22" t="s">
        <v>83</v>
      </c>
      <c r="N190" s="22" t="s">
        <v>59</v>
      </c>
      <c r="O190" s="22" t="s">
        <v>1224</v>
      </c>
      <c r="P190" s="22" t="s">
        <v>59</v>
      </c>
      <c r="Q190" s="22" t="s">
        <v>98</v>
      </c>
      <c r="R190" s="25"/>
      <c r="S190" s="22" t="s">
        <v>61</v>
      </c>
      <c r="T190" s="22" t="s">
        <v>62</v>
      </c>
      <c r="U190" s="22" t="s">
        <v>63</v>
      </c>
      <c r="V190" s="22" t="s">
        <v>64</v>
      </c>
      <c r="W190" s="25"/>
      <c r="X190" s="26" t="s">
        <v>1219</v>
      </c>
      <c r="Y190" s="22" t="s">
        <v>195</v>
      </c>
      <c r="Z190" s="22" t="s">
        <v>338</v>
      </c>
      <c r="AA190" s="22" t="s">
        <v>538</v>
      </c>
      <c r="AC190" s="22" t="s">
        <v>475</v>
      </c>
      <c r="AD190" s="27" t="s">
        <v>71</v>
      </c>
      <c r="AE190" s="22" t="s">
        <v>478</v>
      </c>
      <c r="AF190" s="34"/>
      <c r="AG190" s="34"/>
    </row>
    <row r="191" spans="1:33" ht="46.5">
      <c r="A191" s="51" t="s">
        <v>988</v>
      </c>
      <c r="B191" s="51" t="s">
        <v>1249</v>
      </c>
      <c r="C191" s="22" t="s">
        <v>1250</v>
      </c>
      <c r="D191" s="23" t="s">
        <v>1251</v>
      </c>
      <c r="E191" s="22" t="s">
        <v>49</v>
      </c>
      <c r="F191" s="22" t="s">
        <v>50</v>
      </c>
      <c r="G191" s="22" t="s">
        <v>49</v>
      </c>
      <c r="H191" s="22" t="s">
        <v>126</v>
      </c>
      <c r="I191" s="22" t="s">
        <v>81</v>
      </c>
      <c r="J191" s="22" t="s">
        <v>53</v>
      </c>
      <c r="K191" s="22" t="s">
        <v>144</v>
      </c>
      <c r="L191" s="22" t="s">
        <v>53</v>
      </c>
      <c r="M191" s="22" t="s">
        <v>398</v>
      </c>
      <c r="N191" s="22" t="s">
        <v>59</v>
      </c>
      <c r="O191" s="22" t="s">
        <v>84</v>
      </c>
      <c r="P191" s="22" t="s">
        <v>108</v>
      </c>
      <c r="Q191" s="22" t="s">
        <v>60</v>
      </c>
      <c r="R191" s="25"/>
      <c r="S191" s="22" t="s">
        <v>85</v>
      </c>
      <c r="T191" s="22" t="s">
        <v>62</v>
      </c>
      <c r="U191" s="22" t="s">
        <v>63</v>
      </c>
      <c r="V191" s="22" t="s">
        <v>64</v>
      </c>
      <c r="W191" s="25"/>
      <c r="X191" s="35" t="s">
        <v>1233</v>
      </c>
      <c r="Y191" s="22" t="s">
        <v>262</v>
      </c>
      <c r="Z191" s="22" t="s">
        <v>772</v>
      </c>
      <c r="AA191" s="22" t="s">
        <v>263</v>
      </c>
      <c r="AC191" s="22" t="s">
        <v>475</v>
      </c>
      <c r="AD191" s="27" t="s">
        <v>71</v>
      </c>
      <c r="AE191" s="22" t="s">
        <v>478</v>
      </c>
      <c r="AF191" s="33" t="s">
        <v>1252</v>
      </c>
      <c r="AG191" s="40" t="s">
        <v>352</v>
      </c>
    </row>
    <row r="192" spans="1:33" ht="46.5">
      <c r="A192" s="51" t="s">
        <v>988</v>
      </c>
      <c r="B192" s="51" t="s">
        <v>1253</v>
      </c>
      <c r="C192" s="22" t="s">
        <v>1254</v>
      </c>
      <c r="D192" s="23" t="s">
        <v>1255</v>
      </c>
      <c r="E192" s="22" t="s">
        <v>53</v>
      </c>
      <c r="F192" s="22" t="s">
        <v>95</v>
      </c>
      <c r="G192" s="22" t="s">
        <v>49</v>
      </c>
      <c r="H192" s="22" t="s">
        <v>51</v>
      </c>
      <c r="I192" s="22" t="s">
        <v>81</v>
      </c>
      <c r="J192" s="22" t="s">
        <v>53</v>
      </c>
      <c r="K192" s="22" t="s">
        <v>856</v>
      </c>
      <c r="L192" s="22" t="s">
        <v>53</v>
      </c>
      <c r="M192" s="22" t="s">
        <v>398</v>
      </c>
      <c r="N192" s="22" t="s">
        <v>59</v>
      </c>
      <c r="O192" s="22" t="s">
        <v>84</v>
      </c>
      <c r="P192" s="22" t="s">
        <v>85</v>
      </c>
      <c r="Q192" s="22" t="s">
        <v>60</v>
      </c>
      <c r="R192" s="25"/>
      <c r="S192" s="22" t="s">
        <v>85</v>
      </c>
      <c r="T192" s="22" t="s">
        <v>62</v>
      </c>
      <c r="U192" s="22" t="s">
        <v>63</v>
      </c>
      <c r="V192" s="22" t="s">
        <v>64</v>
      </c>
      <c r="W192" s="25"/>
      <c r="X192" s="35" t="s">
        <v>1233</v>
      </c>
      <c r="Y192" s="22" t="s">
        <v>936</v>
      </c>
      <c r="Z192" s="22" t="s">
        <v>1256</v>
      </c>
      <c r="AA192" s="22" t="s">
        <v>619</v>
      </c>
      <c r="AC192" s="22" t="s">
        <v>475</v>
      </c>
      <c r="AD192" s="27" t="s">
        <v>71</v>
      </c>
      <c r="AE192" s="22" t="s">
        <v>478</v>
      </c>
      <c r="AF192" s="33" t="s">
        <v>1257</v>
      </c>
      <c r="AG192" s="40" t="s">
        <v>352</v>
      </c>
    </row>
    <row r="193" spans="1:45" ht="46.5">
      <c r="A193" s="51" t="s">
        <v>988</v>
      </c>
      <c r="B193" s="51" t="s">
        <v>1258</v>
      </c>
      <c r="C193" s="22" t="s">
        <v>1259</v>
      </c>
      <c r="D193" s="23" t="s">
        <v>1260</v>
      </c>
      <c r="E193" s="22" t="s">
        <v>49</v>
      </c>
      <c r="F193" s="22" t="s">
        <v>228</v>
      </c>
      <c r="G193" s="22" t="s">
        <v>79</v>
      </c>
      <c r="H193" s="22" t="s">
        <v>51</v>
      </c>
      <c r="I193" s="22" t="s">
        <v>81</v>
      </c>
      <c r="J193" s="22" t="s">
        <v>53</v>
      </c>
      <c r="K193" s="22" t="s">
        <v>182</v>
      </c>
      <c r="L193" s="22" t="s">
        <v>53</v>
      </c>
      <c r="M193" s="22" t="s">
        <v>83</v>
      </c>
      <c r="N193" s="22" t="s">
        <v>59</v>
      </c>
      <c r="O193" s="22" t="s">
        <v>84</v>
      </c>
      <c r="P193" s="22" t="s">
        <v>85</v>
      </c>
      <c r="Q193" s="22" t="s">
        <v>60</v>
      </c>
      <c r="R193" s="25"/>
      <c r="S193" s="22" t="s">
        <v>85</v>
      </c>
      <c r="T193" s="22" t="s">
        <v>62</v>
      </c>
      <c r="U193" s="22" t="s">
        <v>63</v>
      </c>
      <c r="V193" s="22" t="s">
        <v>64</v>
      </c>
      <c r="W193" s="25"/>
      <c r="X193" s="35" t="s">
        <v>1219</v>
      </c>
      <c r="Y193" s="22" t="s">
        <v>67</v>
      </c>
      <c r="Z193" s="22" t="s">
        <v>1261</v>
      </c>
      <c r="AA193" s="22" t="s">
        <v>314</v>
      </c>
      <c r="AC193" s="22" t="s">
        <v>475</v>
      </c>
      <c r="AD193" s="27" t="s">
        <v>71</v>
      </c>
      <c r="AE193" s="22" t="s">
        <v>478</v>
      </c>
      <c r="AF193" s="34"/>
      <c r="AG193" s="34"/>
    </row>
    <row r="194" spans="1:45" ht="46.5">
      <c r="A194" s="51" t="s">
        <v>988</v>
      </c>
      <c r="B194" s="51" t="s">
        <v>1262</v>
      </c>
      <c r="C194" s="22" t="s">
        <v>1263</v>
      </c>
      <c r="D194" s="23" t="s">
        <v>1264</v>
      </c>
      <c r="E194" s="22" t="s">
        <v>49</v>
      </c>
      <c r="F194" s="22" t="s">
        <v>95</v>
      </c>
      <c r="G194" s="22" t="s">
        <v>49</v>
      </c>
      <c r="H194" s="22" t="s">
        <v>126</v>
      </c>
      <c r="I194" s="22" t="s">
        <v>221</v>
      </c>
      <c r="J194" s="22" t="s">
        <v>53</v>
      </c>
      <c r="K194" s="22" t="s">
        <v>170</v>
      </c>
      <c r="L194" s="22" t="s">
        <v>53</v>
      </c>
      <c r="M194" s="22" t="s">
        <v>83</v>
      </c>
      <c r="N194" s="22" t="s">
        <v>59</v>
      </c>
      <c r="O194" s="22" t="s">
        <v>84</v>
      </c>
      <c r="P194" s="22" t="s">
        <v>422</v>
      </c>
      <c r="Q194" s="22" t="s">
        <v>60</v>
      </c>
      <c r="R194" s="25"/>
      <c r="S194" s="22" t="s">
        <v>388</v>
      </c>
      <c r="T194" s="22" t="s">
        <v>62</v>
      </c>
      <c r="U194" s="22" t="s">
        <v>63</v>
      </c>
      <c r="V194" s="22" t="s">
        <v>64</v>
      </c>
      <c r="W194" s="25"/>
      <c r="X194" s="35" t="s">
        <v>1219</v>
      </c>
      <c r="Y194" s="22" t="s">
        <v>302</v>
      </c>
      <c r="Z194" s="22" t="s">
        <v>1265</v>
      </c>
      <c r="AA194" s="22" t="s">
        <v>303</v>
      </c>
      <c r="AC194" s="22" t="s">
        <v>475</v>
      </c>
      <c r="AD194" s="27" t="s">
        <v>71</v>
      </c>
      <c r="AE194" s="22" t="s">
        <v>478</v>
      </c>
      <c r="AF194" s="34"/>
      <c r="AG194" s="34"/>
    </row>
    <row r="195" spans="1:45" ht="46.5">
      <c r="A195" s="51" t="s">
        <v>988</v>
      </c>
      <c r="B195" s="51" t="s">
        <v>1266</v>
      </c>
      <c r="C195" s="22" t="s">
        <v>1267</v>
      </c>
      <c r="D195" s="23" t="s">
        <v>1268</v>
      </c>
      <c r="E195" s="22" t="s">
        <v>49</v>
      </c>
      <c r="F195" s="22" t="s">
        <v>50</v>
      </c>
      <c r="G195" s="22" t="s">
        <v>49</v>
      </c>
      <c r="H195" s="22" t="s">
        <v>126</v>
      </c>
      <c r="I195" s="22" t="s">
        <v>52</v>
      </c>
      <c r="J195" s="22" t="s">
        <v>53</v>
      </c>
      <c r="K195" s="22" t="s">
        <v>856</v>
      </c>
      <c r="L195" s="22" t="s">
        <v>53</v>
      </c>
      <c r="M195" s="22" t="s">
        <v>83</v>
      </c>
      <c r="N195" s="22" t="s">
        <v>348</v>
      </c>
      <c r="O195" s="22" t="s">
        <v>490</v>
      </c>
      <c r="P195" s="22" t="s">
        <v>59</v>
      </c>
      <c r="Q195" s="22" t="s">
        <v>153</v>
      </c>
      <c r="R195" s="25"/>
      <c r="S195" s="22" t="s">
        <v>61</v>
      </c>
      <c r="T195" s="22" t="s">
        <v>62</v>
      </c>
      <c r="U195" s="22" t="s">
        <v>63</v>
      </c>
      <c r="V195" s="22" t="s">
        <v>64</v>
      </c>
      <c r="W195" s="25"/>
      <c r="X195" s="35" t="s">
        <v>1269</v>
      </c>
      <c r="Y195" s="22" t="s">
        <v>146</v>
      </c>
      <c r="Z195" s="22" t="s">
        <v>233</v>
      </c>
      <c r="AA195" s="22" t="s">
        <v>1270</v>
      </c>
      <c r="AC195" s="22" t="s">
        <v>475</v>
      </c>
      <c r="AD195" s="27" t="s">
        <v>71</v>
      </c>
      <c r="AE195" s="22" t="s">
        <v>478</v>
      </c>
      <c r="AF195" s="34"/>
      <c r="AG195" s="34"/>
    </row>
    <row r="196" spans="1:45" ht="46.5">
      <c r="A196" s="51" t="s">
        <v>988</v>
      </c>
      <c r="B196" s="51" t="s">
        <v>1271</v>
      </c>
      <c r="C196" s="22" t="s">
        <v>1272</v>
      </c>
      <c r="D196" s="23" t="s">
        <v>1273</v>
      </c>
      <c r="E196" s="22" t="s">
        <v>49</v>
      </c>
      <c r="F196" s="22" t="s">
        <v>95</v>
      </c>
      <c r="G196" s="22" t="s">
        <v>49</v>
      </c>
      <c r="H196" s="22" t="s">
        <v>126</v>
      </c>
      <c r="I196" s="22" t="s">
        <v>307</v>
      </c>
      <c r="J196" s="22" t="s">
        <v>53</v>
      </c>
      <c r="K196" s="22" t="s">
        <v>144</v>
      </c>
      <c r="L196" s="22" t="s">
        <v>53</v>
      </c>
      <c r="M196" s="22" t="s">
        <v>83</v>
      </c>
      <c r="N196" s="22" t="s">
        <v>59</v>
      </c>
      <c r="O196" s="22" t="s">
        <v>84</v>
      </c>
      <c r="P196" s="22" t="s">
        <v>348</v>
      </c>
      <c r="Q196" s="22" t="s">
        <v>60</v>
      </c>
      <c r="R196" s="25"/>
      <c r="S196" s="22" t="s">
        <v>61</v>
      </c>
      <c r="T196" s="22" t="s">
        <v>62</v>
      </c>
      <c r="U196" s="22" t="s">
        <v>63</v>
      </c>
      <c r="V196" s="22" t="s">
        <v>64</v>
      </c>
      <c r="W196" s="25"/>
      <c r="X196" s="35" t="s">
        <v>1269</v>
      </c>
      <c r="Y196" s="22" t="s">
        <v>525</v>
      </c>
      <c r="Z196" s="22" t="s">
        <v>900</v>
      </c>
      <c r="AA196" s="22" t="s">
        <v>1274</v>
      </c>
      <c r="AC196" s="22" t="s">
        <v>475</v>
      </c>
      <c r="AD196" s="27" t="s">
        <v>71</v>
      </c>
      <c r="AE196" s="22" t="s">
        <v>478</v>
      </c>
      <c r="AF196" s="34"/>
      <c r="AG196" s="34"/>
    </row>
    <row r="197" spans="1:45" ht="31">
      <c r="A197" s="51" t="s">
        <v>988</v>
      </c>
      <c r="B197" s="51" t="s">
        <v>1275</v>
      </c>
      <c r="C197" s="56" t="s">
        <v>1276</v>
      </c>
      <c r="D197" s="57" t="s">
        <v>1277</v>
      </c>
      <c r="E197" s="56" t="s">
        <v>49</v>
      </c>
      <c r="F197" s="56" t="s">
        <v>95</v>
      </c>
      <c r="G197" s="56" t="s">
        <v>49</v>
      </c>
      <c r="H197" s="56" t="s">
        <v>126</v>
      </c>
      <c r="I197" s="56" t="s">
        <v>81</v>
      </c>
      <c r="J197" s="56" t="s">
        <v>53</v>
      </c>
      <c r="K197" s="56" t="s">
        <v>144</v>
      </c>
      <c r="L197" s="56" t="s">
        <v>53</v>
      </c>
      <c r="M197" s="56" t="s">
        <v>83</v>
      </c>
      <c r="N197" s="56" t="s">
        <v>537</v>
      </c>
      <c r="O197" s="56" t="s">
        <v>84</v>
      </c>
      <c r="P197" s="56" t="s">
        <v>85</v>
      </c>
      <c r="Q197" s="56" t="s">
        <v>153</v>
      </c>
      <c r="R197" s="56" t="s">
        <v>60</v>
      </c>
      <c r="S197" s="56" t="s">
        <v>537</v>
      </c>
      <c r="T197" s="56" t="s">
        <v>62</v>
      </c>
      <c r="U197" s="56" t="s">
        <v>63</v>
      </c>
      <c r="V197" s="56" t="s">
        <v>64</v>
      </c>
      <c r="W197" s="58"/>
      <c r="X197" s="73" t="s">
        <v>1269</v>
      </c>
      <c r="Y197" s="56" t="s">
        <v>357</v>
      </c>
      <c r="Z197" s="56" t="s">
        <v>1051</v>
      </c>
      <c r="AA197" s="56" t="s">
        <v>1052</v>
      </c>
      <c r="AB197" s="58"/>
      <c r="AC197" s="56" t="s">
        <v>475</v>
      </c>
      <c r="AD197" s="60" t="s">
        <v>71</v>
      </c>
      <c r="AE197" s="56" t="s">
        <v>478</v>
      </c>
      <c r="AF197" s="61"/>
      <c r="AG197" s="61"/>
      <c r="AH197" s="58"/>
      <c r="AI197" s="58"/>
      <c r="AJ197" s="58"/>
      <c r="AK197" s="58"/>
      <c r="AL197" s="58"/>
      <c r="AM197" s="58"/>
      <c r="AN197" s="58"/>
      <c r="AO197" s="58"/>
      <c r="AP197" s="58"/>
      <c r="AQ197" s="58"/>
      <c r="AR197" s="58"/>
      <c r="AS197" s="58"/>
    </row>
    <row r="198" spans="1:45" ht="31">
      <c r="A198" s="51" t="s">
        <v>988</v>
      </c>
      <c r="B198" s="51" t="s">
        <v>1278</v>
      </c>
      <c r="C198" s="22" t="s">
        <v>1279</v>
      </c>
      <c r="D198" s="23" t="s">
        <v>1280</v>
      </c>
      <c r="E198" s="22" t="s">
        <v>49</v>
      </c>
      <c r="F198" s="22" t="s">
        <v>95</v>
      </c>
      <c r="G198" s="22" t="s">
        <v>49</v>
      </c>
      <c r="H198" s="22" t="s">
        <v>126</v>
      </c>
      <c r="I198" s="22" t="s">
        <v>221</v>
      </c>
      <c r="J198" s="22" t="s">
        <v>53</v>
      </c>
      <c r="K198" s="22" t="s">
        <v>170</v>
      </c>
      <c r="L198" s="22" t="s">
        <v>53</v>
      </c>
      <c r="M198" s="22" t="s">
        <v>83</v>
      </c>
      <c r="N198" s="22" t="s">
        <v>59</v>
      </c>
      <c r="O198" s="22" t="s">
        <v>490</v>
      </c>
      <c r="P198" s="22" t="s">
        <v>422</v>
      </c>
      <c r="Q198" s="22" t="s">
        <v>60</v>
      </c>
      <c r="R198" s="25"/>
      <c r="S198" s="22" t="s">
        <v>388</v>
      </c>
      <c r="T198" s="22" t="s">
        <v>62</v>
      </c>
      <c r="U198" s="22" t="s">
        <v>63</v>
      </c>
      <c r="V198" s="22" t="s">
        <v>64</v>
      </c>
      <c r="W198" s="25"/>
      <c r="X198" s="35" t="s">
        <v>1219</v>
      </c>
      <c r="Y198" s="22" t="s">
        <v>213</v>
      </c>
      <c r="Z198" s="22" t="s">
        <v>303</v>
      </c>
      <c r="AA198" s="22" t="s">
        <v>613</v>
      </c>
      <c r="AC198" s="22" t="s">
        <v>475</v>
      </c>
      <c r="AD198" s="27" t="s">
        <v>71</v>
      </c>
      <c r="AE198" s="22" t="s">
        <v>72</v>
      </c>
      <c r="AF198" s="34"/>
      <c r="AG198" s="34"/>
    </row>
    <row r="199" spans="1:45" ht="46.5">
      <c r="A199" s="51" t="s">
        <v>988</v>
      </c>
      <c r="B199" s="51" t="s">
        <v>1281</v>
      </c>
      <c r="C199" s="22" t="s">
        <v>1282</v>
      </c>
      <c r="D199" s="23" t="s">
        <v>1283</v>
      </c>
      <c r="E199" s="22" t="s">
        <v>49</v>
      </c>
      <c r="F199" s="22" t="s">
        <v>95</v>
      </c>
      <c r="G199" s="22" t="s">
        <v>79</v>
      </c>
      <c r="H199" s="22" t="s">
        <v>51</v>
      </c>
      <c r="I199" s="22" t="s">
        <v>81</v>
      </c>
      <c r="J199" s="22" t="s">
        <v>53</v>
      </c>
      <c r="K199" s="22" t="s">
        <v>856</v>
      </c>
      <c r="L199" s="22" t="s">
        <v>53</v>
      </c>
      <c r="M199" s="22" t="s">
        <v>83</v>
      </c>
      <c r="N199" s="22" t="s">
        <v>59</v>
      </c>
      <c r="O199" s="22" t="s">
        <v>84</v>
      </c>
      <c r="P199" s="22" t="s">
        <v>85</v>
      </c>
      <c r="Q199" s="22" t="s">
        <v>60</v>
      </c>
      <c r="R199" s="25"/>
      <c r="S199" s="22" t="s">
        <v>85</v>
      </c>
      <c r="T199" s="22" t="s">
        <v>62</v>
      </c>
      <c r="U199" s="22" t="s">
        <v>63</v>
      </c>
      <c r="V199" s="22" t="s">
        <v>64</v>
      </c>
      <c r="W199" s="25"/>
      <c r="X199" s="35" t="s">
        <v>1219</v>
      </c>
      <c r="Y199" s="22" t="s">
        <v>590</v>
      </c>
      <c r="Z199" s="22" t="s">
        <v>1284</v>
      </c>
      <c r="AA199" s="22" t="s">
        <v>1285</v>
      </c>
      <c r="AC199" s="22" t="s">
        <v>475</v>
      </c>
      <c r="AD199" s="27" t="s">
        <v>71</v>
      </c>
      <c r="AE199" s="22" t="s">
        <v>72</v>
      </c>
      <c r="AF199" s="34"/>
      <c r="AG199" s="34"/>
    </row>
    <row r="200" spans="1:45" ht="46.5">
      <c r="A200" s="51" t="s">
        <v>988</v>
      </c>
      <c r="B200" s="51" t="s">
        <v>1286</v>
      </c>
      <c r="C200" s="22" t="s">
        <v>1287</v>
      </c>
      <c r="D200" s="23" t="s">
        <v>1288</v>
      </c>
      <c r="E200" s="22" t="s">
        <v>49</v>
      </c>
      <c r="F200" s="22" t="s">
        <v>78</v>
      </c>
      <c r="G200" s="22" t="s">
        <v>79</v>
      </c>
      <c r="H200" s="22" t="s">
        <v>126</v>
      </c>
      <c r="I200" s="22" t="s">
        <v>52</v>
      </c>
      <c r="J200" s="22" t="s">
        <v>53</v>
      </c>
      <c r="K200" s="22" t="s">
        <v>856</v>
      </c>
      <c r="L200" s="22" t="s">
        <v>55</v>
      </c>
      <c r="M200" s="22" t="s">
        <v>83</v>
      </c>
      <c r="N200" s="22" t="s">
        <v>59</v>
      </c>
      <c r="O200" s="22" t="s">
        <v>84</v>
      </c>
      <c r="P200" s="22" t="s">
        <v>348</v>
      </c>
      <c r="Q200" s="22" t="s">
        <v>60</v>
      </c>
      <c r="R200" s="22" t="s">
        <v>857</v>
      </c>
      <c r="S200" s="22" t="s">
        <v>61</v>
      </c>
      <c r="T200" s="22" t="s">
        <v>62</v>
      </c>
      <c r="U200" s="22" t="s">
        <v>63</v>
      </c>
      <c r="V200" s="22" t="s">
        <v>64</v>
      </c>
      <c r="W200" s="25"/>
      <c r="X200" s="35" t="s">
        <v>1269</v>
      </c>
      <c r="Y200" s="22" t="s">
        <v>204</v>
      </c>
      <c r="Z200" s="22" t="s">
        <v>1289</v>
      </c>
      <c r="AA200" s="22" t="s">
        <v>1290</v>
      </c>
      <c r="AC200" s="22" t="s">
        <v>475</v>
      </c>
      <c r="AD200" s="27" t="s">
        <v>71</v>
      </c>
      <c r="AE200" s="22" t="s">
        <v>72</v>
      </c>
      <c r="AF200" s="34"/>
      <c r="AG200" s="34"/>
    </row>
    <row r="201" spans="1:45" ht="46.5">
      <c r="A201" s="51" t="s">
        <v>988</v>
      </c>
      <c r="B201" s="51" t="s">
        <v>1291</v>
      </c>
      <c r="C201" s="7" t="s">
        <v>1292</v>
      </c>
      <c r="D201" s="42" t="s">
        <v>1293</v>
      </c>
      <c r="E201" s="7" t="s">
        <v>49</v>
      </c>
      <c r="F201" s="7" t="s">
        <v>50</v>
      </c>
      <c r="G201" s="7" t="s">
        <v>49</v>
      </c>
      <c r="H201" s="7" t="s">
        <v>126</v>
      </c>
      <c r="I201" s="7" t="s">
        <v>81</v>
      </c>
      <c r="J201" s="7" t="s">
        <v>107</v>
      </c>
      <c r="K201" s="7" t="s">
        <v>856</v>
      </c>
      <c r="L201" s="7" t="s">
        <v>53</v>
      </c>
      <c r="M201" s="7" t="s">
        <v>83</v>
      </c>
      <c r="N201" s="7" t="s">
        <v>59</v>
      </c>
      <c r="O201" s="7" t="s">
        <v>84</v>
      </c>
      <c r="P201" s="7" t="s">
        <v>85</v>
      </c>
      <c r="Q201" s="7" t="s">
        <v>60</v>
      </c>
      <c r="R201" s="7" t="s">
        <v>86</v>
      </c>
      <c r="S201" s="7" t="s">
        <v>85</v>
      </c>
      <c r="T201" s="7" t="s">
        <v>62</v>
      </c>
      <c r="U201" s="7" t="s">
        <v>63</v>
      </c>
      <c r="V201" s="7" t="s">
        <v>64</v>
      </c>
      <c r="W201" s="45"/>
      <c r="X201" s="74" t="s">
        <v>1269</v>
      </c>
      <c r="Y201" s="7" t="s">
        <v>162</v>
      </c>
      <c r="Z201" s="7" t="s">
        <v>1294</v>
      </c>
      <c r="AA201" s="7" t="s">
        <v>591</v>
      </c>
      <c r="AB201" s="45"/>
      <c r="AC201" s="7" t="s">
        <v>475</v>
      </c>
      <c r="AD201" s="75" t="s">
        <v>71</v>
      </c>
      <c r="AE201" s="7" t="s">
        <v>72</v>
      </c>
      <c r="AF201" s="36"/>
      <c r="AG201" s="36"/>
      <c r="AH201" s="45"/>
      <c r="AI201" s="45"/>
      <c r="AJ201" s="45"/>
      <c r="AK201" s="45"/>
      <c r="AL201" s="45"/>
      <c r="AM201" s="45"/>
      <c r="AN201" s="45"/>
      <c r="AO201" s="45"/>
      <c r="AP201" s="45"/>
      <c r="AQ201" s="45"/>
      <c r="AR201" s="45"/>
      <c r="AS201" s="45"/>
    </row>
    <row r="202" spans="1:45" ht="62">
      <c r="A202" s="51" t="s">
        <v>988</v>
      </c>
      <c r="B202" s="51" t="s">
        <v>1295</v>
      </c>
      <c r="C202" s="22" t="s">
        <v>1296</v>
      </c>
      <c r="D202" s="23" t="s">
        <v>1297</v>
      </c>
      <c r="E202" s="22" t="s">
        <v>49</v>
      </c>
      <c r="F202" s="22" t="s">
        <v>50</v>
      </c>
      <c r="G202" s="22" t="s">
        <v>79</v>
      </c>
      <c r="H202" s="22" t="s">
        <v>51</v>
      </c>
      <c r="I202" s="22" t="s">
        <v>81</v>
      </c>
      <c r="J202" s="22" t="s">
        <v>53</v>
      </c>
      <c r="K202" s="22" t="s">
        <v>856</v>
      </c>
      <c r="L202" s="22" t="s">
        <v>55</v>
      </c>
      <c r="M202" s="22" t="s">
        <v>83</v>
      </c>
      <c r="N202" s="22" t="s">
        <v>59</v>
      </c>
      <c r="O202" s="22" t="s">
        <v>490</v>
      </c>
      <c r="P202" s="22" t="s">
        <v>109</v>
      </c>
      <c r="Q202" s="22" t="s">
        <v>60</v>
      </c>
      <c r="R202" s="25"/>
      <c r="S202" s="22" t="s">
        <v>109</v>
      </c>
      <c r="T202" s="22" t="s">
        <v>62</v>
      </c>
      <c r="U202" s="22" t="s">
        <v>63</v>
      </c>
      <c r="V202" s="22" t="s">
        <v>64</v>
      </c>
      <c r="W202" s="25"/>
      <c r="X202" s="35" t="s">
        <v>1269</v>
      </c>
      <c r="Y202" s="22" t="s">
        <v>936</v>
      </c>
      <c r="Z202" s="22" t="s">
        <v>1298</v>
      </c>
      <c r="AA202" s="22" t="s">
        <v>938</v>
      </c>
      <c r="AC202" s="22" t="s">
        <v>475</v>
      </c>
      <c r="AD202" s="27" t="s">
        <v>71</v>
      </c>
      <c r="AE202" s="22" t="s">
        <v>72</v>
      </c>
      <c r="AF202" s="34"/>
      <c r="AG202" s="34"/>
    </row>
    <row r="203" spans="1:45" ht="46.5">
      <c r="A203" s="51" t="s">
        <v>988</v>
      </c>
      <c r="B203" s="51" t="s">
        <v>1299</v>
      </c>
      <c r="C203" s="22" t="s">
        <v>1300</v>
      </c>
      <c r="D203" s="23" t="s">
        <v>1301</v>
      </c>
      <c r="E203" s="22" t="s">
        <v>49</v>
      </c>
      <c r="F203" s="22" t="s">
        <v>50</v>
      </c>
      <c r="G203" s="22" t="s">
        <v>49</v>
      </c>
      <c r="H203" s="22" t="s">
        <v>169</v>
      </c>
      <c r="I203" s="22" t="s">
        <v>307</v>
      </c>
      <c r="J203" s="22" t="s">
        <v>53</v>
      </c>
      <c r="K203" s="22" t="s">
        <v>170</v>
      </c>
      <c r="L203" s="22" t="s">
        <v>53</v>
      </c>
      <c r="M203" s="22" t="s">
        <v>83</v>
      </c>
      <c r="N203" s="22" t="s">
        <v>59</v>
      </c>
      <c r="O203" s="22" t="s">
        <v>84</v>
      </c>
      <c r="P203" s="22" t="s">
        <v>348</v>
      </c>
      <c r="Q203" s="22" t="s">
        <v>60</v>
      </c>
      <c r="R203" s="25"/>
      <c r="S203" s="22" t="s">
        <v>61</v>
      </c>
      <c r="T203" s="22" t="s">
        <v>62</v>
      </c>
      <c r="U203" s="22" t="s">
        <v>63</v>
      </c>
      <c r="V203" s="22" t="s">
        <v>64</v>
      </c>
      <c r="W203" s="25"/>
      <c r="X203" s="35" t="s">
        <v>1219</v>
      </c>
      <c r="Y203" s="22" t="s">
        <v>120</v>
      </c>
      <c r="Z203" s="22" t="s">
        <v>1088</v>
      </c>
      <c r="AA203" s="22" t="s">
        <v>334</v>
      </c>
      <c r="AC203" s="22" t="s">
        <v>475</v>
      </c>
      <c r="AD203" s="27" t="s">
        <v>71</v>
      </c>
      <c r="AE203" s="22" t="s">
        <v>72</v>
      </c>
      <c r="AF203" s="34"/>
      <c r="AG203" s="34"/>
    </row>
    <row r="204" spans="1:45" ht="31">
      <c r="A204" s="51" t="s">
        <v>988</v>
      </c>
      <c r="B204" s="51" t="s">
        <v>1302</v>
      </c>
      <c r="C204" s="22" t="s">
        <v>1303</v>
      </c>
      <c r="D204" s="23" t="s">
        <v>1304</v>
      </c>
      <c r="E204" s="22" t="s">
        <v>49</v>
      </c>
      <c r="F204" s="22" t="s">
        <v>50</v>
      </c>
      <c r="G204" s="22" t="s">
        <v>49</v>
      </c>
      <c r="H204" s="22" t="s">
        <v>126</v>
      </c>
      <c r="I204" s="22" t="s">
        <v>81</v>
      </c>
      <c r="J204" s="22" t="s">
        <v>53</v>
      </c>
      <c r="K204" s="22" t="s">
        <v>144</v>
      </c>
      <c r="L204" s="22" t="s">
        <v>53</v>
      </c>
      <c r="M204" s="22" t="s">
        <v>398</v>
      </c>
      <c r="N204" s="22" t="s">
        <v>59</v>
      </c>
      <c r="O204" s="22" t="s">
        <v>84</v>
      </c>
      <c r="P204" s="22" t="s">
        <v>52</v>
      </c>
      <c r="Q204" s="22" t="s">
        <v>60</v>
      </c>
      <c r="R204" s="25"/>
      <c r="S204" s="22" t="s">
        <v>85</v>
      </c>
      <c r="T204" s="22" t="s">
        <v>62</v>
      </c>
      <c r="U204" s="22" t="s">
        <v>63</v>
      </c>
      <c r="V204" s="22" t="s">
        <v>64</v>
      </c>
      <c r="W204" s="25"/>
      <c r="X204" s="35" t="s">
        <v>1305</v>
      </c>
      <c r="Y204" s="22" t="s">
        <v>1306</v>
      </c>
      <c r="Z204" s="22" t="s">
        <v>964</v>
      </c>
      <c r="AA204" s="22" t="s">
        <v>1307</v>
      </c>
      <c r="AC204" s="22" t="s">
        <v>265</v>
      </c>
      <c r="AD204" s="27" t="s">
        <v>71</v>
      </c>
      <c r="AE204" s="22" t="s">
        <v>72</v>
      </c>
      <c r="AF204" s="34"/>
      <c r="AG204" s="34"/>
    </row>
    <row r="205" spans="1:45" ht="31">
      <c r="A205" s="51" t="s">
        <v>988</v>
      </c>
      <c r="B205" s="51" t="s">
        <v>1308</v>
      </c>
      <c r="C205" s="22" t="s">
        <v>1309</v>
      </c>
      <c r="D205" s="23" t="s">
        <v>1310</v>
      </c>
      <c r="E205" s="22" t="s">
        <v>49</v>
      </c>
      <c r="F205" s="22" t="s">
        <v>78</v>
      </c>
      <c r="G205" s="22" t="s">
        <v>49</v>
      </c>
      <c r="H205" s="22" t="s">
        <v>126</v>
      </c>
      <c r="I205" s="22" t="s">
        <v>52</v>
      </c>
      <c r="J205" s="22" t="s">
        <v>501</v>
      </c>
      <c r="K205" s="22" t="s">
        <v>144</v>
      </c>
      <c r="L205" s="22" t="s">
        <v>55</v>
      </c>
      <c r="M205" s="22" t="s">
        <v>1311</v>
      </c>
      <c r="N205" s="22" t="s">
        <v>59</v>
      </c>
      <c r="O205" s="22" t="s">
        <v>84</v>
      </c>
      <c r="P205" s="22" t="s">
        <v>348</v>
      </c>
      <c r="Q205" s="22" t="s">
        <v>130</v>
      </c>
      <c r="R205" s="25"/>
      <c r="S205" s="22" t="s">
        <v>61</v>
      </c>
      <c r="T205" s="22" t="s">
        <v>62</v>
      </c>
      <c r="U205" s="22" t="s">
        <v>63</v>
      </c>
      <c r="V205" s="22" t="s">
        <v>64</v>
      </c>
      <c r="W205" s="25"/>
      <c r="X205" s="26" t="s">
        <v>1312</v>
      </c>
      <c r="Y205" s="22" t="s">
        <v>1313</v>
      </c>
      <c r="Z205" s="22" t="s">
        <v>987</v>
      </c>
      <c r="AA205" s="22" t="s">
        <v>1314</v>
      </c>
      <c r="AC205" s="22" t="s">
        <v>265</v>
      </c>
      <c r="AD205" s="27" t="s">
        <v>71</v>
      </c>
      <c r="AE205" s="22" t="s">
        <v>72</v>
      </c>
      <c r="AF205" s="34"/>
      <c r="AG205" s="34"/>
    </row>
    <row r="206" spans="1:45" ht="31">
      <c r="A206" s="51" t="s">
        <v>988</v>
      </c>
      <c r="B206" s="51" t="s">
        <v>1315</v>
      </c>
      <c r="C206" s="22" t="s">
        <v>1316</v>
      </c>
      <c r="D206" s="23" t="s">
        <v>1317</v>
      </c>
      <c r="E206" s="22" t="s">
        <v>49</v>
      </c>
      <c r="F206" s="22" t="s">
        <v>618</v>
      </c>
      <c r="G206" s="22" t="s">
        <v>49</v>
      </c>
      <c r="H206" s="22" t="s">
        <v>51</v>
      </c>
      <c r="I206" s="22" t="s">
        <v>52</v>
      </c>
      <c r="J206" s="22" t="s">
        <v>127</v>
      </c>
      <c r="K206" s="22" t="s">
        <v>182</v>
      </c>
      <c r="L206" s="22" t="s">
        <v>53</v>
      </c>
      <c r="M206" s="22" t="s">
        <v>1311</v>
      </c>
      <c r="N206" s="22" t="s">
        <v>59</v>
      </c>
      <c r="O206" s="22" t="s">
        <v>84</v>
      </c>
      <c r="P206" s="22" t="s">
        <v>59</v>
      </c>
      <c r="Q206" s="22" t="s">
        <v>183</v>
      </c>
      <c r="R206" s="25"/>
      <c r="S206" s="22" t="s">
        <v>61</v>
      </c>
      <c r="T206" s="22" t="s">
        <v>62</v>
      </c>
      <c r="U206" s="22" t="s">
        <v>63</v>
      </c>
      <c r="V206" s="22" t="s">
        <v>64</v>
      </c>
      <c r="W206" s="25"/>
      <c r="X206" s="26" t="s">
        <v>1312</v>
      </c>
      <c r="Y206" s="22" t="s">
        <v>414</v>
      </c>
      <c r="Z206" s="22" t="s">
        <v>696</v>
      </c>
      <c r="AA206" s="22" t="s">
        <v>320</v>
      </c>
      <c r="AC206" s="22" t="s">
        <v>265</v>
      </c>
      <c r="AD206" s="27" t="s">
        <v>71</v>
      </c>
      <c r="AE206" s="22" t="s">
        <v>72</v>
      </c>
      <c r="AF206" s="33" t="s">
        <v>1318</v>
      </c>
      <c r="AG206" s="33" t="s">
        <v>1319</v>
      </c>
    </row>
    <row r="207" spans="1:45" ht="46.5">
      <c r="A207" s="51" t="s">
        <v>988</v>
      </c>
      <c r="B207" s="51" t="s">
        <v>1320</v>
      </c>
      <c r="C207" s="22" t="s">
        <v>1321</v>
      </c>
      <c r="D207" s="23" t="s">
        <v>1322</v>
      </c>
      <c r="E207" s="22" t="s">
        <v>49</v>
      </c>
      <c r="F207" s="22" t="s">
        <v>50</v>
      </c>
      <c r="G207" s="22" t="s">
        <v>79</v>
      </c>
      <c r="H207" s="22" t="s">
        <v>51</v>
      </c>
      <c r="I207" s="22" t="s">
        <v>81</v>
      </c>
      <c r="J207" s="22" t="s">
        <v>53</v>
      </c>
      <c r="K207" s="22" t="s">
        <v>54</v>
      </c>
      <c r="L207" s="22" t="s">
        <v>53</v>
      </c>
      <c r="M207" s="22" t="s">
        <v>1311</v>
      </c>
      <c r="N207" s="22" t="s">
        <v>59</v>
      </c>
      <c r="O207" s="22" t="s">
        <v>84</v>
      </c>
      <c r="P207" s="22" t="s">
        <v>85</v>
      </c>
      <c r="Q207" s="22" t="s">
        <v>60</v>
      </c>
      <c r="R207" s="25"/>
      <c r="S207" s="22" t="s">
        <v>85</v>
      </c>
      <c r="T207" s="22" t="s">
        <v>62</v>
      </c>
      <c r="U207" s="22" t="s">
        <v>63</v>
      </c>
      <c r="V207" s="22" t="s">
        <v>64</v>
      </c>
      <c r="W207" s="25"/>
      <c r="X207" s="26" t="s">
        <v>1312</v>
      </c>
      <c r="Y207" s="22" t="s">
        <v>1323</v>
      </c>
      <c r="Z207" s="22" t="s">
        <v>1023</v>
      </c>
      <c r="AA207" s="22" t="s">
        <v>1324</v>
      </c>
      <c r="AC207" s="22" t="s">
        <v>265</v>
      </c>
      <c r="AD207" s="27" t="s">
        <v>71</v>
      </c>
      <c r="AE207" s="22" t="s">
        <v>72</v>
      </c>
      <c r="AF207" s="34"/>
      <c r="AG207" s="34"/>
    </row>
    <row r="208" spans="1:45" ht="31">
      <c r="A208" s="51" t="s">
        <v>988</v>
      </c>
      <c r="B208" s="51" t="s">
        <v>1325</v>
      </c>
      <c r="C208" s="22" t="s">
        <v>1326</v>
      </c>
      <c r="D208" s="23" t="s">
        <v>1327</v>
      </c>
      <c r="E208" s="22" t="s">
        <v>53</v>
      </c>
      <c r="F208" s="22" t="s">
        <v>269</v>
      </c>
      <c r="G208" s="22" t="s">
        <v>49</v>
      </c>
      <c r="H208" s="22" t="s">
        <v>126</v>
      </c>
      <c r="I208" s="22" t="s">
        <v>81</v>
      </c>
      <c r="J208" s="22" t="s">
        <v>53</v>
      </c>
      <c r="K208" s="22" t="s">
        <v>170</v>
      </c>
      <c r="L208" s="22" t="s">
        <v>53</v>
      </c>
      <c r="M208" s="22" t="s">
        <v>1311</v>
      </c>
      <c r="N208" s="22" t="s">
        <v>59</v>
      </c>
      <c r="O208" s="22" t="s">
        <v>84</v>
      </c>
      <c r="P208" s="22" t="s">
        <v>422</v>
      </c>
      <c r="Q208" s="22" t="s">
        <v>423</v>
      </c>
      <c r="R208" s="25"/>
      <c r="S208" s="22" t="s">
        <v>294</v>
      </c>
      <c r="T208" s="22" t="s">
        <v>62</v>
      </c>
      <c r="U208" s="22" t="s">
        <v>63</v>
      </c>
      <c r="V208" s="22" t="s">
        <v>64</v>
      </c>
      <c r="W208" s="25"/>
      <c r="X208" s="26" t="s">
        <v>1312</v>
      </c>
      <c r="Y208" s="22" t="s">
        <v>1328</v>
      </c>
      <c r="Z208" s="22" t="s">
        <v>1329</v>
      </c>
      <c r="AA208" s="22" t="s">
        <v>544</v>
      </c>
      <c r="AC208" s="22" t="s">
        <v>265</v>
      </c>
      <c r="AD208" s="27" t="s">
        <v>71</v>
      </c>
      <c r="AE208" s="22" t="s">
        <v>72</v>
      </c>
      <c r="AF208" s="34"/>
      <c r="AG208" s="34"/>
    </row>
    <row r="209" spans="1:33" ht="62">
      <c r="A209" s="51" t="s">
        <v>988</v>
      </c>
      <c r="B209" s="51" t="s">
        <v>1330</v>
      </c>
      <c r="C209" s="22" t="s">
        <v>1331</v>
      </c>
      <c r="D209" s="23" t="s">
        <v>1332</v>
      </c>
      <c r="E209" s="22" t="s">
        <v>49</v>
      </c>
      <c r="F209" s="22" t="s">
        <v>50</v>
      </c>
      <c r="G209" s="22" t="s">
        <v>79</v>
      </c>
      <c r="H209" s="22" t="s">
        <v>51</v>
      </c>
      <c r="I209" s="22" t="s">
        <v>307</v>
      </c>
      <c r="J209" s="22" t="s">
        <v>501</v>
      </c>
      <c r="K209" s="22" t="s">
        <v>144</v>
      </c>
      <c r="L209" s="22" t="s">
        <v>53</v>
      </c>
      <c r="M209" s="22" t="s">
        <v>56</v>
      </c>
      <c r="N209" s="22" t="s">
        <v>59</v>
      </c>
      <c r="O209" s="22" t="s">
        <v>84</v>
      </c>
      <c r="P209" s="22" t="s">
        <v>85</v>
      </c>
      <c r="Q209" s="22" t="s">
        <v>60</v>
      </c>
      <c r="R209" s="25"/>
      <c r="S209" s="22" t="s">
        <v>388</v>
      </c>
      <c r="T209" s="22" t="s">
        <v>62</v>
      </c>
      <c r="U209" s="22" t="s">
        <v>63</v>
      </c>
      <c r="V209" s="22" t="s">
        <v>64</v>
      </c>
      <c r="W209" s="25"/>
      <c r="X209" s="26" t="s">
        <v>161</v>
      </c>
      <c r="Y209" s="22" t="s">
        <v>424</v>
      </c>
      <c r="Z209" s="22" t="s">
        <v>1333</v>
      </c>
      <c r="AA209" s="22" t="s">
        <v>1334</v>
      </c>
      <c r="AC209" s="22" t="s">
        <v>265</v>
      </c>
      <c r="AD209" s="27" t="s">
        <v>71</v>
      </c>
      <c r="AE209" s="22" t="s">
        <v>72</v>
      </c>
      <c r="AF209" s="34"/>
      <c r="AG209" s="34"/>
    </row>
    <row r="210" spans="1:33" ht="46.5">
      <c r="A210" s="51" t="s">
        <v>988</v>
      </c>
      <c r="B210" s="51" t="s">
        <v>1335</v>
      </c>
      <c r="C210" s="22" t="s">
        <v>1336</v>
      </c>
      <c r="D210" s="23" t="s">
        <v>1337</v>
      </c>
      <c r="E210" s="22" t="s">
        <v>49</v>
      </c>
      <c r="F210" s="22" t="s">
        <v>78</v>
      </c>
      <c r="G210" s="22" t="s">
        <v>49</v>
      </c>
      <c r="H210" s="22" t="s">
        <v>51</v>
      </c>
      <c r="I210" s="22" t="s">
        <v>81</v>
      </c>
      <c r="J210" s="22" t="s">
        <v>53</v>
      </c>
      <c r="K210" s="22" t="s">
        <v>144</v>
      </c>
      <c r="L210" s="22" t="s">
        <v>53</v>
      </c>
      <c r="M210" s="22" t="s">
        <v>83</v>
      </c>
      <c r="N210" s="22" t="s">
        <v>59</v>
      </c>
      <c r="O210" s="22" t="s">
        <v>84</v>
      </c>
      <c r="P210" s="22" t="s">
        <v>85</v>
      </c>
      <c r="Q210" s="22" t="s">
        <v>203</v>
      </c>
      <c r="R210" s="25"/>
      <c r="S210" s="22" t="s">
        <v>388</v>
      </c>
      <c r="T210" s="22" t="s">
        <v>62</v>
      </c>
      <c r="U210" s="22" t="s">
        <v>63</v>
      </c>
      <c r="V210" s="22" t="s">
        <v>64</v>
      </c>
      <c r="W210" s="25"/>
      <c r="X210" s="26" t="s">
        <v>1338</v>
      </c>
      <c r="Y210" s="22" t="s">
        <v>406</v>
      </c>
      <c r="Z210" s="22" t="s">
        <v>69</v>
      </c>
      <c r="AA210" s="22" t="s">
        <v>1339</v>
      </c>
      <c r="AC210" s="22" t="s">
        <v>265</v>
      </c>
      <c r="AD210" s="27" t="s">
        <v>71</v>
      </c>
      <c r="AE210" s="22" t="s">
        <v>72</v>
      </c>
      <c r="AF210" s="34"/>
      <c r="AG210" s="34"/>
    </row>
    <row r="211" spans="1:33" ht="46.5">
      <c r="A211" s="51" t="s">
        <v>988</v>
      </c>
      <c r="B211" s="51" t="s">
        <v>1340</v>
      </c>
      <c r="C211" s="22" t="s">
        <v>1341</v>
      </c>
      <c r="D211" s="23" t="s">
        <v>1342</v>
      </c>
      <c r="E211" s="22" t="s">
        <v>49</v>
      </c>
      <c r="F211" s="22" t="s">
        <v>50</v>
      </c>
      <c r="G211" s="22" t="s">
        <v>49</v>
      </c>
      <c r="H211" s="22" t="s">
        <v>51</v>
      </c>
      <c r="I211" s="22" t="s">
        <v>52</v>
      </c>
      <c r="J211" s="22" t="s">
        <v>501</v>
      </c>
      <c r="K211" s="22" t="s">
        <v>82</v>
      </c>
      <c r="L211" s="22" t="s">
        <v>55</v>
      </c>
      <c r="M211" s="22" t="s">
        <v>83</v>
      </c>
      <c r="N211" s="22" t="s">
        <v>59</v>
      </c>
      <c r="O211" s="22" t="s">
        <v>84</v>
      </c>
      <c r="P211" s="22" t="s">
        <v>57</v>
      </c>
      <c r="Q211" s="22" t="s">
        <v>130</v>
      </c>
      <c r="R211" s="25"/>
      <c r="S211" s="22" t="s">
        <v>61</v>
      </c>
      <c r="T211" s="22" t="s">
        <v>62</v>
      </c>
      <c r="U211" s="22" t="s">
        <v>63</v>
      </c>
      <c r="V211" s="22" t="s">
        <v>64</v>
      </c>
      <c r="W211" s="25"/>
      <c r="X211" s="35" t="s">
        <v>1338</v>
      </c>
      <c r="Y211" s="22" t="s">
        <v>1323</v>
      </c>
      <c r="Z211" s="22" t="s">
        <v>591</v>
      </c>
      <c r="AA211" s="22" t="s">
        <v>964</v>
      </c>
      <c r="AC211" s="22" t="s">
        <v>265</v>
      </c>
      <c r="AD211" s="27" t="s">
        <v>71</v>
      </c>
      <c r="AE211" s="22" t="s">
        <v>72</v>
      </c>
      <c r="AF211" s="34"/>
      <c r="AG211" s="34"/>
    </row>
    <row r="212" spans="1:33" ht="46.5">
      <c r="A212" s="51" t="s">
        <v>988</v>
      </c>
      <c r="B212" s="51" t="s">
        <v>1343</v>
      </c>
      <c r="C212" s="22" t="s">
        <v>293</v>
      </c>
      <c r="D212" s="23" t="s">
        <v>1344</v>
      </c>
      <c r="E212" s="22" t="s">
        <v>53</v>
      </c>
      <c r="F212" s="22" t="s">
        <v>269</v>
      </c>
      <c r="G212" s="22" t="s">
        <v>49</v>
      </c>
      <c r="H212" s="22" t="s">
        <v>51</v>
      </c>
      <c r="I212" s="22" t="s">
        <v>81</v>
      </c>
      <c r="J212" s="22" t="s">
        <v>53</v>
      </c>
      <c r="K212" s="22" t="s">
        <v>144</v>
      </c>
      <c r="L212" s="22" t="s">
        <v>53</v>
      </c>
      <c r="M212" s="22" t="s">
        <v>1311</v>
      </c>
      <c r="N212" s="22" t="s">
        <v>59</v>
      </c>
      <c r="O212" s="22" t="s">
        <v>84</v>
      </c>
      <c r="P212" s="22" t="s">
        <v>293</v>
      </c>
      <c r="Q212" s="22" t="s">
        <v>183</v>
      </c>
      <c r="R212" s="25"/>
      <c r="S212" s="22" t="s">
        <v>294</v>
      </c>
      <c r="T212" s="22" t="s">
        <v>62</v>
      </c>
      <c r="U212" s="22" t="s">
        <v>63</v>
      </c>
      <c r="V212" s="22" t="s">
        <v>64</v>
      </c>
      <c r="X212" s="35" t="s">
        <v>1345</v>
      </c>
      <c r="Y212" s="22" t="s">
        <v>1346</v>
      </c>
      <c r="Z212" s="22" t="s">
        <v>1347</v>
      </c>
      <c r="AA212" s="22" t="s">
        <v>1348</v>
      </c>
      <c r="AC212" s="22" t="s">
        <v>265</v>
      </c>
      <c r="AD212" s="27" t="s">
        <v>71</v>
      </c>
      <c r="AE212" s="22" t="s">
        <v>72</v>
      </c>
      <c r="AF212" s="34"/>
      <c r="AG212" s="34"/>
    </row>
    <row r="213" spans="1:33" ht="31">
      <c r="A213" s="51" t="s">
        <v>988</v>
      </c>
      <c r="B213" s="51" t="s">
        <v>1349</v>
      </c>
      <c r="C213" s="22" t="s">
        <v>293</v>
      </c>
      <c r="D213" s="23" t="s">
        <v>1350</v>
      </c>
      <c r="E213" s="22" t="s">
        <v>53</v>
      </c>
      <c r="F213" s="22" t="s">
        <v>269</v>
      </c>
      <c r="G213" s="22" t="s">
        <v>53</v>
      </c>
      <c r="H213" s="22" t="s">
        <v>169</v>
      </c>
      <c r="I213" s="22" t="s">
        <v>81</v>
      </c>
      <c r="J213" s="22" t="s">
        <v>53</v>
      </c>
      <c r="K213" s="22" t="s">
        <v>170</v>
      </c>
      <c r="L213" s="22" t="s">
        <v>53</v>
      </c>
      <c r="M213" s="22" t="s">
        <v>1311</v>
      </c>
      <c r="N213" s="22" t="s">
        <v>59</v>
      </c>
      <c r="O213" s="22" t="s">
        <v>84</v>
      </c>
      <c r="P213" s="22" t="s">
        <v>293</v>
      </c>
      <c r="Q213" s="22" t="s">
        <v>183</v>
      </c>
      <c r="R213" s="25"/>
      <c r="S213" s="22" t="s">
        <v>388</v>
      </c>
      <c r="T213" s="22" t="s">
        <v>62</v>
      </c>
      <c r="U213" s="22" t="s">
        <v>63</v>
      </c>
      <c r="V213" s="22" t="s">
        <v>64</v>
      </c>
      <c r="W213" s="25"/>
      <c r="X213" s="26" t="s">
        <v>1312</v>
      </c>
      <c r="Y213" s="22" t="s">
        <v>1351</v>
      </c>
      <c r="Z213" s="22" t="s">
        <v>1352</v>
      </c>
      <c r="AA213" s="22" t="s">
        <v>1353</v>
      </c>
      <c r="AC213" s="22" t="s">
        <v>265</v>
      </c>
      <c r="AD213" s="27" t="s">
        <v>71</v>
      </c>
      <c r="AE213" s="22" t="s">
        <v>72</v>
      </c>
      <c r="AF213" s="33" t="s">
        <v>1354</v>
      </c>
      <c r="AG213" s="33" t="s">
        <v>1355</v>
      </c>
    </row>
    <row r="214" spans="1:33" ht="31">
      <c r="A214" s="51" t="s">
        <v>988</v>
      </c>
      <c r="B214" s="51" t="s">
        <v>1356</v>
      </c>
      <c r="C214" s="22" t="s">
        <v>1357</v>
      </c>
      <c r="D214" s="23" t="s">
        <v>1358</v>
      </c>
      <c r="E214" s="22" t="s">
        <v>53</v>
      </c>
      <c r="F214" s="22" t="s">
        <v>269</v>
      </c>
      <c r="G214" s="22" t="s">
        <v>58</v>
      </c>
      <c r="H214" s="22" t="s">
        <v>169</v>
      </c>
      <c r="I214" s="22" t="s">
        <v>221</v>
      </c>
      <c r="J214" s="22" t="s">
        <v>53</v>
      </c>
      <c r="K214" s="22" t="s">
        <v>170</v>
      </c>
      <c r="L214" s="22" t="s">
        <v>53</v>
      </c>
      <c r="M214" s="22" t="s">
        <v>912</v>
      </c>
      <c r="N214" s="22" t="s">
        <v>59</v>
      </c>
      <c r="O214" s="22" t="s">
        <v>1224</v>
      </c>
      <c r="P214" s="22" t="s">
        <v>293</v>
      </c>
      <c r="Q214" s="22" t="s">
        <v>60</v>
      </c>
      <c r="R214" s="25"/>
      <c r="S214" s="22" t="s">
        <v>388</v>
      </c>
      <c r="T214" s="22" t="s">
        <v>62</v>
      </c>
      <c r="U214" s="22" t="s">
        <v>63</v>
      </c>
      <c r="V214" s="22" t="s">
        <v>64</v>
      </c>
      <c r="W214" s="25"/>
      <c r="X214" s="35" t="s">
        <v>1359</v>
      </c>
      <c r="Y214" s="22" t="s">
        <v>1360</v>
      </c>
      <c r="Z214" s="22" t="s">
        <v>1361</v>
      </c>
      <c r="AA214" s="22" t="s">
        <v>1362</v>
      </c>
      <c r="AC214" s="22" t="s">
        <v>265</v>
      </c>
      <c r="AD214" s="27" t="s">
        <v>71</v>
      </c>
      <c r="AE214" s="22" t="s">
        <v>72</v>
      </c>
      <c r="AF214" s="34"/>
      <c r="AG214" s="34"/>
    </row>
    <row r="215" spans="1:33" ht="46.5">
      <c r="A215" s="51" t="s">
        <v>988</v>
      </c>
      <c r="B215" s="51" t="s">
        <v>1363</v>
      </c>
      <c r="C215" s="22" t="s">
        <v>1364</v>
      </c>
      <c r="D215" s="23" t="s">
        <v>1365</v>
      </c>
      <c r="E215" s="22" t="s">
        <v>53</v>
      </c>
      <c r="F215" s="22" t="s">
        <v>269</v>
      </c>
      <c r="G215" s="22" t="s">
        <v>49</v>
      </c>
      <c r="H215" s="22" t="s">
        <v>80</v>
      </c>
      <c r="I215" s="22" t="s">
        <v>81</v>
      </c>
      <c r="J215" s="22" t="s">
        <v>501</v>
      </c>
      <c r="K215" s="22" t="s">
        <v>96</v>
      </c>
      <c r="L215" s="22" t="s">
        <v>53</v>
      </c>
      <c r="M215" s="22" t="s">
        <v>1311</v>
      </c>
      <c r="N215" s="22" t="s">
        <v>59</v>
      </c>
      <c r="O215" s="22" t="s">
        <v>84</v>
      </c>
      <c r="P215" s="22" t="s">
        <v>85</v>
      </c>
      <c r="Q215" s="22" t="s">
        <v>60</v>
      </c>
      <c r="R215" s="25"/>
      <c r="S215" s="22" t="s">
        <v>388</v>
      </c>
      <c r="T215" s="22" t="s">
        <v>62</v>
      </c>
      <c r="U215" s="22" t="s">
        <v>63</v>
      </c>
      <c r="V215" s="22" t="s">
        <v>64</v>
      </c>
      <c r="W215" s="25"/>
      <c r="X215" s="35" t="s">
        <v>1359</v>
      </c>
      <c r="Y215" s="22" t="s">
        <v>1366</v>
      </c>
      <c r="Z215" s="22" t="s">
        <v>1367</v>
      </c>
      <c r="AA215" s="22" t="s">
        <v>1368</v>
      </c>
      <c r="AB215" s="22" t="s">
        <v>1369</v>
      </c>
      <c r="AC215" s="22" t="s">
        <v>265</v>
      </c>
      <c r="AD215" s="27" t="s">
        <v>71</v>
      </c>
      <c r="AE215" s="22" t="s">
        <v>72</v>
      </c>
      <c r="AF215" s="34"/>
      <c r="AG215" s="34"/>
    </row>
    <row r="216" spans="1:33" ht="46.5">
      <c r="A216" s="51" t="s">
        <v>988</v>
      </c>
      <c r="B216" s="51" t="s">
        <v>1370</v>
      </c>
      <c r="C216" s="22" t="s">
        <v>1371</v>
      </c>
      <c r="D216" s="23" t="s">
        <v>1372</v>
      </c>
      <c r="E216" s="22" t="s">
        <v>53</v>
      </c>
      <c r="F216" s="22" t="s">
        <v>269</v>
      </c>
      <c r="G216" s="22" t="s">
        <v>49</v>
      </c>
      <c r="H216" s="22" t="s">
        <v>51</v>
      </c>
      <c r="I216" s="22" t="s">
        <v>52</v>
      </c>
      <c r="J216" s="22" t="s">
        <v>501</v>
      </c>
      <c r="K216" s="22" t="s">
        <v>144</v>
      </c>
      <c r="L216" s="22" t="s">
        <v>55</v>
      </c>
      <c r="M216" s="22" t="s">
        <v>912</v>
      </c>
      <c r="N216" s="22" t="s">
        <v>59</v>
      </c>
      <c r="O216" s="22" t="s">
        <v>84</v>
      </c>
      <c r="P216" s="22" t="s">
        <v>422</v>
      </c>
      <c r="Q216" s="22" t="s">
        <v>60</v>
      </c>
      <c r="R216" s="25"/>
      <c r="S216" s="22" t="s">
        <v>388</v>
      </c>
      <c r="T216" s="22" t="s">
        <v>62</v>
      </c>
      <c r="U216" s="22" t="s">
        <v>63</v>
      </c>
      <c r="V216" s="22" t="s">
        <v>64</v>
      </c>
      <c r="W216" s="25"/>
      <c r="X216" s="35" t="s">
        <v>1359</v>
      </c>
      <c r="Y216" s="22" t="s">
        <v>1328</v>
      </c>
      <c r="Z216" s="22" t="s">
        <v>943</v>
      </c>
      <c r="AA216" s="22" t="s">
        <v>1373</v>
      </c>
      <c r="AC216" s="22" t="s">
        <v>265</v>
      </c>
      <c r="AD216" s="27" t="s">
        <v>71</v>
      </c>
      <c r="AE216" s="22" t="s">
        <v>73</v>
      </c>
      <c r="AF216" s="33" t="s">
        <v>1374</v>
      </c>
      <c r="AG216" s="33" t="s">
        <v>1375</v>
      </c>
    </row>
    <row r="217" spans="1:33" ht="46.5">
      <c r="A217" s="51" t="s">
        <v>988</v>
      </c>
      <c r="B217" s="51" t="s">
        <v>1376</v>
      </c>
      <c r="C217" s="22" t="s">
        <v>1377</v>
      </c>
      <c r="D217" s="23" t="s">
        <v>1378</v>
      </c>
      <c r="E217" s="22" t="s">
        <v>49</v>
      </c>
      <c r="F217" s="22" t="s">
        <v>50</v>
      </c>
      <c r="G217" s="22" t="s">
        <v>49</v>
      </c>
      <c r="H217" s="22" t="s">
        <v>51</v>
      </c>
      <c r="I217" s="22" t="s">
        <v>81</v>
      </c>
      <c r="J217" s="22" t="s">
        <v>107</v>
      </c>
      <c r="K217" s="22" t="s">
        <v>82</v>
      </c>
      <c r="L217" s="22" t="s">
        <v>53</v>
      </c>
      <c r="M217" s="22" t="s">
        <v>912</v>
      </c>
      <c r="N217" s="22" t="s">
        <v>59</v>
      </c>
      <c r="O217" s="22" t="s">
        <v>84</v>
      </c>
      <c r="P217" s="22" t="s">
        <v>108</v>
      </c>
      <c r="Q217" s="22" t="s">
        <v>60</v>
      </c>
      <c r="R217" s="25"/>
      <c r="S217" s="22" t="s">
        <v>85</v>
      </c>
      <c r="T217" s="22" t="s">
        <v>62</v>
      </c>
      <c r="U217" s="22" t="s">
        <v>63</v>
      </c>
      <c r="V217" s="22" t="s">
        <v>64</v>
      </c>
      <c r="W217" s="25"/>
      <c r="X217" s="26" t="s">
        <v>1379</v>
      </c>
      <c r="Y217" s="22" t="s">
        <v>390</v>
      </c>
      <c r="Z217" s="22" t="s">
        <v>1380</v>
      </c>
      <c r="AA217" s="22" t="s">
        <v>878</v>
      </c>
      <c r="AC217" s="22" t="s">
        <v>265</v>
      </c>
      <c r="AD217" s="27" t="s">
        <v>71</v>
      </c>
      <c r="AE217" s="22" t="s">
        <v>73</v>
      </c>
      <c r="AF217" s="66" t="s">
        <v>1381</v>
      </c>
      <c r="AG217" s="33" t="s">
        <v>1382</v>
      </c>
    </row>
    <row r="218" spans="1:33" ht="46.5">
      <c r="A218" s="51" t="s">
        <v>988</v>
      </c>
      <c r="B218" s="51" t="s">
        <v>1383</v>
      </c>
      <c r="C218" s="22" t="s">
        <v>1384</v>
      </c>
      <c r="D218" s="23" t="s">
        <v>1385</v>
      </c>
      <c r="E218" s="22" t="s">
        <v>49</v>
      </c>
      <c r="F218" s="22" t="s">
        <v>618</v>
      </c>
      <c r="G218" s="22" t="s">
        <v>49</v>
      </c>
      <c r="H218" s="22" t="s">
        <v>51</v>
      </c>
      <c r="I218" s="22" t="s">
        <v>81</v>
      </c>
      <c r="J218" s="22" t="s">
        <v>53</v>
      </c>
      <c r="K218" s="22" t="s">
        <v>96</v>
      </c>
      <c r="L218" s="22" t="s">
        <v>53</v>
      </c>
      <c r="M218" s="22" t="s">
        <v>1386</v>
      </c>
      <c r="N218" s="22" t="s">
        <v>59</v>
      </c>
      <c r="O218" s="22" t="s">
        <v>84</v>
      </c>
      <c r="P218" s="22" t="s">
        <v>137</v>
      </c>
      <c r="Q218" s="22" t="s">
        <v>60</v>
      </c>
      <c r="R218" s="25"/>
      <c r="S218" s="22" t="s">
        <v>85</v>
      </c>
      <c r="T218" s="22" t="s">
        <v>62</v>
      </c>
      <c r="U218" s="22" t="s">
        <v>63</v>
      </c>
      <c r="V218" s="22" t="s">
        <v>64</v>
      </c>
      <c r="W218" s="25"/>
      <c r="X218" s="35" t="s">
        <v>1387</v>
      </c>
      <c r="Y218" s="22" t="s">
        <v>448</v>
      </c>
      <c r="Z218" s="22" t="s">
        <v>1388</v>
      </c>
      <c r="AA218" s="22" t="s">
        <v>441</v>
      </c>
      <c r="AC218" s="22" t="s">
        <v>265</v>
      </c>
      <c r="AD218" s="27" t="s">
        <v>71</v>
      </c>
      <c r="AE218" s="22" t="s">
        <v>73</v>
      </c>
      <c r="AF218" s="66" t="s">
        <v>1389</v>
      </c>
      <c r="AG218" s="33" t="s">
        <v>1390</v>
      </c>
    </row>
    <row r="219" spans="1:33" ht="46.5">
      <c r="A219" s="51" t="s">
        <v>988</v>
      </c>
      <c r="B219" s="51" t="s">
        <v>1391</v>
      </c>
      <c r="C219" s="22" t="s">
        <v>1392</v>
      </c>
      <c r="D219" s="23" t="s">
        <v>1393</v>
      </c>
      <c r="E219" s="22" t="s">
        <v>49</v>
      </c>
      <c r="F219" s="22" t="s">
        <v>618</v>
      </c>
      <c r="G219" s="22" t="s">
        <v>49</v>
      </c>
      <c r="H219" s="22" t="s">
        <v>51</v>
      </c>
      <c r="I219" s="22" t="s">
        <v>1394</v>
      </c>
      <c r="J219" s="22" t="s">
        <v>501</v>
      </c>
      <c r="K219" s="22" t="s">
        <v>54</v>
      </c>
      <c r="L219" s="22" t="s">
        <v>53</v>
      </c>
      <c r="M219" s="22" t="s">
        <v>83</v>
      </c>
      <c r="N219" s="22" t="s">
        <v>59</v>
      </c>
      <c r="O219" s="22" t="s">
        <v>84</v>
      </c>
      <c r="P219" s="22" t="s">
        <v>501</v>
      </c>
      <c r="Q219" s="22" t="s">
        <v>60</v>
      </c>
      <c r="R219" s="25"/>
      <c r="S219" s="22" t="s">
        <v>85</v>
      </c>
      <c r="T219" s="22" t="s">
        <v>62</v>
      </c>
      <c r="U219" s="22" t="s">
        <v>63</v>
      </c>
      <c r="V219" s="22" t="s">
        <v>118</v>
      </c>
      <c r="W219" s="25"/>
      <c r="X219" s="26" t="s">
        <v>1379</v>
      </c>
      <c r="Y219" s="22" t="s">
        <v>99</v>
      </c>
      <c r="Z219" s="22" t="s">
        <v>449</v>
      </c>
      <c r="AA219" s="22" t="s">
        <v>1395</v>
      </c>
      <c r="AC219" s="22" t="s">
        <v>176</v>
      </c>
      <c r="AD219" s="27" t="s">
        <v>71</v>
      </c>
      <c r="AE219" s="22" t="s">
        <v>73</v>
      </c>
      <c r="AF219" s="33" t="s">
        <v>1396</v>
      </c>
      <c r="AG219" s="76" t="s">
        <v>1397</v>
      </c>
    </row>
    <row r="220" spans="1:33" ht="46.5">
      <c r="A220" s="51" t="s">
        <v>988</v>
      </c>
      <c r="B220" s="51" t="s">
        <v>1398</v>
      </c>
      <c r="C220" s="22" t="s">
        <v>1399</v>
      </c>
      <c r="D220" s="23" t="s">
        <v>1400</v>
      </c>
      <c r="E220" s="22" t="s">
        <v>49</v>
      </c>
      <c r="F220" s="22" t="s">
        <v>95</v>
      </c>
      <c r="G220" s="22" t="s">
        <v>49</v>
      </c>
      <c r="H220" s="22" t="s">
        <v>126</v>
      </c>
      <c r="I220" s="22" t="s">
        <v>81</v>
      </c>
      <c r="J220" s="22" t="s">
        <v>107</v>
      </c>
      <c r="K220" s="22" t="s">
        <v>144</v>
      </c>
      <c r="L220" s="22" t="s">
        <v>53</v>
      </c>
      <c r="M220" s="22" t="s">
        <v>83</v>
      </c>
      <c r="N220" s="22" t="s">
        <v>59</v>
      </c>
      <c r="O220" s="22" t="s">
        <v>84</v>
      </c>
      <c r="P220" s="22" t="s">
        <v>108</v>
      </c>
      <c r="Q220" s="22" t="s">
        <v>203</v>
      </c>
      <c r="R220" s="22" t="s">
        <v>130</v>
      </c>
      <c r="S220" s="22" t="s">
        <v>61</v>
      </c>
      <c r="T220" s="22" t="s">
        <v>62</v>
      </c>
      <c r="U220" s="22" t="s">
        <v>63</v>
      </c>
      <c r="V220" s="22" t="s">
        <v>64</v>
      </c>
      <c r="W220" s="25"/>
      <c r="X220" s="26" t="s">
        <v>154</v>
      </c>
      <c r="Y220" s="22" t="s">
        <v>231</v>
      </c>
      <c r="Z220" s="22" t="s">
        <v>232</v>
      </c>
      <c r="AA220" s="22" t="s">
        <v>233</v>
      </c>
      <c r="AC220" s="22" t="s">
        <v>176</v>
      </c>
      <c r="AD220" s="27" t="s">
        <v>71</v>
      </c>
      <c r="AE220" s="22" t="s">
        <v>73</v>
      </c>
      <c r="AF220" s="33" t="s">
        <v>1401</v>
      </c>
      <c r="AG220" s="33" t="s">
        <v>352</v>
      </c>
    </row>
    <row r="221" spans="1:33" ht="31">
      <c r="A221" s="51" t="s">
        <v>988</v>
      </c>
      <c r="B221" s="51" t="s">
        <v>1402</v>
      </c>
      <c r="C221" s="22" t="s">
        <v>1403</v>
      </c>
      <c r="D221" s="23" t="s">
        <v>1404</v>
      </c>
      <c r="E221" s="22" t="s">
        <v>49</v>
      </c>
      <c r="F221" s="22" t="s">
        <v>50</v>
      </c>
      <c r="G221" s="22" t="s">
        <v>49</v>
      </c>
      <c r="H221" s="22" t="s">
        <v>126</v>
      </c>
      <c r="I221" s="22" t="s">
        <v>81</v>
      </c>
      <c r="J221" s="22" t="s">
        <v>53</v>
      </c>
      <c r="K221" s="22" t="s">
        <v>128</v>
      </c>
      <c r="L221" s="22" t="s">
        <v>53</v>
      </c>
      <c r="M221" s="22" t="s">
        <v>83</v>
      </c>
      <c r="N221" s="22" t="s">
        <v>59</v>
      </c>
      <c r="O221" s="22" t="s">
        <v>84</v>
      </c>
      <c r="P221" s="22" t="s">
        <v>85</v>
      </c>
      <c r="Q221" s="22" t="s">
        <v>60</v>
      </c>
      <c r="R221" s="22" t="s">
        <v>86</v>
      </c>
      <c r="S221" s="22" t="s">
        <v>85</v>
      </c>
      <c r="T221" s="22" t="s">
        <v>62</v>
      </c>
      <c r="U221" s="22" t="s">
        <v>63</v>
      </c>
      <c r="V221" s="22" t="s">
        <v>64</v>
      </c>
      <c r="W221" s="25"/>
      <c r="X221" s="31" t="s">
        <v>1405</v>
      </c>
      <c r="Y221" s="22" t="s">
        <v>99</v>
      </c>
      <c r="Z221" s="22" t="s">
        <v>100</v>
      </c>
      <c r="AA221" s="22" t="s">
        <v>1406</v>
      </c>
      <c r="AC221" s="22" t="s">
        <v>176</v>
      </c>
      <c r="AD221" s="27" t="s">
        <v>71</v>
      </c>
      <c r="AE221" s="22" t="s">
        <v>73</v>
      </c>
      <c r="AF221" s="33" t="s">
        <v>1407</v>
      </c>
      <c r="AG221" s="33" t="s">
        <v>352</v>
      </c>
    </row>
    <row r="222" spans="1:33" ht="46.5">
      <c r="A222" s="51" t="s">
        <v>988</v>
      </c>
      <c r="B222" s="51" t="s">
        <v>1408</v>
      </c>
      <c r="C222" s="22" t="s">
        <v>1409</v>
      </c>
      <c r="D222" s="23" t="s">
        <v>1410</v>
      </c>
      <c r="E222" s="22" t="s">
        <v>49</v>
      </c>
      <c r="F222" s="22" t="s">
        <v>78</v>
      </c>
      <c r="G222" s="22" t="s">
        <v>49</v>
      </c>
      <c r="H222" s="22" t="s">
        <v>237</v>
      </c>
      <c r="I222" s="22" t="s">
        <v>81</v>
      </c>
      <c r="J222" s="22" t="s">
        <v>107</v>
      </c>
      <c r="K222" s="22" t="s">
        <v>1411</v>
      </c>
      <c r="L222" s="22" t="s">
        <v>53</v>
      </c>
      <c r="M222" s="22" t="s">
        <v>83</v>
      </c>
      <c r="N222" s="22" t="s">
        <v>59</v>
      </c>
      <c r="O222" s="22" t="s">
        <v>84</v>
      </c>
      <c r="P222" s="22" t="s">
        <v>348</v>
      </c>
      <c r="Q222" s="22" t="s">
        <v>60</v>
      </c>
      <c r="R222" s="22" t="s">
        <v>183</v>
      </c>
      <c r="S222" s="22" t="s">
        <v>85</v>
      </c>
      <c r="T222" s="22" t="s">
        <v>62</v>
      </c>
      <c r="U222" s="22" t="s">
        <v>515</v>
      </c>
      <c r="V222" s="22" t="s">
        <v>64</v>
      </c>
      <c r="W222" s="25"/>
      <c r="X222" s="26" t="s">
        <v>154</v>
      </c>
      <c r="Y222" s="22" t="s">
        <v>131</v>
      </c>
      <c r="Z222" s="22" t="s">
        <v>1412</v>
      </c>
      <c r="AA222" s="22" t="s">
        <v>1413</v>
      </c>
      <c r="AC222" s="22" t="s">
        <v>176</v>
      </c>
      <c r="AD222" s="27" t="s">
        <v>71</v>
      </c>
      <c r="AE222" s="22" t="s">
        <v>73</v>
      </c>
      <c r="AF222" s="33" t="s">
        <v>1414</v>
      </c>
      <c r="AG222" s="33" t="s">
        <v>1415</v>
      </c>
    </row>
    <row r="223" spans="1:33" ht="46.5">
      <c r="A223" s="51" t="s">
        <v>988</v>
      </c>
      <c r="B223" s="51" t="s">
        <v>1416</v>
      </c>
      <c r="C223" s="22" t="s">
        <v>1417</v>
      </c>
      <c r="D223" s="23" t="s">
        <v>1418</v>
      </c>
      <c r="E223" s="22" t="s">
        <v>49</v>
      </c>
      <c r="F223" s="22" t="s">
        <v>50</v>
      </c>
      <c r="G223" s="22" t="s">
        <v>49</v>
      </c>
      <c r="H223" s="22" t="s">
        <v>126</v>
      </c>
      <c r="I223" s="22" t="s">
        <v>52</v>
      </c>
      <c r="J223" s="22" t="s">
        <v>501</v>
      </c>
      <c r="K223" s="22" t="s">
        <v>54</v>
      </c>
      <c r="L223" s="22" t="s">
        <v>55</v>
      </c>
      <c r="M223" s="22" t="s">
        <v>83</v>
      </c>
      <c r="N223" s="22" t="s">
        <v>194</v>
      </c>
      <c r="O223" s="22" t="s">
        <v>84</v>
      </c>
      <c r="P223" s="22" t="s">
        <v>85</v>
      </c>
      <c r="Q223" s="22" t="s">
        <v>203</v>
      </c>
      <c r="R223" s="25"/>
      <c r="S223" s="22" t="s">
        <v>85</v>
      </c>
      <c r="T223" s="22" t="s">
        <v>62</v>
      </c>
      <c r="U223" s="22" t="s">
        <v>63</v>
      </c>
      <c r="V223" s="22" t="s">
        <v>64</v>
      </c>
      <c r="W223" s="25"/>
      <c r="X223" s="26" t="s">
        <v>154</v>
      </c>
      <c r="Y223" s="22" t="s">
        <v>770</v>
      </c>
      <c r="Z223" s="22" t="s">
        <v>1419</v>
      </c>
      <c r="AA223" s="22" t="s">
        <v>1420</v>
      </c>
      <c r="AC223" s="22" t="s">
        <v>176</v>
      </c>
      <c r="AD223" s="27" t="s">
        <v>71</v>
      </c>
      <c r="AE223" s="22" t="s">
        <v>73</v>
      </c>
      <c r="AF223" s="33" t="s">
        <v>1421</v>
      </c>
      <c r="AG223" s="33" t="s">
        <v>1422</v>
      </c>
    </row>
    <row r="224" spans="1:33" ht="46.5">
      <c r="A224" s="51" t="s">
        <v>988</v>
      </c>
      <c r="B224" s="51" t="s">
        <v>1423</v>
      </c>
      <c r="C224" s="22" t="s">
        <v>1424</v>
      </c>
      <c r="D224" s="23" t="s">
        <v>1425</v>
      </c>
      <c r="E224" s="22" t="s">
        <v>49</v>
      </c>
      <c r="F224" s="22" t="s">
        <v>269</v>
      </c>
      <c r="G224" s="22" t="s">
        <v>49</v>
      </c>
      <c r="H224" s="22" t="s">
        <v>80</v>
      </c>
      <c r="I224" s="22" t="s">
        <v>81</v>
      </c>
      <c r="J224" s="22" t="s">
        <v>501</v>
      </c>
      <c r="K224" s="22" t="s">
        <v>856</v>
      </c>
      <c r="L224" s="22" t="s">
        <v>53</v>
      </c>
      <c r="M224" s="22" t="s">
        <v>83</v>
      </c>
      <c r="N224" s="22" t="s">
        <v>59</v>
      </c>
      <c r="O224" s="22" t="s">
        <v>84</v>
      </c>
      <c r="P224" s="22" t="s">
        <v>137</v>
      </c>
      <c r="Q224" s="22" t="s">
        <v>183</v>
      </c>
      <c r="R224" s="25"/>
      <c r="S224" s="22" t="s">
        <v>85</v>
      </c>
      <c r="T224" s="22" t="s">
        <v>62</v>
      </c>
      <c r="U224" s="22" t="s">
        <v>63</v>
      </c>
      <c r="V224" s="22" t="s">
        <v>64</v>
      </c>
      <c r="W224" s="25"/>
      <c r="X224" s="26" t="s">
        <v>154</v>
      </c>
      <c r="Z224" s="22" t="s">
        <v>1426</v>
      </c>
      <c r="AA224" s="22" t="s">
        <v>1427</v>
      </c>
      <c r="AC224" s="22" t="s">
        <v>176</v>
      </c>
      <c r="AD224" s="27" t="s">
        <v>71</v>
      </c>
      <c r="AE224" s="22" t="s">
        <v>73</v>
      </c>
      <c r="AF224" s="33" t="s">
        <v>1428</v>
      </c>
      <c r="AG224" s="76" t="s">
        <v>1429</v>
      </c>
    </row>
    <row r="225" spans="1:33" ht="46.5">
      <c r="A225" s="51" t="s">
        <v>988</v>
      </c>
      <c r="B225" s="51" t="s">
        <v>1430</v>
      </c>
      <c r="C225" s="22" t="s">
        <v>1431</v>
      </c>
      <c r="D225" s="23" t="s">
        <v>1432</v>
      </c>
      <c r="E225" s="22" t="s">
        <v>49</v>
      </c>
      <c r="F225" s="22" t="s">
        <v>50</v>
      </c>
      <c r="G225" s="22" t="s">
        <v>49</v>
      </c>
      <c r="H225" s="22" t="s">
        <v>169</v>
      </c>
      <c r="I225" s="22" t="s">
        <v>307</v>
      </c>
      <c r="J225" s="22" t="s">
        <v>53</v>
      </c>
      <c r="K225" s="22" t="s">
        <v>170</v>
      </c>
      <c r="L225" s="22" t="s">
        <v>53</v>
      </c>
      <c r="M225" s="22" t="s">
        <v>83</v>
      </c>
      <c r="N225" s="22" t="s">
        <v>59</v>
      </c>
      <c r="O225" s="22" t="s">
        <v>84</v>
      </c>
      <c r="P225" s="22" t="s">
        <v>348</v>
      </c>
      <c r="Q225" s="22" t="s">
        <v>153</v>
      </c>
      <c r="R225" s="25"/>
      <c r="S225" s="22" t="s">
        <v>61</v>
      </c>
      <c r="T225" s="22" t="s">
        <v>62</v>
      </c>
      <c r="U225" s="22" t="s">
        <v>63</v>
      </c>
      <c r="V225" s="22" t="s">
        <v>64</v>
      </c>
      <c r="W225" s="25"/>
      <c r="X225" s="35" t="s">
        <v>1219</v>
      </c>
      <c r="Y225" s="22" t="s">
        <v>120</v>
      </c>
      <c r="Z225" s="22" t="s">
        <v>1088</v>
      </c>
      <c r="AA225" s="22" t="s">
        <v>334</v>
      </c>
      <c r="AC225" s="22" t="s">
        <v>176</v>
      </c>
      <c r="AD225" s="27" t="s">
        <v>71</v>
      </c>
      <c r="AE225" s="22" t="s">
        <v>73</v>
      </c>
      <c r="AF225" s="33" t="s">
        <v>1433</v>
      </c>
      <c r="AG225" s="33" t="s">
        <v>1434</v>
      </c>
    </row>
    <row r="226" spans="1:33" ht="31">
      <c r="A226" s="51" t="s">
        <v>988</v>
      </c>
      <c r="B226" s="51" t="s">
        <v>1435</v>
      </c>
      <c r="C226" s="22" t="s">
        <v>1436</v>
      </c>
      <c r="D226" s="23" t="s">
        <v>1437</v>
      </c>
      <c r="E226" s="22" t="s">
        <v>49</v>
      </c>
      <c r="F226" s="22" t="s">
        <v>78</v>
      </c>
      <c r="G226" s="22" t="s">
        <v>49</v>
      </c>
      <c r="H226" s="22" t="s">
        <v>126</v>
      </c>
      <c r="I226" s="22" t="s">
        <v>52</v>
      </c>
      <c r="J226" s="22" t="s">
        <v>53</v>
      </c>
      <c r="K226" s="22" t="s">
        <v>856</v>
      </c>
      <c r="L226" s="22" t="s">
        <v>55</v>
      </c>
      <c r="M226" s="22" t="s">
        <v>83</v>
      </c>
      <c r="N226" s="22" t="s">
        <v>59</v>
      </c>
      <c r="O226" s="22" t="s">
        <v>84</v>
      </c>
      <c r="P226" s="22" t="s">
        <v>348</v>
      </c>
      <c r="Q226" s="22" t="s">
        <v>63</v>
      </c>
      <c r="R226" s="22" t="s">
        <v>130</v>
      </c>
      <c r="S226" s="22" t="s">
        <v>61</v>
      </c>
      <c r="T226" s="22" t="s">
        <v>62</v>
      </c>
      <c r="U226" s="22" t="s">
        <v>63</v>
      </c>
      <c r="V226" s="22" t="s">
        <v>64</v>
      </c>
      <c r="W226" s="25"/>
      <c r="X226" s="26" t="s">
        <v>1438</v>
      </c>
      <c r="Y226" s="22" t="s">
        <v>195</v>
      </c>
      <c r="Z226" s="22" t="s">
        <v>1439</v>
      </c>
      <c r="AA226" s="22" t="s">
        <v>987</v>
      </c>
      <c r="AC226" s="22" t="s">
        <v>176</v>
      </c>
      <c r="AD226" s="27" t="s">
        <v>71</v>
      </c>
      <c r="AE226" s="22" t="s">
        <v>73</v>
      </c>
      <c r="AF226" s="33" t="s">
        <v>1440</v>
      </c>
      <c r="AG226" s="33" t="s">
        <v>1441</v>
      </c>
    </row>
    <row r="227" spans="1:33" ht="31">
      <c r="A227" s="51" t="s">
        <v>988</v>
      </c>
      <c r="B227" s="51" t="s">
        <v>1442</v>
      </c>
      <c r="C227" s="22" t="s">
        <v>1443</v>
      </c>
      <c r="D227" s="23" t="s">
        <v>1444</v>
      </c>
      <c r="E227" s="22" t="s">
        <v>49</v>
      </c>
      <c r="F227" s="22" t="s">
        <v>78</v>
      </c>
      <c r="G227" s="22" t="s">
        <v>49</v>
      </c>
      <c r="H227" s="22" t="s">
        <v>51</v>
      </c>
      <c r="I227" s="22" t="s">
        <v>81</v>
      </c>
      <c r="J227" s="22" t="s">
        <v>53</v>
      </c>
      <c r="K227" s="22" t="s">
        <v>54</v>
      </c>
      <c r="L227" s="22" t="s">
        <v>53</v>
      </c>
      <c r="M227" s="22" t="s">
        <v>83</v>
      </c>
      <c r="N227" s="22" t="s">
        <v>59</v>
      </c>
      <c r="O227" s="22" t="s">
        <v>84</v>
      </c>
      <c r="P227" s="22" t="s">
        <v>137</v>
      </c>
      <c r="Q227" s="22" t="s">
        <v>60</v>
      </c>
      <c r="R227" s="22" t="s">
        <v>238</v>
      </c>
      <c r="S227" s="22" t="s">
        <v>85</v>
      </c>
      <c r="T227" s="22" t="s">
        <v>62</v>
      </c>
      <c r="U227" s="22" t="s">
        <v>63</v>
      </c>
      <c r="V227" s="22" t="s">
        <v>64</v>
      </c>
      <c r="W227" s="25"/>
      <c r="X227" s="35" t="s">
        <v>1438</v>
      </c>
      <c r="Y227" s="22" t="s">
        <v>357</v>
      </c>
      <c r="Z227" s="22" t="s">
        <v>1445</v>
      </c>
      <c r="AA227" s="22" t="s">
        <v>997</v>
      </c>
      <c r="AB227" s="22" t="s">
        <v>1446</v>
      </c>
      <c r="AC227" s="22" t="s">
        <v>176</v>
      </c>
      <c r="AD227" s="27" t="s">
        <v>71</v>
      </c>
      <c r="AE227" s="22" t="s">
        <v>73</v>
      </c>
      <c r="AF227" s="33" t="s">
        <v>1447</v>
      </c>
      <c r="AG227" s="33" t="s">
        <v>352</v>
      </c>
    </row>
    <row r="228" spans="1:33" ht="31">
      <c r="A228" s="51" t="s">
        <v>988</v>
      </c>
      <c r="B228" s="51" t="s">
        <v>1448</v>
      </c>
      <c r="C228" s="22" t="s">
        <v>1449</v>
      </c>
      <c r="D228" s="23" t="s">
        <v>1450</v>
      </c>
      <c r="E228" s="22" t="s">
        <v>49</v>
      </c>
      <c r="F228" s="22" t="s">
        <v>50</v>
      </c>
      <c r="G228" s="22" t="s">
        <v>49</v>
      </c>
      <c r="H228" s="22" t="s">
        <v>51</v>
      </c>
      <c r="I228" s="22" t="s">
        <v>52</v>
      </c>
      <c r="J228" s="22" t="s">
        <v>127</v>
      </c>
      <c r="K228" s="22" t="s">
        <v>82</v>
      </c>
      <c r="L228" s="22" t="s">
        <v>53</v>
      </c>
      <c r="M228" s="22" t="s">
        <v>83</v>
      </c>
      <c r="N228" s="22" t="s">
        <v>59</v>
      </c>
      <c r="O228" s="22" t="s">
        <v>84</v>
      </c>
      <c r="P228" s="22" t="s">
        <v>85</v>
      </c>
      <c r="Q228" s="22" t="s">
        <v>203</v>
      </c>
      <c r="R228" s="25"/>
      <c r="S228" s="22" t="s">
        <v>85</v>
      </c>
      <c r="T228" s="22" t="s">
        <v>62</v>
      </c>
      <c r="U228" s="22" t="s">
        <v>63</v>
      </c>
      <c r="V228" s="22" t="s">
        <v>64</v>
      </c>
      <c r="W228" s="25"/>
      <c r="X228" s="35" t="s">
        <v>1438</v>
      </c>
      <c r="Y228" s="22" t="s">
        <v>162</v>
      </c>
      <c r="Z228" s="22" t="s">
        <v>289</v>
      </c>
      <c r="AA228" s="22" t="s">
        <v>1175</v>
      </c>
      <c r="AC228" s="22" t="s">
        <v>176</v>
      </c>
      <c r="AD228" s="27" t="s">
        <v>71</v>
      </c>
      <c r="AE228" s="22" t="s">
        <v>73</v>
      </c>
      <c r="AF228" s="33" t="s">
        <v>1451</v>
      </c>
      <c r="AG228" s="33" t="s">
        <v>352</v>
      </c>
    </row>
    <row r="229" spans="1:33" ht="46.5">
      <c r="A229" s="51" t="s">
        <v>988</v>
      </c>
      <c r="B229" s="51" t="s">
        <v>1452</v>
      </c>
      <c r="C229" s="22" t="s">
        <v>1453</v>
      </c>
      <c r="D229" s="23" t="s">
        <v>1454</v>
      </c>
      <c r="E229" s="22" t="s">
        <v>49</v>
      </c>
      <c r="F229" s="22" t="s">
        <v>589</v>
      </c>
      <c r="G229" s="22" t="s">
        <v>79</v>
      </c>
      <c r="H229" s="22" t="s">
        <v>192</v>
      </c>
      <c r="I229" s="22" t="s">
        <v>81</v>
      </c>
      <c r="J229" s="22" t="s">
        <v>107</v>
      </c>
      <c r="K229" s="22" t="s">
        <v>856</v>
      </c>
      <c r="L229" s="22" t="s">
        <v>53</v>
      </c>
      <c r="M229" s="22" t="s">
        <v>83</v>
      </c>
      <c r="N229" s="22" t="s">
        <v>59</v>
      </c>
      <c r="O229" s="22" t="s">
        <v>84</v>
      </c>
      <c r="P229" s="22" t="s">
        <v>108</v>
      </c>
      <c r="Q229" s="22" t="s">
        <v>86</v>
      </c>
      <c r="R229" s="25"/>
      <c r="S229" s="22" t="s">
        <v>294</v>
      </c>
      <c r="T229" s="22" t="s">
        <v>62</v>
      </c>
      <c r="U229" s="22" t="s">
        <v>63</v>
      </c>
      <c r="V229" s="22" t="s">
        <v>118</v>
      </c>
      <c r="W229" s="25"/>
      <c r="X229" s="35" t="s">
        <v>1438</v>
      </c>
      <c r="Y229" s="22" t="s">
        <v>302</v>
      </c>
      <c r="Z229" s="22" t="s">
        <v>1455</v>
      </c>
      <c r="AA229" s="22" t="s">
        <v>1265</v>
      </c>
      <c r="AC229" s="22" t="s">
        <v>176</v>
      </c>
      <c r="AD229" s="27" t="s">
        <v>71</v>
      </c>
      <c r="AE229" s="22" t="s">
        <v>73</v>
      </c>
      <c r="AF229" s="33" t="s">
        <v>1456</v>
      </c>
      <c r="AG229" s="33" t="s">
        <v>1457</v>
      </c>
    </row>
    <row r="230" spans="1:33" ht="46.5">
      <c r="A230" s="51" t="s">
        <v>988</v>
      </c>
      <c r="B230" s="51" t="s">
        <v>1458</v>
      </c>
      <c r="C230" s="22" t="s">
        <v>1459</v>
      </c>
      <c r="D230" s="23" t="s">
        <v>1460</v>
      </c>
      <c r="E230" s="22" t="s">
        <v>49</v>
      </c>
      <c r="F230" s="22" t="s">
        <v>618</v>
      </c>
      <c r="G230" s="22" t="s">
        <v>49</v>
      </c>
      <c r="H230" s="22" t="s">
        <v>169</v>
      </c>
      <c r="I230" s="22" t="s">
        <v>81</v>
      </c>
      <c r="J230" s="22" t="s">
        <v>53</v>
      </c>
      <c r="K230" s="22" t="s">
        <v>170</v>
      </c>
      <c r="L230" s="22" t="s">
        <v>53</v>
      </c>
      <c r="M230" s="22" t="s">
        <v>83</v>
      </c>
      <c r="N230" s="22" t="s">
        <v>59</v>
      </c>
      <c r="O230" s="22" t="s">
        <v>84</v>
      </c>
      <c r="P230" s="22" t="s">
        <v>422</v>
      </c>
      <c r="Q230" s="22" t="s">
        <v>238</v>
      </c>
      <c r="R230" s="22" t="s">
        <v>60</v>
      </c>
      <c r="S230" s="22" t="s">
        <v>294</v>
      </c>
      <c r="T230" s="22" t="s">
        <v>62</v>
      </c>
      <c r="U230" s="22" t="s">
        <v>63</v>
      </c>
      <c r="V230" s="22" t="s">
        <v>64</v>
      </c>
      <c r="W230" s="25"/>
      <c r="X230" s="35" t="s">
        <v>1438</v>
      </c>
      <c r="Y230" s="22" t="s">
        <v>376</v>
      </c>
      <c r="Z230" s="22" t="s">
        <v>1461</v>
      </c>
      <c r="AA230" s="22" t="s">
        <v>1462</v>
      </c>
      <c r="AC230" s="22" t="s">
        <v>176</v>
      </c>
      <c r="AD230" s="27" t="s">
        <v>71</v>
      </c>
      <c r="AE230" s="22" t="s">
        <v>73</v>
      </c>
      <c r="AF230" s="33" t="s">
        <v>1463</v>
      </c>
      <c r="AG230" s="33" t="s">
        <v>352</v>
      </c>
    </row>
    <row r="231" spans="1:33" ht="31">
      <c r="A231" s="51" t="s">
        <v>988</v>
      </c>
      <c r="B231" s="51" t="s">
        <v>1464</v>
      </c>
      <c r="C231" s="22" t="s">
        <v>1465</v>
      </c>
      <c r="D231" s="23" t="s">
        <v>1466</v>
      </c>
      <c r="E231" s="22" t="s">
        <v>49</v>
      </c>
      <c r="F231" s="22" t="s">
        <v>618</v>
      </c>
      <c r="G231" s="22" t="s">
        <v>49</v>
      </c>
      <c r="H231" s="22" t="s">
        <v>169</v>
      </c>
      <c r="I231" s="22" t="s">
        <v>52</v>
      </c>
      <c r="J231" s="22" t="s">
        <v>53</v>
      </c>
      <c r="K231" s="22" t="s">
        <v>170</v>
      </c>
      <c r="L231" s="22" t="s">
        <v>53</v>
      </c>
      <c r="M231" s="22" t="s">
        <v>83</v>
      </c>
      <c r="N231" s="22" t="s">
        <v>59</v>
      </c>
      <c r="O231" s="22" t="s">
        <v>1116</v>
      </c>
      <c r="P231" s="22" t="s">
        <v>59</v>
      </c>
      <c r="Q231" s="22" t="s">
        <v>153</v>
      </c>
      <c r="R231" s="25"/>
      <c r="S231" s="22" t="s">
        <v>61</v>
      </c>
      <c r="T231" s="22" t="s">
        <v>62</v>
      </c>
      <c r="U231" s="22" t="s">
        <v>63</v>
      </c>
      <c r="V231" s="22" t="s">
        <v>64</v>
      </c>
      <c r="W231" s="25"/>
      <c r="X231" s="26" t="s">
        <v>1379</v>
      </c>
      <c r="Y231" s="22" t="s">
        <v>120</v>
      </c>
      <c r="Z231" s="22" t="s">
        <v>1467</v>
      </c>
      <c r="AA231" s="22" t="s">
        <v>1468</v>
      </c>
      <c r="AC231" s="22" t="s">
        <v>176</v>
      </c>
      <c r="AD231" s="27" t="s">
        <v>71</v>
      </c>
      <c r="AE231" s="22" t="s">
        <v>73</v>
      </c>
      <c r="AF231" s="33" t="s">
        <v>1469</v>
      </c>
      <c r="AG231" s="33" t="s">
        <v>1470</v>
      </c>
    </row>
    <row r="232" spans="1:33" ht="46.5">
      <c r="A232" s="51" t="s">
        <v>988</v>
      </c>
      <c r="B232" s="51" t="s">
        <v>1471</v>
      </c>
      <c r="C232" s="22" t="s">
        <v>1472</v>
      </c>
      <c r="D232" s="23" t="s">
        <v>1473</v>
      </c>
      <c r="E232" s="22" t="s">
        <v>49</v>
      </c>
      <c r="F232" s="22" t="s">
        <v>78</v>
      </c>
      <c r="G232" s="22" t="s">
        <v>49</v>
      </c>
      <c r="H232" s="22" t="s">
        <v>192</v>
      </c>
      <c r="I232" s="22" t="s">
        <v>52</v>
      </c>
      <c r="J232" s="22" t="s">
        <v>53</v>
      </c>
      <c r="K232" s="22" t="s">
        <v>856</v>
      </c>
      <c r="L232" s="22" t="s">
        <v>55</v>
      </c>
      <c r="M232" s="22" t="s">
        <v>83</v>
      </c>
      <c r="N232" s="22" t="s">
        <v>59</v>
      </c>
      <c r="O232" s="22" t="s">
        <v>490</v>
      </c>
      <c r="P232" s="22" t="s">
        <v>348</v>
      </c>
      <c r="Q232" s="22" t="s">
        <v>98</v>
      </c>
      <c r="R232" s="22" t="s">
        <v>857</v>
      </c>
      <c r="S232" s="22" t="s">
        <v>61</v>
      </c>
      <c r="T232" s="22" t="s">
        <v>62</v>
      </c>
      <c r="U232" s="22" t="s">
        <v>63</v>
      </c>
      <c r="V232" s="22" t="s">
        <v>64</v>
      </c>
      <c r="W232" s="25"/>
      <c r="X232" s="35" t="s">
        <v>1379</v>
      </c>
      <c r="Y232" s="22" t="s">
        <v>792</v>
      </c>
      <c r="Z232" s="22" t="s">
        <v>895</v>
      </c>
      <c r="AA232" s="22" t="s">
        <v>1474</v>
      </c>
      <c r="AC232" s="22" t="s">
        <v>176</v>
      </c>
      <c r="AD232" s="27" t="s">
        <v>71</v>
      </c>
      <c r="AE232" s="22" t="s">
        <v>73</v>
      </c>
      <c r="AF232" s="33" t="s">
        <v>1475</v>
      </c>
      <c r="AG232" s="33" t="s">
        <v>1476</v>
      </c>
    </row>
    <row r="233" spans="1:33" ht="46.5">
      <c r="A233" s="51" t="s">
        <v>988</v>
      </c>
      <c r="B233" s="51" t="s">
        <v>1477</v>
      </c>
      <c r="C233" s="22" t="s">
        <v>1478</v>
      </c>
      <c r="D233" s="23" t="s">
        <v>1479</v>
      </c>
      <c r="E233" s="22" t="s">
        <v>49</v>
      </c>
      <c r="F233" s="22" t="s">
        <v>228</v>
      </c>
      <c r="G233" s="22" t="s">
        <v>49</v>
      </c>
      <c r="H233" s="22" t="s">
        <v>51</v>
      </c>
      <c r="I233" s="22" t="s">
        <v>1394</v>
      </c>
      <c r="J233" s="22" t="s">
        <v>501</v>
      </c>
      <c r="K233" s="22" t="s">
        <v>54</v>
      </c>
      <c r="L233" s="22" t="s">
        <v>53</v>
      </c>
      <c r="M233" s="22" t="s">
        <v>83</v>
      </c>
      <c r="N233" s="22" t="s">
        <v>194</v>
      </c>
      <c r="O233" s="22" t="s">
        <v>84</v>
      </c>
      <c r="P233" s="22" t="s">
        <v>59</v>
      </c>
      <c r="Q233" s="22" t="s">
        <v>63</v>
      </c>
      <c r="R233" s="25"/>
      <c r="S233" s="22" t="s">
        <v>194</v>
      </c>
      <c r="T233" s="22" t="s">
        <v>62</v>
      </c>
      <c r="U233" s="22" t="s">
        <v>63</v>
      </c>
      <c r="V233" s="22" t="s">
        <v>118</v>
      </c>
      <c r="W233" s="25"/>
      <c r="X233" s="31" t="s">
        <v>1480</v>
      </c>
      <c r="Y233" s="22" t="s">
        <v>99</v>
      </c>
      <c r="Z233" s="22" t="s">
        <v>449</v>
      </c>
      <c r="AA233" s="22" t="s">
        <v>1395</v>
      </c>
      <c r="AC233" s="22" t="s">
        <v>176</v>
      </c>
      <c r="AD233" s="27" t="s">
        <v>71</v>
      </c>
      <c r="AE233" s="22" t="s">
        <v>73</v>
      </c>
      <c r="AF233" s="33" t="s">
        <v>1481</v>
      </c>
      <c r="AG233" s="33" t="s">
        <v>1441</v>
      </c>
    </row>
    <row r="234" spans="1:33" ht="31">
      <c r="A234" s="51" t="s">
        <v>1482</v>
      </c>
      <c r="B234" s="51" t="s">
        <v>1483</v>
      </c>
      <c r="C234" s="22" t="s">
        <v>1484</v>
      </c>
      <c r="D234" s="23" t="s">
        <v>1485</v>
      </c>
      <c r="E234" s="22" t="s">
        <v>49</v>
      </c>
      <c r="F234" s="22" t="s">
        <v>228</v>
      </c>
      <c r="G234" s="22" t="s">
        <v>49</v>
      </c>
      <c r="H234" s="22" t="s">
        <v>51</v>
      </c>
      <c r="I234" s="22" t="s">
        <v>81</v>
      </c>
      <c r="J234" s="22" t="s">
        <v>53</v>
      </c>
      <c r="K234" s="22" t="s">
        <v>82</v>
      </c>
      <c r="L234" s="22" t="s">
        <v>53</v>
      </c>
      <c r="M234" s="22" t="s">
        <v>83</v>
      </c>
      <c r="N234" s="22" t="s">
        <v>59</v>
      </c>
      <c r="O234" s="22" t="s">
        <v>84</v>
      </c>
      <c r="P234" s="22" t="s">
        <v>537</v>
      </c>
      <c r="Q234" s="22" t="s">
        <v>60</v>
      </c>
      <c r="R234" s="25"/>
      <c r="S234" s="22" t="s">
        <v>85</v>
      </c>
      <c r="T234" s="22" t="s">
        <v>62</v>
      </c>
      <c r="U234" s="22" t="s">
        <v>63</v>
      </c>
      <c r="V234" s="22" t="s">
        <v>64</v>
      </c>
      <c r="W234" s="25"/>
      <c r="X234" s="35" t="s">
        <v>1379</v>
      </c>
      <c r="Y234" s="22" t="s">
        <v>590</v>
      </c>
      <c r="Z234" s="22" t="s">
        <v>1486</v>
      </c>
      <c r="AA234" s="22" t="s">
        <v>1487</v>
      </c>
      <c r="AC234" s="22" t="s">
        <v>393</v>
      </c>
      <c r="AD234" s="27" t="s">
        <v>71</v>
      </c>
      <c r="AE234" s="22" t="s">
        <v>741</v>
      </c>
      <c r="AF234" s="34"/>
      <c r="AG234" s="34"/>
    </row>
    <row r="235" spans="1:33" ht="46.5">
      <c r="A235" s="51" t="s">
        <v>1482</v>
      </c>
      <c r="B235" s="51" t="s">
        <v>1488</v>
      </c>
      <c r="C235" s="22" t="s">
        <v>1489</v>
      </c>
      <c r="D235" s="42" t="s">
        <v>1490</v>
      </c>
      <c r="E235" s="22" t="s">
        <v>49</v>
      </c>
      <c r="F235" s="22" t="s">
        <v>95</v>
      </c>
      <c r="G235" s="22" t="s">
        <v>49</v>
      </c>
      <c r="H235" s="22" t="s">
        <v>51</v>
      </c>
      <c r="I235" s="22" t="s">
        <v>81</v>
      </c>
      <c r="J235" s="22" t="s">
        <v>107</v>
      </c>
      <c r="K235" s="22" t="s">
        <v>82</v>
      </c>
      <c r="L235" s="22" t="s">
        <v>53</v>
      </c>
      <c r="M235" s="22" t="s">
        <v>83</v>
      </c>
      <c r="N235" s="22" t="s">
        <v>59</v>
      </c>
      <c r="O235" s="22" t="s">
        <v>84</v>
      </c>
      <c r="P235" s="22" t="s">
        <v>108</v>
      </c>
      <c r="Q235" s="22" t="s">
        <v>60</v>
      </c>
      <c r="R235" s="25"/>
      <c r="S235" s="22" t="s">
        <v>109</v>
      </c>
      <c r="T235" s="22" t="s">
        <v>62</v>
      </c>
      <c r="U235" s="22" t="s">
        <v>63</v>
      </c>
      <c r="V235" s="22" t="s">
        <v>64</v>
      </c>
      <c r="W235" s="25"/>
      <c r="X235" s="35" t="s">
        <v>1379</v>
      </c>
      <c r="Y235" s="22" t="s">
        <v>1022</v>
      </c>
      <c r="Z235" s="22" t="s">
        <v>1487</v>
      </c>
      <c r="AA235" s="22" t="s">
        <v>1491</v>
      </c>
      <c r="AC235" s="22" t="s">
        <v>393</v>
      </c>
      <c r="AD235" s="27" t="s">
        <v>71</v>
      </c>
      <c r="AE235" s="22" t="s">
        <v>741</v>
      </c>
      <c r="AF235" s="33" t="s">
        <v>1492</v>
      </c>
      <c r="AG235" s="33" t="s">
        <v>1493</v>
      </c>
    </row>
    <row r="236" spans="1:33" ht="46.5">
      <c r="A236" s="51" t="s">
        <v>1482</v>
      </c>
      <c r="B236" s="51" t="s">
        <v>1494</v>
      </c>
      <c r="C236" s="7" t="s">
        <v>1495</v>
      </c>
      <c r="D236" s="42" t="s">
        <v>1496</v>
      </c>
      <c r="E236" s="22" t="s">
        <v>49</v>
      </c>
      <c r="F236" s="22" t="s">
        <v>95</v>
      </c>
      <c r="G236" s="22" t="s">
        <v>49</v>
      </c>
      <c r="H236" s="22" t="s">
        <v>126</v>
      </c>
      <c r="I236" s="7" t="s">
        <v>81</v>
      </c>
      <c r="J236" s="7" t="s">
        <v>53</v>
      </c>
      <c r="K236" s="22" t="s">
        <v>144</v>
      </c>
      <c r="L236" s="22" t="s">
        <v>53</v>
      </c>
      <c r="M236" s="22" t="s">
        <v>83</v>
      </c>
      <c r="N236" s="22" t="s">
        <v>59</v>
      </c>
      <c r="O236" s="22" t="s">
        <v>84</v>
      </c>
      <c r="P236" s="22" t="s">
        <v>108</v>
      </c>
      <c r="Q236" s="22" t="s">
        <v>60</v>
      </c>
      <c r="R236" s="22" t="s">
        <v>183</v>
      </c>
      <c r="S236" s="7" t="s">
        <v>85</v>
      </c>
      <c r="T236" s="22" t="s">
        <v>62</v>
      </c>
      <c r="U236" s="22" t="s">
        <v>515</v>
      </c>
      <c r="V236" s="22" t="s">
        <v>64</v>
      </c>
      <c r="W236" s="25"/>
      <c r="X236" s="35" t="s">
        <v>1379</v>
      </c>
      <c r="Y236" s="22" t="s">
        <v>376</v>
      </c>
      <c r="Z236" s="22" t="s">
        <v>1497</v>
      </c>
      <c r="AA236" s="22" t="s">
        <v>272</v>
      </c>
      <c r="AC236" s="22" t="s">
        <v>393</v>
      </c>
      <c r="AD236" s="27" t="s">
        <v>71</v>
      </c>
      <c r="AE236" s="22" t="s">
        <v>741</v>
      </c>
      <c r="AF236" s="33" t="s">
        <v>1498</v>
      </c>
      <c r="AG236" s="33" t="s">
        <v>1493</v>
      </c>
    </row>
    <row r="237" spans="1:33" ht="46.5">
      <c r="A237" s="51" t="s">
        <v>1482</v>
      </c>
      <c r="B237" s="51" t="s">
        <v>1499</v>
      </c>
      <c r="C237" s="22" t="s">
        <v>1500</v>
      </c>
      <c r="D237" s="42" t="s">
        <v>1501</v>
      </c>
      <c r="E237" s="22" t="s">
        <v>53</v>
      </c>
      <c r="F237" s="22" t="s">
        <v>269</v>
      </c>
      <c r="G237" s="22" t="s">
        <v>79</v>
      </c>
      <c r="H237" s="22" t="s">
        <v>126</v>
      </c>
      <c r="I237" s="22" t="s">
        <v>52</v>
      </c>
      <c r="J237" s="22" t="s">
        <v>127</v>
      </c>
      <c r="K237" s="22" t="s">
        <v>54</v>
      </c>
      <c r="L237" s="22" t="s">
        <v>55</v>
      </c>
      <c r="M237" s="22" t="s">
        <v>83</v>
      </c>
      <c r="N237" s="22" t="s">
        <v>59</v>
      </c>
      <c r="O237" s="22" t="s">
        <v>84</v>
      </c>
      <c r="P237" s="22" t="s">
        <v>85</v>
      </c>
      <c r="Q237" s="22" t="s">
        <v>60</v>
      </c>
      <c r="R237" s="25"/>
      <c r="S237" s="22" t="s">
        <v>85</v>
      </c>
      <c r="T237" s="22" t="s">
        <v>62</v>
      </c>
      <c r="U237" s="22" t="s">
        <v>63</v>
      </c>
      <c r="V237" s="22" t="s">
        <v>64</v>
      </c>
      <c r="W237" s="25"/>
      <c r="X237" s="35" t="s">
        <v>1502</v>
      </c>
      <c r="Y237" s="22" t="s">
        <v>231</v>
      </c>
      <c r="Z237" s="22" t="s">
        <v>232</v>
      </c>
      <c r="AA237" s="22" t="s">
        <v>1503</v>
      </c>
      <c r="AC237" s="22" t="s">
        <v>393</v>
      </c>
      <c r="AD237" s="27" t="s">
        <v>71</v>
      </c>
      <c r="AE237" s="22" t="s">
        <v>741</v>
      </c>
      <c r="AF237" s="33" t="s">
        <v>1504</v>
      </c>
      <c r="AG237" s="33" t="s">
        <v>1493</v>
      </c>
    </row>
    <row r="238" spans="1:33" ht="31">
      <c r="A238" s="51" t="s">
        <v>1482</v>
      </c>
      <c r="B238" s="51" t="s">
        <v>1505</v>
      </c>
      <c r="C238" s="22" t="s">
        <v>1506</v>
      </c>
      <c r="D238" s="23" t="s">
        <v>1507</v>
      </c>
      <c r="E238" s="22" t="s">
        <v>49</v>
      </c>
      <c r="F238" s="22" t="s">
        <v>50</v>
      </c>
      <c r="G238" s="22" t="s">
        <v>49</v>
      </c>
      <c r="H238" s="22" t="s">
        <v>51</v>
      </c>
      <c r="I238" s="22" t="s">
        <v>52</v>
      </c>
      <c r="J238" s="22" t="s">
        <v>53</v>
      </c>
      <c r="K238" s="22" t="s">
        <v>856</v>
      </c>
      <c r="L238" s="22" t="s">
        <v>53</v>
      </c>
      <c r="M238" s="22" t="s">
        <v>83</v>
      </c>
      <c r="N238" s="22" t="s">
        <v>59</v>
      </c>
      <c r="O238" s="22" t="s">
        <v>84</v>
      </c>
      <c r="P238" s="22" t="s">
        <v>59</v>
      </c>
      <c r="Q238" s="22" t="s">
        <v>63</v>
      </c>
      <c r="R238" s="25"/>
      <c r="S238" s="22" t="s">
        <v>61</v>
      </c>
      <c r="T238" s="22" t="s">
        <v>62</v>
      </c>
      <c r="U238" s="22" t="s">
        <v>63</v>
      </c>
      <c r="V238" s="22" t="s">
        <v>64</v>
      </c>
      <c r="W238" s="25"/>
      <c r="X238" s="35" t="s">
        <v>1502</v>
      </c>
      <c r="Y238" s="22" t="s">
        <v>876</v>
      </c>
      <c r="Z238" s="22" t="s">
        <v>843</v>
      </c>
      <c r="AA238" s="22" t="s">
        <v>138</v>
      </c>
      <c r="AC238" s="22" t="s">
        <v>393</v>
      </c>
      <c r="AD238" s="27" t="s">
        <v>71</v>
      </c>
      <c r="AE238" s="22" t="s">
        <v>741</v>
      </c>
      <c r="AF238" s="33" t="s">
        <v>53</v>
      </c>
      <c r="AG238" s="34"/>
    </row>
    <row r="239" spans="1:33" ht="31">
      <c r="A239" s="51" t="s">
        <v>1482</v>
      </c>
      <c r="B239" s="51" t="s">
        <v>1508</v>
      </c>
      <c r="C239" s="22" t="s">
        <v>1509</v>
      </c>
      <c r="D239" s="23" t="s">
        <v>1510</v>
      </c>
      <c r="E239" s="22" t="s">
        <v>49</v>
      </c>
      <c r="F239" s="22" t="s">
        <v>95</v>
      </c>
      <c r="G239" s="22" t="s">
        <v>49</v>
      </c>
      <c r="H239" s="22" t="s">
        <v>126</v>
      </c>
      <c r="I239" s="22" t="s">
        <v>52</v>
      </c>
      <c r="J239" s="22" t="s">
        <v>53</v>
      </c>
      <c r="K239" s="22" t="s">
        <v>128</v>
      </c>
      <c r="L239" s="22" t="s">
        <v>55</v>
      </c>
      <c r="M239" s="22" t="s">
        <v>83</v>
      </c>
      <c r="N239" s="22" t="s">
        <v>59</v>
      </c>
      <c r="O239" s="22" t="s">
        <v>84</v>
      </c>
      <c r="P239" s="22" t="s">
        <v>348</v>
      </c>
      <c r="Q239" s="22" t="s">
        <v>60</v>
      </c>
      <c r="R239" s="25"/>
      <c r="S239" s="22" t="s">
        <v>61</v>
      </c>
      <c r="T239" s="22" t="s">
        <v>62</v>
      </c>
      <c r="U239" s="22" t="s">
        <v>63</v>
      </c>
      <c r="V239" s="22" t="s">
        <v>64</v>
      </c>
      <c r="W239" s="25"/>
      <c r="X239" s="26" t="s">
        <v>1511</v>
      </c>
      <c r="Y239" s="22" t="s">
        <v>525</v>
      </c>
      <c r="Z239" s="22" t="s">
        <v>626</v>
      </c>
      <c r="AA239" s="22" t="s">
        <v>627</v>
      </c>
      <c r="AC239" s="22" t="s">
        <v>393</v>
      </c>
      <c r="AD239" s="27" t="s">
        <v>71</v>
      </c>
      <c r="AE239" s="22" t="s">
        <v>741</v>
      </c>
      <c r="AF239" s="33" t="s">
        <v>1512</v>
      </c>
      <c r="AG239" s="33" t="s">
        <v>1513</v>
      </c>
    </row>
    <row r="240" spans="1:33" ht="31">
      <c r="A240" s="51" t="s">
        <v>1482</v>
      </c>
      <c r="B240" s="51" t="s">
        <v>1514</v>
      </c>
      <c r="C240" s="22" t="s">
        <v>1515</v>
      </c>
      <c r="D240" s="23" t="s">
        <v>1516</v>
      </c>
      <c r="E240" s="22" t="s">
        <v>49</v>
      </c>
      <c r="F240" s="22" t="s">
        <v>50</v>
      </c>
      <c r="G240" s="22" t="s">
        <v>49</v>
      </c>
      <c r="H240" s="22" t="s">
        <v>126</v>
      </c>
      <c r="I240" s="22" t="s">
        <v>307</v>
      </c>
      <c r="J240" s="22" t="s">
        <v>107</v>
      </c>
      <c r="K240" s="22" t="s">
        <v>128</v>
      </c>
      <c r="L240" s="7" t="s">
        <v>53</v>
      </c>
      <c r="M240" s="22" t="s">
        <v>83</v>
      </c>
      <c r="N240" s="22" t="s">
        <v>59</v>
      </c>
      <c r="O240" s="22" t="s">
        <v>84</v>
      </c>
      <c r="P240" s="22" t="s">
        <v>52</v>
      </c>
      <c r="Q240" s="22" t="s">
        <v>60</v>
      </c>
      <c r="R240" s="22" t="s">
        <v>130</v>
      </c>
      <c r="S240" s="22" t="s">
        <v>61</v>
      </c>
      <c r="T240" s="22" t="s">
        <v>62</v>
      </c>
      <c r="U240" s="22" t="s">
        <v>63</v>
      </c>
      <c r="V240" s="22" t="s">
        <v>64</v>
      </c>
      <c r="W240" s="25"/>
      <c r="X240" s="26" t="s">
        <v>1511</v>
      </c>
      <c r="Y240" s="22" t="s">
        <v>131</v>
      </c>
      <c r="Z240" s="22" t="s">
        <v>1517</v>
      </c>
      <c r="AA240" s="22" t="s">
        <v>1518</v>
      </c>
      <c r="AC240" s="22" t="s">
        <v>393</v>
      </c>
      <c r="AD240" s="27" t="s">
        <v>71</v>
      </c>
      <c r="AE240" s="22" t="s">
        <v>741</v>
      </c>
      <c r="AF240" s="50" t="s">
        <v>1519</v>
      </c>
      <c r="AG240" s="33" t="s">
        <v>1513</v>
      </c>
    </row>
    <row r="241" spans="1:45" ht="46.5">
      <c r="A241" s="51" t="s">
        <v>1482</v>
      </c>
      <c r="B241" s="51" t="s">
        <v>1520</v>
      </c>
      <c r="C241" s="22" t="s">
        <v>1521</v>
      </c>
      <c r="D241" s="42" t="s">
        <v>1522</v>
      </c>
      <c r="E241" s="22" t="s">
        <v>49</v>
      </c>
      <c r="F241" s="22" t="s">
        <v>95</v>
      </c>
      <c r="G241" s="22" t="s">
        <v>49</v>
      </c>
      <c r="H241" s="22" t="s">
        <v>126</v>
      </c>
      <c r="I241" s="22" t="s">
        <v>52</v>
      </c>
      <c r="J241" s="22" t="s">
        <v>53</v>
      </c>
      <c r="K241" s="22" t="s">
        <v>128</v>
      </c>
      <c r="L241" s="22" t="s">
        <v>55</v>
      </c>
      <c r="M241" s="22" t="s">
        <v>56</v>
      </c>
      <c r="N241" s="22" t="s">
        <v>59</v>
      </c>
      <c r="O241" s="22" t="s">
        <v>84</v>
      </c>
      <c r="P241" s="22" t="s">
        <v>59</v>
      </c>
      <c r="Q241" s="22" t="s">
        <v>60</v>
      </c>
      <c r="R241" s="25"/>
      <c r="S241" s="22" t="s">
        <v>61</v>
      </c>
      <c r="T241" s="22" t="s">
        <v>62</v>
      </c>
      <c r="U241" s="22" t="s">
        <v>63</v>
      </c>
      <c r="V241" s="22" t="s">
        <v>64</v>
      </c>
      <c r="W241" s="25"/>
      <c r="X241" s="26" t="s">
        <v>1523</v>
      </c>
      <c r="Y241" s="22" t="s">
        <v>231</v>
      </c>
      <c r="Z241" s="22" t="s">
        <v>232</v>
      </c>
      <c r="AA241" s="22" t="s">
        <v>233</v>
      </c>
      <c r="AC241" s="22" t="s">
        <v>393</v>
      </c>
      <c r="AD241" s="27" t="s">
        <v>71</v>
      </c>
      <c r="AE241" s="22" t="s">
        <v>741</v>
      </c>
      <c r="AF241" s="33" t="s">
        <v>1524</v>
      </c>
      <c r="AG241" s="33" t="s">
        <v>352</v>
      </c>
    </row>
    <row r="242" spans="1:45" ht="31">
      <c r="A242" s="51" t="s">
        <v>1482</v>
      </c>
      <c r="B242" s="51" t="s">
        <v>1525</v>
      </c>
      <c r="C242" s="22" t="s">
        <v>1515</v>
      </c>
      <c r="D242" s="23" t="s">
        <v>1526</v>
      </c>
      <c r="E242" s="22" t="s">
        <v>49</v>
      </c>
      <c r="F242" s="22" t="s">
        <v>50</v>
      </c>
      <c r="G242" s="22" t="s">
        <v>49</v>
      </c>
      <c r="H242" s="22" t="s">
        <v>126</v>
      </c>
      <c r="I242" s="22" t="s">
        <v>307</v>
      </c>
      <c r="J242" s="22" t="s">
        <v>107</v>
      </c>
      <c r="K242" s="22" t="s">
        <v>128</v>
      </c>
      <c r="L242" s="22" t="s">
        <v>53</v>
      </c>
      <c r="M242" s="22" t="s">
        <v>83</v>
      </c>
      <c r="N242" s="22" t="s">
        <v>59</v>
      </c>
      <c r="O242" s="22" t="s">
        <v>84</v>
      </c>
      <c r="P242" s="22" t="s">
        <v>52</v>
      </c>
      <c r="Q242" s="22" t="s">
        <v>60</v>
      </c>
      <c r="R242" s="25"/>
      <c r="S242" s="22" t="s">
        <v>61</v>
      </c>
      <c r="T242" s="22" t="s">
        <v>62</v>
      </c>
      <c r="U242" s="22" t="s">
        <v>63</v>
      </c>
      <c r="V242" s="22" t="s">
        <v>64</v>
      </c>
      <c r="W242" s="25"/>
      <c r="X242" s="26" t="s">
        <v>1523</v>
      </c>
      <c r="Z242" s="22" t="s">
        <v>1527</v>
      </c>
      <c r="AA242" s="22" t="s">
        <v>1528</v>
      </c>
      <c r="AC242" s="22" t="s">
        <v>393</v>
      </c>
      <c r="AD242" s="27" t="s">
        <v>71</v>
      </c>
      <c r="AE242" s="22" t="s">
        <v>741</v>
      </c>
      <c r="AF242" s="33" t="s">
        <v>53</v>
      </c>
      <c r="AG242" s="34"/>
    </row>
    <row r="243" spans="1:45" ht="31">
      <c r="A243" s="51" t="s">
        <v>1482</v>
      </c>
      <c r="B243" s="51" t="s">
        <v>1529</v>
      </c>
      <c r="C243" s="7" t="s">
        <v>1530</v>
      </c>
      <c r="D243" s="42" t="s">
        <v>1531</v>
      </c>
      <c r="E243" s="7" t="s">
        <v>49</v>
      </c>
      <c r="F243" s="7" t="s">
        <v>50</v>
      </c>
      <c r="G243" s="7" t="s">
        <v>49</v>
      </c>
      <c r="H243" s="7" t="s">
        <v>126</v>
      </c>
      <c r="I243" s="7" t="s">
        <v>52</v>
      </c>
      <c r="J243" s="7" t="s">
        <v>53</v>
      </c>
      <c r="K243" s="7" t="s">
        <v>128</v>
      </c>
      <c r="L243" s="7" t="s">
        <v>53</v>
      </c>
      <c r="M243" s="7" t="s">
        <v>83</v>
      </c>
      <c r="N243" s="7" t="s">
        <v>59</v>
      </c>
      <c r="O243" s="7" t="s">
        <v>84</v>
      </c>
      <c r="P243" s="7" t="s">
        <v>108</v>
      </c>
      <c r="Q243" s="7" t="s">
        <v>60</v>
      </c>
      <c r="R243" s="45"/>
      <c r="S243" s="7" t="s">
        <v>61</v>
      </c>
      <c r="T243" s="7" t="s">
        <v>62</v>
      </c>
      <c r="U243" s="7" t="s">
        <v>63</v>
      </c>
      <c r="V243" s="7" t="s">
        <v>64</v>
      </c>
      <c r="W243" s="45"/>
      <c r="X243" s="77" t="s">
        <v>1523</v>
      </c>
      <c r="Y243" s="45"/>
      <c r="Z243" s="7" t="s">
        <v>765</v>
      </c>
      <c r="AA243" s="7" t="s">
        <v>1532</v>
      </c>
      <c r="AB243" s="45"/>
      <c r="AC243" s="7" t="s">
        <v>393</v>
      </c>
      <c r="AD243" s="75" t="s">
        <v>71</v>
      </c>
      <c r="AE243" s="7" t="s">
        <v>741</v>
      </c>
      <c r="AF243" s="48" t="s">
        <v>1533</v>
      </c>
      <c r="AG243" s="48" t="s">
        <v>1513</v>
      </c>
      <c r="AH243" s="45"/>
      <c r="AI243" s="45"/>
      <c r="AJ243" s="45"/>
      <c r="AK243" s="45"/>
      <c r="AL243" s="45"/>
      <c r="AM243" s="45"/>
      <c r="AN243" s="45"/>
      <c r="AO243" s="45"/>
      <c r="AP243" s="45"/>
      <c r="AQ243" s="45"/>
      <c r="AR243" s="45"/>
      <c r="AS243" s="45"/>
    </row>
    <row r="244" spans="1:45" ht="31">
      <c r="A244" s="51" t="s">
        <v>1482</v>
      </c>
      <c r="B244" s="51" t="s">
        <v>1534</v>
      </c>
      <c r="C244" s="22" t="s">
        <v>1535</v>
      </c>
      <c r="D244" s="23" t="s">
        <v>1536</v>
      </c>
      <c r="E244" s="22" t="s">
        <v>49</v>
      </c>
      <c r="F244" s="22" t="s">
        <v>95</v>
      </c>
      <c r="G244" s="22" t="s">
        <v>49</v>
      </c>
      <c r="H244" s="22" t="s">
        <v>192</v>
      </c>
      <c r="I244" s="22" t="s">
        <v>375</v>
      </c>
      <c r="J244" s="22" t="s">
        <v>501</v>
      </c>
      <c r="K244" s="22" t="s">
        <v>356</v>
      </c>
      <c r="L244" s="22" t="s">
        <v>53</v>
      </c>
      <c r="M244" s="22" t="s">
        <v>56</v>
      </c>
      <c r="N244" s="22" t="s">
        <v>59</v>
      </c>
      <c r="O244" s="22" t="s">
        <v>84</v>
      </c>
      <c r="P244" s="22" t="s">
        <v>85</v>
      </c>
      <c r="Q244" s="22" t="s">
        <v>238</v>
      </c>
      <c r="R244" s="22" t="s">
        <v>60</v>
      </c>
      <c r="S244" s="22" t="s">
        <v>85</v>
      </c>
      <c r="T244" s="22" t="s">
        <v>62</v>
      </c>
      <c r="U244" s="22" t="s">
        <v>63</v>
      </c>
      <c r="V244" s="22" t="s">
        <v>64</v>
      </c>
      <c r="W244" s="25"/>
      <c r="X244" s="26" t="s">
        <v>1523</v>
      </c>
      <c r="Z244" s="22" t="s">
        <v>1537</v>
      </c>
      <c r="AA244" s="22" t="s">
        <v>272</v>
      </c>
      <c r="AC244" s="22" t="s">
        <v>393</v>
      </c>
      <c r="AD244" s="27" t="s">
        <v>71</v>
      </c>
      <c r="AE244" s="22" t="s">
        <v>741</v>
      </c>
      <c r="AF244" s="33" t="s">
        <v>1538</v>
      </c>
      <c r="AG244" s="33" t="s">
        <v>1539</v>
      </c>
    </row>
    <row r="245" spans="1:45" ht="46.5">
      <c r="A245" s="51" t="s">
        <v>1482</v>
      </c>
      <c r="B245" s="51" t="s">
        <v>1540</v>
      </c>
      <c r="C245" s="22" t="s">
        <v>1541</v>
      </c>
      <c r="D245" s="23" t="s">
        <v>1542</v>
      </c>
      <c r="E245" s="22" t="s">
        <v>49</v>
      </c>
      <c r="F245" s="22" t="s">
        <v>589</v>
      </c>
      <c r="G245" s="22" t="s">
        <v>49</v>
      </c>
      <c r="H245" s="22" t="s">
        <v>1243</v>
      </c>
      <c r="I245" s="22" t="s">
        <v>81</v>
      </c>
      <c r="J245" s="22" t="s">
        <v>53</v>
      </c>
      <c r="K245" s="22" t="s">
        <v>128</v>
      </c>
      <c r="L245" s="22" t="s">
        <v>53</v>
      </c>
      <c r="M245" s="22" t="s">
        <v>83</v>
      </c>
      <c r="N245" s="22" t="s">
        <v>59</v>
      </c>
      <c r="O245" s="22" t="s">
        <v>84</v>
      </c>
      <c r="P245" s="22" t="s">
        <v>537</v>
      </c>
      <c r="Q245" s="22" t="s">
        <v>203</v>
      </c>
      <c r="R245" s="25"/>
      <c r="S245" s="22" t="s">
        <v>85</v>
      </c>
      <c r="T245" s="22" t="s">
        <v>62</v>
      </c>
      <c r="U245" s="22" t="s">
        <v>63</v>
      </c>
      <c r="V245" s="22" t="s">
        <v>64</v>
      </c>
      <c r="W245" s="25"/>
      <c r="X245" s="31" t="s">
        <v>1543</v>
      </c>
      <c r="Z245" s="78">
        <v>0.21527777777777779</v>
      </c>
      <c r="AA245" s="22" t="s">
        <v>1070</v>
      </c>
      <c r="AC245" s="22" t="s">
        <v>393</v>
      </c>
      <c r="AD245" s="27" t="s">
        <v>71</v>
      </c>
      <c r="AE245" s="22" t="s">
        <v>741</v>
      </c>
      <c r="AF245" s="33" t="s">
        <v>53</v>
      </c>
      <c r="AG245" s="34"/>
    </row>
    <row r="246" spans="1:45" ht="31">
      <c r="A246" s="51" t="s">
        <v>1482</v>
      </c>
      <c r="B246" s="51" t="s">
        <v>1544</v>
      </c>
      <c r="C246" s="22" t="s">
        <v>1545</v>
      </c>
      <c r="D246" s="42" t="s">
        <v>1546</v>
      </c>
      <c r="E246" s="22" t="s">
        <v>49</v>
      </c>
      <c r="F246" s="22" t="s">
        <v>50</v>
      </c>
      <c r="G246" s="22" t="s">
        <v>49</v>
      </c>
      <c r="H246" s="22" t="s">
        <v>51</v>
      </c>
      <c r="I246" s="22" t="s">
        <v>81</v>
      </c>
      <c r="J246" s="22" t="s">
        <v>107</v>
      </c>
      <c r="K246" s="22" t="s">
        <v>54</v>
      </c>
      <c r="L246" s="22" t="s">
        <v>53</v>
      </c>
      <c r="M246" s="22" t="s">
        <v>83</v>
      </c>
      <c r="N246" s="22" t="s">
        <v>59</v>
      </c>
      <c r="O246" s="22" t="s">
        <v>84</v>
      </c>
      <c r="P246" s="22" t="s">
        <v>109</v>
      </c>
      <c r="Q246" s="22" t="s">
        <v>60</v>
      </c>
      <c r="R246" s="22" t="s">
        <v>130</v>
      </c>
      <c r="S246" s="22" t="s">
        <v>109</v>
      </c>
      <c r="T246" s="22" t="s">
        <v>62</v>
      </c>
      <c r="U246" s="22" t="s">
        <v>63</v>
      </c>
      <c r="V246" s="22" t="s">
        <v>118</v>
      </c>
      <c r="W246" s="25"/>
      <c r="X246" s="31" t="s">
        <v>1547</v>
      </c>
      <c r="Z246" s="22" t="s">
        <v>1548</v>
      </c>
      <c r="AA246" s="22" t="s">
        <v>1518</v>
      </c>
      <c r="AC246" s="22" t="s">
        <v>393</v>
      </c>
      <c r="AD246" s="27" t="s">
        <v>71</v>
      </c>
      <c r="AE246" s="22" t="s">
        <v>741</v>
      </c>
      <c r="AF246" s="33" t="s">
        <v>1549</v>
      </c>
      <c r="AG246" s="33" t="s">
        <v>352</v>
      </c>
    </row>
    <row r="247" spans="1:45" ht="46.5">
      <c r="A247" s="51" t="s">
        <v>1482</v>
      </c>
      <c r="B247" s="51" t="s">
        <v>1550</v>
      </c>
      <c r="C247" s="22" t="s">
        <v>1551</v>
      </c>
      <c r="D247" s="42" t="s">
        <v>1552</v>
      </c>
      <c r="E247" s="22" t="s">
        <v>49</v>
      </c>
      <c r="F247" s="22" t="s">
        <v>78</v>
      </c>
      <c r="G247" s="22" t="s">
        <v>1553</v>
      </c>
      <c r="H247" s="22" t="s">
        <v>51</v>
      </c>
      <c r="I247" s="22" t="s">
        <v>52</v>
      </c>
      <c r="J247" s="22" t="s">
        <v>53</v>
      </c>
      <c r="K247" s="22" t="s">
        <v>54</v>
      </c>
      <c r="L247" s="22" t="s">
        <v>55</v>
      </c>
      <c r="M247" s="22" t="s">
        <v>56</v>
      </c>
      <c r="N247" s="22" t="s">
        <v>348</v>
      </c>
      <c r="O247" s="22" t="s">
        <v>84</v>
      </c>
      <c r="P247" s="22" t="s">
        <v>348</v>
      </c>
      <c r="Q247" s="22" t="s">
        <v>86</v>
      </c>
      <c r="R247" s="25"/>
      <c r="S247" s="22" t="s">
        <v>388</v>
      </c>
      <c r="T247" s="22" t="s">
        <v>62</v>
      </c>
      <c r="U247" s="22" t="s">
        <v>63</v>
      </c>
      <c r="V247" s="22" t="s">
        <v>64</v>
      </c>
      <c r="W247" s="25"/>
      <c r="X247" s="31" t="s">
        <v>1554</v>
      </c>
      <c r="Z247" s="22" t="s">
        <v>1289</v>
      </c>
      <c r="AA247" s="22" t="s">
        <v>1555</v>
      </c>
      <c r="AC247" s="22" t="s">
        <v>393</v>
      </c>
      <c r="AD247" s="27" t="s">
        <v>71</v>
      </c>
      <c r="AE247" s="22" t="s">
        <v>741</v>
      </c>
      <c r="AF247" s="79" t="s">
        <v>1556</v>
      </c>
      <c r="AG247" s="33" t="s">
        <v>1513</v>
      </c>
    </row>
    <row r="248" spans="1:45" ht="31">
      <c r="A248" s="51" t="s">
        <v>1482</v>
      </c>
      <c r="B248" s="51" t="s">
        <v>1557</v>
      </c>
      <c r="C248" s="22" t="s">
        <v>1558</v>
      </c>
      <c r="D248" s="23" t="s">
        <v>1559</v>
      </c>
      <c r="E248" s="22" t="s">
        <v>49</v>
      </c>
      <c r="F248" s="22" t="s">
        <v>95</v>
      </c>
      <c r="G248" s="22" t="s">
        <v>49</v>
      </c>
      <c r="H248" s="22" t="s">
        <v>126</v>
      </c>
      <c r="I248" s="22" t="s">
        <v>307</v>
      </c>
      <c r="J248" s="22" t="s">
        <v>53</v>
      </c>
      <c r="K248" s="22" t="s">
        <v>128</v>
      </c>
      <c r="L248" s="22" t="s">
        <v>53</v>
      </c>
      <c r="M248" s="22" t="s">
        <v>83</v>
      </c>
      <c r="N248" s="22" t="s">
        <v>59</v>
      </c>
      <c r="O248" s="22" t="s">
        <v>84</v>
      </c>
      <c r="P248" s="22" t="s">
        <v>348</v>
      </c>
      <c r="Q248" s="22" t="s">
        <v>60</v>
      </c>
      <c r="R248" s="22" t="s">
        <v>130</v>
      </c>
      <c r="S248" s="22" t="s">
        <v>61</v>
      </c>
      <c r="T248" s="22" t="s">
        <v>62</v>
      </c>
      <c r="U248" s="22" t="s">
        <v>63</v>
      </c>
      <c r="V248" s="22" t="s">
        <v>64</v>
      </c>
      <c r="W248" s="25"/>
      <c r="X248" s="26" t="s">
        <v>1511</v>
      </c>
      <c r="Y248" s="22" t="s">
        <v>342</v>
      </c>
      <c r="Z248" s="22" t="s">
        <v>1518</v>
      </c>
      <c r="AA248" s="22" t="s">
        <v>648</v>
      </c>
      <c r="AC248" s="22" t="s">
        <v>393</v>
      </c>
      <c r="AD248" s="27" t="s">
        <v>71</v>
      </c>
      <c r="AE248" s="22" t="s">
        <v>741</v>
      </c>
      <c r="AF248" s="33" t="s">
        <v>53</v>
      </c>
      <c r="AG248" s="34"/>
    </row>
    <row r="249" spans="1:45" ht="46.5">
      <c r="A249" s="51" t="s">
        <v>1482</v>
      </c>
      <c r="B249" s="51" t="s">
        <v>1560</v>
      </c>
      <c r="C249" s="22" t="s">
        <v>1561</v>
      </c>
      <c r="D249" s="23" t="s">
        <v>1562</v>
      </c>
      <c r="E249" s="22" t="s">
        <v>49</v>
      </c>
      <c r="F249" s="22" t="s">
        <v>95</v>
      </c>
      <c r="G249" s="22" t="s">
        <v>49</v>
      </c>
      <c r="H249" s="22" t="s">
        <v>126</v>
      </c>
      <c r="I249" s="22" t="s">
        <v>52</v>
      </c>
      <c r="J249" s="22" t="s">
        <v>53</v>
      </c>
      <c r="K249" s="22" t="s">
        <v>856</v>
      </c>
      <c r="L249" s="22" t="s">
        <v>55</v>
      </c>
      <c r="M249" s="22" t="s">
        <v>83</v>
      </c>
      <c r="N249" s="22" t="s">
        <v>348</v>
      </c>
      <c r="O249" s="22" t="s">
        <v>84</v>
      </c>
      <c r="P249" s="22" t="s">
        <v>59</v>
      </c>
      <c r="Q249" s="22" t="s">
        <v>63</v>
      </c>
      <c r="R249" s="25"/>
      <c r="S249" s="22" t="s">
        <v>61</v>
      </c>
      <c r="T249" s="22" t="s">
        <v>62</v>
      </c>
      <c r="U249" s="22" t="s">
        <v>515</v>
      </c>
      <c r="V249" s="22" t="s">
        <v>64</v>
      </c>
      <c r="W249" s="25"/>
      <c r="X249" s="26" t="s">
        <v>1563</v>
      </c>
      <c r="Y249" s="68" t="s">
        <v>146</v>
      </c>
      <c r="Z249" s="22" t="s">
        <v>1564</v>
      </c>
      <c r="AA249" s="22" t="s">
        <v>1565</v>
      </c>
      <c r="AC249" s="22" t="s">
        <v>328</v>
      </c>
      <c r="AD249" s="27" t="s">
        <v>71</v>
      </c>
      <c r="AE249" s="22" t="s">
        <v>741</v>
      </c>
      <c r="AF249" s="34"/>
      <c r="AG249" s="34"/>
    </row>
    <row r="250" spans="1:45" ht="62">
      <c r="A250" s="51" t="s">
        <v>1482</v>
      </c>
      <c r="B250" s="51" t="s">
        <v>1566</v>
      </c>
      <c r="C250" s="22" t="s">
        <v>1567</v>
      </c>
      <c r="D250" s="23" t="s">
        <v>1568</v>
      </c>
      <c r="E250" s="22" t="s">
        <v>49</v>
      </c>
      <c r="F250" s="22" t="s">
        <v>50</v>
      </c>
      <c r="G250" s="22" t="s">
        <v>79</v>
      </c>
      <c r="H250" s="22" t="s">
        <v>126</v>
      </c>
      <c r="I250" s="22" t="s">
        <v>81</v>
      </c>
      <c r="J250" s="22" t="s">
        <v>107</v>
      </c>
      <c r="K250" s="22" t="s">
        <v>144</v>
      </c>
      <c r="L250" s="22" t="s">
        <v>53</v>
      </c>
      <c r="M250" s="22" t="s">
        <v>83</v>
      </c>
      <c r="N250" s="22" t="s">
        <v>59</v>
      </c>
      <c r="O250" s="22" t="s">
        <v>84</v>
      </c>
      <c r="P250" s="22" t="s">
        <v>348</v>
      </c>
      <c r="Q250" s="22" t="s">
        <v>60</v>
      </c>
      <c r="R250" s="25"/>
      <c r="S250" s="22" t="s">
        <v>61</v>
      </c>
      <c r="T250" s="22" t="s">
        <v>62</v>
      </c>
      <c r="U250" s="22" t="s">
        <v>63</v>
      </c>
      <c r="V250" s="22" t="s">
        <v>64</v>
      </c>
      <c r="W250" s="25"/>
      <c r="X250" s="35" t="s">
        <v>1569</v>
      </c>
      <c r="Y250" s="68" t="s">
        <v>99</v>
      </c>
      <c r="Z250" s="22" t="s">
        <v>1570</v>
      </c>
      <c r="AA250" s="22" t="s">
        <v>1517</v>
      </c>
      <c r="AC250" s="22" t="s">
        <v>328</v>
      </c>
      <c r="AD250" s="27" t="s">
        <v>71</v>
      </c>
      <c r="AE250" s="22" t="s">
        <v>741</v>
      </c>
      <c r="AF250" s="34"/>
      <c r="AG250" s="34"/>
    </row>
    <row r="251" spans="1:45" ht="46.5">
      <c r="A251" s="51" t="s">
        <v>1482</v>
      </c>
      <c r="B251" s="51" t="s">
        <v>1571</v>
      </c>
      <c r="C251" s="22" t="s">
        <v>1572</v>
      </c>
      <c r="D251" s="23" t="s">
        <v>1573</v>
      </c>
      <c r="E251" s="22" t="s">
        <v>49</v>
      </c>
      <c r="F251" s="22" t="s">
        <v>95</v>
      </c>
      <c r="G251" s="22" t="s">
        <v>79</v>
      </c>
      <c r="H251" s="22" t="s">
        <v>421</v>
      </c>
      <c r="I251" s="7" t="s">
        <v>221</v>
      </c>
      <c r="J251" s="22" t="s">
        <v>53</v>
      </c>
      <c r="K251" s="22" t="s">
        <v>170</v>
      </c>
      <c r="L251" s="22" t="s">
        <v>53</v>
      </c>
      <c r="M251" s="22" t="s">
        <v>83</v>
      </c>
      <c r="N251" s="22" t="s">
        <v>59</v>
      </c>
      <c r="O251" s="22" t="s">
        <v>84</v>
      </c>
      <c r="P251" s="7" t="s">
        <v>422</v>
      </c>
      <c r="Q251" s="22" t="s">
        <v>60</v>
      </c>
      <c r="R251" s="25"/>
      <c r="S251" s="22" t="s">
        <v>388</v>
      </c>
      <c r="T251" s="22" t="s">
        <v>62</v>
      </c>
      <c r="U251" s="22" t="s">
        <v>63</v>
      </c>
      <c r="V251" s="22" t="s">
        <v>64</v>
      </c>
      <c r="W251" s="25"/>
      <c r="X251" s="26" t="s">
        <v>1574</v>
      </c>
      <c r="Y251" s="68" t="s">
        <v>357</v>
      </c>
      <c r="Z251" s="22" t="s">
        <v>365</v>
      </c>
      <c r="AA251" s="22" t="s">
        <v>756</v>
      </c>
      <c r="AC251" s="22" t="s">
        <v>328</v>
      </c>
      <c r="AD251" s="27" t="s">
        <v>71</v>
      </c>
      <c r="AE251" s="22" t="s">
        <v>741</v>
      </c>
      <c r="AF251" s="34"/>
      <c r="AG251" s="34"/>
    </row>
    <row r="252" spans="1:45" ht="46.5">
      <c r="A252" s="51" t="s">
        <v>1482</v>
      </c>
      <c r="B252" s="51" t="s">
        <v>1575</v>
      </c>
      <c r="C252" s="22" t="s">
        <v>1576</v>
      </c>
      <c r="D252" s="23" t="s">
        <v>1577</v>
      </c>
      <c r="E252" s="22" t="s">
        <v>49</v>
      </c>
      <c r="F252" s="22" t="s">
        <v>50</v>
      </c>
      <c r="G252" s="22" t="s">
        <v>49</v>
      </c>
      <c r="H252" s="22" t="s">
        <v>51</v>
      </c>
      <c r="I252" s="22" t="s">
        <v>81</v>
      </c>
      <c r="J252" s="22" t="s">
        <v>501</v>
      </c>
      <c r="K252" s="22" t="s">
        <v>356</v>
      </c>
      <c r="L252" s="22" t="s">
        <v>53</v>
      </c>
      <c r="M252" s="22" t="s">
        <v>83</v>
      </c>
      <c r="N252" s="22" t="s">
        <v>59</v>
      </c>
      <c r="O252" s="22" t="s">
        <v>84</v>
      </c>
      <c r="P252" s="22" t="s">
        <v>85</v>
      </c>
      <c r="Q252" s="22" t="s">
        <v>60</v>
      </c>
      <c r="R252" s="25"/>
      <c r="S252" s="22" t="s">
        <v>85</v>
      </c>
      <c r="T252" s="22" t="s">
        <v>62</v>
      </c>
      <c r="U252" s="22" t="s">
        <v>63</v>
      </c>
      <c r="V252" s="22" t="s">
        <v>64</v>
      </c>
      <c r="W252" s="25"/>
      <c r="X252" s="35" t="s">
        <v>1578</v>
      </c>
      <c r="Y252" s="68" t="s">
        <v>204</v>
      </c>
      <c r="Z252" s="22" t="s">
        <v>1261</v>
      </c>
      <c r="AA252" s="22" t="s">
        <v>1579</v>
      </c>
      <c r="AC252" s="22" t="s">
        <v>328</v>
      </c>
      <c r="AD252" s="27" t="s">
        <v>71</v>
      </c>
      <c r="AE252" s="22" t="s">
        <v>804</v>
      </c>
      <c r="AF252" s="33"/>
      <c r="AG252" s="34"/>
    </row>
    <row r="253" spans="1:45" ht="31">
      <c r="A253" s="51" t="s">
        <v>1482</v>
      </c>
      <c r="B253" s="51" t="s">
        <v>1580</v>
      </c>
      <c r="C253" s="22" t="s">
        <v>1576</v>
      </c>
      <c r="D253" s="23" t="s">
        <v>1581</v>
      </c>
      <c r="E253" s="22" t="s">
        <v>49</v>
      </c>
      <c r="F253" s="22" t="s">
        <v>50</v>
      </c>
      <c r="G253" s="22" t="s">
        <v>49</v>
      </c>
      <c r="H253" s="22" t="s">
        <v>126</v>
      </c>
      <c r="I253" s="22" t="s">
        <v>81</v>
      </c>
      <c r="J253" s="22" t="s">
        <v>127</v>
      </c>
      <c r="K253" s="22" t="s">
        <v>54</v>
      </c>
      <c r="L253" s="22" t="s">
        <v>53</v>
      </c>
      <c r="M253" s="22" t="s">
        <v>83</v>
      </c>
      <c r="N253" s="22" t="s">
        <v>59</v>
      </c>
      <c r="O253" s="22" t="s">
        <v>84</v>
      </c>
      <c r="P253" s="22" t="s">
        <v>85</v>
      </c>
      <c r="Q253" s="22" t="s">
        <v>60</v>
      </c>
      <c r="R253" s="25"/>
      <c r="S253" s="22" t="s">
        <v>85</v>
      </c>
      <c r="T253" s="22" t="s">
        <v>62</v>
      </c>
      <c r="U253" s="22" t="s">
        <v>63</v>
      </c>
      <c r="V253" s="22" t="s">
        <v>118</v>
      </c>
      <c r="W253" s="25"/>
      <c r="X253" s="35" t="s">
        <v>1582</v>
      </c>
      <c r="Y253" s="68" t="s">
        <v>67</v>
      </c>
      <c r="Z253" s="22" t="s">
        <v>1579</v>
      </c>
      <c r="AA253" s="22" t="s">
        <v>1583</v>
      </c>
      <c r="AC253" s="22" t="s">
        <v>328</v>
      </c>
      <c r="AD253" s="27" t="s">
        <v>71</v>
      </c>
      <c r="AE253" s="22" t="s">
        <v>804</v>
      </c>
      <c r="AF253" s="34"/>
      <c r="AG253" s="34"/>
    </row>
    <row r="254" spans="1:45" ht="31">
      <c r="A254" s="51" t="s">
        <v>1482</v>
      </c>
      <c r="B254" s="51" t="s">
        <v>1584</v>
      </c>
      <c r="C254" s="22" t="s">
        <v>1585</v>
      </c>
      <c r="D254" s="23" t="s">
        <v>1586</v>
      </c>
      <c r="E254" s="22" t="s">
        <v>49</v>
      </c>
      <c r="F254" s="22" t="s">
        <v>95</v>
      </c>
      <c r="G254" s="22" t="s">
        <v>49</v>
      </c>
      <c r="H254" s="22" t="s">
        <v>126</v>
      </c>
      <c r="I254" s="22" t="s">
        <v>52</v>
      </c>
      <c r="J254" s="22" t="s">
        <v>53</v>
      </c>
      <c r="K254" s="22" t="s">
        <v>144</v>
      </c>
      <c r="L254" s="22" t="s">
        <v>53</v>
      </c>
      <c r="M254" s="22" t="s">
        <v>83</v>
      </c>
      <c r="N254" s="22" t="s">
        <v>59</v>
      </c>
      <c r="O254" s="22" t="s">
        <v>84</v>
      </c>
      <c r="P254" s="22" t="s">
        <v>348</v>
      </c>
      <c r="Q254" s="22" t="s">
        <v>60</v>
      </c>
      <c r="R254" s="25"/>
      <c r="S254" s="22" t="s">
        <v>61</v>
      </c>
      <c r="T254" s="22" t="s">
        <v>62</v>
      </c>
      <c r="U254" s="22" t="s">
        <v>63</v>
      </c>
      <c r="V254" s="22" t="s">
        <v>64</v>
      </c>
      <c r="W254" s="25"/>
      <c r="X254" s="26" t="s">
        <v>1587</v>
      </c>
      <c r="Y254" s="68" t="s">
        <v>288</v>
      </c>
      <c r="Z254" s="22" t="s">
        <v>250</v>
      </c>
      <c r="AA254" s="22" t="s">
        <v>571</v>
      </c>
      <c r="AC254" s="22" t="s">
        <v>328</v>
      </c>
      <c r="AD254" s="27" t="s">
        <v>71</v>
      </c>
      <c r="AE254" s="22" t="s">
        <v>804</v>
      </c>
      <c r="AF254" s="34"/>
      <c r="AG254" s="34"/>
    </row>
    <row r="255" spans="1:45" ht="31">
      <c r="A255" s="51" t="s">
        <v>1482</v>
      </c>
      <c r="B255" s="51" t="s">
        <v>1588</v>
      </c>
      <c r="C255" s="22" t="s">
        <v>1589</v>
      </c>
      <c r="D255" s="23" t="s">
        <v>1590</v>
      </c>
      <c r="E255" s="22" t="s">
        <v>49</v>
      </c>
      <c r="F255" s="22" t="s">
        <v>78</v>
      </c>
      <c r="G255" s="22" t="s">
        <v>49</v>
      </c>
      <c r="H255" s="22" t="s">
        <v>126</v>
      </c>
      <c r="I255" s="22" t="s">
        <v>52</v>
      </c>
      <c r="J255" s="22" t="s">
        <v>53</v>
      </c>
      <c r="K255" s="22" t="s">
        <v>128</v>
      </c>
      <c r="L255" s="22" t="s">
        <v>55</v>
      </c>
      <c r="M255" s="22" t="s">
        <v>83</v>
      </c>
      <c r="N255" s="22" t="s">
        <v>59</v>
      </c>
      <c r="O255" s="22" t="s">
        <v>97</v>
      </c>
      <c r="P255" s="22" t="s">
        <v>348</v>
      </c>
      <c r="Q255" s="22" t="s">
        <v>60</v>
      </c>
      <c r="R255" s="22" t="s">
        <v>183</v>
      </c>
      <c r="S255" s="22" t="s">
        <v>61</v>
      </c>
      <c r="T255" s="22" t="s">
        <v>62</v>
      </c>
      <c r="U255" s="22" t="s">
        <v>63</v>
      </c>
      <c r="V255" s="22" t="s">
        <v>64</v>
      </c>
      <c r="W255" s="25"/>
      <c r="X255" s="35" t="s">
        <v>1591</v>
      </c>
      <c r="Y255" s="68" t="s">
        <v>496</v>
      </c>
      <c r="Z255" s="22" t="s">
        <v>571</v>
      </c>
      <c r="AA255" s="22" t="s">
        <v>1070</v>
      </c>
      <c r="AC255" s="22" t="s">
        <v>328</v>
      </c>
      <c r="AD255" s="27" t="s">
        <v>71</v>
      </c>
      <c r="AE255" s="22" t="s">
        <v>804</v>
      </c>
      <c r="AF255" s="34"/>
      <c r="AG255" s="34"/>
    </row>
    <row r="256" spans="1:45" ht="31">
      <c r="A256" s="51" t="s">
        <v>1482</v>
      </c>
      <c r="B256" s="51" t="s">
        <v>1592</v>
      </c>
      <c r="C256" s="22" t="s">
        <v>1593</v>
      </c>
      <c r="D256" s="23" t="s">
        <v>1594</v>
      </c>
      <c r="E256" s="22" t="s">
        <v>49</v>
      </c>
      <c r="F256" s="22" t="s">
        <v>269</v>
      </c>
      <c r="G256" s="22" t="s">
        <v>49</v>
      </c>
      <c r="H256" s="22" t="s">
        <v>126</v>
      </c>
      <c r="I256" s="22" t="s">
        <v>52</v>
      </c>
      <c r="J256" s="22" t="s">
        <v>127</v>
      </c>
      <c r="K256" s="22" t="s">
        <v>182</v>
      </c>
      <c r="L256" s="22" t="s">
        <v>55</v>
      </c>
      <c r="M256" s="22" t="s">
        <v>83</v>
      </c>
      <c r="N256" s="22" t="s">
        <v>59</v>
      </c>
      <c r="O256" s="22" t="s">
        <v>84</v>
      </c>
      <c r="P256" s="22" t="s">
        <v>422</v>
      </c>
      <c r="Q256" s="22" t="s">
        <v>60</v>
      </c>
      <c r="R256" s="25"/>
      <c r="S256" s="22" t="s">
        <v>388</v>
      </c>
      <c r="T256" s="22" t="s">
        <v>62</v>
      </c>
      <c r="U256" s="22" t="s">
        <v>63</v>
      </c>
      <c r="V256" s="22" t="s">
        <v>64</v>
      </c>
      <c r="W256" s="25"/>
      <c r="X256" s="35" t="s">
        <v>1595</v>
      </c>
      <c r="Z256" s="22" t="s">
        <v>1596</v>
      </c>
      <c r="AA256" s="22" t="s">
        <v>1597</v>
      </c>
      <c r="AC256" s="22" t="s">
        <v>328</v>
      </c>
      <c r="AD256" s="27" t="s">
        <v>71</v>
      </c>
      <c r="AE256" s="22" t="s">
        <v>804</v>
      </c>
      <c r="AF256" s="34"/>
      <c r="AG256" s="34"/>
    </row>
    <row r="257" spans="1:33" ht="46.5">
      <c r="A257" s="51" t="s">
        <v>1482</v>
      </c>
      <c r="B257" s="51" t="s">
        <v>1598</v>
      </c>
      <c r="C257" s="22" t="s">
        <v>1599</v>
      </c>
      <c r="D257" s="23" t="s">
        <v>1600</v>
      </c>
      <c r="E257" s="22" t="s">
        <v>49</v>
      </c>
      <c r="F257" s="22" t="s">
        <v>95</v>
      </c>
      <c r="G257" s="22" t="s">
        <v>49</v>
      </c>
      <c r="H257" s="22" t="s">
        <v>126</v>
      </c>
      <c r="I257" s="22" t="s">
        <v>52</v>
      </c>
      <c r="J257" s="22" t="s">
        <v>53</v>
      </c>
      <c r="K257" s="22" t="s">
        <v>54</v>
      </c>
      <c r="L257" s="22" t="s">
        <v>55</v>
      </c>
      <c r="M257" s="22" t="s">
        <v>83</v>
      </c>
      <c r="N257" s="22" t="s">
        <v>59</v>
      </c>
      <c r="O257" s="22" t="s">
        <v>97</v>
      </c>
      <c r="P257" s="22" t="s">
        <v>52</v>
      </c>
      <c r="Q257" s="22" t="s">
        <v>60</v>
      </c>
      <c r="R257" s="22" t="s">
        <v>183</v>
      </c>
      <c r="S257" s="22" t="s">
        <v>61</v>
      </c>
      <c r="T257" s="22" t="s">
        <v>62</v>
      </c>
      <c r="U257" s="22" t="s">
        <v>63</v>
      </c>
      <c r="V257" s="22" t="s">
        <v>64</v>
      </c>
      <c r="W257" s="25"/>
      <c r="X257" s="26" t="s">
        <v>1601</v>
      </c>
      <c r="Y257" s="68" t="s">
        <v>195</v>
      </c>
      <c r="Z257" s="22" t="s">
        <v>442</v>
      </c>
      <c r="AA257" s="22" t="s">
        <v>284</v>
      </c>
      <c r="AC257" s="22" t="s">
        <v>328</v>
      </c>
      <c r="AD257" s="27" t="s">
        <v>71</v>
      </c>
      <c r="AE257" s="22" t="s">
        <v>804</v>
      </c>
      <c r="AF257" s="34"/>
      <c r="AG257" s="34"/>
    </row>
    <row r="258" spans="1:33" ht="31">
      <c r="A258" s="51" t="s">
        <v>1482</v>
      </c>
      <c r="B258" s="51" t="s">
        <v>1602</v>
      </c>
      <c r="C258" s="22" t="s">
        <v>1603</v>
      </c>
      <c r="D258" s="23" t="s">
        <v>1604</v>
      </c>
      <c r="E258" s="22" t="s">
        <v>49</v>
      </c>
      <c r="F258" s="22" t="s">
        <v>50</v>
      </c>
      <c r="G258" s="22" t="s">
        <v>49</v>
      </c>
      <c r="H258" s="22" t="s">
        <v>126</v>
      </c>
      <c r="I258" s="22" t="s">
        <v>81</v>
      </c>
      <c r="J258" s="22" t="s">
        <v>53</v>
      </c>
      <c r="K258" s="22" t="s">
        <v>144</v>
      </c>
      <c r="L258" s="22" t="s">
        <v>53</v>
      </c>
      <c r="M258" s="22" t="s">
        <v>83</v>
      </c>
      <c r="N258" s="22" t="s">
        <v>59</v>
      </c>
      <c r="O258" s="22" t="s">
        <v>84</v>
      </c>
      <c r="P258" s="22" t="s">
        <v>85</v>
      </c>
      <c r="Q258" s="22" t="s">
        <v>60</v>
      </c>
      <c r="R258" s="25"/>
      <c r="S258" s="22" t="s">
        <v>85</v>
      </c>
      <c r="T258" s="22" t="s">
        <v>62</v>
      </c>
      <c r="U258" s="22" t="s">
        <v>63</v>
      </c>
      <c r="V258" s="22" t="s">
        <v>64</v>
      </c>
      <c r="W258" s="25"/>
      <c r="X258" s="35" t="s">
        <v>1605</v>
      </c>
      <c r="Z258" s="22" t="s">
        <v>1606</v>
      </c>
      <c r="AA258" s="22" t="s">
        <v>1527</v>
      </c>
      <c r="AC258" s="22" t="s">
        <v>328</v>
      </c>
      <c r="AD258" s="27" t="s">
        <v>71</v>
      </c>
      <c r="AE258" s="22" t="s">
        <v>804</v>
      </c>
      <c r="AF258" s="34"/>
      <c r="AG258" s="34"/>
    </row>
    <row r="259" spans="1:33" ht="46.5">
      <c r="A259" s="51" t="s">
        <v>1482</v>
      </c>
      <c r="B259" s="51" t="s">
        <v>1607</v>
      </c>
      <c r="C259" s="22" t="s">
        <v>1608</v>
      </c>
      <c r="D259" s="23" t="s">
        <v>1609</v>
      </c>
      <c r="E259" s="22" t="s">
        <v>49</v>
      </c>
      <c r="F259" s="22" t="s">
        <v>269</v>
      </c>
      <c r="G259" s="22" t="s">
        <v>49</v>
      </c>
      <c r="H259" s="22" t="s">
        <v>126</v>
      </c>
      <c r="I259" s="22" t="s">
        <v>52</v>
      </c>
      <c r="J259" s="22" t="s">
        <v>127</v>
      </c>
      <c r="K259" s="22" t="s">
        <v>54</v>
      </c>
      <c r="L259" s="22" t="s">
        <v>55</v>
      </c>
      <c r="M259" s="22" t="s">
        <v>83</v>
      </c>
      <c r="N259" s="22" t="s">
        <v>348</v>
      </c>
      <c r="O259" s="22" t="s">
        <v>1224</v>
      </c>
      <c r="P259" s="22" t="s">
        <v>52</v>
      </c>
      <c r="Q259" s="22" t="s">
        <v>183</v>
      </c>
      <c r="R259" s="22" t="s">
        <v>60</v>
      </c>
      <c r="S259" s="22" t="s">
        <v>61</v>
      </c>
      <c r="T259" s="22" t="s">
        <v>62</v>
      </c>
      <c r="U259" s="22" t="s">
        <v>63</v>
      </c>
      <c r="V259" s="22" t="s">
        <v>64</v>
      </c>
      <c r="W259" s="25"/>
      <c r="X259" s="26" t="s">
        <v>1610</v>
      </c>
      <c r="Y259" s="68" t="s">
        <v>99</v>
      </c>
      <c r="Z259" s="22" t="s">
        <v>1611</v>
      </c>
      <c r="AA259" s="22" t="s">
        <v>1406</v>
      </c>
      <c r="AC259" s="22" t="s">
        <v>328</v>
      </c>
      <c r="AD259" s="27" t="s">
        <v>71</v>
      </c>
      <c r="AE259" s="22" t="s">
        <v>804</v>
      </c>
      <c r="AF259" s="34"/>
      <c r="AG259" s="34"/>
    </row>
    <row r="260" spans="1:33" ht="46.5">
      <c r="A260" s="51" t="s">
        <v>1482</v>
      </c>
      <c r="B260" s="51" t="s">
        <v>1612</v>
      </c>
      <c r="C260" s="22" t="s">
        <v>1613</v>
      </c>
      <c r="D260" s="23" t="s">
        <v>1614</v>
      </c>
      <c r="E260" s="22" t="s">
        <v>49</v>
      </c>
      <c r="F260" s="22" t="s">
        <v>50</v>
      </c>
      <c r="G260" s="22" t="s">
        <v>49</v>
      </c>
      <c r="H260" s="22" t="s">
        <v>126</v>
      </c>
      <c r="I260" s="47" t="s">
        <v>307</v>
      </c>
      <c r="J260" s="22" t="s">
        <v>53</v>
      </c>
      <c r="K260" s="22" t="s">
        <v>182</v>
      </c>
      <c r="L260" s="22" t="s">
        <v>53</v>
      </c>
      <c r="M260" s="22" t="s">
        <v>171</v>
      </c>
      <c r="N260" s="22" t="s">
        <v>59</v>
      </c>
      <c r="O260" s="22" t="s">
        <v>84</v>
      </c>
      <c r="P260" s="22" t="s">
        <v>348</v>
      </c>
      <c r="Q260" s="22" t="s">
        <v>60</v>
      </c>
      <c r="R260" s="25"/>
      <c r="S260" s="22" t="s">
        <v>85</v>
      </c>
      <c r="T260" s="22" t="s">
        <v>62</v>
      </c>
      <c r="U260" s="22" t="s">
        <v>63</v>
      </c>
      <c r="V260" s="22" t="s">
        <v>64</v>
      </c>
      <c r="W260" s="25"/>
      <c r="X260" s="26" t="s">
        <v>1615</v>
      </c>
      <c r="Y260" s="68" t="s">
        <v>357</v>
      </c>
      <c r="Z260" s="22" t="s">
        <v>461</v>
      </c>
      <c r="AA260" s="22" t="s">
        <v>242</v>
      </c>
      <c r="AC260" s="22" t="s">
        <v>328</v>
      </c>
      <c r="AD260" s="27" t="s">
        <v>71</v>
      </c>
      <c r="AE260" s="22" t="s">
        <v>804</v>
      </c>
      <c r="AF260" s="34"/>
      <c r="AG260" s="34"/>
    </row>
    <row r="261" spans="1:33" ht="46.5">
      <c r="A261" s="51" t="s">
        <v>1482</v>
      </c>
      <c r="B261" s="51" t="s">
        <v>1616</v>
      </c>
      <c r="C261" s="22" t="s">
        <v>1617</v>
      </c>
      <c r="D261" s="23" t="s">
        <v>1618</v>
      </c>
      <c r="E261" s="22" t="s">
        <v>49</v>
      </c>
      <c r="F261" s="22" t="s">
        <v>269</v>
      </c>
      <c r="G261" s="22" t="s">
        <v>49</v>
      </c>
      <c r="H261" s="22" t="s">
        <v>51</v>
      </c>
      <c r="I261" s="22" t="s">
        <v>81</v>
      </c>
      <c r="J261" s="22" t="s">
        <v>501</v>
      </c>
      <c r="K261" s="22" t="s">
        <v>856</v>
      </c>
      <c r="L261" s="22" t="s">
        <v>53</v>
      </c>
      <c r="M261" s="22" t="s">
        <v>171</v>
      </c>
      <c r="N261" s="22" t="s">
        <v>59</v>
      </c>
      <c r="O261" s="22" t="s">
        <v>84</v>
      </c>
      <c r="P261" s="22" t="s">
        <v>137</v>
      </c>
      <c r="Q261" s="22" t="s">
        <v>60</v>
      </c>
      <c r="R261" s="25"/>
      <c r="S261" s="22" t="s">
        <v>85</v>
      </c>
      <c r="T261" s="22" t="s">
        <v>62</v>
      </c>
      <c r="U261" s="22" t="s">
        <v>63</v>
      </c>
      <c r="V261" s="22" t="s">
        <v>64</v>
      </c>
      <c r="W261" s="25"/>
      <c r="X261" s="26" t="s">
        <v>1619</v>
      </c>
      <c r="Y261" s="68" t="s">
        <v>67</v>
      </c>
      <c r="Z261" s="22" t="s">
        <v>68</v>
      </c>
      <c r="AA261" s="22" t="s">
        <v>69</v>
      </c>
      <c r="AC261" s="22" t="s">
        <v>328</v>
      </c>
      <c r="AD261" s="27" t="s">
        <v>71</v>
      </c>
      <c r="AE261" s="22" t="s">
        <v>804</v>
      </c>
      <c r="AF261" s="34"/>
      <c r="AG261" s="34"/>
    </row>
    <row r="262" spans="1:33" ht="46.5">
      <c r="A262" s="51" t="s">
        <v>1482</v>
      </c>
      <c r="B262" s="51" t="s">
        <v>1620</v>
      </c>
      <c r="C262" s="22" t="s">
        <v>1621</v>
      </c>
      <c r="D262" s="23" t="s">
        <v>1622</v>
      </c>
      <c r="E262" s="22" t="s">
        <v>49</v>
      </c>
      <c r="F262" s="22" t="s">
        <v>95</v>
      </c>
      <c r="G262" s="22" t="s">
        <v>79</v>
      </c>
      <c r="H262" s="22" t="s">
        <v>126</v>
      </c>
      <c r="I262" s="22" t="s">
        <v>81</v>
      </c>
      <c r="J262" s="22" t="s">
        <v>107</v>
      </c>
      <c r="K262" s="22" t="s">
        <v>856</v>
      </c>
      <c r="L262" s="22" t="s">
        <v>53</v>
      </c>
      <c r="M262" s="22" t="s">
        <v>83</v>
      </c>
      <c r="N262" s="22" t="s">
        <v>59</v>
      </c>
      <c r="O262" s="22" t="s">
        <v>84</v>
      </c>
      <c r="P262" s="22" t="s">
        <v>137</v>
      </c>
      <c r="Q262" s="22" t="s">
        <v>60</v>
      </c>
      <c r="R262" s="25"/>
      <c r="S262" s="22" t="s">
        <v>85</v>
      </c>
      <c r="T262" s="22" t="s">
        <v>62</v>
      </c>
      <c r="U262" s="22" t="s">
        <v>63</v>
      </c>
      <c r="V262" s="22" t="s">
        <v>64</v>
      </c>
      <c r="W262" s="25"/>
      <c r="X262" s="35" t="s">
        <v>1623</v>
      </c>
      <c r="Y262" s="68" t="s">
        <v>231</v>
      </c>
      <c r="Z262" s="22">
        <v>0</v>
      </c>
      <c r="AA262" s="22" t="s">
        <v>556</v>
      </c>
      <c r="AC262" s="22" t="s">
        <v>328</v>
      </c>
      <c r="AD262" s="27" t="s">
        <v>71</v>
      </c>
      <c r="AE262" s="22" t="s">
        <v>804</v>
      </c>
      <c r="AF262" s="34"/>
      <c r="AG262" s="34"/>
    </row>
    <row r="263" spans="1:33" ht="46.5">
      <c r="A263" s="51" t="s">
        <v>1482</v>
      </c>
      <c r="B263" s="51" t="s">
        <v>1624</v>
      </c>
      <c r="C263" s="22" t="s">
        <v>1625</v>
      </c>
      <c r="D263" s="23" t="s">
        <v>1626</v>
      </c>
      <c r="E263" s="22" t="s">
        <v>49</v>
      </c>
      <c r="F263" s="22" t="s">
        <v>618</v>
      </c>
      <c r="G263" s="22" t="s">
        <v>49</v>
      </c>
      <c r="H263" s="22" t="s">
        <v>126</v>
      </c>
      <c r="I263" s="22" t="s">
        <v>307</v>
      </c>
      <c r="J263" s="22" t="s">
        <v>53</v>
      </c>
      <c r="K263" s="22" t="s">
        <v>128</v>
      </c>
      <c r="L263" s="22" t="s">
        <v>53</v>
      </c>
      <c r="M263" s="22" t="s">
        <v>171</v>
      </c>
      <c r="N263" s="22" t="s">
        <v>59</v>
      </c>
      <c r="O263" s="22" t="s">
        <v>84</v>
      </c>
      <c r="P263" s="22" t="s">
        <v>52</v>
      </c>
      <c r="Q263" s="22" t="s">
        <v>60</v>
      </c>
      <c r="R263" s="25"/>
      <c r="S263" s="22" t="s">
        <v>85</v>
      </c>
      <c r="T263" s="22" t="s">
        <v>62</v>
      </c>
      <c r="U263" s="22" t="s">
        <v>63</v>
      </c>
      <c r="V263" s="22" t="s">
        <v>64</v>
      </c>
      <c r="W263" s="25"/>
      <c r="X263" s="26" t="s">
        <v>1627</v>
      </c>
      <c r="Y263" s="68" t="s">
        <v>876</v>
      </c>
      <c r="Z263" s="22" t="s">
        <v>1628</v>
      </c>
      <c r="AA263" s="22" t="s">
        <v>1629</v>
      </c>
      <c r="AC263" s="22" t="s">
        <v>328</v>
      </c>
      <c r="AD263" s="27" t="s">
        <v>71</v>
      </c>
      <c r="AE263" s="22" t="s">
        <v>804</v>
      </c>
      <c r="AF263" s="34"/>
      <c r="AG263" s="34"/>
    </row>
    <row r="264" spans="1:33" ht="31">
      <c r="A264" s="51" t="s">
        <v>1482</v>
      </c>
      <c r="B264" s="51" t="s">
        <v>1630</v>
      </c>
      <c r="C264" s="22" t="s">
        <v>1631</v>
      </c>
      <c r="D264" s="23" t="s">
        <v>1632</v>
      </c>
      <c r="E264" s="22" t="s">
        <v>49</v>
      </c>
      <c r="F264" s="22" t="s">
        <v>78</v>
      </c>
      <c r="G264" s="22" t="s">
        <v>79</v>
      </c>
      <c r="H264" s="22" t="s">
        <v>126</v>
      </c>
      <c r="I264" s="22" t="s">
        <v>52</v>
      </c>
      <c r="J264" s="22" t="s">
        <v>127</v>
      </c>
      <c r="K264" s="22" t="s">
        <v>54</v>
      </c>
      <c r="L264" s="22" t="s">
        <v>55</v>
      </c>
      <c r="M264" s="22" t="s">
        <v>171</v>
      </c>
      <c r="N264" s="22" t="s">
        <v>59</v>
      </c>
      <c r="O264" s="22" t="s">
        <v>84</v>
      </c>
      <c r="P264" s="22" t="s">
        <v>59</v>
      </c>
      <c r="Q264" s="22" t="s">
        <v>86</v>
      </c>
      <c r="R264" s="22" t="s">
        <v>60</v>
      </c>
      <c r="S264" s="22" t="s">
        <v>388</v>
      </c>
      <c r="T264" s="22" t="s">
        <v>62</v>
      </c>
      <c r="U264" s="22" t="s">
        <v>515</v>
      </c>
      <c r="V264" s="22" t="s">
        <v>64</v>
      </c>
      <c r="W264" s="25"/>
      <c r="X264" s="69" t="s">
        <v>1633</v>
      </c>
      <c r="Y264" s="68" t="s">
        <v>131</v>
      </c>
      <c r="Z264" s="22" t="s">
        <v>1413</v>
      </c>
      <c r="AA264" s="22" t="s">
        <v>1634</v>
      </c>
      <c r="AC264" s="22" t="s">
        <v>70</v>
      </c>
      <c r="AD264" s="27" t="s">
        <v>71</v>
      </c>
      <c r="AE264" s="22" t="s">
        <v>804</v>
      </c>
      <c r="AF264" s="34"/>
      <c r="AG264" s="33" t="s">
        <v>103</v>
      </c>
    </row>
    <row r="265" spans="1:33" ht="46.5">
      <c r="A265" s="51" t="s">
        <v>1482</v>
      </c>
      <c r="B265" s="51" t="s">
        <v>1635</v>
      </c>
      <c r="C265" s="22" t="s">
        <v>1636</v>
      </c>
      <c r="D265" s="23" t="s">
        <v>1637</v>
      </c>
      <c r="E265" s="22" t="s">
        <v>49</v>
      </c>
      <c r="F265" s="22" t="s">
        <v>50</v>
      </c>
      <c r="G265" s="22" t="s">
        <v>79</v>
      </c>
      <c r="H265" s="22" t="s">
        <v>126</v>
      </c>
      <c r="I265" s="22" t="s">
        <v>307</v>
      </c>
      <c r="J265" s="22" t="s">
        <v>53</v>
      </c>
      <c r="K265" s="22" t="s">
        <v>144</v>
      </c>
      <c r="L265" s="22" t="s">
        <v>53</v>
      </c>
      <c r="M265" s="22" t="s">
        <v>171</v>
      </c>
      <c r="N265" s="22" t="s">
        <v>59</v>
      </c>
      <c r="O265" s="22" t="s">
        <v>1224</v>
      </c>
      <c r="P265" s="22" t="s">
        <v>348</v>
      </c>
      <c r="Q265" s="22" t="s">
        <v>183</v>
      </c>
      <c r="R265" s="25"/>
      <c r="S265" s="22" t="s">
        <v>61</v>
      </c>
      <c r="T265" s="22" t="s">
        <v>62</v>
      </c>
      <c r="U265" s="22" t="s">
        <v>63</v>
      </c>
      <c r="V265" s="22" t="s">
        <v>64</v>
      </c>
      <c r="W265" s="25"/>
      <c r="X265" s="69" t="s">
        <v>1633</v>
      </c>
      <c r="Y265" s="68" t="s">
        <v>89</v>
      </c>
      <c r="Z265" s="22" t="s">
        <v>527</v>
      </c>
      <c r="AA265" s="22" t="s">
        <v>1606</v>
      </c>
      <c r="AC265" s="22" t="s">
        <v>70</v>
      </c>
      <c r="AD265" s="27" t="s">
        <v>71</v>
      </c>
      <c r="AE265" s="22" t="s">
        <v>804</v>
      </c>
      <c r="AF265" s="34"/>
      <c r="AG265" s="33" t="s">
        <v>1638</v>
      </c>
    </row>
    <row r="266" spans="1:33" ht="46.5">
      <c r="A266" s="51" t="s">
        <v>1482</v>
      </c>
      <c r="B266" s="51" t="s">
        <v>1639</v>
      </c>
      <c r="C266" s="22" t="s">
        <v>1640</v>
      </c>
      <c r="D266" s="23" t="s">
        <v>1641</v>
      </c>
      <c r="E266" s="22" t="s">
        <v>53</v>
      </c>
      <c r="F266" s="22" t="s">
        <v>269</v>
      </c>
      <c r="G266" s="22" t="s">
        <v>49</v>
      </c>
      <c r="H266" s="22" t="s">
        <v>51</v>
      </c>
      <c r="I266" s="22" t="s">
        <v>52</v>
      </c>
      <c r="J266" s="22" t="s">
        <v>127</v>
      </c>
      <c r="K266" s="22" t="s">
        <v>182</v>
      </c>
      <c r="L266" s="22" t="s">
        <v>55</v>
      </c>
      <c r="M266" s="22" t="s">
        <v>83</v>
      </c>
      <c r="N266" s="22" t="s">
        <v>59</v>
      </c>
      <c r="O266" s="22" t="s">
        <v>84</v>
      </c>
      <c r="P266" s="22" t="s">
        <v>85</v>
      </c>
      <c r="Q266" s="22" t="s">
        <v>183</v>
      </c>
      <c r="R266" s="22" t="s">
        <v>60</v>
      </c>
      <c r="S266" s="22" t="s">
        <v>85</v>
      </c>
      <c r="T266" s="22" t="s">
        <v>62</v>
      </c>
      <c r="U266" s="22" t="s">
        <v>63</v>
      </c>
      <c r="V266" s="22" t="s">
        <v>64</v>
      </c>
      <c r="W266" s="25"/>
      <c r="X266" s="69" t="s">
        <v>1642</v>
      </c>
      <c r="Y266" s="68"/>
      <c r="Z266" s="22" t="s">
        <v>1362</v>
      </c>
      <c r="AA266" s="22" t="s">
        <v>1643</v>
      </c>
      <c r="AC266" s="22" t="s">
        <v>70</v>
      </c>
      <c r="AD266" s="27" t="s">
        <v>71</v>
      </c>
      <c r="AE266" s="22" t="s">
        <v>804</v>
      </c>
      <c r="AF266" s="34"/>
      <c r="AG266" s="33" t="s">
        <v>1644</v>
      </c>
    </row>
    <row r="267" spans="1:33" ht="31">
      <c r="A267" s="51" t="s">
        <v>1482</v>
      </c>
      <c r="B267" s="51" t="s">
        <v>1645</v>
      </c>
      <c r="C267" s="22" t="s">
        <v>1646</v>
      </c>
      <c r="D267" s="23" t="s">
        <v>1647</v>
      </c>
      <c r="E267" s="22" t="s">
        <v>49</v>
      </c>
      <c r="F267" s="22" t="s">
        <v>50</v>
      </c>
      <c r="G267" s="22" t="s">
        <v>79</v>
      </c>
      <c r="H267" s="22" t="s">
        <v>51</v>
      </c>
      <c r="I267" s="22" t="s">
        <v>52</v>
      </c>
      <c r="J267" s="22" t="s">
        <v>53</v>
      </c>
      <c r="K267" s="22" t="s">
        <v>54</v>
      </c>
      <c r="L267" s="22" t="s">
        <v>55</v>
      </c>
      <c r="M267" s="22" t="s">
        <v>83</v>
      </c>
      <c r="N267" s="22" t="s">
        <v>348</v>
      </c>
      <c r="O267" s="22" t="s">
        <v>84</v>
      </c>
      <c r="P267" s="22" t="s">
        <v>85</v>
      </c>
      <c r="Q267" s="22" t="s">
        <v>60</v>
      </c>
      <c r="R267" s="22" t="s">
        <v>238</v>
      </c>
      <c r="S267" s="22" t="s">
        <v>61</v>
      </c>
      <c r="T267" s="22" t="s">
        <v>62</v>
      </c>
      <c r="U267" s="22" t="s">
        <v>63</v>
      </c>
      <c r="V267" s="22" t="s">
        <v>172</v>
      </c>
      <c r="W267" s="25"/>
      <c r="X267" s="69" t="s">
        <v>1648</v>
      </c>
      <c r="Y267" s="68" t="s">
        <v>240</v>
      </c>
      <c r="Z267" s="22" t="s">
        <v>702</v>
      </c>
      <c r="AA267" s="22" t="s">
        <v>1649</v>
      </c>
      <c r="AC267" s="22" t="s">
        <v>70</v>
      </c>
      <c r="AD267" s="27" t="s">
        <v>71</v>
      </c>
      <c r="AE267" s="22" t="s">
        <v>804</v>
      </c>
      <c r="AF267" s="34"/>
      <c r="AG267" s="33" t="s">
        <v>1650</v>
      </c>
    </row>
    <row r="268" spans="1:33" ht="31">
      <c r="A268" s="51" t="s">
        <v>1482</v>
      </c>
      <c r="B268" s="51" t="s">
        <v>1651</v>
      </c>
      <c r="C268" s="22" t="s">
        <v>1652</v>
      </c>
      <c r="D268" s="23" t="s">
        <v>1653</v>
      </c>
      <c r="E268" s="22" t="s">
        <v>49</v>
      </c>
      <c r="F268" s="22" t="s">
        <v>228</v>
      </c>
      <c r="G268" s="22" t="s">
        <v>49</v>
      </c>
      <c r="H268" s="22" t="s">
        <v>126</v>
      </c>
      <c r="I268" s="22" t="s">
        <v>52</v>
      </c>
      <c r="J268" s="22" t="s">
        <v>53</v>
      </c>
      <c r="K268" s="22" t="s">
        <v>170</v>
      </c>
      <c r="L268" s="22" t="s">
        <v>55</v>
      </c>
      <c r="M268" s="22" t="s">
        <v>83</v>
      </c>
      <c r="N268" s="22" t="s">
        <v>59</v>
      </c>
      <c r="O268" s="22" t="s">
        <v>84</v>
      </c>
      <c r="P268" s="22" t="s">
        <v>57</v>
      </c>
      <c r="Q268" s="22" t="s">
        <v>60</v>
      </c>
      <c r="R268" s="25"/>
      <c r="S268" s="22" t="s">
        <v>61</v>
      </c>
      <c r="T268" s="22" t="s">
        <v>62</v>
      </c>
      <c r="U268" s="22" t="s">
        <v>63</v>
      </c>
      <c r="V268" s="22" t="s">
        <v>87</v>
      </c>
      <c r="W268" s="25"/>
      <c r="X268" s="69" t="s">
        <v>1633</v>
      </c>
      <c r="Y268" s="68" t="s">
        <v>363</v>
      </c>
      <c r="Z268" s="22" t="s">
        <v>1654</v>
      </c>
      <c r="AA268" s="22" t="s">
        <v>1655</v>
      </c>
      <c r="AC268" s="22" t="s">
        <v>70</v>
      </c>
      <c r="AD268" s="27" t="s">
        <v>71</v>
      </c>
      <c r="AE268" s="22" t="s">
        <v>804</v>
      </c>
      <c r="AF268" s="34"/>
      <c r="AG268" s="34"/>
    </row>
    <row r="269" spans="1:33" ht="46.5">
      <c r="A269" s="51" t="s">
        <v>1482</v>
      </c>
      <c r="B269" s="51" t="s">
        <v>1656</v>
      </c>
      <c r="C269" s="22" t="s">
        <v>1657</v>
      </c>
      <c r="D269" s="23" t="s">
        <v>1658</v>
      </c>
      <c r="E269" s="22" t="s">
        <v>53</v>
      </c>
      <c r="F269" s="22" t="s">
        <v>269</v>
      </c>
      <c r="G269" s="22" t="s">
        <v>79</v>
      </c>
      <c r="H269" s="22" t="s">
        <v>192</v>
      </c>
      <c r="I269" s="22" t="s">
        <v>81</v>
      </c>
      <c r="J269" s="22" t="s">
        <v>127</v>
      </c>
      <c r="K269" s="22" t="s">
        <v>856</v>
      </c>
      <c r="L269" s="22" t="s">
        <v>53</v>
      </c>
      <c r="M269" s="22" t="s">
        <v>83</v>
      </c>
      <c r="N269" s="22" t="s">
        <v>59</v>
      </c>
      <c r="O269" s="22" t="s">
        <v>84</v>
      </c>
      <c r="P269" s="22" t="s">
        <v>137</v>
      </c>
      <c r="Q269" s="22" t="s">
        <v>183</v>
      </c>
      <c r="R269" s="22" t="s">
        <v>60</v>
      </c>
      <c r="S269" s="22" t="s">
        <v>388</v>
      </c>
      <c r="T269" s="22" t="s">
        <v>62</v>
      </c>
      <c r="U269" s="22" t="s">
        <v>63</v>
      </c>
      <c r="V269" s="22" t="s">
        <v>64</v>
      </c>
      <c r="W269" s="25"/>
      <c r="X269" s="69" t="s">
        <v>1648</v>
      </c>
      <c r="Y269" s="68" t="s">
        <v>357</v>
      </c>
      <c r="Z269" s="22" t="s">
        <v>1649</v>
      </c>
      <c r="AA269" s="22" t="s">
        <v>1659</v>
      </c>
      <c r="AC269" s="22" t="s">
        <v>70</v>
      </c>
      <c r="AD269" s="27" t="s">
        <v>71</v>
      </c>
      <c r="AE269" s="22" t="s">
        <v>804</v>
      </c>
      <c r="AF269" s="34"/>
      <c r="AG269" s="33" t="s">
        <v>1660</v>
      </c>
    </row>
    <row r="270" spans="1:33" ht="46.5">
      <c r="A270" s="51" t="s">
        <v>1482</v>
      </c>
      <c r="B270" s="51" t="s">
        <v>1661</v>
      </c>
      <c r="C270" s="22" t="s">
        <v>1662</v>
      </c>
      <c r="D270" s="23" t="s">
        <v>1663</v>
      </c>
      <c r="E270" s="22" t="s">
        <v>49</v>
      </c>
      <c r="F270" s="22" t="s">
        <v>50</v>
      </c>
      <c r="G270" s="22" t="s">
        <v>49</v>
      </c>
      <c r="H270" s="22" t="s">
        <v>51</v>
      </c>
      <c r="I270" s="22" t="s">
        <v>52</v>
      </c>
      <c r="J270" s="22" t="s">
        <v>501</v>
      </c>
      <c r="K270" s="22" t="s">
        <v>82</v>
      </c>
      <c r="L270" s="22" t="s">
        <v>55</v>
      </c>
      <c r="M270" s="22" t="s">
        <v>83</v>
      </c>
      <c r="N270" s="22" t="s">
        <v>348</v>
      </c>
      <c r="O270" s="22" t="s">
        <v>84</v>
      </c>
      <c r="P270" s="22" t="s">
        <v>57</v>
      </c>
      <c r="Q270" s="22" t="s">
        <v>183</v>
      </c>
      <c r="R270" s="22" t="s">
        <v>60</v>
      </c>
      <c r="S270" s="22" t="s">
        <v>85</v>
      </c>
      <c r="T270" s="22" t="s">
        <v>62</v>
      </c>
      <c r="U270" s="22" t="s">
        <v>63</v>
      </c>
      <c r="V270" s="22" t="s">
        <v>64</v>
      </c>
      <c r="W270" s="25"/>
      <c r="X270" s="69" t="s">
        <v>1664</v>
      </c>
      <c r="Y270" s="68" t="s">
        <v>925</v>
      </c>
      <c r="Z270" s="22" t="s">
        <v>1665</v>
      </c>
      <c r="AA270" s="22" t="s">
        <v>1666</v>
      </c>
      <c r="AC270" s="22" t="s">
        <v>70</v>
      </c>
      <c r="AD270" s="27" t="s">
        <v>71</v>
      </c>
      <c r="AE270" s="22" t="s">
        <v>859</v>
      </c>
      <c r="AF270" s="33" t="s">
        <v>1667</v>
      </c>
      <c r="AG270" s="33" t="s">
        <v>103</v>
      </c>
    </row>
    <row r="271" spans="1:33" ht="31">
      <c r="A271" s="51" t="s">
        <v>1482</v>
      </c>
      <c r="B271" s="51" t="s">
        <v>1668</v>
      </c>
      <c r="C271" s="22" t="s">
        <v>1669</v>
      </c>
      <c r="D271" s="23" t="s">
        <v>1670</v>
      </c>
      <c r="E271" s="22" t="s">
        <v>49</v>
      </c>
      <c r="F271" s="22" t="s">
        <v>95</v>
      </c>
      <c r="G271" s="22" t="s">
        <v>49</v>
      </c>
      <c r="H271" s="22" t="s">
        <v>126</v>
      </c>
      <c r="I271" s="22" t="s">
        <v>307</v>
      </c>
      <c r="J271" s="22" t="s">
        <v>53</v>
      </c>
      <c r="K271" s="22" t="s">
        <v>170</v>
      </c>
      <c r="L271" s="22" t="s">
        <v>53</v>
      </c>
      <c r="M271" s="22" t="s">
        <v>83</v>
      </c>
      <c r="N271" s="22" t="s">
        <v>59</v>
      </c>
      <c r="O271" s="22" t="s">
        <v>84</v>
      </c>
      <c r="P271" s="22" t="s">
        <v>348</v>
      </c>
      <c r="Q271" s="22" t="s">
        <v>63</v>
      </c>
      <c r="R271" s="25"/>
      <c r="S271" s="22" t="s">
        <v>61</v>
      </c>
      <c r="T271" s="22" t="s">
        <v>62</v>
      </c>
      <c r="U271" s="22" t="s">
        <v>63</v>
      </c>
      <c r="V271" s="22" t="s">
        <v>64</v>
      </c>
      <c r="W271" s="25"/>
      <c r="X271" s="68" t="s">
        <v>1664</v>
      </c>
      <c r="Y271" s="68" t="s">
        <v>120</v>
      </c>
      <c r="Z271" s="22" t="s">
        <v>733</v>
      </c>
      <c r="AA271" s="22" t="s">
        <v>626</v>
      </c>
      <c r="AC271" s="22" t="s">
        <v>70</v>
      </c>
      <c r="AD271" s="27" t="s">
        <v>71</v>
      </c>
      <c r="AE271" s="22" t="s">
        <v>859</v>
      </c>
      <c r="AF271" s="34"/>
      <c r="AG271" s="34"/>
    </row>
    <row r="272" spans="1:33" ht="46.5">
      <c r="A272" s="51" t="s">
        <v>1482</v>
      </c>
      <c r="B272" s="51" t="s">
        <v>1671</v>
      </c>
      <c r="C272" s="22" t="s">
        <v>1672</v>
      </c>
      <c r="D272" s="23" t="s">
        <v>1673</v>
      </c>
      <c r="E272" s="22" t="s">
        <v>49</v>
      </c>
      <c r="F272" s="22" t="s">
        <v>78</v>
      </c>
      <c r="G272" s="22" t="s">
        <v>49</v>
      </c>
      <c r="H272" s="22" t="s">
        <v>126</v>
      </c>
      <c r="I272" s="22" t="s">
        <v>52</v>
      </c>
      <c r="J272" s="22" t="s">
        <v>53</v>
      </c>
      <c r="K272" s="22" t="s">
        <v>170</v>
      </c>
      <c r="L272" s="22" t="s">
        <v>53</v>
      </c>
      <c r="M272" s="22" t="s">
        <v>83</v>
      </c>
      <c r="N272" s="22" t="s">
        <v>57</v>
      </c>
      <c r="O272" s="22" t="s">
        <v>84</v>
      </c>
      <c r="P272" s="22" t="s">
        <v>422</v>
      </c>
      <c r="Q272" s="22" t="s">
        <v>60</v>
      </c>
      <c r="R272" s="25"/>
      <c r="S272" s="22" t="s">
        <v>61</v>
      </c>
      <c r="T272" s="22" t="s">
        <v>62</v>
      </c>
      <c r="U272" s="22" t="s">
        <v>63</v>
      </c>
      <c r="V272" s="22" t="s">
        <v>64</v>
      </c>
      <c r="W272" s="25"/>
      <c r="X272" s="69" t="s">
        <v>1664</v>
      </c>
      <c r="Y272" s="68" t="s">
        <v>131</v>
      </c>
      <c r="Z272" s="22" t="s">
        <v>278</v>
      </c>
      <c r="AA272" s="22" t="s">
        <v>1674</v>
      </c>
      <c r="AC272" s="22" t="s">
        <v>70</v>
      </c>
      <c r="AD272" s="27" t="s">
        <v>71</v>
      </c>
      <c r="AE272" s="22" t="s">
        <v>859</v>
      </c>
      <c r="AF272" s="33" t="s">
        <v>1675</v>
      </c>
      <c r="AG272" s="33" t="s">
        <v>103</v>
      </c>
    </row>
    <row r="273" spans="1:33" ht="31">
      <c r="A273" s="51" t="s">
        <v>1482</v>
      </c>
      <c r="B273" s="51" t="s">
        <v>1676</v>
      </c>
      <c r="C273" s="22" t="s">
        <v>1677</v>
      </c>
      <c r="D273" s="23" t="s">
        <v>1678</v>
      </c>
      <c r="E273" s="22" t="s">
        <v>53</v>
      </c>
      <c r="F273" s="22" t="s">
        <v>269</v>
      </c>
      <c r="G273" s="22" t="s">
        <v>79</v>
      </c>
      <c r="H273" s="22" t="s">
        <v>126</v>
      </c>
      <c r="I273" s="22" t="s">
        <v>307</v>
      </c>
      <c r="J273" s="22" t="s">
        <v>53</v>
      </c>
      <c r="K273" s="22" t="s">
        <v>144</v>
      </c>
      <c r="L273" s="22" t="s">
        <v>53</v>
      </c>
      <c r="M273" s="22" t="s">
        <v>83</v>
      </c>
      <c r="N273" s="22" t="s">
        <v>59</v>
      </c>
      <c r="O273" s="22" t="s">
        <v>84</v>
      </c>
      <c r="P273" s="22" t="s">
        <v>348</v>
      </c>
      <c r="Q273" s="22" t="s">
        <v>153</v>
      </c>
      <c r="R273" s="25"/>
      <c r="S273" s="22" t="s">
        <v>61</v>
      </c>
      <c r="T273" s="22" t="s">
        <v>62</v>
      </c>
      <c r="U273" s="22" t="s">
        <v>63</v>
      </c>
      <c r="V273" s="22" t="s">
        <v>64</v>
      </c>
      <c r="W273" s="25"/>
      <c r="X273" s="68" t="s">
        <v>1664</v>
      </c>
      <c r="Y273" s="68" t="s">
        <v>357</v>
      </c>
      <c r="Z273" s="22" t="s">
        <v>358</v>
      </c>
      <c r="AA273" s="22" t="s">
        <v>365</v>
      </c>
      <c r="AC273" s="22" t="s">
        <v>70</v>
      </c>
      <c r="AD273" s="27" t="s">
        <v>71</v>
      </c>
      <c r="AE273" s="22" t="s">
        <v>859</v>
      </c>
      <c r="AF273" s="34"/>
      <c r="AG273" s="34"/>
    </row>
    <row r="274" spans="1:33" ht="31">
      <c r="A274" s="51" t="s">
        <v>1482</v>
      </c>
      <c r="B274" s="51" t="s">
        <v>1679</v>
      </c>
      <c r="C274" s="22" t="s">
        <v>1680</v>
      </c>
      <c r="D274" s="23" t="s">
        <v>1681</v>
      </c>
      <c r="E274" s="22" t="s">
        <v>49</v>
      </c>
      <c r="F274" s="22" t="s">
        <v>228</v>
      </c>
      <c r="G274" s="22" t="s">
        <v>49</v>
      </c>
      <c r="H274" s="22" t="s">
        <v>126</v>
      </c>
      <c r="I274" s="22" t="s">
        <v>52</v>
      </c>
      <c r="J274" s="22" t="s">
        <v>53</v>
      </c>
      <c r="K274" s="22" t="s">
        <v>144</v>
      </c>
      <c r="L274" s="22" t="s">
        <v>55</v>
      </c>
      <c r="M274" s="22" t="s">
        <v>83</v>
      </c>
      <c r="N274" s="22" t="s">
        <v>57</v>
      </c>
      <c r="O274" s="22" t="s">
        <v>84</v>
      </c>
      <c r="P274" s="22" t="s">
        <v>537</v>
      </c>
      <c r="Q274" s="22" t="s">
        <v>203</v>
      </c>
      <c r="R274" s="25"/>
      <c r="S274" s="22" t="s">
        <v>85</v>
      </c>
      <c r="T274" s="22" t="s">
        <v>62</v>
      </c>
      <c r="U274" s="22" t="s">
        <v>63</v>
      </c>
      <c r="V274" s="22" t="s">
        <v>64</v>
      </c>
      <c r="W274" s="25"/>
      <c r="X274" s="68" t="s">
        <v>1682</v>
      </c>
      <c r="Y274" s="68" t="s">
        <v>357</v>
      </c>
      <c r="Z274" s="22" t="s">
        <v>1659</v>
      </c>
      <c r="AA274" s="22" t="s">
        <v>1683</v>
      </c>
      <c r="AC274" s="22" t="s">
        <v>70</v>
      </c>
      <c r="AD274" s="27" t="s">
        <v>71</v>
      </c>
      <c r="AE274" s="22" t="s">
        <v>859</v>
      </c>
      <c r="AF274" s="34"/>
      <c r="AG274" s="34"/>
    </row>
    <row r="275" spans="1:33" ht="28.5">
      <c r="A275" s="51" t="s">
        <v>1482</v>
      </c>
      <c r="B275" s="51" t="s">
        <v>1684</v>
      </c>
      <c r="C275" s="80" t="s">
        <v>1685</v>
      </c>
      <c r="D275" s="80" t="s">
        <v>1686</v>
      </c>
      <c r="E275" s="22" t="s">
        <v>49</v>
      </c>
      <c r="F275" s="22" t="s">
        <v>95</v>
      </c>
      <c r="G275" s="22" t="s">
        <v>49</v>
      </c>
      <c r="H275" s="22" t="s">
        <v>51</v>
      </c>
      <c r="I275" s="22" t="s">
        <v>81</v>
      </c>
      <c r="J275" s="22" t="s">
        <v>53</v>
      </c>
      <c r="K275" s="22" t="s">
        <v>54</v>
      </c>
      <c r="L275" s="22" t="s">
        <v>53</v>
      </c>
      <c r="M275" s="22" t="s">
        <v>83</v>
      </c>
      <c r="N275" s="22" t="s">
        <v>59</v>
      </c>
      <c r="O275" s="22" t="s">
        <v>84</v>
      </c>
      <c r="P275" s="22" t="s">
        <v>137</v>
      </c>
      <c r="Q275" s="22" t="s">
        <v>60</v>
      </c>
      <c r="R275" s="25"/>
      <c r="S275" s="22" t="s">
        <v>85</v>
      </c>
      <c r="T275" s="22" t="s">
        <v>62</v>
      </c>
      <c r="U275" s="22" t="s">
        <v>63</v>
      </c>
      <c r="V275" s="22" t="s">
        <v>64</v>
      </c>
      <c r="W275" s="25"/>
      <c r="X275" s="68" t="s">
        <v>1682</v>
      </c>
      <c r="Y275" s="68" t="s">
        <v>248</v>
      </c>
      <c r="Z275" s="22" t="s">
        <v>407</v>
      </c>
      <c r="AA275" s="22" t="s">
        <v>250</v>
      </c>
      <c r="AC275" s="22" t="s">
        <v>70</v>
      </c>
      <c r="AD275" s="27" t="s">
        <v>71</v>
      </c>
      <c r="AE275" s="22" t="s">
        <v>859</v>
      </c>
      <c r="AF275" s="34"/>
      <c r="AG275" s="34"/>
    </row>
    <row r="276" spans="1:33" ht="31">
      <c r="A276" s="51" t="s">
        <v>1482</v>
      </c>
      <c r="B276" s="51" t="s">
        <v>1687</v>
      </c>
      <c r="C276" s="22" t="s">
        <v>1677</v>
      </c>
      <c r="D276" s="23" t="s">
        <v>1688</v>
      </c>
      <c r="E276" s="22" t="s">
        <v>49</v>
      </c>
      <c r="F276" s="22" t="s">
        <v>50</v>
      </c>
      <c r="G276" s="22" t="s">
        <v>79</v>
      </c>
      <c r="H276" s="22" t="s">
        <v>126</v>
      </c>
      <c r="I276" s="22" t="s">
        <v>307</v>
      </c>
      <c r="J276" s="22" t="s">
        <v>53</v>
      </c>
      <c r="K276" s="22" t="s">
        <v>144</v>
      </c>
      <c r="L276" s="22" t="s">
        <v>53</v>
      </c>
      <c r="M276" s="22" t="s">
        <v>56</v>
      </c>
      <c r="N276" s="22" t="s">
        <v>59</v>
      </c>
      <c r="O276" s="22" t="s">
        <v>84</v>
      </c>
      <c r="P276" s="22" t="s">
        <v>348</v>
      </c>
      <c r="Q276" s="22" t="s">
        <v>203</v>
      </c>
      <c r="R276" s="25"/>
      <c r="S276" s="22" t="s">
        <v>61</v>
      </c>
      <c r="T276" s="22" t="s">
        <v>62</v>
      </c>
      <c r="U276" s="22" t="s">
        <v>63</v>
      </c>
      <c r="V276" s="22" t="s">
        <v>64</v>
      </c>
      <c r="W276" s="25"/>
      <c r="X276" s="68" t="s">
        <v>1682</v>
      </c>
      <c r="Y276" s="68" t="s">
        <v>288</v>
      </c>
      <c r="Z276" s="22" t="s">
        <v>319</v>
      </c>
      <c r="AA276" s="22" t="s">
        <v>1689</v>
      </c>
      <c r="AC276" s="22" t="s">
        <v>70</v>
      </c>
      <c r="AD276" s="27" t="s">
        <v>71</v>
      </c>
      <c r="AE276" s="22" t="s">
        <v>859</v>
      </c>
      <c r="AF276" s="34"/>
      <c r="AG276" s="34"/>
    </row>
    <row r="277" spans="1:33" ht="46.5">
      <c r="A277" s="51" t="s">
        <v>1482</v>
      </c>
      <c r="B277" s="7" t="s">
        <v>1690</v>
      </c>
      <c r="C277" s="22" t="s">
        <v>1691</v>
      </c>
      <c r="D277" s="23" t="s">
        <v>1692</v>
      </c>
      <c r="E277" s="22" t="s">
        <v>49</v>
      </c>
      <c r="F277" s="22" t="s">
        <v>95</v>
      </c>
      <c r="G277" s="22" t="s">
        <v>79</v>
      </c>
      <c r="H277" s="22" t="s">
        <v>126</v>
      </c>
      <c r="I277" s="22" t="s">
        <v>52</v>
      </c>
      <c r="J277" s="22" t="s">
        <v>53</v>
      </c>
      <c r="K277" s="22" t="s">
        <v>54</v>
      </c>
      <c r="L277" s="22" t="s">
        <v>55</v>
      </c>
      <c r="M277" s="22" t="s">
        <v>83</v>
      </c>
      <c r="N277" s="22" t="s">
        <v>312</v>
      </c>
      <c r="O277" s="22" t="s">
        <v>84</v>
      </c>
      <c r="P277" s="22" t="s">
        <v>59</v>
      </c>
      <c r="Q277" s="22" t="s">
        <v>98</v>
      </c>
      <c r="R277" s="25"/>
      <c r="S277" s="22" t="s">
        <v>61</v>
      </c>
      <c r="T277" s="22" t="s">
        <v>62</v>
      </c>
      <c r="U277" s="22" t="s">
        <v>63</v>
      </c>
      <c r="V277" s="22" t="s">
        <v>64</v>
      </c>
      <c r="W277" s="25"/>
      <c r="X277" s="69" t="s">
        <v>1664</v>
      </c>
      <c r="Y277" s="68" t="s">
        <v>204</v>
      </c>
      <c r="Z277" s="22" t="s">
        <v>756</v>
      </c>
      <c r="AA277" s="22" t="s">
        <v>1261</v>
      </c>
      <c r="AC277" s="22" t="s">
        <v>70</v>
      </c>
      <c r="AD277" s="27" t="s">
        <v>71</v>
      </c>
      <c r="AE277" s="22" t="s">
        <v>859</v>
      </c>
      <c r="AF277" s="33" t="s">
        <v>1693</v>
      </c>
      <c r="AG277" s="34"/>
    </row>
    <row r="278" spans="1:33" ht="31">
      <c r="A278" s="51" t="s">
        <v>1482</v>
      </c>
      <c r="B278" s="51" t="s">
        <v>1694</v>
      </c>
      <c r="C278" s="22" t="s">
        <v>1695</v>
      </c>
      <c r="D278" s="23" t="s">
        <v>1696</v>
      </c>
      <c r="E278" s="22" t="s">
        <v>97</v>
      </c>
      <c r="F278" s="22" t="s">
        <v>95</v>
      </c>
      <c r="G278" s="22" t="s">
        <v>97</v>
      </c>
      <c r="H278" s="22" t="s">
        <v>126</v>
      </c>
      <c r="I278" s="22" t="s">
        <v>52</v>
      </c>
      <c r="J278" s="22" t="s">
        <v>53</v>
      </c>
      <c r="K278" s="22" t="s">
        <v>54</v>
      </c>
      <c r="L278" s="22" t="s">
        <v>55</v>
      </c>
      <c r="M278" s="22" t="s">
        <v>83</v>
      </c>
      <c r="N278" s="22" t="s">
        <v>59</v>
      </c>
      <c r="O278" s="22" t="s">
        <v>97</v>
      </c>
      <c r="P278" s="22" t="s">
        <v>59</v>
      </c>
      <c r="Q278" s="22" t="s">
        <v>98</v>
      </c>
      <c r="R278" s="25"/>
      <c r="S278" s="22" t="s">
        <v>61</v>
      </c>
      <c r="T278" s="22" t="s">
        <v>62</v>
      </c>
      <c r="U278" s="22" t="s">
        <v>63</v>
      </c>
      <c r="V278" s="22" t="s">
        <v>64</v>
      </c>
      <c r="W278" s="25"/>
      <c r="X278" s="68" t="s">
        <v>1664</v>
      </c>
      <c r="Y278" s="68" t="s">
        <v>67</v>
      </c>
      <c r="Z278" s="22" t="s">
        <v>1697</v>
      </c>
      <c r="AA278" s="22" t="s">
        <v>802</v>
      </c>
      <c r="AC278" s="22" t="s">
        <v>70</v>
      </c>
      <c r="AD278" s="27" t="s">
        <v>71</v>
      </c>
      <c r="AE278" s="22" t="s">
        <v>859</v>
      </c>
      <c r="AF278" s="34"/>
      <c r="AG278" s="34"/>
    </row>
    <row r="279" spans="1:33" ht="46.5">
      <c r="A279" s="51" t="s">
        <v>1482</v>
      </c>
      <c r="B279" s="51" t="s">
        <v>1698</v>
      </c>
      <c r="C279" s="22" t="s">
        <v>1699</v>
      </c>
      <c r="D279" s="23" t="s">
        <v>1700</v>
      </c>
      <c r="E279" s="22" t="s">
        <v>53</v>
      </c>
      <c r="F279" s="22" t="s">
        <v>269</v>
      </c>
      <c r="G279" s="22" t="s">
        <v>49</v>
      </c>
      <c r="H279" s="22" t="s">
        <v>126</v>
      </c>
      <c r="I279" s="22" t="s">
        <v>307</v>
      </c>
      <c r="J279" s="22" t="s">
        <v>53</v>
      </c>
      <c r="K279" s="22" t="s">
        <v>144</v>
      </c>
      <c r="L279" s="22" t="s">
        <v>53</v>
      </c>
      <c r="M279" s="22" t="s">
        <v>83</v>
      </c>
      <c r="N279" s="22" t="s">
        <v>59</v>
      </c>
      <c r="O279" s="22" t="s">
        <v>1116</v>
      </c>
      <c r="P279" s="22" t="s">
        <v>348</v>
      </c>
      <c r="Q279" s="22" t="s">
        <v>183</v>
      </c>
      <c r="R279" s="25"/>
      <c r="S279" s="22" t="s">
        <v>85</v>
      </c>
      <c r="T279" s="22" t="s">
        <v>62</v>
      </c>
      <c r="U279" s="22" t="s">
        <v>63</v>
      </c>
      <c r="V279" s="22" t="s">
        <v>64</v>
      </c>
      <c r="W279" s="25"/>
      <c r="X279" s="35" t="s">
        <v>1664</v>
      </c>
      <c r="Y279" s="22" t="s">
        <v>1701</v>
      </c>
      <c r="Z279" s="22" t="s">
        <v>1294</v>
      </c>
      <c r="AA279" s="22" t="s">
        <v>1702</v>
      </c>
      <c r="AC279" s="22" t="s">
        <v>475</v>
      </c>
      <c r="AD279" s="27" t="s">
        <v>71</v>
      </c>
      <c r="AE279" s="22" t="s">
        <v>859</v>
      </c>
      <c r="AF279" s="34"/>
      <c r="AG279" s="34"/>
    </row>
    <row r="280" spans="1:33" ht="62">
      <c r="A280" s="51" t="s">
        <v>1482</v>
      </c>
      <c r="B280" s="51" t="s">
        <v>1703</v>
      </c>
      <c r="C280" s="22" t="s">
        <v>1704</v>
      </c>
      <c r="D280" s="23" t="s">
        <v>1705</v>
      </c>
      <c r="E280" s="22" t="s">
        <v>49</v>
      </c>
      <c r="F280" s="22" t="s">
        <v>95</v>
      </c>
      <c r="G280" s="22" t="s">
        <v>49</v>
      </c>
      <c r="H280" s="22" t="s">
        <v>51</v>
      </c>
      <c r="I280" s="22" t="s">
        <v>81</v>
      </c>
      <c r="J280" s="22" t="s">
        <v>107</v>
      </c>
      <c r="K280" s="22" t="s">
        <v>856</v>
      </c>
      <c r="L280" s="22" t="s">
        <v>53</v>
      </c>
      <c r="M280" s="22" t="s">
        <v>83</v>
      </c>
      <c r="N280" s="22" t="s">
        <v>59</v>
      </c>
      <c r="O280" s="22" t="s">
        <v>84</v>
      </c>
      <c r="P280" s="22" t="s">
        <v>52</v>
      </c>
      <c r="Q280" s="22" t="s">
        <v>60</v>
      </c>
      <c r="R280" s="22" t="s">
        <v>153</v>
      </c>
      <c r="S280" s="22" t="s">
        <v>85</v>
      </c>
      <c r="T280" s="22" t="s">
        <v>62</v>
      </c>
      <c r="U280" s="22" t="s">
        <v>63</v>
      </c>
      <c r="V280" s="22" t="s">
        <v>64</v>
      </c>
      <c r="W280" s="25"/>
      <c r="X280" s="26" t="s">
        <v>1633</v>
      </c>
      <c r="Y280" s="22" t="s">
        <v>231</v>
      </c>
      <c r="Z280" s="22" t="s">
        <v>232</v>
      </c>
      <c r="AA280" s="22" t="s">
        <v>147</v>
      </c>
      <c r="AC280" s="22" t="s">
        <v>475</v>
      </c>
      <c r="AD280" s="27" t="s">
        <v>71</v>
      </c>
      <c r="AE280" s="22" t="s">
        <v>859</v>
      </c>
      <c r="AF280" s="33" t="s">
        <v>1706</v>
      </c>
      <c r="AG280" s="33" t="s">
        <v>352</v>
      </c>
    </row>
    <row r="281" spans="1:33" ht="31">
      <c r="A281" s="51" t="s">
        <v>1482</v>
      </c>
      <c r="B281" s="51" t="s">
        <v>1707</v>
      </c>
      <c r="C281" s="22" t="s">
        <v>1708</v>
      </c>
      <c r="D281" s="23" t="s">
        <v>1709</v>
      </c>
      <c r="E281" s="22" t="s">
        <v>49</v>
      </c>
      <c r="F281" s="22" t="s">
        <v>95</v>
      </c>
      <c r="G281" s="22" t="s">
        <v>79</v>
      </c>
      <c r="H281" s="22" t="s">
        <v>126</v>
      </c>
      <c r="I281" s="22" t="s">
        <v>52</v>
      </c>
      <c r="J281" s="22" t="s">
        <v>53</v>
      </c>
      <c r="K281" s="22" t="s">
        <v>856</v>
      </c>
      <c r="L281" s="22" t="s">
        <v>55</v>
      </c>
      <c r="M281" s="22" t="s">
        <v>83</v>
      </c>
      <c r="N281" s="22" t="s">
        <v>59</v>
      </c>
      <c r="O281" s="22" t="s">
        <v>84</v>
      </c>
      <c r="P281" s="22" t="s">
        <v>59</v>
      </c>
      <c r="Q281" s="22" t="s">
        <v>98</v>
      </c>
      <c r="R281" s="25"/>
      <c r="S281" s="22" t="s">
        <v>61</v>
      </c>
      <c r="T281" s="22" t="s">
        <v>62</v>
      </c>
      <c r="U281" s="22" t="s">
        <v>63</v>
      </c>
      <c r="V281" s="22" t="s">
        <v>64</v>
      </c>
      <c r="W281" s="25"/>
      <c r="X281" s="26" t="s">
        <v>1710</v>
      </c>
      <c r="Y281" s="22" t="s">
        <v>792</v>
      </c>
      <c r="Z281" s="22" t="s">
        <v>156</v>
      </c>
      <c r="AA281" s="22" t="s">
        <v>337</v>
      </c>
      <c r="AC281" s="22" t="s">
        <v>475</v>
      </c>
      <c r="AD281" s="27" t="s">
        <v>71</v>
      </c>
      <c r="AE281" s="22" t="s">
        <v>859</v>
      </c>
      <c r="AF281" s="34"/>
      <c r="AG281" s="34"/>
    </row>
    <row r="282" spans="1:33" ht="46.5">
      <c r="A282" s="51" t="s">
        <v>1482</v>
      </c>
      <c r="B282" s="51" t="s">
        <v>1711</v>
      </c>
      <c r="C282" s="22" t="s">
        <v>1712</v>
      </c>
      <c r="D282" s="23" t="s">
        <v>1713</v>
      </c>
      <c r="E282" s="22" t="s">
        <v>79</v>
      </c>
      <c r="F282" s="22" t="s">
        <v>95</v>
      </c>
      <c r="G282" s="22" t="s">
        <v>79</v>
      </c>
      <c r="H282" s="22" t="s">
        <v>126</v>
      </c>
      <c r="I282" s="22" t="s">
        <v>81</v>
      </c>
      <c r="J282" s="22" t="s">
        <v>53</v>
      </c>
      <c r="K282" s="22" t="s">
        <v>144</v>
      </c>
      <c r="L282" s="22" t="s">
        <v>53</v>
      </c>
      <c r="M282" s="22" t="s">
        <v>83</v>
      </c>
      <c r="N282" s="22" t="s">
        <v>59</v>
      </c>
      <c r="O282" s="22" t="s">
        <v>84</v>
      </c>
      <c r="P282" s="22" t="s">
        <v>52</v>
      </c>
      <c r="Q282" s="22" t="s">
        <v>60</v>
      </c>
      <c r="R282" s="22" t="s">
        <v>153</v>
      </c>
      <c r="S282" s="22" t="s">
        <v>85</v>
      </c>
      <c r="T282" s="22" t="s">
        <v>62</v>
      </c>
      <c r="U282" s="22" t="s">
        <v>63</v>
      </c>
      <c r="V282" s="22" t="s">
        <v>64</v>
      </c>
      <c r="W282" s="25"/>
      <c r="X282" s="26" t="s">
        <v>1710</v>
      </c>
      <c r="Y282" s="22" t="s">
        <v>277</v>
      </c>
      <c r="Z282" s="22" t="s">
        <v>1406</v>
      </c>
      <c r="AA282" s="22" t="s">
        <v>196</v>
      </c>
      <c r="AC282" s="22" t="s">
        <v>475</v>
      </c>
      <c r="AD282" s="27" t="s">
        <v>71</v>
      </c>
      <c r="AE282" s="22" t="s">
        <v>859</v>
      </c>
      <c r="AF282" s="33" t="s">
        <v>1714</v>
      </c>
      <c r="AG282" s="33" t="s">
        <v>352</v>
      </c>
    </row>
    <row r="283" spans="1:33" ht="31">
      <c r="A283" s="51" t="s">
        <v>1482</v>
      </c>
      <c r="B283" s="51" t="s">
        <v>1715</v>
      </c>
      <c r="C283" s="22" t="s">
        <v>1716</v>
      </c>
      <c r="D283" s="23" t="s">
        <v>1717</v>
      </c>
      <c r="E283" s="22" t="s">
        <v>49</v>
      </c>
      <c r="F283" s="22" t="s">
        <v>95</v>
      </c>
      <c r="G283" s="22" t="s">
        <v>49</v>
      </c>
      <c r="H283" s="22" t="s">
        <v>237</v>
      </c>
      <c r="I283" s="22" t="s">
        <v>81</v>
      </c>
      <c r="J283" s="22" t="s">
        <v>109</v>
      </c>
      <c r="K283" s="22" t="s">
        <v>1411</v>
      </c>
      <c r="L283" s="22" t="s">
        <v>53</v>
      </c>
      <c r="M283" s="22" t="s">
        <v>83</v>
      </c>
      <c r="N283" s="22" t="s">
        <v>59</v>
      </c>
      <c r="O283" s="22" t="s">
        <v>84</v>
      </c>
      <c r="P283" s="22" t="s">
        <v>109</v>
      </c>
      <c r="Q283" s="22" t="s">
        <v>60</v>
      </c>
      <c r="R283" s="25"/>
      <c r="S283" s="22" t="s">
        <v>109</v>
      </c>
      <c r="T283" s="22" t="s">
        <v>62</v>
      </c>
      <c r="U283" s="22" t="s">
        <v>63</v>
      </c>
      <c r="V283" s="22" t="s">
        <v>64</v>
      </c>
      <c r="W283" s="25"/>
      <c r="X283" s="26" t="s">
        <v>1710</v>
      </c>
      <c r="Y283" s="22" t="s">
        <v>342</v>
      </c>
      <c r="Z283" s="22" t="s">
        <v>689</v>
      </c>
      <c r="AA283" s="22" t="s">
        <v>460</v>
      </c>
      <c r="AC283" s="22" t="s">
        <v>475</v>
      </c>
      <c r="AD283" s="27" t="s">
        <v>71</v>
      </c>
      <c r="AE283" s="22" t="s">
        <v>859</v>
      </c>
      <c r="AF283" s="34"/>
      <c r="AG283" s="34"/>
    </row>
    <row r="284" spans="1:33" ht="31">
      <c r="A284" s="51" t="s">
        <v>1482</v>
      </c>
      <c r="B284" s="51" t="s">
        <v>1718</v>
      </c>
      <c r="C284" s="22" t="s">
        <v>1719</v>
      </c>
      <c r="D284" s="23" t="s">
        <v>1720</v>
      </c>
      <c r="E284" s="22" t="s">
        <v>49</v>
      </c>
      <c r="F284" s="22" t="s">
        <v>50</v>
      </c>
      <c r="G284" s="22" t="s">
        <v>49</v>
      </c>
      <c r="H284" s="22" t="s">
        <v>126</v>
      </c>
      <c r="I284" s="22" t="s">
        <v>81</v>
      </c>
      <c r="J284" s="22" t="s">
        <v>53</v>
      </c>
      <c r="K284" s="22" t="s">
        <v>144</v>
      </c>
      <c r="L284" s="22" t="s">
        <v>53</v>
      </c>
      <c r="M284" s="22" t="s">
        <v>83</v>
      </c>
      <c r="N284" s="22" t="s">
        <v>59</v>
      </c>
      <c r="O284" s="22" t="s">
        <v>490</v>
      </c>
      <c r="P284" s="22" t="s">
        <v>85</v>
      </c>
      <c r="Q284" s="22" t="s">
        <v>60</v>
      </c>
      <c r="R284" s="25"/>
      <c r="S284" s="22" t="s">
        <v>85</v>
      </c>
      <c r="T284" s="22" t="s">
        <v>62</v>
      </c>
      <c r="U284" s="22" t="s">
        <v>515</v>
      </c>
      <c r="V284" s="22" t="s">
        <v>64</v>
      </c>
      <c r="W284" s="25"/>
      <c r="X284" s="26" t="s">
        <v>1710</v>
      </c>
      <c r="Y284" s="22" t="s">
        <v>240</v>
      </c>
      <c r="Z284" s="22" t="s">
        <v>460</v>
      </c>
      <c r="AA284" s="22" t="s">
        <v>349</v>
      </c>
      <c r="AC284" s="22" t="s">
        <v>475</v>
      </c>
      <c r="AD284" s="27" t="s">
        <v>71</v>
      </c>
      <c r="AE284" s="22" t="s">
        <v>859</v>
      </c>
      <c r="AF284" s="33" t="s">
        <v>1721</v>
      </c>
      <c r="AG284" s="33" t="s">
        <v>352</v>
      </c>
    </row>
    <row r="285" spans="1:33" ht="46.5">
      <c r="A285" s="51" t="s">
        <v>1482</v>
      </c>
      <c r="B285" s="51" t="s">
        <v>1722</v>
      </c>
      <c r="C285" s="22" t="s">
        <v>1723</v>
      </c>
      <c r="D285" s="23" t="s">
        <v>1724</v>
      </c>
      <c r="E285" s="22" t="s">
        <v>49</v>
      </c>
      <c r="F285" s="22" t="s">
        <v>50</v>
      </c>
      <c r="G285" s="22" t="s">
        <v>49</v>
      </c>
      <c r="H285" s="22" t="s">
        <v>126</v>
      </c>
      <c r="I285" s="22" t="s">
        <v>81</v>
      </c>
      <c r="J285" s="22" t="s">
        <v>53</v>
      </c>
      <c r="K285" s="22" t="s">
        <v>144</v>
      </c>
      <c r="L285" s="22" t="s">
        <v>53</v>
      </c>
      <c r="M285" s="22" t="s">
        <v>83</v>
      </c>
      <c r="N285" s="22" t="s">
        <v>59</v>
      </c>
      <c r="O285" s="22" t="s">
        <v>490</v>
      </c>
      <c r="P285" s="22" t="s">
        <v>85</v>
      </c>
      <c r="Q285" s="22" t="s">
        <v>60</v>
      </c>
      <c r="R285" s="25"/>
      <c r="S285" s="22" t="s">
        <v>85</v>
      </c>
      <c r="T285" s="22" t="s">
        <v>62</v>
      </c>
      <c r="U285" s="22" t="s">
        <v>63</v>
      </c>
      <c r="V285" s="22" t="s">
        <v>64</v>
      </c>
      <c r="W285" s="25"/>
      <c r="X285" s="26" t="s">
        <v>1710</v>
      </c>
      <c r="Y285" s="22" t="s">
        <v>357</v>
      </c>
      <c r="Z285" s="22" t="s">
        <v>349</v>
      </c>
      <c r="AA285" s="22" t="s">
        <v>364</v>
      </c>
      <c r="AC285" s="22" t="s">
        <v>475</v>
      </c>
      <c r="AD285" s="27" t="s">
        <v>71</v>
      </c>
      <c r="AE285" s="22" t="s">
        <v>859</v>
      </c>
      <c r="AF285" s="34"/>
      <c r="AG285" s="34"/>
    </row>
    <row r="286" spans="1:33" ht="46.5">
      <c r="A286" s="51" t="s">
        <v>1482</v>
      </c>
      <c r="B286" s="51" t="s">
        <v>1725</v>
      </c>
      <c r="C286" s="22" t="s">
        <v>1726</v>
      </c>
      <c r="D286" s="23" t="s">
        <v>1727</v>
      </c>
      <c r="E286" s="22" t="s">
        <v>79</v>
      </c>
      <c r="F286" s="22" t="s">
        <v>78</v>
      </c>
      <c r="G286" s="22" t="s">
        <v>79</v>
      </c>
      <c r="H286" s="22" t="s">
        <v>80</v>
      </c>
      <c r="I286" s="22" t="s">
        <v>81</v>
      </c>
      <c r="J286" s="22" t="s">
        <v>53</v>
      </c>
      <c r="K286" s="22" t="s">
        <v>856</v>
      </c>
      <c r="L286" s="22" t="s">
        <v>53</v>
      </c>
      <c r="M286" s="22" t="s">
        <v>83</v>
      </c>
      <c r="N286" s="22" t="s">
        <v>59</v>
      </c>
      <c r="O286" s="22" t="s">
        <v>84</v>
      </c>
      <c r="P286" s="22" t="s">
        <v>194</v>
      </c>
      <c r="Q286" s="22" t="s">
        <v>86</v>
      </c>
      <c r="R286" s="25"/>
      <c r="S286" s="22" t="s">
        <v>388</v>
      </c>
      <c r="T286" s="22" t="s">
        <v>62</v>
      </c>
      <c r="U286" s="22" t="s">
        <v>63</v>
      </c>
      <c r="V286" s="22" t="s">
        <v>64</v>
      </c>
      <c r="W286" s="25"/>
      <c r="X286" s="26" t="s">
        <v>1728</v>
      </c>
      <c r="Y286" s="22" t="s">
        <v>120</v>
      </c>
      <c r="Z286" s="22" t="s">
        <v>138</v>
      </c>
      <c r="AA286" s="22" t="s">
        <v>734</v>
      </c>
      <c r="AC286" s="22" t="s">
        <v>475</v>
      </c>
      <c r="AD286" s="27" t="s">
        <v>71</v>
      </c>
      <c r="AE286" s="22" t="s">
        <v>859</v>
      </c>
      <c r="AF286" s="33" t="s">
        <v>1729</v>
      </c>
      <c r="AG286" s="33" t="s">
        <v>352</v>
      </c>
    </row>
    <row r="287" spans="1:33" ht="46.5">
      <c r="A287" s="51" t="s">
        <v>1482</v>
      </c>
      <c r="B287" s="51" t="s">
        <v>1730</v>
      </c>
      <c r="C287" s="22" t="s">
        <v>1731</v>
      </c>
      <c r="D287" s="23" t="s">
        <v>1732</v>
      </c>
      <c r="E287" s="22" t="s">
        <v>49</v>
      </c>
      <c r="F287" s="22" t="s">
        <v>50</v>
      </c>
      <c r="G287" s="22" t="s">
        <v>49</v>
      </c>
      <c r="H287" s="22" t="s">
        <v>51</v>
      </c>
      <c r="I287" s="22" t="s">
        <v>81</v>
      </c>
      <c r="J287" s="22" t="s">
        <v>53</v>
      </c>
      <c r="K287" s="22" t="s">
        <v>856</v>
      </c>
      <c r="L287" s="22" t="s">
        <v>53</v>
      </c>
      <c r="M287" s="22" t="s">
        <v>83</v>
      </c>
      <c r="N287" s="22" t="s">
        <v>59</v>
      </c>
      <c r="O287" s="22" t="s">
        <v>84</v>
      </c>
      <c r="P287" s="22" t="s">
        <v>85</v>
      </c>
      <c r="Q287" s="22" t="s">
        <v>60</v>
      </c>
      <c r="R287" s="25"/>
      <c r="S287" s="22" t="s">
        <v>85</v>
      </c>
      <c r="T287" s="22" t="s">
        <v>62</v>
      </c>
      <c r="U287" s="22" t="s">
        <v>63</v>
      </c>
      <c r="V287" s="22" t="s">
        <v>64</v>
      </c>
      <c r="W287" s="25"/>
      <c r="X287" s="26" t="s">
        <v>1728</v>
      </c>
      <c r="Y287" s="22" t="s">
        <v>89</v>
      </c>
      <c r="Z287" s="22" t="s">
        <v>1274</v>
      </c>
      <c r="AA287" s="22" t="s">
        <v>866</v>
      </c>
      <c r="AC287" s="22" t="s">
        <v>475</v>
      </c>
      <c r="AD287" s="27" t="s">
        <v>71</v>
      </c>
      <c r="AE287" s="22" t="s">
        <v>859</v>
      </c>
      <c r="AF287" s="34"/>
      <c r="AG287" s="34"/>
    </row>
    <row r="288" spans="1:33" ht="62">
      <c r="A288" s="51" t="s">
        <v>1482</v>
      </c>
      <c r="B288" s="51" t="s">
        <v>1733</v>
      </c>
      <c r="C288" s="22" t="s">
        <v>1734</v>
      </c>
      <c r="D288" s="23" t="s">
        <v>1735</v>
      </c>
      <c r="E288" s="22" t="s">
        <v>49</v>
      </c>
      <c r="F288" s="22" t="s">
        <v>50</v>
      </c>
      <c r="G288" s="22" t="s">
        <v>49</v>
      </c>
      <c r="H288" s="22" t="s">
        <v>51</v>
      </c>
      <c r="I288" s="22" t="s">
        <v>307</v>
      </c>
      <c r="J288" s="22" t="s">
        <v>53</v>
      </c>
      <c r="K288" s="22" t="s">
        <v>96</v>
      </c>
      <c r="L288" s="22" t="s">
        <v>53</v>
      </c>
      <c r="M288" s="22" t="s">
        <v>83</v>
      </c>
      <c r="N288" s="22" t="s">
        <v>59</v>
      </c>
      <c r="O288" s="22" t="s">
        <v>84</v>
      </c>
      <c r="P288" s="22" t="s">
        <v>348</v>
      </c>
      <c r="Q288" s="22" t="s">
        <v>60</v>
      </c>
      <c r="R288" s="25"/>
      <c r="S288" s="22" t="s">
        <v>61</v>
      </c>
      <c r="T288" s="22" t="s">
        <v>62</v>
      </c>
      <c r="U288" s="22" t="s">
        <v>63</v>
      </c>
      <c r="V288" s="22" t="s">
        <v>64</v>
      </c>
      <c r="W288" s="25"/>
      <c r="X288" s="26" t="s">
        <v>1728</v>
      </c>
      <c r="Y288" s="22" t="s">
        <v>99</v>
      </c>
      <c r="Z288" s="22" t="s">
        <v>1736</v>
      </c>
      <c r="AA288" s="22" t="s">
        <v>1737</v>
      </c>
      <c r="AC288" s="22" t="s">
        <v>475</v>
      </c>
      <c r="AD288" s="27" t="s">
        <v>71</v>
      </c>
      <c r="AE288" s="22" t="s">
        <v>669</v>
      </c>
      <c r="AF288" s="34"/>
      <c r="AG288" s="34"/>
    </row>
    <row r="289" spans="1:33" ht="46.5">
      <c r="A289" s="51" t="s">
        <v>1482</v>
      </c>
      <c r="B289" s="51" t="s">
        <v>1738</v>
      </c>
      <c r="C289" s="22" t="s">
        <v>1739</v>
      </c>
      <c r="D289" s="23" t="s">
        <v>1740</v>
      </c>
      <c r="E289" s="22" t="s">
        <v>49</v>
      </c>
      <c r="F289" s="22" t="s">
        <v>95</v>
      </c>
      <c r="G289" s="22" t="s">
        <v>49</v>
      </c>
      <c r="H289" s="22" t="s">
        <v>51</v>
      </c>
      <c r="I289" s="22" t="s">
        <v>81</v>
      </c>
      <c r="J289" s="22" t="s">
        <v>53</v>
      </c>
      <c r="K289" s="22" t="s">
        <v>54</v>
      </c>
      <c r="L289" s="22" t="s">
        <v>53</v>
      </c>
      <c r="M289" s="22" t="s">
        <v>83</v>
      </c>
      <c r="N289" s="22" t="s">
        <v>59</v>
      </c>
      <c r="O289" s="22" t="s">
        <v>84</v>
      </c>
      <c r="P289" s="22" t="s">
        <v>85</v>
      </c>
      <c r="Q289" s="22" t="s">
        <v>60</v>
      </c>
      <c r="R289" s="25"/>
      <c r="S289" s="22" t="s">
        <v>85</v>
      </c>
      <c r="T289" s="22" t="s">
        <v>62</v>
      </c>
      <c r="U289" s="22" t="s">
        <v>515</v>
      </c>
      <c r="V289" s="22" t="s">
        <v>64</v>
      </c>
      <c r="W289" s="25"/>
      <c r="X289" s="26" t="s">
        <v>1728</v>
      </c>
      <c r="Y289" s="22" t="s">
        <v>131</v>
      </c>
      <c r="Z289" s="22" t="s">
        <v>1110</v>
      </c>
      <c r="AA289" s="22" t="s">
        <v>1111</v>
      </c>
      <c r="AC289" s="22" t="s">
        <v>475</v>
      </c>
      <c r="AD289" s="27" t="s">
        <v>71</v>
      </c>
      <c r="AE289" s="22" t="s">
        <v>669</v>
      </c>
      <c r="AF289" s="34"/>
      <c r="AG289" s="34"/>
    </row>
    <row r="290" spans="1:33" ht="46.5">
      <c r="A290" s="51" t="s">
        <v>1482</v>
      </c>
      <c r="B290" s="51" t="s">
        <v>1741</v>
      </c>
      <c r="C290" s="22" t="s">
        <v>1742</v>
      </c>
      <c r="D290" s="23" t="s">
        <v>1743</v>
      </c>
      <c r="E290" s="22" t="s">
        <v>53</v>
      </c>
      <c r="F290" s="22" t="s">
        <v>269</v>
      </c>
      <c r="G290" s="22" t="s">
        <v>49</v>
      </c>
      <c r="H290" s="22" t="s">
        <v>51</v>
      </c>
      <c r="I290" s="22" t="s">
        <v>81</v>
      </c>
      <c r="J290" s="22" t="s">
        <v>501</v>
      </c>
      <c r="K290" s="22" t="s">
        <v>82</v>
      </c>
      <c r="L290" s="22" t="s">
        <v>53</v>
      </c>
      <c r="M290" s="22" t="s">
        <v>83</v>
      </c>
      <c r="N290" s="22" t="s">
        <v>59</v>
      </c>
      <c r="O290" s="22" t="s">
        <v>84</v>
      </c>
      <c r="P290" s="22" t="s">
        <v>137</v>
      </c>
      <c r="Q290" s="22" t="s">
        <v>60</v>
      </c>
      <c r="R290" s="22" t="s">
        <v>153</v>
      </c>
      <c r="S290" s="22" t="s">
        <v>85</v>
      </c>
      <c r="T290" s="22" t="s">
        <v>62</v>
      </c>
      <c r="U290" s="22" t="s">
        <v>63</v>
      </c>
      <c r="V290" s="22" t="s">
        <v>64</v>
      </c>
      <c r="W290" s="25"/>
      <c r="X290" s="26" t="s">
        <v>1728</v>
      </c>
      <c r="Y290" s="22" t="s">
        <v>1744</v>
      </c>
      <c r="Z290" s="22" t="s">
        <v>400</v>
      </c>
      <c r="AA290" s="22" t="s">
        <v>1339</v>
      </c>
      <c r="AC290" s="22" t="s">
        <v>475</v>
      </c>
      <c r="AD290" s="27" t="s">
        <v>71</v>
      </c>
      <c r="AE290" s="22" t="s">
        <v>669</v>
      </c>
      <c r="AF290" s="33" t="s">
        <v>1745</v>
      </c>
      <c r="AG290" s="34"/>
    </row>
    <row r="291" spans="1:33" ht="31">
      <c r="A291" s="51" t="s">
        <v>1482</v>
      </c>
      <c r="B291" s="51" t="s">
        <v>1746</v>
      </c>
      <c r="C291" s="22" t="s">
        <v>1747</v>
      </c>
      <c r="D291" s="23" t="s">
        <v>1748</v>
      </c>
      <c r="E291" s="22" t="s">
        <v>49</v>
      </c>
      <c r="F291" s="22" t="s">
        <v>50</v>
      </c>
      <c r="G291" s="22" t="s">
        <v>49</v>
      </c>
      <c r="H291" s="22" t="s">
        <v>51</v>
      </c>
      <c r="I291" s="22" t="s">
        <v>81</v>
      </c>
      <c r="J291" s="22" t="s">
        <v>53</v>
      </c>
      <c r="K291" s="22" t="s">
        <v>856</v>
      </c>
      <c r="L291" s="22" t="s">
        <v>55</v>
      </c>
      <c r="M291" s="22" t="s">
        <v>83</v>
      </c>
      <c r="N291" s="22" t="s">
        <v>348</v>
      </c>
      <c r="O291" s="22" t="s">
        <v>84</v>
      </c>
      <c r="P291" s="22" t="s">
        <v>85</v>
      </c>
      <c r="Q291" s="22" t="s">
        <v>60</v>
      </c>
      <c r="R291" s="22" t="s">
        <v>183</v>
      </c>
      <c r="S291" s="22" t="s">
        <v>85</v>
      </c>
      <c r="T291" s="22" t="s">
        <v>62</v>
      </c>
      <c r="U291" s="22" t="s">
        <v>63</v>
      </c>
      <c r="V291" s="22" t="s">
        <v>64</v>
      </c>
      <c r="W291" s="25"/>
      <c r="X291" s="26" t="s">
        <v>1749</v>
      </c>
      <c r="Y291" s="22" t="s">
        <v>89</v>
      </c>
      <c r="Z291" s="22" t="s">
        <v>1027</v>
      </c>
      <c r="AA291" s="22" t="s">
        <v>1388</v>
      </c>
      <c r="AC291" s="22" t="s">
        <v>475</v>
      </c>
      <c r="AD291" s="27" t="s">
        <v>71</v>
      </c>
      <c r="AE291" s="22" t="s">
        <v>669</v>
      </c>
      <c r="AF291" s="33" t="s">
        <v>1750</v>
      </c>
      <c r="AG291" s="34"/>
    </row>
    <row r="292" spans="1:33" ht="31">
      <c r="A292" s="51" t="s">
        <v>1482</v>
      </c>
      <c r="B292" s="51" t="s">
        <v>1751</v>
      </c>
      <c r="C292" s="22" t="s">
        <v>1752</v>
      </c>
      <c r="D292" s="23" t="s">
        <v>1753</v>
      </c>
      <c r="E292" s="22" t="s">
        <v>49</v>
      </c>
      <c r="F292" s="22" t="s">
        <v>50</v>
      </c>
      <c r="G292" s="22" t="s">
        <v>49</v>
      </c>
      <c r="H292" s="22" t="s">
        <v>169</v>
      </c>
      <c r="I292" s="22" t="s">
        <v>52</v>
      </c>
      <c r="J292" s="22" t="s">
        <v>53</v>
      </c>
      <c r="K292" s="22" t="s">
        <v>170</v>
      </c>
      <c r="L292" s="22" t="s">
        <v>55</v>
      </c>
      <c r="M292" s="22" t="s">
        <v>83</v>
      </c>
      <c r="N292" s="22" t="s">
        <v>57</v>
      </c>
      <c r="O292" s="22" t="s">
        <v>84</v>
      </c>
      <c r="P292" s="22" t="s">
        <v>59</v>
      </c>
      <c r="Q292" s="22" t="s">
        <v>183</v>
      </c>
      <c r="R292" s="25"/>
      <c r="S292" s="22" t="s">
        <v>61</v>
      </c>
      <c r="T292" s="22" t="s">
        <v>62</v>
      </c>
      <c r="U292" s="22" t="s">
        <v>63</v>
      </c>
      <c r="V292" s="22" t="s">
        <v>118</v>
      </c>
      <c r="W292" s="25"/>
      <c r="X292" s="26" t="s">
        <v>1749</v>
      </c>
      <c r="Y292" s="22" t="s">
        <v>925</v>
      </c>
      <c r="Z292" s="22" t="s">
        <v>1131</v>
      </c>
      <c r="AA292" s="22" t="s">
        <v>1754</v>
      </c>
      <c r="AC292" s="22" t="s">
        <v>475</v>
      </c>
      <c r="AD292" s="27" t="s">
        <v>71</v>
      </c>
      <c r="AE292" s="22" t="s">
        <v>669</v>
      </c>
      <c r="AF292" s="33" t="s">
        <v>1755</v>
      </c>
      <c r="AG292" s="34"/>
    </row>
    <row r="293" spans="1:33" ht="31">
      <c r="A293" s="51" t="s">
        <v>1482</v>
      </c>
      <c r="B293" s="51" t="s">
        <v>1756</v>
      </c>
      <c r="C293" s="22" t="s">
        <v>1757</v>
      </c>
      <c r="D293" s="23" t="s">
        <v>1758</v>
      </c>
      <c r="E293" s="22" t="s">
        <v>49</v>
      </c>
      <c r="F293" s="22" t="s">
        <v>95</v>
      </c>
      <c r="G293" s="22" t="s">
        <v>49</v>
      </c>
      <c r="H293" s="22" t="s">
        <v>51</v>
      </c>
      <c r="I293" s="22" t="s">
        <v>52</v>
      </c>
      <c r="J293" s="22" t="s">
        <v>53</v>
      </c>
      <c r="K293" s="22" t="s">
        <v>856</v>
      </c>
      <c r="L293" s="22" t="s">
        <v>55</v>
      </c>
      <c r="M293" s="22" t="s">
        <v>83</v>
      </c>
      <c r="N293" s="22" t="s">
        <v>59</v>
      </c>
      <c r="O293" s="22" t="s">
        <v>84</v>
      </c>
      <c r="P293" s="22" t="s">
        <v>108</v>
      </c>
      <c r="Q293" s="22" t="s">
        <v>203</v>
      </c>
      <c r="R293" s="22" t="s">
        <v>130</v>
      </c>
      <c r="S293" s="22" t="s">
        <v>61</v>
      </c>
      <c r="T293" s="22" t="s">
        <v>62</v>
      </c>
      <c r="U293" s="22" t="s">
        <v>63</v>
      </c>
      <c r="V293" s="22" t="s">
        <v>64</v>
      </c>
      <c r="W293" s="25"/>
      <c r="X293" s="26" t="s">
        <v>1749</v>
      </c>
      <c r="Y293" s="22" t="s">
        <v>195</v>
      </c>
      <c r="Z293" s="22" t="s">
        <v>1736</v>
      </c>
      <c r="AA293" s="22" t="s">
        <v>186</v>
      </c>
      <c r="AC293" s="22" t="s">
        <v>475</v>
      </c>
      <c r="AD293" s="27" t="s">
        <v>71</v>
      </c>
      <c r="AE293" s="22" t="s">
        <v>669</v>
      </c>
      <c r="AF293" s="33" t="s">
        <v>1759</v>
      </c>
      <c r="AG293" s="34"/>
    </row>
    <row r="294" spans="1:33" ht="46.5">
      <c r="A294" s="51" t="s">
        <v>1482</v>
      </c>
      <c r="B294" s="51" t="s">
        <v>1760</v>
      </c>
      <c r="C294" s="22" t="s">
        <v>1761</v>
      </c>
      <c r="D294" s="23" t="s">
        <v>1762</v>
      </c>
      <c r="E294" s="22" t="s">
        <v>53</v>
      </c>
      <c r="F294" s="22" t="s">
        <v>269</v>
      </c>
      <c r="G294" s="22" t="s">
        <v>49</v>
      </c>
      <c r="H294" s="22" t="s">
        <v>192</v>
      </c>
      <c r="I294" s="22" t="s">
        <v>81</v>
      </c>
      <c r="J294" s="22" t="s">
        <v>501</v>
      </c>
      <c r="K294" s="22" t="s">
        <v>82</v>
      </c>
      <c r="L294" s="22" t="s">
        <v>53</v>
      </c>
      <c r="M294" s="22" t="s">
        <v>1763</v>
      </c>
      <c r="N294" s="22" t="s">
        <v>59</v>
      </c>
      <c r="O294" s="22" t="s">
        <v>84</v>
      </c>
      <c r="P294" s="22" t="s">
        <v>85</v>
      </c>
      <c r="Q294" s="22" t="s">
        <v>60</v>
      </c>
      <c r="R294" s="22" t="s">
        <v>86</v>
      </c>
      <c r="S294" s="22" t="s">
        <v>85</v>
      </c>
      <c r="T294" s="22" t="s">
        <v>62</v>
      </c>
      <c r="U294" s="22" t="s">
        <v>63</v>
      </c>
      <c r="V294" s="22" t="s">
        <v>64</v>
      </c>
      <c r="W294" s="25"/>
      <c r="X294" s="26" t="s">
        <v>1749</v>
      </c>
      <c r="Y294" s="22" t="s">
        <v>288</v>
      </c>
      <c r="Z294" s="22" t="s">
        <v>1764</v>
      </c>
      <c r="AA294" s="22" t="s">
        <v>834</v>
      </c>
      <c r="AC294" s="22" t="s">
        <v>265</v>
      </c>
      <c r="AD294" s="27" t="s">
        <v>71</v>
      </c>
      <c r="AE294" s="22" t="s">
        <v>669</v>
      </c>
      <c r="AF294" s="33" t="s">
        <v>1765</v>
      </c>
      <c r="AG294" s="34"/>
    </row>
    <row r="295" spans="1:33" ht="46.5">
      <c r="A295" s="51" t="s">
        <v>1482</v>
      </c>
      <c r="B295" s="51" t="s">
        <v>1766</v>
      </c>
      <c r="C295" s="22" t="s">
        <v>1767</v>
      </c>
      <c r="D295" s="23" t="s">
        <v>1768</v>
      </c>
      <c r="E295" s="22" t="s">
        <v>49</v>
      </c>
      <c r="F295" s="22" t="s">
        <v>95</v>
      </c>
      <c r="G295" s="22" t="s">
        <v>49</v>
      </c>
      <c r="H295" s="22" t="s">
        <v>51</v>
      </c>
      <c r="I295" s="22" t="s">
        <v>81</v>
      </c>
      <c r="J295" s="22" t="s">
        <v>53</v>
      </c>
      <c r="K295" s="22" t="s">
        <v>128</v>
      </c>
      <c r="L295" s="22" t="s">
        <v>53</v>
      </c>
      <c r="M295" s="22" t="s">
        <v>398</v>
      </c>
      <c r="N295" s="22" t="s">
        <v>59</v>
      </c>
      <c r="O295" s="22" t="s">
        <v>84</v>
      </c>
      <c r="P295" s="22" t="s">
        <v>194</v>
      </c>
      <c r="Q295" s="22" t="s">
        <v>60</v>
      </c>
      <c r="R295" s="25"/>
      <c r="S295" s="22" t="s">
        <v>388</v>
      </c>
      <c r="T295" s="22" t="s">
        <v>62</v>
      </c>
      <c r="U295" s="22" t="s">
        <v>63</v>
      </c>
      <c r="V295" s="22" t="s">
        <v>118</v>
      </c>
      <c r="W295" s="25"/>
      <c r="X295" s="26" t="s">
        <v>1769</v>
      </c>
      <c r="Y295" s="22" t="s">
        <v>876</v>
      </c>
      <c r="Z295" s="22" t="s">
        <v>1754</v>
      </c>
      <c r="AA295" s="22" t="s">
        <v>733</v>
      </c>
      <c r="AC295" s="22" t="s">
        <v>265</v>
      </c>
      <c r="AD295" s="27" t="s">
        <v>71</v>
      </c>
      <c r="AE295" s="22" t="s">
        <v>669</v>
      </c>
      <c r="AF295" s="33" t="s">
        <v>1770</v>
      </c>
      <c r="AG295" s="34"/>
    </row>
    <row r="296" spans="1:33" ht="62">
      <c r="A296" s="51" t="s">
        <v>1482</v>
      </c>
      <c r="B296" s="51" t="s">
        <v>1771</v>
      </c>
      <c r="C296" s="22" t="s">
        <v>1772</v>
      </c>
      <c r="D296" s="23" t="s">
        <v>1773</v>
      </c>
      <c r="E296" s="22" t="s">
        <v>49</v>
      </c>
      <c r="F296" s="22" t="s">
        <v>78</v>
      </c>
      <c r="G296" s="22" t="s">
        <v>49</v>
      </c>
      <c r="H296" s="22" t="s">
        <v>51</v>
      </c>
      <c r="I296" s="22" t="s">
        <v>81</v>
      </c>
      <c r="J296" s="22" t="s">
        <v>107</v>
      </c>
      <c r="K296" s="22" t="s">
        <v>54</v>
      </c>
      <c r="L296" s="22" t="s">
        <v>53</v>
      </c>
      <c r="M296" s="22" t="s">
        <v>398</v>
      </c>
      <c r="N296" s="22" t="s">
        <v>59</v>
      </c>
      <c r="O296" s="22" t="s">
        <v>84</v>
      </c>
      <c r="P296" s="22" t="s">
        <v>108</v>
      </c>
      <c r="Q296" s="22" t="s">
        <v>130</v>
      </c>
      <c r="R296" s="22" t="s">
        <v>60</v>
      </c>
      <c r="S296" s="22" t="s">
        <v>85</v>
      </c>
      <c r="T296" s="22" t="s">
        <v>62</v>
      </c>
      <c r="U296" s="22" t="s">
        <v>63</v>
      </c>
      <c r="V296" s="22" t="s">
        <v>64</v>
      </c>
      <c r="W296" s="25"/>
      <c r="X296" s="26" t="s">
        <v>1769</v>
      </c>
      <c r="Y296" s="22" t="s">
        <v>792</v>
      </c>
      <c r="Z296" s="22" t="s">
        <v>793</v>
      </c>
      <c r="AA296" s="22" t="s">
        <v>852</v>
      </c>
      <c r="AC296" s="22" t="s">
        <v>265</v>
      </c>
      <c r="AD296" s="27" t="s">
        <v>71</v>
      </c>
      <c r="AE296" s="22" t="s">
        <v>669</v>
      </c>
      <c r="AF296" s="33" t="s">
        <v>1774</v>
      </c>
      <c r="AG296" s="34"/>
    </row>
    <row r="297" spans="1:33" ht="62">
      <c r="A297" s="51" t="s">
        <v>1482</v>
      </c>
      <c r="B297" s="51" t="s">
        <v>1775</v>
      </c>
      <c r="C297" s="22" t="s">
        <v>1776</v>
      </c>
      <c r="D297" s="23" t="s">
        <v>1777</v>
      </c>
      <c r="E297" s="22" t="s">
        <v>49</v>
      </c>
      <c r="F297" s="22" t="s">
        <v>618</v>
      </c>
      <c r="G297" s="22" t="s">
        <v>49</v>
      </c>
      <c r="H297" s="22" t="s">
        <v>126</v>
      </c>
      <c r="I297" s="22" t="s">
        <v>52</v>
      </c>
      <c r="J297" s="22" t="s">
        <v>127</v>
      </c>
      <c r="K297" s="22" t="s">
        <v>170</v>
      </c>
      <c r="L297" s="22" t="s">
        <v>55</v>
      </c>
      <c r="M297" s="22" t="s">
        <v>398</v>
      </c>
      <c r="N297" s="22" t="s">
        <v>59</v>
      </c>
      <c r="O297" s="22" t="s">
        <v>84</v>
      </c>
      <c r="P297" s="22" t="s">
        <v>348</v>
      </c>
      <c r="Q297" s="22" t="s">
        <v>130</v>
      </c>
      <c r="R297" s="22" t="s">
        <v>60</v>
      </c>
      <c r="S297" s="22" t="s">
        <v>61</v>
      </c>
      <c r="T297" s="22" t="s">
        <v>62</v>
      </c>
      <c r="U297" s="22" t="s">
        <v>63</v>
      </c>
      <c r="V297" s="22" t="s">
        <v>64</v>
      </c>
      <c r="W297" s="25"/>
      <c r="X297" s="26" t="s">
        <v>1769</v>
      </c>
      <c r="Y297" s="22" t="s">
        <v>248</v>
      </c>
      <c r="Z297" s="22" t="s">
        <v>1261</v>
      </c>
      <c r="AA297" s="22" t="s">
        <v>314</v>
      </c>
      <c r="AC297" s="22" t="s">
        <v>265</v>
      </c>
      <c r="AD297" s="27" t="s">
        <v>71</v>
      </c>
      <c r="AE297" s="22" t="s">
        <v>669</v>
      </c>
      <c r="AF297" s="33" t="s">
        <v>1778</v>
      </c>
      <c r="AG297" s="34"/>
    </row>
    <row r="298" spans="1:33" ht="46.5">
      <c r="A298" s="51" t="s">
        <v>1482</v>
      </c>
      <c r="B298" s="51" t="s">
        <v>1779</v>
      </c>
      <c r="C298" s="22" t="s">
        <v>1780</v>
      </c>
      <c r="D298" s="23" t="s">
        <v>1781</v>
      </c>
      <c r="E298" s="22" t="s">
        <v>49</v>
      </c>
      <c r="F298" s="22" t="s">
        <v>618</v>
      </c>
      <c r="G298" s="22" t="s">
        <v>49</v>
      </c>
      <c r="H298" s="22" t="s">
        <v>169</v>
      </c>
      <c r="I298" s="22" t="s">
        <v>307</v>
      </c>
      <c r="J298" s="22" t="s">
        <v>127</v>
      </c>
      <c r="K298" s="22" t="s">
        <v>170</v>
      </c>
      <c r="L298" s="22" t="s">
        <v>53</v>
      </c>
      <c r="M298" s="22" t="s">
        <v>83</v>
      </c>
      <c r="N298" s="22" t="s">
        <v>59</v>
      </c>
      <c r="O298" s="22" t="s">
        <v>84</v>
      </c>
      <c r="P298" s="22" t="s">
        <v>348</v>
      </c>
      <c r="Q298" s="22" t="s">
        <v>130</v>
      </c>
      <c r="R298" s="22" t="s">
        <v>60</v>
      </c>
      <c r="S298" s="22" t="s">
        <v>85</v>
      </c>
      <c r="T298" s="22" t="s">
        <v>62</v>
      </c>
      <c r="U298" s="22" t="s">
        <v>63</v>
      </c>
      <c r="V298" s="22" t="s">
        <v>64</v>
      </c>
      <c r="W298" s="25"/>
      <c r="X298" s="26" t="s">
        <v>1769</v>
      </c>
      <c r="Y298" s="22" t="s">
        <v>590</v>
      </c>
      <c r="Z298" s="22" t="s">
        <v>1070</v>
      </c>
      <c r="AA298" s="22" t="s">
        <v>720</v>
      </c>
      <c r="AC298" s="22" t="s">
        <v>265</v>
      </c>
      <c r="AD298" s="27" t="s">
        <v>71</v>
      </c>
      <c r="AE298" s="22" t="s">
        <v>669</v>
      </c>
      <c r="AF298" s="33" t="s">
        <v>1782</v>
      </c>
      <c r="AG298" s="34"/>
    </row>
    <row r="299" spans="1:33" ht="46.5">
      <c r="A299" s="51" t="s">
        <v>1482</v>
      </c>
      <c r="B299" s="51" t="s">
        <v>1783</v>
      </c>
      <c r="C299" s="22" t="s">
        <v>1784</v>
      </c>
      <c r="D299" s="23" t="s">
        <v>1785</v>
      </c>
      <c r="E299" s="22" t="s">
        <v>49</v>
      </c>
      <c r="F299" s="22" t="s">
        <v>50</v>
      </c>
      <c r="G299" s="22" t="s">
        <v>79</v>
      </c>
      <c r="H299" s="22" t="s">
        <v>192</v>
      </c>
      <c r="I299" s="22" t="s">
        <v>81</v>
      </c>
      <c r="J299" s="22" t="s">
        <v>53</v>
      </c>
      <c r="K299" s="22" t="s">
        <v>82</v>
      </c>
      <c r="L299" s="22" t="s">
        <v>53</v>
      </c>
      <c r="M299" s="22" t="s">
        <v>83</v>
      </c>
      <c r="N299" s="22" t="s">
        <v>59</v>
      </c>
      <c r="O299" s="22" t="s">
        <v>84</v>
      </c>
      <c r="P299" s="22" t="s">
        <v>85</v>
      </c>
      <c r="Q299" s="22" t="s">
        <v>60</v>
      </c>
      <c r="R299" s="25"/>
      <c r="S299" s="22" t="s">
        <v>85</v>
      </c>
      <c r="T299" s="22" t="s">
        <v>62</v>
      </c>
      <c r="U299" s="22" t="s">
        <v>63</v>
      </c>
      <c r="V299" s="22" t="s">
        <v>64</v>
      </c>
      <c r="W299" s="25"/>
      <c r="X299" s="26" t="s">
        <v>1769</v>
      </c>
      <c r="Y299" s="22" t="s">
        <v>120</v>
      </c>
      <c r="Z299" s="22" t="s">
        <v>932</v>
      </c>
      <c r="AA299" s="22" t="s">
        <v>734</v>
      </c>
      <c r="AC299" s="22" t="s">
        <v>265</v>
      </c>
      <c r="AD299" s="27" t="s">
        <v>71</v>
      </c>
      <c r="AE299" s="22" t="s">
        <v>669</v>
      </c>
      <c r="AF299" s="33" t="s">
        <v>1786</v>
      </c>
      <c r="AG299" s="34"/>
    </row>
    <row r="300" spans="1:33" ht="46.5">
      <c r="A300" s="51" t="s">
        <v>1482</v>
      </c>
      <c r="B300" s="51" t="s">
        <v>1787</v>
      </c>
      <c r="C300" s="22" t="s">
        <v>1788</v>
      </c>
      <c r="D300" s="23" t="s">
        <v>1789</v>
      </c>
      <c r="E300" s="22" t="s">
        <v>49</v>
      </c>
      <c r="F300" s="22" t="s">
        <v>228</v>
      </c>
      <c r="G300" s="22" t="s">
        <v>49</v>
      </c>
      <c r="H300" s="22" t="s">
        <v>126</v>
      </c>
      <c r="I300" s="22" t="s">
        <v>52</v>
      </c>
      <c r="J300" s="22" t="s">
        <v>53</v>
      </c>
      <c r="K300" s="22" t="s">
        <v>170</v>
      </c>
      <c r="L300" s="22" t="s">
        <v>53</v>
      </c>
      <c r="M300" s="22" t="s">
        <v>83</v>
      </c>
      <c r="N300" s="22" t="s">
        <v>59</v>
      </c>
      <c r="O300" s="22" t="s">
        <v>84</v>
      </c>
      <c r="P300" s="22" t="s">
        <v>59</v>
      </c>
      <c r="Q300" s="22" t="s">
        <v>153</v>
      </c>
      <c r="R300" s="25"/>
      <c r="S300" s="22" t="s">
        <v>61</v>
      </c>
      <c r="T300" s="22" t="s">
        <v>62</v>
      </c>
      <c r="U300" s="22" t="s">
        <v>63</v>
      </c>
      <c r="V300" s="22" t="s">
        <v>64</v>
      </c>
      <c r="W300" s="25"/>
      <c r="X300" s="35" t="s">
        <v>1790</v>
      </c>
      <c r="Y300" s="22" t="s">
        <v>195</v>
      </c>
      <c r="Z300" s="22" t="s">
        <v>441</v>
      </c>
      <c r="AA300" s="22" t="s">
        <v>283</v>
      </c>
      <c r="AC300" s="22" t="s">
        <v>265</v>
      </c>
      <c r="AD300" s="27" t="s">
        <v>71</v>
      </c>
      <c r="AE300" s="22" t="s">
        <v>669</v>
      </c>
      <c r="AF300" s="33" t="s">
        <v>1791</v>
      </c>
      <c r="AG300" s="34"/>
    </row>
    <row r="301" spans="1:33" ht="62">
      <c r="A301" s="51" t="s">
        <v>1482</v>
      </c>
      <c r="B301" s="51" t="s">
        <v>1792</v>
      </c>
      <c r="C301" s="22" t="s">
        <v>1793</v>
      </c>
      <c r="D301" s="23" t="s">
        <v>1794</v>
      </c>
      <c r="E301" s="22" t="s">
        <v>49</v>
      </c>
      <c r="F301" s="22" t="s">
        <v>95</v>
      </c>
      <c r="G301" s="22" t="s">
        <v>49</v>
      </c>
      <c r="H301" s="22" t="s">
        <v>126</v>
      </c>
      <c r="I301" s="22" t="s">
        <v>307</v>
      </c>
      <c r="J301" s="22" t="s">
        <v>53</v>
      </c>
      <c r="K301" s="22" t="s">
        <v>144</v>
      </c>
      <c r="L301" s="22" t="s">
        <v>53</v>
      </c>
      <c r="M301" s="22" t="s">
        <v>83</v>
      </c>
      <c r="N301" s="22" t="s">
        <v>59</v>
      </c>
      <c r="O301" s="22" t="s">
        <v>84</v>
      </c>
      <c r="P301" s="22" t="s">
        <v>85</v>
      </c>
      <c r="Q301" s="22" t="s">
        <v>60</v>
      </c>
      <c r="R301" s="25"/>
      <c r="S301" s="22" t="s">
        <v>85</v>
      </c>
      <c r="T301" s="22" t="s">
        <v>62</v>
      </c>
      <c r="U301" s="22" t="s">
        <v>63</v>
      </c>
      <c r="V301" s="22" t="s">
        <v>64</v>
      </c>
      <c r="W301" s="25"/>
      <c r="X301" s="35" t="s">
        <v>1790</v>
      </c>
      <c r="Y301" s="22" t="s">
        <v>89</v>
      </c>
      <c r="Z301" s="22" t="s">
        <v>155</v>
      </c>
      <c r="AA301" s="22" t="s">
        <v>156</v>
      </c>
      <c r="AC301" s="22" t="s">
        <v>265</v>
      </c>
      <c r="AD301" s="27" t="s">
        <v>71</v>
      </c>
      <c r="AE301" s="22" t="s">
        <v>669</v>
      </c>
      <c r="AF301" s="33" t="s">
        <v>1795</v>
      </c>
      <c r="AG301" s="34"/>
    </row>
    <row r="302" spans="1:33" ht="46.5">
      <c r="A302" s="51" t="s">
        <v>1482</v>
      </c>
      <c r="B302" s="51" t="s">
        <v>1796</v>
      </c>
      <c r="C302" s="22" t="s">
        <v>1797</v>
      </c>
      <c r="D302" s="23" t="s">
        <v>1798</v>
      </c>
      <c r="E302" s="22" t="s">
        <v>49</v>
      </c>
      <c r="F302" s="22" t="s">
        <v>50</v>
      </c>
      <c r="G302" s="22" t="s">
        <v>49</v>
      </c>
      <c r="H302" s="22" t="s">
        <v>126</v>
      </c>
      <c r="I302" s="22" t="s">
        <v>52</v>
      </c>
      <c r="J302" s="22" t="s">
        <v>53</v>
      </c>
      <c r="K302" s="22" t="s">
        <v>182</v>
      </c>
      <c r="L302" s="22" t="s">
        <v>55</v>
      </c>
      <c r="M302" s="22" t="s">
        <v>83</v>
      </c>
      <c r="N302" s="22" t="s">
        <v>59</v>
      </c>
      <c r="O302" s="22" t="s">
        <v>84</v>
      </c>
      <c r="P302" s="22" t="s">
        <v>348</v>
      </c>
      <c r="Q302" s="22" t="s">
        <v>60</v>
      </c>
      <c r="R302" s="25"/>
      <c r="S302" s="22" t="s">
        <v>61</v>
      </c>
      <c r="T302" s="22" t="s">
        <v>62</v>
      </c>
      <c r="U302" s="22" t="s">
        <v>63</v>
      </c>
      <c r="V302" s="22" t="s">
        <v>64</v>
      </c>
      <c r="W302" s="25"/>
      <c r="X302" s="35" t="s">
        <v>1790</v>
      </c>
      <c r="Y302" s="22" t="s">
        <v>67</v>
      </c>
      <c r="Z302" s="22" t="s">
        <v>1799</v>
      </c>
      <c r="AA302" s="22" t="s">
        <v>1800</v>
      </c>
      <c r="AC302" s="22" t="s">
        <v>265</v>
      </c>
      <c r="AD302" s="27" t="s">
        <v>71</v>
      </c>
      <c r="AE302" s="22" t="s">
        <v>669</v>
      </c>
      <c r="AF302" s="33" t="s">
        <v>1801</v>
      </c>
      <c r="AG302" s="34"/>
    </row>
    <row r="303" spans="1:33" ht="62">
      <c r="A303" s="51" t="s">
        <v>1482</v>
      </c>
      <c r="B303" s="51" t="s">
        <v>1802</v>
      </c>
      <c r="C303" s="22" t="s">
        <v>1803</v>
      </c>
      <c r="D303" s="23" t="s">
        <v>1804</v>
      </c>
      <c r="E303" s="22" t="s">
        <v>49</v>
      </c>
      <c r="F303" s="22" t="s">
        <v>50</v>
      </c>
      <c r="G303" s="22" t="s">
        <v>49</v>
      </c>
      <c r="H303" s="22" t="s">
        <v>126</v>
      </c>
      <c r="I303" s="22" t="s">
        <v>307</v>
      </c>
      <c r="J303" s="22" t="s">
        <v>53</v>
      </c>
      <c r="K303" s="22" t="s">
        <v>144</v>
      </c>
      <c r="L303" s="22" t="s">
        <v>53</v>
      </c>
      <c r="M303" s="22" t="s">
        <v>83</v>
      </c>
      <c r="N303" s="22" t="s">
        <v>348</v>
      </c>
      <c r="O303" s="22" t="s">
        <v>84</v>
      </c>
      <c r="P303" s="22" t="s">
        <v>59</v>
      </c>
      <c r="Q303" s="22" t="s">
        <v>153</v>
      </c>
      <c r="R303" s="25"/>
      <c r="S303" s="22" t="s">
        <v>61</v>
      </c>
      <c r="T303" s="22" t="s">
        <v>62</v>
      </c>
      <c r="U303" s="22" t="s">
        <v>63</v>
      </c>
      <c r="V303" s="22" t="s">
        <v>64</v>
      </c>
      <c r="W303" s="25"/>
      <c r="X303" s="35" t="s">
        <v>1790</v>
      </c>
      <c r="Y303" s="22" t="s">
        <v>770</v>
      </c>
      <c r="Z303" s="22" t="s">
        <v>1419</v>
      </c>
      <c r="AA303" s="22" t="s">
        <v>1805</v>
      </c>
      <c r="AC303" s="22" t="s">
        <v>265</v>
      </c>
      <c r="AD303" s="27" t="s">
        <v>71</v>
      </c>
      <c r="AE303" s="22" t="s">
        <v>669</v>
      </c>
      <c r="AF303" s="33" t="s">
        <v>1791</v>
      </c>
      <c r="AG303" s="34"/>
    </row>
    <row r="304" spans="1:33" ht="62">
      <c r="A304" s="51" t="s">
        <v>1482</v>
      </c>
      <c r="B304" s="51" t="s">
        <v>1806</v>
      </c>
      <c r="C304" s="22" t="s">
        <v>1807</v>
      </c>
      <c r="D304" s="23" t="s">
        <v>1808</v>
      </c>
      <c r="E304" s="22" t="s">
        <v>49</v>
      </c>
      <c r="F304" s="22" t="s">
        <v>95</v>
      </c>
      <c r="G304" s="22" t="s">
        <v>49</v>
      </c>
      <c r="H304" s="22" t="s">
        <v>126</v>
      </c>
      <c r="I304" s="22" t="s">
        <v>307</v>
      </c>
      <c r="J304" s="22" t="s">
        <v>53</v>
      </c>
      <c r="K304" s="22" t="s">
        <v>54</v>
      </c>
      <c r="L304" s="22" t="s">
        <v>55</v>
      </c>
      <c r="M304" s="22" t="s">
        <v>83</v>
      </c>
      <c r="N304" s="22" t="s">
        <v>59</v>
      </c>
      <c r="O304" s="22" t="s">
        <v>84</v>
      </c>
      <c r="P304" s="22" t="s">
        <v>85</v>
      </c>
      <c r="Q304" s="22" t="s">
        <v>60</v>
      </c>
      <c r="R304" s="22" t="s">
        <v>183</v>
      </c>
      <c r="S304" s="22" t="s">
        <v>85</v>
      </c>
      <c r="T304" s="22" t="s">
        <v>62</v>
      </c>
      <c r="U304" s="22" t="s">
        <v>63</v>
      </c>
      <c r="V304" s="22" t="s">
        <v>64</v>
      </c>
      <c r="W304" s="25"/>
      <c r="X304" s="35" t="s">
        <v>1790</v>
      </c>
      <c r="Y304" s="22" t="s">
        <v>222</v>
      </c>
      <c r="Z304" s="22" t="s">
        <v>295</v>
      </c>
      <c r="AA304" s="22" t="s">
        <v>1809</v>
      </c>
      <c r="AC304" s="22" t="s">
        <v>265</v>
      </c>
      <c r="AD304" s="27" t="s">
        <v>71</v>
      </c>
      <c r="AE304" s="22" t="s">
        <v>669</v>
      </c>
      <c r="AF304" s="33" t="s">
        <v>1810</v>
      </c>
      <c r="AG304" s="34"/>
    </row>
    <row r="305" spans="1:33" ht="31">
      <c r="A305" s="51" t="s">
        <v>1482</v>
      </c>
      <c r="B305" s="51" t="s">
        <v>1811</v>
      </c>
      <c r="C305" s="22" t="s">
        <v>1812</v>
      </c>
      <c r="D305" s="23" t="s">
        <v>1813</v>
      </c>
      <c r="E305" s="22" t="s">
        <v>53</v>
      </c>
      <c r="F305" s="22" t="s">
        <v>269</v>
      </c>
      <c r="G305" s="22" t="s">
        <v>49</v>
      </c>
      <c r="H305" s="22" t="s">
        <v>80</v>
      </c>
      <c r="I305" s="22" t="s">
        <v>81</v>
      </c>
      <c r="J305" s="22" t="s">
        <v>501</v>
      </c>
      <c r="K305" s="22" t="s">
        <v>356</v>
      </c>
      <c r="L305" s="22" t="s">
        <v>53</v>
      </c>
      <c r="M305" s="22" t="s">
        <v>83</v>
      </c>
      <c r="N305" s="22" t="s">
        <v>59</v>
      </c>
      <c r="O305" s="22" t="s">
        <v>84</v>
      </c>
      <c r="P305" s="22" t="s">
        <v>137</v>
      </c>
      <c r="Q305" s="22" t="s">
        <v>183</v>
      </c>
      <c r="R305" s="25"/>
      <c r="S305" s="22" t="s">
        <v>85</v>
      </c>
      <c r="T305" s="22" t="s">
        <v>62</v>
      </c>
      <c r="U305" s="22" t="s">
        <v>63</v>
      </c>
      <c r="V305" s="22" t="s">
        <v>64</v>
      </c>
      <c r="W305" s="25"/>
      <c r="X305" s="26" t="s">
        <v>1036</v>
      </c>
      <c r="Y305" s="22" t="s">
        <v>262</v>
      </c>
      <c r="Z305" s="22" t="s">
        <v>965</v>
      </c>
      <c r="AA305" s="22" t="s">
        <v>1814</v>
      </c>
      <c r="AC305" s="22" t="s">
        <v>265</v>
      </c>
      <c r="AD305" s="27" t="s">
        <v>71</v>
      </c>
      <c r="AE305" s="22" t="s">
        <v>669</v>
      </c>
      <c r="AF305" s="33" t="s">
        <v>1815</v>
      </c>
      <c r="AG305" s="34"/>
    </row>
    <row r="306" spans="1:33" ht="31">
      <c r="A306" s="51" t="s">
        <v>1482</v>
      </c>
      <c r="B306" s="51" t="s">
        <v>1816</v>
      </c>
      <c r="C306" s="22" t="s">
        <v>1817</v>
      </c>
      <c r="D306" s="23" t="s">
        <v>1818</v>
      </c>
      <c r="E306" s="22" t="s">
        <v>49</v>
      </c>
      <c r="F306" s="22" t="s">
        <v>618</v>
      </c>
      <c r="G306" s="22" t="s">
        <v>49</v>
      </c>
      <c r="H306" s="22" t="s">
        <v>169</v>
      </c>
      <c r="I306" s="22" t="s">
        <v>307</v>
      </c>
      <c r="J306" s="22" t="s">
        <v>53</v>
      </c>
      <c r="K306" s="22" t="s">
        <v>128</v>
      </c>
      <c r="L306" s="22" t="s">
        <v>53</v>
      </c>
      <c r="M306" s="22" t="s">
        <v>398</v>
      </c>
      <c r="N306" s="22" t="s">
        <v>348</v>
      </c>
      <c r="O306" s="22" t="s">
        <v>84</v>
      </c>
      <c r="P306" s="22" t="s">
        <v>59</v>
      </c>
      <c r="Q306" s="22" t="s">
        <v>153</v>
      </c>
      <c r="R306" s="7" t="s">
        <v>63</v>
      </c>
      <c r="S306" s="22" t="s">
        <v>61</v>
      </c>
      <c r="T306" s="22" t="s">
        <v>62</v>
      </c>
      <c r="U306" s="22" t="s">
        <v>63</v>
      </c>
      <c r="V306" s="22" t="s">
        <v>64</v>
      </c>
      <c r="W306" s="25"/>
      <c r="X306" s="26" t="s">
        <v>1819</v>
      </c>
      <c r="Y306" s="22" t="s">
        <v>496</v>
      </c>
      <c r="Z306" s="22" t="s">
        <v>1820</v>
      </c>
      <c r="AA306" s="22" t="s">
        <v>416</v>
      </c>
      <c r="AC306" s="22" t="s">
        <v>265</v>
      </c>
      <c r="AD306" s="27" t="s">
        <v>71</v>
      </c>
      <c r="AE306" s="22" t="s">
        <v>928</v>
      </c>
      <c r="AF306" s="33" t="s">
        <v>1821</v>
      </c>
      <c r="AG306" s="34"/>
    </row>
    <row r="307" spans="1:33" ht="31">
      <c r="A307" s="51" t="s">
        <v>1482</v>
      </c>
      <c r="B307" s="51" t="s">
        <v>1822</v>
      </c>
      <c r="C307" s="22" t="s">
        <v>1817</v>
      </c>
      <c r="D307" s="23" t="s">
        <v>1818</v>
      </c>
      <c r="E307" s="22" t="s">
        <v>49</v>
      </c>
      <c r="F307" s="22" t="s">
        <v>95</v>
      </c>
      <c r="G307" s="22" t="s">
        <v>49</v>
      </c>
      <c r="H307" s="22" t="s">
        <v>169</v>
      </c>
      <c r="I307" s="22" t="s">
        <v>307</v>
      </c>
      <c r="J307" s="22" t="s">
        <v>53</v>
      </c>
      <c r="K307" s="22" t="s">
        <v>128</v>
      </c>
      <c r="L307" s="22" t="s">
        <v>53</v>
      </c>
      <c r="M307" s="22" t="s">
        <v>398</v>
      </c>
      <c r="N307" s="22" t="s">
        <v>348</v>
      </c>
      <c r="O307" s="22" t="s">
        <v>84</v>
      </c>
      <c r="P307" s="22" t="s">
        <v>59</v>
      </c>
      <c r="Q307" s="22" t="s">
        <v>153</v>
      </c>
      <c r="R307" s="22" t="s">
        <v>63</v>
      </c>
      <c r="S307" s="22" t="s">
        <v>61</v>
      </c>
      <c r="T307" s="22" t="s">
        <v>62</v>
      </c>
      <c r="U307" s="22" t="s">
        <v>63</v>
      </c>
      <c r="V307" s="22" t="s">
        <v>64</v>
      </c>
      <c r="W307" s="25"/>
      <c r="X307" s="26" t="s">
        <v>1819</v>
      </c>
      <c r="Y307" s="22" t="s">
        <v>496</v>
      </c>
      <c r="Z307" s="22" t="s">
        <v>1820</v>
      </c>
      <c r="AA307" s="22" t="s">
        <v>416</v>
      </c>
      <c r="AC307" s="22" t="s">
        <v>265</v>
      </c>
      <c r="AD307" s="27" t="s">
        <v>71</v>
      </c>
      <c r="AE307" s="22" t="s">
        <v>928</v>
      </c>
      <c r="AF307" s="33" t="s">
        <v>1823</v>
      </c>
      <c r="AG307" s="34"/>
    </row>
    <row r="308" spans="1:33" ht="46.5">
      <c r="A308" s="51" t="s">
        <v>1482</v>
      </c>
      <c r="B308" s="81" t="s">
        <v>1824</v>
      </c>
      <c r="C308" s="22" t="s">
        <v>1825</v>
      </c>
      <c r="D308" s="23" t="s">
        <v>1826</v>
      </c>
      <c r="E308" s="22" t="s">
        <v>53</v>
      </c>
      <c r="F308" s="22" t="s">
        <v>269</v>
      </c>
      <c r="G308" s="22" t="s">
        <v>49</v>
      </c>
      <c r="H308" s="22" t="s">
        <v>126</v>
      </c>
      <c r="I308" s="22" t="s">
        <v>307</v>
      </c>
      <c r="J308" s="22" t="s">
        <v>53</v>
      </c>
      <c r="K308" s="22" t="s">
        <v>144</v>
      </c>
      <c r="L308" s="22" t="s">
        <v>53</v>
      </c>
      <c r="M308" s="22" t="s">
        <v>129</v>
      </c>
      <c r="N308" s="22" t="s">
        <v>348</v>
      </c>
      <c r="O308" s="22" t="s">
        <v>1827</v>
      </c>
      <c r="P308" s="22" t="s">
        <v>293</v>
      </c>
      <c r="Q308" s="22" t="s">
        <v>183</v>
      </c>
      <c r="R308" s="25"/>
      <c r="S308" s="22" t="s">
        <v>61</v>
      </c>
      <c r="T308" s="22" t="s">
        <v>62</v>
      </c>
      <c r="U308" s="22" t="s">
        <v>63</v>
      </c>
      <c r="V308" s="22" t="s">
        <v>64</v>
      </c>
      <c r="W308" s="25"/>
      <c r="X308" s="26" t="s">
        <v>986</v>
      </c>
      <c r="Y308" s="22" t="s">
        <v>376</v>
      </c>
      <c r="Z308" s="22" t="s">
        <v>575</v>
      </c>
      <c r="AA308" s="22" t="s">
        <v>1537</v>
      </c>
      <c r="AC308" s="22" t="s">
        <v>265</v>
      </c>
      <c r="AD308" s="27" t="s">
        <v>71</v>
      </c>
      <c r="AE308" s="22" t="s">
        <v>928</v>
      </c>
      <c r="AF308" s="82" t="s">
        <v>1828</v>
      </c>
      <c r="AG308" s="34"/>
    </row>
    <row r="309" spans="1:33" ht="46.5">
      <c r="A309" s="51" t="s">
        <v>1482</v>
      </c>
      <c r="B309" s="51" t="s">
        <v>1829</v>
      </c>
      <c r="C309" s="22" t="s">
        <v>1830</v>
      </c>
      <c r="D309" s="23" t="s">
        <v>1831</v>
      </c>
      <c r="E309" s="22" t="s">
        <v>49</v>
      </c>
      <c r="F309" s="22" t="s">
        <v>50</v>
      </c>
      <c r="G309" s="22" t="s">
        <v>49</v>
      </c>
      <c r="H309" s="22" t="s">
        <v>80</v>
      </c>
      <c r="I309" s="22" t="s">
        <v>81</v>
      </c>
      <c r="J309" s="7" t="s">
        <v>109</v>
      </c>
      <c r="K309" s="22" t="s">
        <v>1832</v>
      </c>
      <c r="L309" s="22" t="s">
        <v>53</v>
      </c>
      <c r="M309" s="22" t="s">
        <v>83</v>
      </c>
      <c r="N309" s="22" t="s">
        <v>59</v>
      </c>
      <c r="O309" s="22" t="s">
        <v>490</v>
      </c>
      <c r="P309" s="22" t="s">
        <v>137</v>
      </c>
      <c r="Q309" s="22" t="s">
        <v>183</v>
      </c>
      <c r="R309" s="22" t="s">
        <v>60</v>
      </c>
      <c r="S309" s="22" t="s">
        <v>85</v>
      </c>
      <c r="T309" s="22" t="s">
        <v>62</v>
      </c>
      <c r="U309" s="22" t="s">
        <v>63</v>
      </c>
      <c r="V309" s="22" t="s">
        <v>64</v>
      </c>
      <c r="W309" s="25"/>
      <c r="X309" s="35" t="s">
        <v>1833</v>
      </c>
      <c r="Y309" s="22" t="s">
        <v>89</v>
      </c>
      <c r="Z309" s="22" t="s">
        <v>865</v>
      </c>
      <c r="AA309" s="22" t="s">
        <v>851</v>
      </c>
      <c r="AC309" s="22" t="s">
        <v>176</v>
      </c>
      <c r="AD309" s="27" t="s">
        <v>71</v>
      </c>
      <c r="AE309" s="22" t="s">
        <v>928</v>
      </c>
      <c r="AF309" s="33" t="s">
        <v>1834</v>
      </c>
      <c r="AG309" s="33" t="s">
        <v>352</v>
      </c>
    </row>
    <row r="310" spans="1:33" ht="62">
      <c r="A310" s="51" t="s">
        <v>1482</v>
      </c>
      <c r="B310" s="51" t="s">
        <v>1835</v>
      </c>
      <c r="C310" s="22" t="s">
        <v>1836</v>
      </c>
      <c r="D310" s="42" t="s">
        <v>1837</v>
      </c>
      <c r="E310" s="22" t="s">
        <v>49</v>
      </c>
      <c r="F310" s="22" t="s">
        <v>50</v>
      </c>
      <c r="G310" s="22" t="s">
        <v>49</v>
      </c>
      <c r="H310" s="22" t="s">
        <v>51</v>
      </c>
      <c r="I310" s="22" t="s">
        <v>81</v>
      </c>
      <c r="J310" s="22" t="s">
        <v>501</v>
      </c>
      <c r="K310" s="22" t="s">
        <v>96</v>
      </c>
      <c r="L310" s="22" t="s">
        <v>53</v>
      </c>
      <c r="M310" s="22" t="s">
        <v>912</v>
      </c>
      <c r="N310" s="22" t="s">
        <v>59</v>
      </c>
      <c r="O310" s="22" t="s">
        <v>84</v>
      </c>
      <c r="P310" s="22" t="s">
        <v>85</v>
      </c>
      <c r="Q310" s="22" t="s">
        <v>60</v>
      </c>
      <c r="R310" s="25"/>
      <c r="S310" s="22" t="s">
        <v>85</v>
      </c>
      <c r="T310" s="22" t="s">
        <v>62</v>
      </c>
      <c r="U310" s="22" t="s">
        <v>63</v>
      </c>
      <c r="V310" s="22" t="s">
        <v>64</v>
      </c>
      <c r="W310" s="25"/>
      <c r="X310" s="35" t="s">
        <v>924</v>
      </c>
      <c r="Y310" s="22" t="s">
        <v>925</v>
      </c>
      <c r="Z310" s="22" t="s">
        <v>1838</v>
      </c>
      <c r="AA310" s="22" t="s">
        <v>391</v>
      </c>
      <c r="AC310" s="22" t="s">
        <v>176</v>
      </c>
      <c r="AD310" s="27" t="s">
        <v>71</v>
      </c>
      <c r="AE310" s="22" t="s">
        <v>928</v>
      </c>
      <c r="AF310" s="33" t="s">
        <v>1839</v>
      </c>
      <c r="AG310" s="33" t="s">
        <v>352</v>
      </c>
    </row>
    <row r="311" spans="1:33" ht="46.5">
      <c r="A311" s="51" t="s">
        <v>1482</v>
      </c>
      <c r="B311" s="51" t="s">
        <v>1840</v>
      </c>
      <c r="C311" s="22" t="s">
        <v>1841</v>
      </c>
      <c r="D311" s="42" t="s">
        <v>1842</v>
      </c>
      <c r="E311" s="22" t="s">
        <v>49</v>
      </c>
      <c r="F311" s="22" t="s">
        <v>228</v>
      </c>
      <c r="G311" s="22" t="s">
        <v>49</v>
      </c>
      <c r="H311" s="22" t="s">
        <v>51</v>
      </c>
      <c r="I311" s="22" t="s">
        <v>81</v>
      </c>
      <c r="J311" s="22" t="s">
        <v>107</v>
      </c>
      <c r="K311" s="22" t="s">
        <v>182</v>
      </c>
      <c r="L311" s="22" t="s">
        <v>53</v>
      </c>
      <c r="M311" s="22" t="s">
        <v>912</v>
      </c>
      <c r="N311" s="22" t="s">
        <v>59</v>
      </c>
      <c r="O311" s="22" t="s">
        <v>84</v>
      </c>
      <c r="P311" s="22" t="s">
        <v>108</v>
      </c>
      <c r="Q311" s="22" t="s">
        <v>130</v>
      </c>
      <c r="R311" s="25"/>
      <c r="S311" s="22" t="s">
        <v>85</v>
      </c>
      <c r="T311" s="22" t="s">
        <v>62</v>
      </c>
      <c r="U311" s="22" t="s">
        <v>63</v>
      </c>
      <c r="V311" s="22" t="s">
        <v>64</v>
      </c>
      <c r="W311" s="25"/>
      <c r="X311" s="26" t="s">
        <v>924</v>
      </c>
      <c r="Y311" s="22" t="s">
        <v>262</v>
      </c>
      <c r="Z311" s="22" t="s">
        <v>1362</v>
      </c>
      <c r="AA311" s="22" t="s">
        <v>937</v>
      </c>
      <c r="AC311" s="22" t="s">
        <v>176</v>
      </c>
      <c r="AD311" s="27" t="s">
        <v>71</v>
      </c>
      <c r="AE311" s="22" t="s">
        <v>928</v>
      </c>
      <c r="AF311" s="33" t="s">
        <v>1843</v>
      </c>
      <c r="AG311" s="33" t="s">
        <v>352</v>
      </c>
    </row>
    <row r="312" spans="1:33" ht="46.5">
      <c r="A312" s="51" t="s">
        <v>1482</v>
      </c>
      <c r="B312" s="51" t="s">
        <v>1844</v>
      </c>
      <c r="C312" s="22" t="s">
        <v>1845</v>
      </c>
      <c r="D312" s="23" t="s">
        <v>1846</v>
      </c>
      <c r="E312" s="22" t="s">
        <v>97</v>
      </c>
      <c r="F312" s="22" t="s">
        <v>50</v>
      </c>
      <c r="G312" s="22" t="s">
        <v>97</v>
      </c>
      <c r="H312" s="22" t="s">
        <v>51</v>
      </c>
      <c r="I312" s="22" t="s">
        <v>81</v>
      </c>
      <c r="J312" s="22" t="s">
        <v>53</v>
      </c>
      <c r="K312" s="22" t="s">
        <v>96</v>
      </c>
      <c r="L312" s="22" t="s">
        <v>53</v>
      </c>
      <c r="M312" s="22" t="s">
        <v>912</v>
      </c>
      <c r="N312" s="22" t="s">
        <v>59</v>
      </c>
      <c r="O312" s="7" t="s">
        <v>1224</v>
      </c>
      <c r="P312" s="22" t="s">
        <v>293</v>
      </c>
      <c r="Q312" s="22" t="s">
        <v>183</v>
      </c>
      <c r="R312" s="22" t="s">
        <v>1847</v>
      </c>
      <c r="S312" s="22" t="s">
        <v>194</v>
      </c>
      <c r="T312" s="22" t="s">
        <v>62</v>
      </c>
      <c r="U312" s="22" t="s">
        <v>63</v>
      </c>
      <c r="V312" s="22" t="s">
        <v>64</v>
      </c>
      <c r="W312" s="25"/>
      <c r="X312" s="35" t="s">
        <v>917</v>
      </c>
      <c r="Y312" s="22" t="s">
        <v>792</v>
      </c>
      <c r="Z312" s="22" t="s">
        <v>913</v>
      </c>
      <c r="AA312" s="22" t="s">
        <v>793</v>
      </c>
      <c r="AC312" s="22" t="s">
        <v>176</v>
      </c>
      <c r="AD312" s="27" t="s">
        <v>71</v>
      </c>
      <c r="AE312" s="22" t="s">
        <v>928</v>
      </c>
      <c r="AF312" s="33" t="s">
        <v>1848</v>
      </c>
      <c r="AG312" s="33" t="s">
        <v>1849</v>
      </c>
    </row>
    <row r="313" spans="1:33" ht="46.5">
      <c r="A313" s="51" t="s">
        <v>1482</v>
      </c>
      <c r="B313" s="51" t="s">
        <v>1850</v>
      </c>
      <c r="C313" s="22" t="s">
        <v>1851</v>
      </c>
      <c r="D313" s="23" t="s">
        <v>1852</v>
      </c>
      <c r="E313" s="22" t="s">
        <v>49</v>
      </c>
      <c r="F313" s="22" t="s">
        <v>50</v>
      </c>
      <c r="G313" s="22" t="s">
        <v>79</v>
      </c>
      <c r="H313" s="22" t="s">
        <v>51</v>
      </c>
      <c r="I313" s="22" t="s">
        <v>52</v>
      </c>
      <c r="J313" s="22" t="s">
        <v>53</v>
      </c>
      <c r="K313" s="22" t="s">
        <v>182</v>
      </c>
      <c r="L313" s="22" t="s">
        <v>55</v>
      </c>
      <c r="M313" s="22" t="s">
        <v>56</v>
      </c>
      <c r="N313" s="22" t="s">
        <v>348</v>
      </c>
      <c r="O313" s="22" t="s">
        <v>490</v>
      </c>
      <c r="P313" s="22" t="s">
        <v>59</v>
      </c>
      <c r="Q313" s="22" t="s">
        <v>153</v>
      </c>
      <c r="R313" s="22" t="s">
        <v>458</v>
      </c>
      <c r="S313" s="22" t="s">
        <v>61</v>
      </c>
      <c r="T313" s="22" t="s">
        <v>62</v>
      </c>
      <c r="U313" s="22" t="s">
        <v>63</v>
      </c>
      <c r="V313" s="22" t="s">
        <v>64</v>
      </c>
      <c r="W313" s="25"/>
      <c r="X313" s="35" t="s">
        <v>917</v>
      </c>
      <c r="Y313" s="40" t="s">
        <v>67</v>
      </c>
      <c r="Z313" s="22" t="s">
        <v>1155</v>
      </c>
      <c r="AA313" s="22" t="s">
        <v>1853</v>
      </c>
      <c r="AC313" s="22" t="s">
        <v>176</v>
      </c>
      <c r="AD313" s="27" t="s">
        <v>71</v>
      </c>
      <c r="AE313" s="22" t="s">
        <v>928</v>
      </c>
      <c r="AF313" s="33" t="s">
        <v>1854</v>
      </c>
      <c r="AG313" s="33" t="s">
        <v>1855</v>
      </c>
    </row>
    <row r="314" spans="1:33" ht="46.5">
      <c r="A314" s="51" t="s">
        <v>1482</v>
      </c>
      <c r="B314" s="51" t="s">
        <v>1856</v>
      </c>
      <c r="C314" s="83" t="s">
        <v>1857</v>
      </c>
      <c r="D314" s="23" t="s">
        <v>1858</v>
      </c>
      <c r="E314" s="22" t="s">
        <v>49</v>
      </c>
      <c r="F314" s="22" t="s">
        <v>95</v>
      </c>
      <c r="G314" s="22" t="s">
        <v>49</v>
      </c>
      <c r="H314" s="22" t="s">
        <v>192</v>
      </c>
      <c r="I314" s="22" t="s">
        <v>81</v>
      </c>
      <c r="J314" s="22" t="s">
        <v>53</v>
      </c>
      <c r="K314" s="22" t="s">
        <v>182</v>
      </c>
      <c r="L314" s="22" t="s">
        <v>53</v>
      </c>
      <c r="M314" s="22" t="s">
        <v>83</v>
      </c>
      <c r="N314" s="22" t="s">
        <v>59</v>
      </c>
      <c r="O314" s="22" t="s">
        <v>84</v>
      </c>
      <c r="P314" s="22" t="s">
        <v>59</v>
      </c>
      <c r="Q314" s="7" t="s">
        <v>86</v>
      </c>
      <c r="R314" s="25"/>
      <c r="S314" s="22" t="s">
        <v>85</v>
      </c>
      <c r="T314" s="22" t="s">
        <v>62</v>
      </c>
      <c r="U314" s="22" t="s">
        <v>63</v>
      </c>
      <c r="V314" s="22" t="s">
        <v>64</v>
      </c>
      <c r="W314" s="25"/>
      <c r="X314" s="35" t="s">
        <v>924</v>
      </c>
      <c r="Y314" s="22" t="s">
        <v>302</v>
      </c>
      <c r="Z314" s="22" t="s">
        <v>942</v>
      </c>
      <c r="AA314" s="22" t="s">
        <v>943</v>
      </c>
      <c r="AC314" s="22" t="s">
        <v>176</v>
      </c>
      <c r="AD314" s="27" t="s">
        <v>71</v>
      </c>
      <c r="AE314" s="22" t="s">
        <v>928</v>
      </c>
      <c r="AF314" s="33" t="s">
        <v>1859</v>
      </c>
      <c r="AG314" s="33" t="s">
        <v>1860</v>
      </c>
    </row>
    <row r="315" spans="1:33" ht="46.5">
      <c r="A315" s="51" t="s">
        <v>1482</v>
      </c>
      <c r="B315" s="51" t="s">
        <v>1861</v>
      </c>
      <c r="C315" s="7" t="s">
        <v>1862</v>
      </c>
      <c r="D315" s="23" t="s">
        <v>1863</v>
      </c>
      <c r="E315" s="22" t="s">
        <v>49</v>
      </c>
      <c r="F315" s="22" t="s">
        <v>228</v>
      </c>
      <c r="G315" s="22" t="s">
        <v>79</v>
      </c>
      <c r="H315" s="22" t="s">
        <v>126</v>
      </c>
      <c r="I315" s="22" t="s">
        <v>307</v>
      </c>
      <c r="J315" s="22" t="s">
        <v>53</v>
      </c>
      <c r="K315" s="22" t="s">
        <v>54</v>
      </c>
      <c r="L315" s="22" t="s">
        <v>53</v>
      </c>
      <c r="M315" s="22" t="s">
        <v>912</v>
      </c>
      <c r="N315" s="22" t="s">
        <v>59</v>
      </c>
      <c r="O315" s="22" t="s">
        <v>84</v>
      </c>
      <c r="P315" s="22" t="s">
        <v>57</v>
      </c>
      <c r="Q315" s="22" t="s">
        <v>63</v>
      </c>
      <c r="R315" s="25"/>
      <c r="S315" s="22" t="s">
        <v>61</v>
      </c>
      <c r="T315" s="22" t="s">
        <v>62</v>
      </c>
      <c r="U315" s="22" t="s">
        <v>63</v>
      </c>
      <c r="V315" s="22" t="s">
        <v>64</v>
      </c>
      <c r="W315" s="25"/>
      <c r="X315" s="35" t="s">
        <v>917</v>
      </c>
      <c r="Y315" s="22" t="s">
        <v>376</v>
      </c>
      <c r="Z315" s="22" t="s">
        <v>1864</v>
      </c>
      <c r="AA315" s="22" t="s">
        <v>272</v>
      </c>
      <c r="AC315" s="22" t="s">
        <v>176</v>
      </c>
      <c r="AD315" s="27" t="s">
        <v>71</v>
      </c>
      <c r="AE315" s="22" t="s">
        <v>928</v>
      </c>
      <c r="AF315" s="33" t="s">
        <v>1865</v>
      </c>
      <c r="AG315" s="33" t="s">
        <v>352</v>
      </c>
    </row>
    <row r="316" spans="1:33" ht="46.5">
      <c r="A316" s="51" t="s">
        <v>1482</v>
      </c>
      <c r="B316" s="51" t="s">
        <v>1866</v>
      </c>
      <c r="C316" s="22" t="s">
        <v>1867</v>
      </c>
      <c r="D316" s="23" t="s">
        <v>1868</v>
      </c>
      <c r="E316" s="22" t="s">
        <v>49</v>
      </c>
      <c r="F316" s="22" t="s">
        <v>50</v>
      </c>
      <c r="G316" s="22" t="s">
        <v>49</v>
      </c>
      <c r="H316" s="22" t="s">
        <v>51</v>
      </c>
      <c r="I316" s="22" t="s">
        <v>81</v>
      </c>
      <c r="J316" s="22" t="s">
        <v>107</v>
      </c>
      <c r="K316" s="22" t="s">
        <v>856</v>
      </c>
      <c r="L316" s="22" t="s">
        <v>53</v>
      </c>
      <c r="M316" s="22" t="s">
        <v>83</v>
      </c>
      <c r="N316" s="22" t="s">
        <v>59</v>
      </c>
      <c r="O316" s="22" t="s">
        <v>84</v>
      </c>
      <c r="P316" s="22" t="s">
        <v>85</v>
      </c>
      <c r="Q316" s="22" t="s">
        <v>238</v>
      </c>
      <c r="R316" s="7" t="s">
        <v>60</v>
      </c>
      <c r="S316" s="22" t="s">
        <v>61</v>
      </c>
      <c r="T316" s="22" t="s">
        <v>62</v>
      </c>
      <c r="U316" s="22" t="s">
        <v>63</v>
      </c>
      <c r="V316" s="22" t="s">
        <v>64</v>
      </c>
      <c r="W316" s="25"/>
      <c r="X316" s="35" t="s">
        <v>1869</v>
      </c>
      <c r="Y316" s="22" t="s">
        <v>569</v>
      </c>
      <c r="Z316" s="22" t="s">
        <v>416</v>
      </c>
      <c r="AA316" s="22" t="s">
        <v>425</v>
      </c>
      <c r="AC316" s="22" t="s">
        <v>176</v>
      </c>
      <c r="AD316" s="27" t="s">
        <v>71</v>
      </c>
      <c r="AE316" s="22" t="s">
        <v>928</v>
      </c>
      <c r="AF316" s="33" t="s">
        <v>1870</v>
      </c>
      <c r="AG316" s="33" t="s">
        <v>1871</v>
      </c>
    </row>
    <row r="317" spans="1:33" ht="46.5">
      <c r="A317" s="51" t="s">
        <v>1482</v>
      </c>
      <c r="B317" s="51" t="s">
        <v>1872</v>
      </c>
      <c r="C317" s="22" t="s">
        <v>1873</v>
      </c>
      <c r="D317" s="23" t="s">
        <v>1874</v>
      </c>
      <c r="E317" s="22" t="s">
        <v>49</v>
      </c>
      <c r="F317" s="22" t="s">
        <v>50</v>
      </c>
      <c r="G317" s="22" t="s">
        <v>49</v>
      </c>
      <c r="H317" s="22" t="s">
        <v>80</v>
      </c>
      <c r="I317" s="22" t="s">
        <v>81</v>
      </c>
      <c r="J317" s="22" t="s">
        <v>53</v>
      </c>
      <c r="K317" s="22" t="s">
        <v>856</v>
      </c>
      <c r="L317" s="22" t="s">
        <v>53</v>
      </c>
      <c r="M317" s="22" t="s">
        <v>83</v>
      </c>
      <c r="N317" s="22" t="s">
        <v>59</v>
      </c>
      <c r="O317" s="22" t="s">
        <v>84</v>
      </c>
      <c r="P317" s="22" t="s">
        <v>85</v>
      </c>
      <c r="Q317" s="22" t="s">
        <v>60</v>
      </c>
      <c r="R317" s="25"/>
      <c r="S317" s="22" t="s">
        <v>85</v>
      </c>
      <c r="T317" s="22" t="s">
        <v>62</v>
      </c>
      <c r="U317" s="22" t="s">
        <v>63</v>
      </c>
      <c r="V317" s="22" t="s">
        <v>64</v>
      </c>
      <c r="W317" s="25"/>
      <c r="X317" s="26" t="s">
        <v>1875</v>
      </c>
      <c r="Y317" s="22" t="s">
        <v>302</v>
      </c>
      <c r="Z317" s="22" t="s">
        <v>1057</v>
      </c>
      <c r="AA317" s="22" t="s">
        <v>1876</v>
      </c>
      <c r="AC317" s="22" t="s">
        <v>176</v>
      </c>
      <c r="AD317" s="27" t="s">
        <v>71</v>
      </c>
      <c r="AE317" s="22" t="s">
        <v>928</v>
      </c>
      <c r="AF317" s="33" t="s">
        <v>1843</v>
      </c>
      <c r="AG317" s="33" t="s">
        <v>352</v>
      </c>
    </row>
    <row r="318" spans="1:33" ht="46.5">
      <c r="A318" s="51" t="s">
        <v>1482</v>
      </c>
      <c r="B318" s="51" t="s">
        <v>1877</v>
      </c>
      <c r="C318" s="22" t="s">
        <v>1878</v>
      </c>
      <c r="D318" s="23" t="s">
        <v>1879</v>
      </c>
      <c r="E318" s="22" t="s">
        <v>49</v>
      </c>
      <c r="F318" s="22" t="s">
        <v>95</v>
      </c>
      <c r="G318" s="22" t="s">
        <v>79</v>
      </c>
      <c r="H318" s="22" t="s">
        <v>51</v>
      </c>
      <c r="I318" s="22" t="s">
        <v>52</v>
      </c>
      <c r="J318" s="22" t="s">
        <v>53</v>
      </c>
      <c r="K318" s="22" t="s">
        <v>182</v>
      </c>
      <c r="L318" s="22" t="s">
        <v>55</v>
      </c>
      <c r="M318" s="22" t="s">
        <v>83</v>
      </c>
      <c r="N318" s="22" t="s">
        <v>59</v>
      </c>
      <c r="O318" s="22" t="s">
        <v>84</v>
      </c>
      <c r="P318" s="22" t="s">
        <v>59</v>
      </c>
      <c r="Q318" s="7" t="s">
        <v>98</v>
      </c>
      <c r="R318" s="22" t="s">
        <v>153</v>
      </c>
      <c r="S318" s="22" t="s">
        <v>61</v>
      </c>
      <c r="T318" s="22" t="s">
        <v>62</v>
      </c>
      <c r="U318" s="22" t="s">
        <v>63</v>
      </c>
      <c r="V318" s="22" t="s">
        <v>64</v>
      </c>
      <c r="W318" s="25"/>
      <c r="X318" s="26" t="s">
        <v>1438</v>
      </c>
      <c r="Y318" s="22" t="s">
        <v>792</v>
      </c>
      <c r="Z318" s="22" t="s">
        <v>866</v>
      </c>
      <c r="AA318" s="22" t="s">
        <v>1474</v>
      </c>
      <c r="AC318" s="22" t="s">
        <v>176</v>
      </c>
      <c r="AD318" s="27" t="s">
        <v>71</v>
      </c>
      <c r="AE318" s="22" t="s">
        <v>928</v>
      </c>
      <c r="AF318" s="33" t="s">
        <v>1880</v>
      </c>
      <c r="AG318" s="33" t="s">
        <v>352</v>
      </c>
    </row>
    <row r="319" spans="1:33" ht="96" customHeight="1">
      <c r="A319" s="51" t="s">
        <v>1482</v>
      </c>
      <c r="B319" s="51" t="s">
        <v>1881</v>
      </c>
      <c r="C319" s="22" t="s">
        <v>1882</v>
      </c>
      <c r="D319" s="23" t="s">
        <v>1883</v>
      </c>
      <c r="E319" s="22" t="s">
        <v>49</v>
      </c>
      <c r="F319" s="22" t="s">
        <v>50</v>
      </c>
      <c r="G319" s="22" t="s">
        <v>79</v>
      </c>
      <c r="H319" s="22" t="s">
        <v>169</v>
      </c>
      <c r="I319" s="22" t="s">
        <v>81</v>
      </c>
      <c r="J319" s="22" t="s">
        <v>53</v>
      </c>
      <c r="K319" s="22" t="s">
        <v>144</v>
      </c>
      <c r="L319" s="22" t="s">
        <v>53</v>
      </c>
      <c r="M319" s="22" t="s">
        <v>83</v>
      </c>
      <c r="N319" s="22" t="s">
        <v>537</v>
      </c>
      <c r="O319" s="22" t="s">
        <v>84</v>
      </c>
      <c r="P319" s="22" t="s">
        <v>59</v>
      </c>
      <c r="Q319" s="22" t="s">
        <v>203</v>
      </c>
      <c r="R319" s="25"/>
      <c r="S319" s="22" t="s">
        <v>537</v>
      </c>
      <c r="T319" s="22" t="s">
        <v>62</v>
      </c>
      <c r="U319" s="22" t="s">
        <v>63</v>
      </c>
      <c r="V319" s="22" t="s">
        <v>64</v>
      </c>
      <c r="W319" s="25"/>
      <c r="X319" s="26" t="s">
        <v>154</v>
      </c>
      <c r="Y319" s="22" t="s">
        <v>277</v>
      </c>
      <c r="Z319" s="22" t="s">
        <v>1406</v>
      </c>
      <c r="AA319" s="22" t="s">
        <v>1412</v>
      </c>
      <c r="AC319" s="22" t="s">
        <v>176</v>
      </c>
      <c r="AD319" s="27" t="s">
        <v>71</v>
      </c>
      <c r="AE319" s="22" t="s">
        <v>928</v>
      </c>
      <c r="AF319" s="33" t="s">
        <v>1843</v>
      </c>
      <c r="AG319" s="33" t="s">
        <v>1884</v>
      </c>
    </row>
    <row r="320" spans="1:33" ht="31">
      <c r="A320" s="51" t="s">
        <v>1482</v>
      </c>
      <c r="B320" s="51" t="s">
        <v>1885</v>
      </c>
      <c r="C320" s="22" t="s">
        <v>1886</v>
      </c>
      <c r="D320" s="23" t="s">
        <v>1887</v>
      </c>
      <c r="E320" s="22" t="s">
        <v>49</v>
      </c>
      <c r="F320" s="22" t="s">
        <v>50</v>
      </c>
      <c r="G320" s="22" t="s">
        <v>49</v>
      </c>
      <c r="H320" s="22" t="s">
        <v>51</v>
      </c>
      <c r="I320" s="22" t="s">
        <v>81</v>
      </c>
      <c r="J320" s="7" t="s">
        <v>109</v>
      </c>
      <c r="K320" s="22" t="s">
        <v>856</v>
      </c>
      <c r="L320" s="22" t="s">
        <v>53</v>
      </c>
      <c r="M320" s="22" t="s">
        <v>912</v>
      </c>
      <c r="N320" s="22" t="s">
        <v>59</v>
      </c>
      <c r="O320" s="22" t="s">
        <v>84</v>
      </c>
      <c r="P320" s="22" t="s">
        <v>85</v>
      </c>
      <c r="Q320" s="22" t="s">
        <v>203</v>
      </c>
      <c r="R320" s="25"/>
      <c r="S320" s="22" t="s">
        <v>85</v>
      </c>
      <c r="T320" s="22" t="s">
        <v>62</v>
      </c>
      <c r="U320" s="22" t="s">
        <v>63</v>
      </c>
      <c r="V320" s="22" t="s">
        <v>64</v>
      </c>
      <c r="W320" s="25"/>
      <c r="X320" s="35" t="s">
        <v>1888</v>
      </c>
      <c r="Y320" s="22" t="s">
        <v>204</v>
      </c>
      <c r="Z320" s="22" t="s">
        <v>205</v>
      </c>
      <c r="AA320" s="22" t="s">
        <v>206</v>
      </c>
      <c r="AC320" s="22" t="s">
        <v>176</v>
      </c>
      <c r="AD320" s="27" t="s">
        <v>71</v>
      </c>
      <c r="AE320" s="22" t="s">
        <v>928</v>
      </c>
      <c r="AF320" s="33" t="s">
        <v>1889</v>
      </c>
      <c r="AG320" s="33" t="s">
        <v>1890</v>
      </c>
    </row>
    <row r="321" spans="1:33" ht="62">
      <c r="A321" s="51" t="s">
        <v>1482</v>
      </c>
      <c r="B321" s="51" t="s">
        <v>1891</v>
      </c>
      <c r="C321" s="22" t="s">
        <v>1892</v>
      </c>
      <c r="D321" s="23" t="s">
        <v>1893</v>
      </c>
      <c r="E321" s="22" t="s">
        <v>49</v>
      </c>
      <c r="F321" s="22" t="s">
        <v>618</v>
      </c>
      <c r="G321" s="22" t="s">
        <v>49</v>
      </c>
      <c r="H321" s="22" t="s">
        <v>51</v>
      </c>
      <c r="I321" s="22" t="s">
        <v>52</v>
      </c>
      <c r="J321" s="22" t="s">
        <v>53</v>
      </c>
      <c r="K321" s="22" t="s">
        <v>182</v>
      </c>
      <c r="L321" s="22" t="s">
        <v>55</v>
      </c>
      <c r="M321" s="22" t="s">
        <v>56</v>
      </c>
      <c r="N321" s="22" t="s">
        <v>59</v>
      </c>
      <c r="O321" s="22" t="s">
        <v>490</v>
      </c>
      <c r="P321" s="22" t="s">
        <v>59</v>
      </c>
      <c r="Q321" s="22" t="s">
        <v>60</v>
      </c>
      <c r="R321" s="25"/>
      <c r="S321" s="22" t="s">
        <v>294</v>
      </c>
      <c r="T321" s="22" t="s">
        <v>62</v>
      </c>
      <c r="U321" s="22" t="s">
        <v>63</v>
      </c>
      <c r="V321" s="22" t="s">
        <v>64</v>
      </c>
      <c r="W321" s="25"/>
      <c r="X321" s="35" t="s">
        <v>145</v>
      </c>
      <c r="Y321" s="22" t="s">
        <v>99</v>
      </c>
      <c r="Z321" s="22" t="s">
        <v>1406</v>
      </c>
      <c r="AA321" s="22" t="s">
        <v>1517</v>
      </c>
      <c r="AC321" s="22" t="s">
        <v>176</v>
      </c>
      <c r="AD321" s="27" t="s">
        <v>71</v>
      </c>
      <c r="AE321" s="22" t="s">
        <v>928</v>
      </c>
      <c r="AF321" s="33" t="s">
        <v>1843</v>
      </c>
      <c r="AG321" s="33" t="s">
        <v>1894</v>
      </c>
    </row>
    <row r="322" spans="1:33" ht="46.5">
      <c r="A322" s="51" t="s">
        <v>1482</v>
      </c>
      <c r="B322" s="51" t="s">
        <v>1895</v>
      </c>
      <c r="C322" s="22" t="s">
        <v>1896</v>
      </c>
      <c r="D322" s="23" t="s">
        <v>1897</v>
      </c>
      <c r="E322" s="22" t="s">
        <v>49</v>
      </c>
      <c r="F322" s="22" t="s">
        <v>95</v>
      </c>
      <c r="G322" s="22" t="s">
        <v>49</v>
      </c>
      <c r="H322" s="22" t="s">
        <v>169</v>
      </c>
      <c r="I322" s="22" t="s">
        <v>307</v>
      </c>
      <c r="J322" s="22" t="s">
        <v>53</v>
      </c>
      <c r="K322" s="22" t="s">
        <v>144</v>
      </c>
      <c r="L322" s="22" t="s">
        <v>53</v>
      </c>
      <c r="M322" s="22" t="s">
        <v>83</v>
      </c>
      <c r="N322" s="22" t="s">
        <v>57</v>
      </c>
      <c r="O322" s="22" t="s">
        <v>84</v>
      </c>
      <c r="P322" s="22" t="s">
        <v>85</v>
      </c>
      <c r="Q322" s="22" t="s">
        <v>86</v>
      </c>
      <c r="R322" s="84"/>
      <c r="S322" s="22" t="s">
        <v>61</v>
      </c>
      <c r="T322" s="22" t="s">
        <v>62</v>
      </c>
      <c r="U322" s="22" t="s">
        <v>515</v>
      </c>
      <c r="V322" s="22" t="s">
        <v>118</v>
      </c>
      <c r="W322" s="25"/>
      <c r="X322" s="31" t="s">
        <v>1338</v>
      </c>
      <c r="Y322" s="22" t="s">
        <v>357</v>
      </c>
      <c r="Z322" s="22" t="s">
        <v>461</v>
      </c>
      <c r="AA322" s="22" t="s">
        <v>997</v>
      </c>
      <c r="AC322" s="22" t="s">
        <v>176</v>
      </c>
      <c r="AD322" s="27" t="s">
        <v>71</v>
      </c>
      <c r="AE322" s="22" t="s">
        <v>928</v>
      </c>
      <c r="AF322" s="33" t="s">
        <v>1898</v>
      </c>
      <c r="AG322" s="33" t="s">
        <v>1899</v>
      </c>
    </row>
    <row r="323" spans="1:33" ht="46.5">
      <c r="A323" s="51" t="s">
        <v>1482</v>
      </c>
      <c r="B323" s="51" t="s">
        <v>1900</v>
      </c>
      <c r="C323" s="22" t="s">
        <v>1901</v>
      </c>
      <c r="D323" s="23" t="s">
        <v>1902</v>
      </c>
      <c r="E323" s="22" t="s">
        <v>53</v>
      </c>
      <c r="F323" s="22" t="s">
        <v>269</v>
      </c>
      <c r="G323" s="22" t="s">
        <v>49</v>
      </c>
      <c r="H323" s="22" t="s">
        <v>192</v>
      </c>
      <c r="I323" s="22" t="s">
        <v>81</v>
      </c>
      <c r="J323" s="22" t="s">
        <v>501</v>
      </c>
      <c r="K323" s="22" t="s">
        <v>96</v>
      </c>
      <c r="L323" s="22" t="s">
        <v>53</v>
      </c>
      <c r="M323" s="22" t="s">
        <v>56</v>
      </c>
      <c r="N323" s="22" t="s">
        <v>59</v>
      </c>
      <c r="O323" s="22" t="s">
        <v>84</v>
      </c>
      <c r="P323" s="22" t="s">
        <v>85</v>
      </c>
      <c r="Q323" s="22" t="s">
        <v>60</v>
      </c>
      <c r="R323" s="25"/>
      <c r="S323" s="22" t="s">
        <v>85</v>
      </c>
      <c r="T323" s="22" t="s">
        <v>62</v>
      </c>
      <c r="U323" s="22" t="s">
        <v>63</v>
      </c>
      <c r="V323" s="22" t="s">
        <v>64</v>
      </c>
      <c r="W323" s="25"/>
      <c r="X323" s="31" t="s">
        <v>1523</v>
      </c>
      <c r="Y323" s="22" t="s">
        <v>1903</v>
      </c>
      <c r="Z323" s="22" t="s">
        <v>1537</v>
      </c>
      <c r="AA323" s="22" t="s">
        <v>272</v>
      </c>
      <c r="AC323" s="22" t="s">
        <v>176</v>
      </c>
      <c r="AD323" s="27" t="s">
        <v>71</v>
      </c>
      <c r="AE323" s="22" t="s">
        <v>928</v>
      </c>
      <c r="AF323" s="33" t="s">
        <v>1904</v>
      </c>
      <c r="AG323" s="33" t="s">
        <v>352</v>
      </c>
    </row>
    <row r="324" spans="1:33" ht="42.5">
      <c r="A324" s="51" t="s">
        <v>1482</v>
      </c>
      <c r="B324" s="51" t="s">
        <v>1905</v>
      </c>
      <c r="C324" s="22" t="s">
        <v>1906</v>
      </c>
      <c r="D324" s="80" t="s">
        <v>1907</v>
      </c>
      <c r="E324" s="22" t="s">
        <v>49</v>
      </c>
      <c r="F324" s="22" t="s">
        <v>78</v>
      </c>
      <c r="G324" s="22" t="s">
        <v>49</v>
      </c>
      <c r="H324" s="22" t="s">
        <v>51</v>
      </c>
      <c r="I324" s="22" t="s">
        <v>52</v>
      </c>
      <c r="J324" s="22" t="s">
        <v>501</v>
      </c>
      <c r="K324" s="22" t="s">
        <v>182</v>
      </c>
      <c r="L324" s="22" t="s">
        <v>55</v>
      </c>
      <c r="M324" s="22" t="s">
        <v>83</v>
      </c>
      <c r="N324" s="22" t="s">
        <v>59</v>
      </c>
      <c r="O324" s="22" t="s">
        <v>84</v>
      </c>
      <c r="P324" s="22" t="s">
        <v>85</v>
      </c>
      <c r="Q324" s="22" t="s">
        <v>60</v>
      </c>
      <c r="R324" s="25"/>
      <c r="S324" s="22" t="s">
        <v>85</v>
      </c>
      <c r="T324" s="22" t="s">
        <v>62</v>
      </c>
      <c r="U324" s="22" t="s">
        <v>63</v>
      </c>
      <c r="V324" s="22" t="s">
        <v>64</v>
      </c>
      <c r="W324" s="25"/>
      <c r="X324" s="69" t="s">
        <v>154</v>
      </c>
      <c r="Y324" s="68" t="s">
        <v>770</v>
      </c>
      <c r="Z324" s="22" t="s">
        <v>1419</v>
      </c>
      <c r="AA324" s="22" t="s">
        <v>1420</v>
      </c>
      <c r="AC324" s="22" t="s">
        <v>70</v>
      </c>
      <c r="AD324" s="27" t="s">
        <v>71</v>
      </c>
      <c r="AE324" s="22" t="s">
        <v>928</v>
      </c>
      <c r="AF324" s="34"/>
      <c r="AG324" s="34"/>
    </row>
    <row r="325" spans="1:33" ht="15.5">
      <c r="A325" s="45"/>
      <c r="B325" s="45"/>
      <c r="D325" s="85"/>
      <c r="AD325" s="34"/>
      <c r="AE325" s="34"/>
      <c r="AF325" s="34"/>
      <c r="AG325" s="34"/>
    </row>
    <row r="326" spans="1:33" ht="15.5">
      <c r="A326" s="45"/>
      <c r="B326" s="45"/>
      <c r="D326" s="85"/>
      <c r="AD326" s="34"/>
      <c r="AE326" s="34"/>
      <c r="AF326" s="34"/>
      <c r="AG326" s="34"/>
    </row>
    <row r="327" spans="1:33" ht="15.5">
      <c r="A327" s="45"/>
      <c r="B327" s="45"/>
      <c r="D327" s="85"/>
      <c r="AD327" s="34"/>
      <c r="AE327" s="34"/>
      <c r="AF327" s="34"/>
      <c r="AG327" s="34"/>
    </row>
    <row r="328" spans="1:33" ht="15.5">
      <c r="A328" s="45"/>
      <c r="B328" s="45"/>
      <c r="D328" s="85"/>
      <c r="AD328" s="34"/>
      <c r="AE328" s="34"/>
      <c r="AF328" s="34"/>
      <c r="AG328" s="34"/>
    </row>
    <row r="329" spans="1:33" ht="15.5">
      <c r="A329" s="45"/>
      <c r="B329" s="45"/>
      <c r="D329" s="85"/>
      <c r="AD329" s="34"/>
      <c r="AE329" s="34"/>
      <c r="AF329" s="34"/>
      <c r="AG329" s="34"/>
    </row>
    <row r="330" spans="1:33" ht="15.5">
      <c r="A330" s="45"/>
      <c r="B330" s="45"/>
      <c r="D330" s="85"/>
      <c r="AD330" s="34"/>
      <c r="AE330" s="34"/>
      <c r="AF330" s="34"/>
      <c r="AG330" s="34"/>
    </row>
    <row r="331" spans="1:33" ht="15.5">
      <c r="A331" s="45"/>
      <c r="B331" s="45"/>
      <c r="D331" s="85"/>
      <c r="AD331" s="34"/>
      <c r="AE331" s="34"/>
      <c r="AF331" s="34"/>
      <c r="AG331" s="34"/>
    </row>
    <row r="332" spans="1:33" ht="15.5">
      <c r="A332" s="45"/>
      <c r="B332" s="45"/>
      <c r="D332" s="85"/>
      <c r="AD332" s="34"/>
      <c r="AE332" s="34"/>
      <c r="AF332" s="34"/>
      <c r="AG332" s="34"/>
    </row>
    <row r="333" spans="1:33" ht="15.5">
      <c r="A333" s="45"/>
      <c r="B333" s="45"/>
      <c r="D333" s="85"/>
      <c r="AD333" s="34"/>
      <c r="AE333" s="34"/>
      <c r="AF333" s="34"/>
      <c r="AG333" s="34"/>
    </row>
    <row r="334" spans="1:33" ht="15.5">
      <c r="A334" s="45"/>
      <c r="B334" s="45"/>
      <c r="D334" s="85"/>
      <c r="AD334" s="34"/>
      <c r="AE334" s="34"/>
      <c r="AF334" s="34"/>
      <c r="AG334" s="34"/>
    </row>
    <row r="335" spans="1:33" ht="15.5">
      <c r="A335" s="45"/>
      <c r="B335" s="45"/>
      <c r="D335" s="85"/>
      <c r="AD335" s="34"/>
      <c r="AE335" s="34"/>
      <c r="AF335" s="34"/>
      <c r="AG335" s="34"/>
    </row>
    <row r="336" spans="1:33" ht="15.5">
      <c r="A336" s="45"/>
      <c r="B336" s="45"/>
      <c r="D336" s="85"/>
      <c r="AD336" s="34"/>
      <c r="AE336" s="34"/>
      <c r="AF336" s="34"/>
      <c r="AG336" s="34"/>
    </row>
    <row r="337" spans="1:33" ht="15.5">
      <c r="A337" s="45"/>
      <c r="B337" s="45"/>
      <c r="D337" s="85"/>
      <c r="AD337" s="34"/>
      <c r="AE337" s="34"/>
      <c r="AF337" s="34"/>
      <c r="AG337" s="34"/>
    </row>
    <row r="338" spans="1:33" ht="15.5">
      <c r="A338" s="45"/>
      <c r="B338" s="45"/>
      <c r="D338" s="85"/>
      <c r="AD338" s="34"/>
      <c r="AE338" s="34"/>
      <c r="AF338" s="34"/>
      <c r="AG338" s="34"/>
    </row>
    <row r="339" spans="1:33" ht="15.5">
      <c r="A339" s="45"/>
      <c r="B339" s="45"/>
      <c r="D339" s="85"/>
      <c r="AD339" s="34"/>
      <c r="AE339" s="34"/>
      <c r="AF339" s="34"/>
      <c r="AG339" s="34"/>
    </row>
    <row r="340" spans="1:33" ht="15.5">
      <c r="A340" s="45"/>
      <c r="B340" s="45"/>
      <c r="D340" s="85"/>
      <c r="AD340" s="34"/>
      <c r="AE340" s="34"/>
      <c r="AF340" s="34"/>
      <c r="AG340" s="34"/>
    </row>
    <row r="341" spans="1:33" ht="15.5">
      <c r="A341" s="45"/>
      <c r="B341" s="45"/>
      <c r="D341" s="85"/>
      <c r="AD341" s="34"/>
      <c r="AE341" s="34"/>
      <c r="AF341" s="34"/>
      <c r="AG341" s="34"/>
    </row>
    <row r="342" spans="1:33" ht="15.5">
      <c r="A342" s="45"/>
      <c r="B342" s="45"/>
      <c r="D342" s="85"/>
      <c r="AD342" s="34"/>
      <c r="AE342" s="34"/>
      <c r="AF342" s="34"/>
      <c r="AG342" s="34"/>
    </row>
    <row r="343" spans="1:33" ht="15.5">
      <c r="A343" s="45"/>
      <c r="B343" s="45"/>
      <c r="D343" s="85"/>
      <c r="AD343" s="34"/>
      <c r="AE343" s="34"/>
      <c r="AF343" s="34"/>
      <c r="AG343" s="34"/>
    </row>
    <row r="344" spans="1:33" ht="15.5">
      <c r="A344" s="45"/>
      <c r="B344" s="45"/>
      <c r="D344" s="85"/>
      <c r="AD344" s="34"/>
      <c r="AE344" s="34"/>
      <c r="AF344" s="34"/>
      <c r="AG344" s="34"/>
    </row>
    <row r="345" spans="1:33" ht="15.5">
      <c r="A345" s="45"/>
      <c r="B345" s="45"/>
      <c r="D345" s="85"/>
      <c r="AD345" s="34"/>
      <c r="AE345" s="34"/>
      <c r="AF345" s="34"/>
      <c r="AG345" s="34"/>
    </row>
    <row r="346" spans="1:33" ht="15.5">
      <c r="A346" s="45"/>
      <c r="B346" s="45"/>
      <c r="D346" s="85"/>
      <c r="AD346" s="34"/>
      <c r="AE346" s="34"/>
      <c r="AF346" s="34"/>
      <c r="AG346" s="34"/>
    </row>
    <row r="347" spans="1:33" ht="15.5">
      <c r="A347" s="45"/>
      <c r="B347" s="45"/>
      <c r="D347" s="85"/>
      <c r="AD347" s="34"/>
      <c r="AE347" s="34"/>
      <c r="AF347" s="34"/>
      <c r="AG347" s="34"/>
    </row>
    <row r="348" spans="1:33" ht="15.5">
      <c r="A348" s="45"/>
      <c r="B348" s="45"/>
      <c r="D348" s="85"/>
      <c r="AD348" s="34"/>
      <c r="AE348" s="34"/>
      <c r="AF348" s="34"/>
      <c r="AG348" s="34"/>
    </row>
    <row r="349" spans="1:33" ht="15.5">
      <c r="A349" s="45"/>
      <c r="B349" s="45"/>
      <c r="D349" s="85"/>
      <c r="AD349" s="34"/>
      <c r="AE349" s="34"/>
      <c r="AF349" s="34"/>
      <c r="AG349" s="34"/>
    </row>
    <row r="350" spans="1:33" ht="15.5">
      <c r="A350" s="45"/>
      <c r="B350" s="45"/>
      <c r="D350" s="85"/>
      <c r="AD350" s="34"/>
      <c r="AE350" s="34"/>
      <c r="AF350" s="34"/>
      <c r="AG350" s="34"/>
    </row>
    <row r="351" spans="1:33" ht="15.5">
      <c r="A351" s="45"/>
      <c r="B351" s="45"/>
      <c r="D351" s="85"/>
      <c r="AD351" s="34"/>
      <c r="AE351" s="34"/>
      <c r="AF351" s="34"/>
      <c r="AG351" s="34"/>
    </row>
    <row r="352" spans="1:33" ht="15.5">
      <c r="A352" s="45"/>
      <c r="B352" s="45"/>
      <c r="D352" s="85"/>
      <c r="AD352" s="34"/>
      <c r="AE352" s="34"/>
      <c r="AF352" s="34"/>
      <c r="AG352" s="34"/>
    </row>
    <row r="353" spans="1:33" ht="15.5">
      <c r="A353" s="45"/>
      <c r="B353" s="45"/>
      <c r="D353" s="85"/>
      <c r="AD353" s="34"/>
      <c r="AE353" s="34"/>
      <c r="AF353" s="34"/>
      <c r="AG353" s="34"/>
    </row>
    <row r="354" spans="1:33" ht="15.5">
      <c r="A354" s="45"/>
      <c r="B354" s="45"/>
      <c r="D354" s="85"/>
      <c r="AD354" s="34"/>
      <c r="AE354" s="34"/>
      <c r="AF354" s="34"/>
      <c r="AG354" s="34"/>
    </row>
    <row r="355" spans="1:33" ht="15.5">
      <c r="A355" s="45"/>
      <c r="B355" s="45"/>
      <c r="D355" s="85"/>
      <c r="AD355" s="34"/>
      <c r="AE355" s="34"/>
      <c r="AF355" s="34"/>
      <c r="AG355" s="34"/>
    </row>
    <row r="356" spans="1:33" ht="15.5">
      <c r="A356" s="45"/>
      <c r="B356" s="45"/>
      <c r="D356" s="85"/>
      <c r="AD356" s="34"/>
      <c r="AE356" s="34"/>
      <c r="AF356" s="34"/>
      <c r="AG356" s="34"/>
    </row>
    <row r="357" spans="1:33" ht="15.5">
      <c r="A357" s="45"/>
      <c r="B357" s="45"/>
      <c r="D357" s="85"/>
      <c r="AD357" s="34"/>
      <c r="AE357" s="34"/>
      <c r="AF357" s="34"/>
      <c r="AG357" s="34"/>
    </row>
    <row r="358" spans="1:33" ht="15.5">
      <c r="A358" s="45"/>
      <c r="B358" s="45"/>
      <c r="D358" s="85"/>
      <c r="AD358" s="34"/>
      <c r="AE358" s="34"/>
      <c r="AF358" s="34"/>
      <c r="AG358" s="34"/>
    </row>
    <row r="359" spans="1:33" ht="15.5">
      <c r="A359" s="45"/>
      <c r="B359" s="45"/>
      <c r="D359" s="85"/>
      <c r="AD359" s="34"/>
      <c r="AE359" s="34"/>
      <c r="AF359" s="34"/>
      <c r="AG359" s="34"/>
    </row>
    <row r="360" spans="1:33" ht="15.5">
      <c r="A360" s="45"/>
      <c r="B360" s="45"/>
      <c r="D360" s="85"/>
      <c r="AD360" s="34"/>
      <c r="AE360" s="34"/>
      <c r="AF360" s="34"/>
      <c r="AG360" s="34"/>
    </row>
    <row r="361" spans="1:33" ht="15.5">
      <c r="A361" s="45"/>
      <c r="B361" s="45"/>
      <c r="D361" s="85"/>
      <c r="AD361" s="34"/>
      <c r="AE361" s="34"/>
      <c r="AF361" s="34"/>
      <c r="AG361" s="34"/>
    </row>
    <row r="362" spans="1:33" ht="15.5">
      <c r="A362" s="45"/>
      <c r="B362" s="45"/>
      <c r="D362" s="85"/>
      <c r="AD362" s="34"/>
      <c r="AE362" s="34"/>
      <c r="AF362" s="34"/>
      <c r="AG362" s="34"/>
    </row>
    <row r="363" spans="1:33" ht="15.5">
      <c r="A363" s="45"/>
      <c r="B363" s="45"/>
      <c r="D363" s="85"/>
      <c r="AD363" s="34"/>
      <c r="AE363" s="34"/>
      <c r="AF363" s="34"/>
      <c r="AG363" s="34"/>
    </row>
    <row r="364" spans="1:33" ht="15.5">
      <c r="A364" s="45"/>
      <c r="B364" s="45"/>
      <c r="D364" s="85"/>
      <c r="AD364" s="34"/>
      <c r="AE364" s="34"/>
      <c r="AF364" s="34"/>
      <c r="AG364" s="34"/>
    </row>
    <row r="365" spans="1:33" ht="15.5">
      <c r="A365" s="45"/>
      <c r="B365" s="45"/>
      <c r="D365" s="85"/>
      <c r="AD365" s="34"/>
      <c r="AE365" s="34"/>
      <c r="AF365" s="34"/>
      <c r="AG365" s="34"/>
    </row>
    <row r="366" spans="1:33" ht="15.5">
      <c r="A366" s="45"/>
      <c r="B366" s="45"/>
      <c r="D366" s="85"/>
      <c r="AD366" s="34"/>
      <c r="AE366" s="34"/>
      <c r="AF366" s="34"/>
      <c r="AG366" s="34"/>
    </row>
    <row r="367" spans="1:33" ht="15.5">
      <c r="A367" s="45"/>
      <c r="B367" s="45"/>
      <c r="D367" s="85"/>
      <c r="AD367" s="34"/>
      <c r="AE367" s="34"/>
      <c r="AF367" s="34"/>
      <c r="AG367" s="34"/>
    </row>
    <row r="368" spans="1:33" ht="15.5">
      <c r="A368" s="45"/>
      <c r="B368" s="45"/>
      <c r="D368" s="85"/>
      <c r="AD368" s="34"/>
      <c r="AE368" s="34"/>
      <c r="AF368" s="34"/>
      <c r="AG368" s="34"/>
    </row>
    <row r="369" spans="1:33" ht="15.5">
      <c r="A369" s="45"/>
      <c r="B369" s="45"/>
      <c r="D369" s="85"/>
      <c r="AD369" s="34"/>
      <c r="AE369" s="34"/>
      <c r="AF369" s="34"/>
      <c r="AG369" s="34"/>
    </row>
    <row r="370" spans="1:33" ht="15.5">
      <c r="A370" s="45"/>
      <c r="B370" s="45"/>
      <c r="D370" s="85"/>
      <c r="AD370" s="34"/>
      <c r="AE370" s="34"/>
      <c r="AF370" s="34"/>
      <c r="AG370" s="34"/>
    </row>
    <row r="371" spans="1:33" ht="15.5">
      <c r="A371" s="45"/>
      <c r="B371" s="45"/>
      <c r="D371" s="85"/>
      <c r="AD371" s="34"/>
      <c r="AE371" s="34"/>
      <c r="AF371" s="34"/>
      <c r="AG371" s="34"/>
    </row>
    <row r="372" spans="1:33" ht="15.5">
      <c r="A372" s="45"/>
      <c r="B372" s="45"/>
      <c r="D372" s="85"/>
      <c r="AD372" s="34"/>
      <c r="AE372" s="34"/>
      <c r="AF372" s="34"/>
      <c r="AG372" s="34"/>
    </row>
    <row r="373" spans="1:33" ht="15.5">
      <c r="A373" s="45"/>
      <c r="B373" s="45"/>
      <c r="D373" s="85"/>
      <c r="AD373" s="34"/>
      <c r="AE373" s="34"/>
      <c r="AF373" s="34"/>
      <c r="AG373" s="34"/>
    </row>
    <row r="374" spans="1:33" ht="15.5">
      <c r="A374" s="45"/>
      <c r="B374" s="45"/>
      <c r="D374" s="85"/>
      <c r="AD374" s="34"/>
      <c r="AE374" s="34"/>
      <c r="AF374" s="34"/>
      <c r="AG374" s="34"/>
    </row>
    <row r="375" spans="1:33" ht="15.5">
      <c r="A375" s="45"/>
      <c r="B375" s="45"/>
      <c r="D375" s="85"/>
      <c r="AD375" s="34"/>
      <c r="AE375" s="34"/>
      <c r="AF375" s="34"/>
      <c r="AG375" s="34"/>
    </row>
    <row r="376" spans="1:33" ht="15.5">
      <c r="A376" s="45"/>
      <c r="B376" s="45"/>
      <c r="D376" s="85"/>
      <c r="AD376" s="34"/>
      <c r="AE376" s="34"/>
      <c r="AF376" s="34"/>
      <c r="AG376" s="34"/>
    </row>
    <row r="377" spans="1:33" ht="15.5">
      <c r="A377" s="45"/>
      <c r="B377" s="45"/>
      <c r="D377" s="85"/>
      <c r="AD377" s="34"/>
      <c r="AE377" s="34"/>
      <c r="AF377" s="34"/>
      <c r="AG377" s="34"/>
    </row>
    <row r="378" spans="1:33" ht="15.5">
      <c r="A378" s="45"/>
      <c r="B378" s="45"/>
      <c r="D378" s="85"/>
      <c r="AD378" s="34"/>
      <c r="AE378" s="34"/>
      <c r="AF378" s="34"/>
      <c r="AG378" s="34"/>
    </row>
    <row r="379" spans="1:33" ht="15.5">
      <c r="A379" s="45"/>
      <c r="B379" s="45"/>
      <c r="D379" s="85"/>
      <c r="AD379" s="34"/>
      <c r="AE379" s="34"/>
      <c r="AF379" s="34"/>
      <c r="AG379" s="34"/>
    </row>
    <row r="380" spans="1:33" ht="15.5">
      <c r="A380" s="45"/>
      <c r="B380" s="45"/>
      <c r="D380" s="85"/>
      <c r="AD380" s="34"/>
      <c r="AE380" s="34"/>
      <c r="AF380" s="34"/>
      <c r="AG380" s="34"/>
    </row>
    <row r="381" spans="1:33" ht="15.5">
      <c r="A381" s="45"/>
      <c r="B381" s="45"/>
      <c r="D381" s="85"/>
      <c r="AD381" s="34"/>
      <c r="AE381" s="34"/>
      <c r="AF381" s="34"/>
      <c r="AG381" s="34"/>
    </row>
    <row r="382" spans="1:33" ht="15.5">
      <c r="A382" s="45"/>
      <c r="B382" s="45"/>
      <c r="D382" s="85"/>
      <c r="AD382" s="34"/>
      <c r="AE382" s="34"/>
      <c r="AF382" s="34"/>
      <c r="AG382" s="34"/>
    </row>
    <row r="383" spans="1:33" ht="15.5">
      <c r="A383" s="45"/>
      <c r="B383" s="45"/>
      <c r="D383" s="85"/>
      <c r="AD383" s="34"/>
      <c r="AE383" s="34"/>
      <c r="AF383" s="34"/>
      <c r="AG383" s="34"/>
    </row>
    <row r="384" spans="1:33" ht="15.5">
      <c r="A384" s="45"/>
      <c r="B384" s="45"/>
      <c r="D384" s="85"/>
      <c r="AD384" s="34"/>
      <c r="AE384" s="34"/>
      <c r="AF384" s="34"/>
      <c r="AG384" s="34"/>
    </row>
    <row r="385" spans="1:33" ht="15.5">
      <c r="A385" s="45"/>
      <c r="B385" s="45"/>
      <c r="D385" s="85"/>
      <c r="AD385" s="34"/>
      <c r="AE385" s="34"/>
      <c r="AF385" s="34"/>
      <c r="AG385" s="34"/>
    </row>
    <row r="386" spans="1:33" ht="15.5">
      <c r="A386" s="45"/>
      <c r="B386" s="45"/>
      <c r="D386" s="85"/>
      <c r="AD386" s="34"/>
      <c r="AE386" s="34"/>
      <c r="AF386" s="34"/>
      <c r="AG386" s="34"/>
    </row>
    <row r="387" spans="1:33" ht="15.5">
      <c r="A387" s="45"/>
      <c r="B387" s="45"/>
      <c r="D387" s="85"/>
      <c r="AD387" s="34"/>
      <c r="AE387" s="34"/>
      <c r="AF387" s="34"/>
      <c r="AG387" s="34"/>
    </row>
    <row r="388" spans="1:33" ht="15.5">
      <c r="A388" s="45"/>
      <c r="B388" s="45"/>
      <c r="D388" s="85"/>
      <c r="AD388" s="34"/>
      <c r="AE388" s="34"/>
      <c r="AF388" s="34"/>
      <c r="AG388" s="34"/>
    </row>
    <row r="389" spans="1:33" ht="15.5">
      <c r="A389" s="45"/>
      <c r="B389" s="45"/>
      <c r="D389" s="85"/>
      <c r="AD389" s="34"/>
      <c r="AE389" s="34"/>
      <c r="AF389" s="34"/>
      <c r="AG389" s="34"/>
    </row>
    <row r="390" spans="1:33" ht="15.5">
      <c r="A390" s="45"/>
      <c r="B390" s="45"/>
      <c r="D390" s="85"/>
      <c r="AD390" s="34"/>
      <c r="AE390" s="34"/>
      <c r="AF390" s="34"/>
      <c r="AG390" s="34"/>
    </row>
    <row r="391" spans="1:33" ht="15.5">
      <c r="A391" s="45"/>
      <c r="B391" s="45"/>
      <c r="D391" s="85"/>
      <c r="AD391" s="34"/>
      <c r="AE391" s="34"/>
      <c r="AF391" s="34"/>
      <c r="AG391" s="34"/>
    </row>
    <row r="392" spans="1:33" ht="15.5">
      <c r="A392" s="45"/>
      <c r="B392" s="45"/>
      <c r="D392" s="85"/>
      <c r="AD392" s="34"/>
      <c r="AE392" s="34"/>
      <c r="AF392" s="34"/>
      <c r="AG392" s="34"/>
    </row>
    <row r="393" spans="1:33" ht="15.5">
      <c r="A393" s="45"/>
      <c r="B393" s="45"/>
      <c r="D393" s="85"/>
      <c r="AD393" s="34"/>
      <c r="AE393" s="34"/>
      <c r="AF393" s="34"/>
      <c r="AG393" s="34"/>
    </row>
    <row r="394" spans="1:33" ht="15.5">
      <c r="A394" s="45"/>
      <c r="B394" s="45"/>
      <c r="D394" s="85"/>
      <c r="AD394" s="34"/>
      <c r="AE394" s="34"/>
      <c r="AF394" s="34"/>
      <c r="AG394" s="34"/>
    </row>
    <row r="395" spans="1:33" ht="15.5">
      <c r="A395" s="45"/>
      <c r="B395" s="45"/>
      <c r="D395" s="85"/>
      <c r="AD395" s="34"/>
      <c r="AE395" s="34"/>
      <c r="AF395" s="34"/>
      <c r="AG395" s="34"/>
    </row>
    <row r="396" spans="1:33" ht="15.5">
      <c r="A396" s="45"/>
      <c r="B396" s="45"/>
      <c r="D396" s="85"/>
      <c r="AD396" s="34"/>
      <c r="AE396" s="34"/>
      <c r="AF396" s="34"/>
      <c r="AG396" s="34"/>
    </row>
    <row r="397" spans="1:33" ht="15.5">
      <c r="A397" s="45"/>
      <c r="B397" s="45"/>
      <c r="D397" s="85"/>
      <c r="AD397" s="34"/>
      <c r="AE397" s="34"/>
      <c r="AF397" s="34"/>
      <c r="AG397" s="34"/>
    </row>
    <row r="398" spans="1:33" ht="15.5">
      <c r="A398" s="45"/>
      <c r="B398" s="45"/>
      <c r="D398" s="85"/>
      <c r="AD398" s="34"/>
      <c r="AE398" s="34"/>
      <c r="AF398" s="34"/>
      <c r="AG398" s="34"/>
    </row>
    <row r="399" spans="1:33" ht="15.5">
      <c r="A399" s="45"/>
      <c r="B399" s="45"/>
      <c r="D399" s="85"/>
      <c r="AD399" s="34"/>
      <c r="AE399" s="34"/>
      <c r="AF399" s="34"/>
      <c r="AG399" s="34"/>
    </row>
    <row r="400" spans="1:33" ht="15.5">
      <c r="A400" s="45"/>
      <c r="B400" s="45"/>
      <c r="D400" s="85"/>
      <c r="AD400" s="34"/>
      <c r="AE400" s="34"/>
      <c r="AF400" s="34"/>
      <c r="AG400" s="34"/>
    </row>
    <row r="401" spans="1:33" ht="15.5">
      <c r="A401" s="45"/>
      <c r="B401" s="45"/>
      <c r="D401" s="85"/>
      <c r="AD401" s="34"/>
      <c r="AE401" s="34"/>
      <c r="AF401" s="34"/>
      <c r="AG401" s="34"/>
    </row>
    <row r="402" spans="1:33" ht="15.5">
      <c r="A402" s="45"/>
      <c r="B402" s="45"/>
      <c r="D402" s="85"/>
      <c r="AD402" s="34"/>
      <c r="AE402" s="34"/>
      <c r="AF402" s="34"/>
      <c r="AG402" s="34"/>
    </row>
    <row r="403" spans="1:33" ht="15.5">
      <c r="A403" s="45"/>
      <c r="B403" s="45"/>
      <c r="D403" s="85"/>
      <c r="AD403" s="34"/>
      <c r="AE403" s="34"/>
      <c r="AF403" s="34"/>
      <c r="AG403" s="34"/>
    </row>
    <row r="404" spans="1:33" ht="15.5">
      <c r="A404" s="45"/>
      <c r="B404" s="45"/>
      <c r="D404" s="85"/>
      <c r="AD404" s="34"/>
      <c r="AE404" s="34"/>
      <c r="AF404" s="34"/>
      <c r="AG404" s="34"/>
    </row>
    <row r="405" spans="1:33" ht="15.5">
      <c r="A405" s="45"/>
      <c r="B405" s="45"/>
      <c r="D405" s="85"/>
      <c r="AD405" s="34"/>
      <c r="AE405" s="34"/>
      <c r="AF405" s="34"/>
      <c r="AG405" s="34"/>
    </row>
    <row r="406" spans="1:33" ht="15.5">
      <c r="A406" s="45"/>
      <c r="B406" s="45"/>
      <c r="D406" s="85"/>
      <c r="AD406" s="34"/>
      <c r="AE406" s="34"/>
      <c r="AF406" s="34"/>
      <c r="AG406" s="34"/>
    </row>
    <row r="407" spans="1:33" ht="15.5">
      <c r="A407" s="45"/>
      <c r="B407" s="45"/>
      <c r="D407" s="85"/>
      <c r="AD407" s="34"/>
      <c r="AE407" s="34"/>
      <c r="AF407" s="34"/>
      <c r="AG407" s="34"/>
    </row>
    <row r="408" spans="1:33" ht="15.5">
      <c r="A408" s="45"/>
      <c r="B408" s="45"/>
      <c r="D408" s="85"/>
      <c r="AD408" s="34"/>
      <c r="AE408" s="34"/>
      <c r="AF408" s="34"/>
      <c r="AG408" s="34"/>
    </row>
    <row r="409" spans="1:33" ht="15.5">
      <c r="A409" s="45"/>
      <c r="B409" s="45"/>
      <c r="D409" s="85"/>
      <c r="AD409" s="34"/>
      <c r="AE409" s="34"/>
      <c r="AF409" s="34"/>
      <c r="AG409" s="34"/>
    </row>
    <row r="410" spans="1:33" ht="15.5">
      <c r="A410" s="45"/>
      <c r="B410" s="45"/>
      <c r="D410" s="85"/>
      <c r="AD410" s="34"/>
      <c r="AE410" s="34"/>
      <c r="AF410" s="34"/>
      <c r="AG410" s="34"/>
    </row>
    <row r="411" spans="1:33" ht="15.5">
      <c r="A411" s="45"/>
      <c r="B411" s="45"/>
      <c r="D411" s="85"/>
      <c r="AD411" s="34"/>
      <c r="AE411" s="34"/>
      <c r="AF411" s="34"/>
      <c r="AG411" s="34"/>
    </row>
    <row r="412" spans="1:33" ht="15.5">
      <c r="A412" s="45"/>
      <c r="B412" s="45"/>
      <c r="D412" s="85"/>
      <c r="AD412" s="34"/>
      <c r="AE412" s="34"/>
      <c r="AF412" s="34"/>
      <c r="AG412" s="34"/>
    </row>
    <row r="413" spans="1:33" ht="15.5">
      <c r="A413" s="45"/>
      <c r="B413" s="45"/>
      <c r="D413" s="85"/>
      <c r="AD413" s="34"/>
      <c r="AE413" s="34"/>
      <c r="AF413" s="34"/>
      <c r="AG413" s="34"/>
    </row>
    <row r="414" spans="1:33" ht="15.5">
      <c r="A414" s="45"/>
      <c r="B414" s="45"/>
      <c r="D414" s="85"/>
      <c r="AD414" s="34"/>
      <c r="AE414" s="34"/>
      <c r="AF414" s="34"/>
      <c r="AG414" s="34"/>
    </row>
    <row r="415" spans="1:33" ht="15.5">
      <c r="A415" s="45"/>
      <c r="B415" s="45"/>
      <c r="D415" s="85"/>
      <c r="AD415" s="34"/>
      <c r="AE415" s="34"/>
      <c r="AF415" s="34"/>
      <c r="AG415" s="34"/>
    </row>
    <row r="416" spans="1:33" ht="15.5">
      <c r="A416" s="45"/>
      <c r="B416" s="45"/>
      <c r="D416" s="85"/>
      <c r="AD416" s="34"/>
      <c r="AE416" s="34"/>
      <c r="AF416" s="34"/>
      <c r="AG416" s="34"/>
    </row>
    <row r="417" spans="1:33" ht="15.5">
      <c r="A417" s="45"/>
      <c r="B417" s="45"/>
      <c r="D417" s="85"/>
      <c r="AD417" s="34"/>
      <c r="AE417" s="34"/>
      <c r="AF417" s="34"/>
      <c r="AG417" s="34"/>
    </row>
    <row r="418" spans="1:33" ht="15.5">
      <c r="A418" s="45"/>
      <c r="B418" s="45"/>
      <c r="D418" s="85"/>
      <c r="AD418" s="34"/>
      <c r="AE418" s="34"/>
      <c r="AF418" s="34"/>
      <c r="AG418" s="34"/>
    </row>
    <row r="419" spans="1:33" ht="15.5">
      <c r="A419" s="45"/>
      <c r="B419" s="45"/>
      <c r="D419" s="85"/>
      <c r="AD419" s="34"/>
      <c r="AE419" s="34"/>
      <c r="AF419" s="34"/>
      <c r="AG419" s="34"/>
    </row>
    <row r="420" spans="1:33" ht="15.5">
      <c r="A420" s="45"/>
      <c r="B420" s="45"/>
      <c r="D420" s="85"/>
      <c r="AD420" s="34"/>
      <c r="AE420" s="34"/>
      <c r="AF420" s="34"/>
      <c r="AG420" s="34"/>
    </row>
    <row r="421" spans="1:33" ht="15.5">
      <c r="A421" s="45"/>
      <c r="B421" s="45"/>
      <c r="D421" s="85"/>
      <c r="AD421" s="34"/>
      <c r="AE421" s="34"/>
      <c r="AF421" s="34"/>
      <c r="AG421" s="34"/>
    </row>
    <row r="422" spans="1:33" ht="15.5">
      <c r="A422" s="45"/>
      <c r="B422" s="45"/>
      <c r="D422" s="85"/>
      <c r="AD422" s="34"/>
      <c r="AE422" s="34"/>
      <c r="AF422" s="34"/>
      <c r="AG422" s="34"/>
    </row>
    <row r="423" spans="1:33" ht="15.5">
      <c r="A423" s="45"/>
      <c r="B423" s="45"/>
      <c r="D423" s="85"/>
      <c r="AD423" s="34"/>
      <c r="AE423" s="34"/>
      <c r="AF423" s="34"/>
      <c r="AG423" s="34"/>
    </row>
    <row r="424" spans="1:33" ht="15.5">
      <c r="A424" s="45"/>
      <c r="B424" s="45"/>
      <c r="D424" s="85"/>
      <c r="AD424" s="34"/>
      <c r="AE424" s="34"/>
      <c r="AF424" s="34"/>
      <c r="AG424" s="34"/>
    </row>
    <row r="425" spans="1:33" ht="15.5">
      <c r="A425" s="45"/>
      <c r="B425" s="45"/>
      <c r="D425" s="85"/>
      <c r="AD425" s="34"/>
      <c r="AE425" s="34"/>
      <c r="AF425" s="34"/>
      <c r="AG425" s="34"/>
    </row>
    <row r="426" spans="1:33" ht="15.5">
      <c r="A426" s="45"/>
      <c r="B426" s="45"/>
      <c r="D426" s="85"/>
      <c r="AD426" s="34"/>
      <c r="AE426" s="34"/>
      <c r="AF426" s="34"/>
      <c r="AG426" s="34"/>
    </row>
    <row r="427" spans="1:33" ht="15.5">
      <c r="A427" s="45"/>
      <c r="B427" s="45"/>
      <c r="D427" s="85"/>
      <c r="AD427" s="34"/>
      <c r="AE427" s="34"/>
      <c r="AF427" s="34"/>
      <c r="AG427" s="34"/>
    </row>
    <row r="428" spans="1:33" ht="15.5">
      <c r="A428" s="45"/>
      <c r="B428" s="45"/>
      <c r="D428" s="85"/>
      <c r="AD428" s="34"/>
      <c r="AE428" s="34"/>
      <c r="AF428" s="34"/>
      <c r="AG428" s="34"/>
    </row>
    <row r="429" spans="1:33" ht="15.5">
      <c r="A429" s="45"/>
      <c r="B429" s="45"/>
      <c r="D429" s="85"/>
      <c r="AD429" s="34"/>
      <c r="AE429" s="34"/>
      <c r="AF429" s="34"/>
      <c r="AG429" s="34"/>
    </row>
    <row r="430" spans="1:33" ht="15.5">
      <c r="A430" s="45"/>
      <c r="B430" s="45"/>
      <c r="D430" s="85"/>
      <c r="AD430" s="34"/>
      <c r="AE430" s="34"/>
      <c r="AF430" s="34"/>
      <c r="AG430" s="34"/>
    </row>
    <row r="431" spans="1:33" ht="15.5">
      <c r="A431" s="45"/>
      <c r="B431" s="45"/>
      <c r="D431" s="85"/>
      <c r="AD431" s="34"/>
      <c r="AE431" s="34"/>
      <c r="AF431" s="34"/>
      <c r="AG431" s="34"/>
    </row>
    <row r="432" spans="1:33" ht="15.5">
      <c r="A432" s="45"/>
      <c r="B432" s="45"/>
      <c r="D432" s="85"/>
      <c r="AD432" s="34"/>
      <c r="AE432" s="34"/>
      <c r="AF432" s="34"/>
      <c r="AG432" s="34"/>
    </row>
    <row r="433" spans="1:33" ht="15.5">
      <c r="A433" s="45"/>
      <c r="B433" s="45"/>
      <c r="D433" s="85"/>
      <c r="AD433" s="34"/>
      <c r="AE433" s="34"/>
      <c r="AF433" s="34"/>
      <c r="AG433" s="34"/>
    </row>
    <row r="434" spans="1:33" ht="15.5">
      <c r="A434" s="45"/>
      <c r="B434" s="45"/>
      <c r="D434" s="85"/>
      <c r="AD434" s="34"/>
      <c r="AE434" s="34"/>
      <c r="AF434" s="34"/>
      <c r="AG434" s="34"/>
    </row>
    <row r="435" spans="1:33" ht="15.5">
      <c r="A435" s="45"/>
      <c r="B435" s="45"/>
      <c r="D435" s="85"/>
      <c r="AD435" s="34"/>
      <c r="AE435" s="34"/>
      <c r="AF435" s="34"/>
      <c r="AG435" s="34"/>
    </row>
    <row r="436" spans="1:33" ht="15.5">
      <c r="A436" s="45"/>
      <c r="B436" s="45"/>
      <c r="D436" s="85"/>
      <c r="AD436" s="34"/>
      <c r="AE436" s="34"/>
      <c r="AF436" s="34"/>
      <c r="AG436" s="34"/>
    </row>
    <row r="437" spans="1:33" ht="15.5">
      <c r="A437" s="45"/>
      <c r="B437" s="45"/>
      <c r="D437" s="85"/>
      <c r="AD437" s="34"/>
      <c r="AE437" s="34"/>
      <c r="AF437" s="34"/>
      <c r="AG437" s="34"/>
    </row>
    <row r="438" spans="1:33" ht="15.5">
      <c r="A438" s="45"/>
      <c r="B438" s="45"/>
      <c r="D438" s="85"/>
      <c r="AD438" s="34"/>
      <c r="AE438" s="34"/>
      <c r="AF438" s="34"/>
      <c r="AG438" s="34"/>
    </row>
    <row r="439" spans="1:33" ht="15.5">
      <c r="A439" s="45"/>
      <c r="B439" s="45"/>
      <c r="D439" s="85"/>
      <c r="AD439" s="34"/>
      <c r="AE439" s="34"/>
      <c r="AF439" s="34"/>
      <c r="AG439" s="34"/>
    </row>
    <row r="440" spans="1:33" ht="15.5">
      <c r="A440" s="45"/>
      <c r="B440" s="45"/>
      <c r="D440" s="85"/>
      <c r="AD440" s="34"/>
      <c r="AE440" s="34"/>
      <c r="AF440" s="34"/>
      <c r="AG440" s="34"/>
    </row>
    <row r="441" spans="1:33" ht="15.5">
      <c r="A441" s="45"/>
      <c r="B441" s="45"/>
      <c r="D441" s="85"/>
      <c r="AD441" s="34"/>
      <c r="AE441" s="34"/>
      <c r="AF441" s="34"/>
      <c r="AG441" s="34"/>
    </row>
    <row r="442" spans="1:33" ht="15.5">
      <c r="A442" s="45"/>
      <c r="B442" s="45"/>
      <c r="D442" s="85"/>
      <c r="AD442" s="34"/>
      <c r="AE442" s="34"/>
      <c r="AF442" s="34"/>
      <c r="AG442" s="34"/>
    </row>
    <row r="443" spans="1:33" ht="15.5">
      <c r="A443" s="45"/>
      <c r="B443" s="45"/>
      <c r="D443" s="85"/>
      <c r="AD443" s="34"/>
      <c r="AE443" s="34"/>
      <c r="AF443" s="34"/>
      <c r="AG443" s="34"/>
    </row>
    <row r="444" spans="1:33" ht="15.5">
      <c r="A444" s="45"/>
      <c r="B444" s="45"/>
      <c r="D444" s="85"/>
      <c r="AD444" s="34"/>
      <c r="AE444" s="34"/>
      <c r="AF444" s="34"/>
      <c r="AG444" s="34"/>
    </row>
    <row r="445" spans="1:33" ht="15.5">
      <c r="A445" s="45"/>
      <c r="B445" s="45"/>
      <c r="D445" s="85"/>
      <c r="AD445" s="34"/>
      <c r="AE445" s="34"/>
      <c r="AF445" s="34"/>
      <c r="AG445" s="34"/>
    </row>
    <row r="446" spans="1:33" ht="15.5">
      <c r="A446" s="45"/>
      <c r="B446" s="45"/>
      <c r="D446" s="85"/>
      <c r="AD446" s="34"/>
      <c r="AE446" s="34"/>
      <c r="AF446" s="34"/>
      <c r="AG446" s="34"/>
    </row>
    <row r="447" spans="1:33" ht="15.5">
      <c r="A447" s="45"/>
      <c r="B447" s="45"/>
      <c r="D447" s="85"/>
      <c r="AD447" s="34"/>
      <c r="AE447" s="34"/>
      <c r="AF447" s="34"/>
      <c r="AG447" s="34"/>
    </row>
    <row r="448" spans="1:33" ht="15.5">
      <c r="A448" s="45"/>
      <c r="B448" s="45"/>
      <c r="D448" s="85"/>
      <c r="AD448" s="34"/>
      <c r="AE448" s="34"/>
      <c r="AF448" s="34"/>
      <c r="AG448" s="34"/>
    </row>
    <row r="449" spans="1:33" ht="15.5">
      <c r="A449" s="45"/>
      <c r="B449" s="45"/>
      <c r="D449" s="85"/>
      <c r="AD449" s="34"/>
      <c r="AE449" s="34"/>
      <c r="AF449" s="34"/>
      <c r="AG449" s="34"/>
    </row>
    <row r="450" spans="1:33" ht="15.5">
      <c r="A450" s="45"/>
      <c r="B450" s="45"/>
      <c r="D450" s="85"/>
      <c r="AD450" s="34"/>
      <c r="AE450" s="34"/>
      <c r="AF450" s="34"/>
      <c r="AG450" s="34"/>
    </row>
    <row r="451" spans="1:33" ht="15.5">
      <c r="A451" s="45"/>
      <c r="B451" s="45"/>
      <c r="D451" s="85"/>
      <c r="AD451" s="34"/>
      <c r="AE451" s="34"/>
      <c r="AF451" s="34"/>
      <c r="AG451" s="34"/>
    </row>
    <row r="452" spans="1:33" ht="15.5">
      <c r="A452" s="45"/>
      <c r="B452" s="45"/>
      <c r="D452" s="85"/>
      <c r="AD452" s="34"/>
      <c r="AE452" s="34"/>
      <c r="AF452" s="34"/>
      <c r="AG452" s="34"/>
    </row>
    <row r="453" spans="1:33" ht="15.5">
      <c r="A453" s="45"/>
      <c r="B453" s="45"/>
      <c r="D453" s="85"/>
      <c r="AD453" s="34"/>
      <c r="AE453" s="34"/>
      <c r="AF453" s="34"/>
      <c r="AG453" s="34"/>
    </row>
    <row r="454" spans="1:33" ht="15.5">
      <c r="A454" s="45"/>
      <c r="B454" s="45"/>
      <c r="D454" s="85"/>
      <c r="AD454" s="34"/>
      <c r="AE454" s="34"/>
      <c r="AF454" s="34"/>
      <c r="AG454" s="34"/>
    </row>
    <row r="455" spans="1:33" ht="15.5">
      <c r="A455" s="45"/>
      <c r="B455" s="45"/>
      <c r="D455" s="85"/>
      <c r="AD455" s="34"/>
      <c r="AE455" s="34"/>
      <c r="AF455" s="34"/>
      <c r="AG455" s="34"/>
    </row>
    <row r="456" spans="1:33" ht="15.5">
      <c r="A456" s="45"/>
      <c r="B456" s="45"/>
      <c r="D456" s="85"/>
      <c r="AD456" s="34"/>
      <c r="AE456" s="34"/>
      <c r="AF456" s="34"/>
      <c r="AG456" s="34"/>
    </row>
    <row r="457" spans="1:33" ht="15.5">
      <c r="A457" s="45"/>
      <c r="B457" s="45"/>
      <c r="D457" s="85"/>
      <c r="AD457" s="34"/>
      <c r="AE457" s="34"/>
      <c r="AF457" s="34"/>
      <c r="AG457" s="34"/>
    </row>
    <row r="458" spans="1:33" ht="15.5">
      <c r="A458" s="45"/>
      <c r="B458" s="45"/>
      <c r="D458" s="85"/>
      <c r="AD458" s="34"/>
      <c r="AE458" s="34"/>
      <c r="AF458" s="34"/>
      <c r="AG458" s="34"/>
    </row>
    <row r="459" spans="1:33" ht="15.5">
      <c r="A459" s="45"/>
      <c r="B459" s="45"/>
      <c r="D459" s="85"/>
      <c r="AD459" s="34"/>
      <c r="AE459" s="34"/>
      <c r="AF459" s="34"/>
      <c r="AG459" s="34"/>
    </row>
    <row r="460" spans="1:33" ht="15.5">
      <c r="A460" s="45"/>
      <c r="B460" s="45"/>
      <c r="D460" s="85"/>
      <c r="AD460" s="34"/>
      <c r="AE460" s="34"/>
      <c r="AF460" s="34"/>
      <c r="AG460" s="34"/>
    </row>
    <row r="461" spans="1:33" ht="15.5">
      <c r="A461" s="45"/>
      <c r="B461" s="45"/>
      <c r="D461" s="85"/>
      <c r="AD461" s="34"/>
      <c r="AE461" s="34"/>
      <c r="AF461" s="34"/>
      <c r="AG461" s="34"/>
    </row>
    <row r="462" spans="1:33" ht="15.5">
      <c r="A462" s="45"/>
      <c r="B462" s="45"/>
      <c r="D462" s="85"/>
      <c r="AD462" s="34"/>
      <c r="AE462" s="34"/>
      <c r="AF462" s="34"/>
      <c r="AG462" s="34"/>
    </row>
    <row r="463" spans="1:33" ht="15.5">
      <c r="A463" s="45"/>
      <c r="B463" s="45"/>
      <c r="D463" s="85"/>
      <c r="AD463" s="34"/>
      <c r="AE463" s="34"/>
      <c r="AF463" s="34"/>
      <c r="AG463" s="34"/>
    </row>
    <row r="464" spans="1:33" ht="15.5">
      <c r="A464" s="45"/>
      <c r="B464" s="45"/>
      <c r="D464" s="85"/>
      <c r="AD464" s="34"/>
      <c r="AE464" s="34"/>
      <c r="AF464" s="34"/>
      <c r="AG464" s="34"/>
    </row>
    <row r="465" spans="1:33" ht="15.5">
      <c r="A465" s="45"/>
      <c r="B465" s="45"/>
      <c r="D465" s="85"/>
      <c r="AD465" s="34"/>
      <c r="AE465" s="34"/>
      <c r="AF465" s="34"/>
      <c r="AG465" s="34"/>
    </row>
    <row r="466" spans="1:33" ht="15.5">
      <c r="A466" s="45"/>
      <c r="B466" s="45"/>
      <c r="D466" s="85"/>
      <c r="AD466" s="34"/>
      <c r="AE466" s="34"/>
      <c r="AF466" s="34"/>
      <c r="AG466" s="34"/>
    </row>
    <row r="467" spans="1:33" ht="15.5">
      <c r="A467" s="45"/>
      <c r="B467" s="45"/>
      <c r="D467" s="85"/>
      <c r="AD467" s="34"/>
      <c r="AE467" s="34"/>
      <c r="AF467" s="34"/>
      <c r="AG467" s="34"/>
    </row>
    <row r="468" spans="1:33" ht="15.5">
      <c r="A468" s="45"/>
      <c r="B468" s="45"/>
      <c r="D468" s="85"/>
      <c r="AD468" s="34"/>
      <c r="AE468" s="34"/>
      <c r="AF468" s="34"/>
      <c r="AG468" s="34"/>
    </row>
    <row r="469" spans="1:33" ht="15.5">
      <c r="A469" s="45"/>
      <c r="B469" s="45"/>
      <c r="D469" s="85"/>
      <c r="AD469" s="34"/>
      <c r="AE469" s="34"/>
      <c r="AF469" s="34"/>
      <c r="AG469" s="34"/>
    </row>
    <row r="470" spans="1:33" ht="15.5">
      <c r="A470" s="45"/>
      <c r="B470" s="45"/>
      <c r="D470" s="85"/>
      <c r="AD470" s="34"/>
      <c r="AE470" s="34"/>
      <c r="AF470" s="34"/>
      <c r="AG470" s="34"/>
    </row>
    <row r="471" spans="1:33" ht="15.5">
      <c r="A471" s="45"/>
      <c r="B471" s="45"/>
      <c r="D471" s="85"/>
      <c r="AD471" s="34"/>
      <c r="AE471" s="34"/>
      <c r="AF471" s="34"/>
      <c r="AG471" s="34"/>
    </row>
    <row r="472" spans="1:33" ht="15.5">
      <c r="A472" s="45"/>
      <c r="B472" s="45"/>
      <c r="D472" s="85"/>
      <c r="AD472" s="34"/>
      <c r="AE472" s="34"/>
      <c r="AF472" s="34"/>
      <c r="AG472" s="34"/>
    </row>
    <row r="473" spans="1:33" ht="15.5">
      <c r="A473" s="45"/>
      <c r="B473" s="45"/>
      <c r="D473" s="85"/>
      <c r="AD473" s="34"/>
      <c r="AE473" s="34"/>
      <c r="AF473" s="34"/>
      <c r="AG473" s="34"/>
    </row>
    <row r="474" spans="1:33" ht="15.5">
      <c r="A474" s="45"/>
      <c r="B474" s="45"/>
      <c r="D474" s="85"/>
      <c r="AD474" s="34"/>
      <c r="AE474" s="34"/>
      <c r="AF474" s="34"/>
      <c r="AG474" s="34"/>
    </row>
    <row r="475" spans="1:33" ht="15.5">
      <c r="A475" s="45"/>
      <c r="B475" s="45"/>
      <c r="D475" s="85"/>
      <c r="AD475" s="34"/>
      <c r="AE475" s="34"/>
      <c r="AF475" s="34"/>
      <c r="AG475" s="34"/>
    </row>
    <row r="476" spans="1:33" ht="15.5">
      <c r="A476" s="45"/>
      <c r="B476" s="45"/>
      <c r="D476" s="85"/>
      <c r="AD476" s="34"/>
      <c r="AE476" s="34"/>
      <c r="AF476" s="34"/>
      <c r="AG476" s="34"/>
    </row>
    <row r="477" spans="1:33" ht="15.5">
      <c r="A477" s="45"/>
      <c r="B477" s="45"/>
      <c r="D477" s="85"/>
      <c r="AD477" s="34"/>
      <c r="AE477" s="34"/>
      <c r="AF477" s="34"/>
      <c r="AG477" s="34"/>
    </row>
    <row r="478" spans="1:33" ht="15.5">
      <c r="A478" s="45"/>
      <c r="B478" s="45"/>
      <c r="D478" s="85"/>
      <c r="AD478" s="34"/>
      <c r="AE478" s="34"/>
      <c r="AF478" s="34"/>
      <c r="AG478" s="34"/>
    </row>
    <row r="479" spans="1:33" ht="15.5">
      <c r="A479" s="45"/>
      <c r="B479" s="45"/>
      <c r="D479" s="85"/>
      <c r="AD479" s="34"/>
      <c r="AE479" s="34"/>
      <c r="AF479" s="34"/>
      <c r="AG479" s="34"/>
    </row>
    <row r="480" spans="1:33" ht="15.5">
      <c r="A480" s="45"/>
      <c r="B480" s="45"/>
      <c r="D480" s="85"/>
      <c r="AD480" s="34"/>
      <c r="AE480" s="34"/>
      <c r="AF480" s="34"/>
      <c r="AG480" s="34"/>
    </row>
    <row r="481" spans="1:33" ht="15.5">
      <c r="A481" s="45"/>
      <c r="B481" s="45"/>
      <c r="D481" s="85"/>
      <c r="AD481" s="34"/>
      <c r="AE481" s="34"/>
      <c r="AF481" s="34"/>
      <c r="AG481" s="34"/>
    </row>
    <row r="482" spans="1:33" ht="15.5">
      <c r="A482" s="45"/>
      <c r="B482" s="45"/>
      <c r="D482" s="85"/>
      <c r="AD482" s="34"/>
      <c r="AE482" s="34"/>
      <c r="AF482" s="34"/>
      <c r="AG482" s="34"/>
    </row>
    <row r="483" spans="1:33" ht="15.5">
      <c r="A483" s="45"/>
      <c r="B483" s="45"/>
      <c r="D483" s="85"/>
      <c r="AD483" s="34"/>
      <c r="AE483" s="34"/>
      <c r="AF483" s="34"/>
      <c r="AG483" s="34"/>
    </row>
    <row r="484" spans="1:33" ht="15.5">
      <c r="A484" s="45"/>
      <c r="B484" s="45"/>
      <c r="D484" s="85"/>
      <c r="AD484" s="34"/>
      <c r="AE484" s="34"/>
      <c r="AF484" s="34"/>
      <c r="AG484" s="34"/>
    </row>
    <row r="485" spans="1:33" ht="15.5">
      <c r="A485" s="45"/>
      <c r="B485" s="45"/>
      <c r="D485" s="85"/>
      <c r="AD485" s="34"/>
      <c r="AE485" s="34"/>
      <c r="AF485" s="34"/>
      <c r="AG485" s="34"/>
    </row>
    <row r="486" spans="1:33" ht="15.5">
      <c r="A486" s="45"/>
      <c r="B486" s="45"/>
      <c r="D486" s="85"/>
      <c r="AD486" s="34"/>
      <c r="AE486" s="34"/>
      <c r="AF486" s="34"/>
      <c r="AG486" s="34"/>
    </row>
    <row r="487" spans="1:33" ht="15.5">
      <c r="A487" s="45"/>
      <c r="B487" s="45"/>
      <c r="D487" s="85"/>
      <c r="AD487" s="34"/>
      <c r="AE487" s="34"/>
      <c r="AF487" s="34"/>
      <c r="AG487" s="34"/>
    </row>
    <row r="488" spans="1:33" ht="15.5">
      <c r="A488" s="45"/>
      <c r="B488" s="45"/>
      <c r="D488" s="85"/>
      <c r="AD488" s="34"/>
      <c r="AE488" s="34"/>
      <c r="AF488" s="34"/>
      <c r="AG488" s="34"/>
    </row>
    <row r="489" spans="1:33" ht="15.5">
      <c r="A489" s="45"/>
      <c r="B489" s="45"/>
      <c r="D489" s="85"/>
      <c r="AD489" s="34"/>
      <c r="AE489" s="34"/>
      <c r="AF489" s="34"/>
      <c r="AG489" s="34"/>
    </row>
    <row r="490" spans="1:33" ht="15.5">
      <c r="A490" s="45"/>
      <c r="B490" s="45"/>
      <c r="D490" s="85"/>
      <c r="AD490" s="34"/>
      <c r="AE490" s="34"/>
      <c r="AF490" s="34"/>
      <c r="AG490" s="34"/>
    </row>
    <row r="491" spans="1:33" ht="15.5">
      <c r="A491" s="45"/>
      <c r="B491" s="45"/>
      <c r="D491" s="85"/>
      <c r="AD491" s="34"/>
      <c r="AE491" s="34"/>
      <c r="AF491" s="34"/>
      <c r="AG491" s="34"/>
    </row>
    <row r="492" spans="1:33" ht="15.5">
      <c r="A492" s="45"/>
      <c r="B492" s="45"/>
      <c r="D492" s="85"/>
      <c r="AD492" s="34"/>
      <c r="AE492" s="34"/>
      <c r="AF492" s="34"/>
      <c r="AG492" s="34"/>
    </row>
    <row r="493" spans="1:33" ht="15.5">
      <c r="A493" s="45"/>
      <c r="B493" s="45"/>
      <c r="D493" s="85"/>
      <c r="AD493" s="34"/>
      <c r="AE493" s="34"/>
      <c r="AF493" s="34"/>
      <c r="AG493" s="34"/>
    </row>
    <row r="494" spans="1:33" ht="15.5">
      <c r="A494" s="45"/>
      <c r="B494" s="45"/>
      <c r="D494" s="85"/>
      <c r="AD494" s="34"/>
      <c r="AE494" s="34"/>
      <c r="AF494" s="34"/>
      <c r="AG494" s="34"/>
    </row>
    <row r="495" spans="1:33" ht="15.5">
      <c r="A495" s="45"/>
      <c r="B495" s="45"/>
      <c r="D495" s="85"/>
      <c r="AD495" s="34"/>
      <c r="AE495" s="34"/>
      <c r="AF495" s="34"/>
      <c r="AG495" s="34"/>
    </row>
    <row r="496" spans="1:33" ht="15.5">
      <c r="A496" s="45"/>
      <c r="B496" s="45"/>
      <c r="D496" s="85"/>
      <c r="AD496" s="34"/>
      <c r="AE496" s="34"/>
      <c r="AF496" s="34"/>
      <c r="AG496" s="34"/>
    </row>
    <row r="497" spans="1:33" ht="15.5">
      <c r="A497" s="45"/>
      <c r="B497" s="45"/>
      <c r="D497" s="85"/>
      <c r="AD497" s="34"/>
      <c r="AE497" s="34"/>
      <c r="AF497" s="34"/>
      <c r="AG497" s="34"/>
    </row>
    <row r="498" spans="1:33" ht="15.5">
      <c r="A498" s="45"/>
      <c r="B498" s="45"/>
      <c r="D498" s="85"/>
      <c r="AD498" s="34"/>
      <c r="AE498" s="34"/>
      <c r="AF498" s="34"/>
      <c r="AG498" s="34"/>
    </row>
    <row r="499" spans="1:33" ht="15.5">
      <c r="A499" s="45"/>
      <c r="B499" s="45"/>
      <c r="D499" s="85"/>
      <c r="AD499" s="34"/>
      <c r="AE499" s="34"/>
      <c r="AF499" s="34"/>
      <c r="AG499" s="34"/>
    </row>
    <row r="500" spans="1:33" ht="15.5">
      <c r="A500" s="45"/>
      <c r="B500" s="45"/>
      <c r="D500" s="85"/>
      <c r="AD500" s="34"/>
      <c r="AE500" s="34"/>
      <c r="AF500" s="34"/>
      <c r="AG500" s="34"/>
    </row>
    <row r="501" spans="1:33" ht="15.5">
      <c r="A501" s="45"/>
      <c r="B501" s="45"/>
      <c r="D501" s="85"/>
      <c r="AD501" s="34"/>
      <c r="AE501" s="34"/>
      <c r="AF501" s="34"/>
      <c r="AG501" s="34"/>
    </row>
    <row r="502" spans="1:33" ht="15.5">
      <c r="A502" s="45"/>
      <c r="B502" s="45"/>
      <c r="D502" s="85"/>
      <c r="AD502" s="34"/>
      <c r="AE502" s="34"/>
      <c r="AF502" s="34"/>
      <c r="AG502" s="34"/>
    </row>
    <row r="503" spans="1:33" ht="15.5">
      <c r="A503" s="45"/>
      <c r="B503" s="45"/>
      <c r="D503" s="85"/>
      <c r="AD503" s="34"/>
      <c r="AE503" s="34"/>
      <c r="AF503" s="34"/>
      <c r="AG503" s="34"/>
    </row>
    <row r="504" spans="1:33" ht="15.5">
      <c r="A504" s="45"/>
      <c r="B504" s="45"/>
      <c r="D504" s="85"/>
      <c r="AD504" s="34"/>
      <c r="AE504" s="34"/>
      <c r="AF504" s="34"/>
      <c r="AG504" s="34"/>
    </row>
    <row r="505" spans="1:33" ht="15.5">
      <c r="A505" s="45"/>
      <c r="B505" s="45"/>
      <c r="D505" s="85"/>
      <c r="AD505" s="34"/>
      <c r="AE505" s="34"/>
      <c r="AF505" s="34"/>
      <c r="AG505" s="34"/>
    </row>
    <row r="506" spans="1:33" ht="15.5">
      <c r="A506" s="45"/>
      <c r="B506" s="45"/>
      <c r="D506" s="85"/>
      <c r="AD506" s="34"/>
      <c r="AE506" s="34"/>
      <c r="AF506" s="34"/>
      <c r="AG506" s="34"/>
    </row>
    <row r="507" spans="1:33" ht="15.5">
      <c r="A507" s="45"/>
      <c r="B507" s="45"/>
      <c r="D507" s="85"/>
      <c r="AD507" s="34"/>
      <c r="AE507" s="34"/>
      <c r="AF507" s="34"/>
      <c r="AG507" s="34"/>
    </row>
    <row r="508" spans="1:33" ht="15.5">
      <c r="A508" s="45"/>
      <c r="B508" s="45"/>
      <c r="D508" s="85"/>
      <c r="AD508" s="34"/>
      <c r="AE508" s="34"/>
      <c r="AF508" s="34"/>
      <c r="AG508" s="34"/>
    </row>
    <row r="509" spans="1:33" ht="15.5">
      <c r="A509" s="45"/>
      <c r="B509" s="45"/>
      <c r="D509" s="85"/>
      <c r="AD509" s="34"/>
      <c r="AE509" s="34"/>
      <c r="AF509" s="34"/>
      <c r="AG509" s="34"/>
    </row>
    <row r="510" spans="1:33" ht="15.5">
      <c r="A510" s="45"/>
      <c r="B510" s="45"/>
      <c r="D510" s="85"/>
      <c r="AD510" s="34"/>
      <c r="AE510" s="34"/>
      <c r="AF510" s="34"/>
      <c r="AG510" s="34"/>
    </row>
    <row r="511" spans="1:33" ht="15.5">
      <c r="A511" s="45"/>
      <c r="B511" s="45"/>
      <c r="D511" s="85"/>
      <c r="AD511" s="34"/>
      <c r="AE511" s="34"/>
      <c r="AF511" s="34"/>
      <c r="AG511" s="34"/>
    </row>
    <row r="512" spans="1:33" ht="15.5">
      <c r="A512" s="45"/>
      <c r="B512" s="45"/>
      <c r="D512" s="85"/>
      <c r="AD512" s="34"/>
      <c r="AE512" s="34"/>
      <c r="AF512" s="34"/>
      <c r="AG512" s="34"/>
    </row>
    <row r="513" spans="1:33" ht="15.5">
      <c r="A513" s="45"/>
      <c r="B513" s="45"/>
      <c r="D513" s="85"/>
      <c r="AD513" s="34"/>
      <c r="AE513" s="34"/>
      <c r="AF513" s="34"/>
      <c r="AG513" s="34"/>
    </row>
    <row r="514" spans="1:33" ht="15.5">
      <c r="A514" s="45"/>
      <c r="B514" s="45"/>
      <c r="D514" s="85"/>
      <c r="AD514" s="34"/>
      <c r="AE514" s="34"/>
      <c r="AF514" s="34"/>
      <c r="AG514" s="34"/>
    </row>
    <row r="515" spans="1:33" ht="15.5">
      <c r="A515" s="45"/>
      <c r="B515" s="45"/>
      <c r="D515" s="85"/>
      <c r="AD515" s="34"/>
      <c r="AE515" s="34"/>
      <c r="AF515" s="34"/>
      <c r="AG515" s="34"/>
    </row>
    <row r="516" spans="1:33" ht="15.5">
      <c r="A516" s="45"/>
      <c r="B516" s="45"/>
      <c r="D516" s="85"/>
      <c r="AD516" s="34"/>
      <c r="AE516" s="34"/>
      <c r="AF516" s="34"/>
      <c r="AG516" s="34"/>
    </row>
    <row r="517" spans="1:33" ht="15.5">
      <c r="A517" s="45"/>
      <c r="B517" s="45"/>
      <c r="D517" s="85"/>
      <c r="AD517" s="34"/>
      <c r="AE517" s="34"/>
      <c r="AF517" s="34"/>
      <c r="AG517" s="34"/>
    </row>
    <row r="518" spans="1:33" ht="15.5">
      <c r="A518" s="45"/>
      <c r="B518" s="45"/>
      <c r="D518" s="85"/>
      <c r="AD518" s="34"/>
      <c r="AE518" s="34"/>
      <c r="AF518" s="34"/>
      <c r="AG518" s="34"/>
    </row>
    <row r="519" spans="1:33" ht="15.5">
      <c r="A519" s="45"/>
      <c r="B519" s="45"/>
      <c r="D519" s="85"/>
      <c r="AD519" s="34"/>
      <c r="AE519" s="34"/>
      <c r="AF519" s="34"/>
      <c r="AG519" s="34"/>
    </row>
    <row r="520" spans="1:33" ht="15.5">
      <c r="A520" s="45"/>
      <c r="B520" s="45"/>
      <c r="D520" s="85"/>
      <c r="AD520" s="34"/>
      <c r="AE520" s="34"/>
      <c r="AF520" s="34"/>
      <c r="AG520" s="34"/>
    </row>
    <row r="521" spans="1:33" ht="15.5">
      <c r="A521" s="45"/>
      <c r="B521" s="45"/>
      <c r="D521" s="85"/>
      <c r="AD521" s="34"/>
      <c r="AE521" s="34"/>
      <c r="AF521" s="34"/>
      <c r="AG521" s="34"/>
    </row>
    <row r="522" spans="1:33" ht="15.5">
      <c r="A522" s="45"/>
      <c r="B522" s="45"/>
      <c r="D522" s="85"/>
      <c r="AD522" s="34"/>
      <c r="AE522" s="34"/>
      <c r="AF522" s="34"/>
      <c r="AG522" s="34"/>
    </row>
    <row r="523" spans="1:33" ht="15.5">
      <c r="A523" s="45"/>
      <c r="B523" s="45"/>
      <c r="D523" s="85"/>
      <c r="AD523" s="34"/>
      <c r="AE523" s="34"/>
      <c r="AF523" s="34"/>
      <c r="AG523" s="34"/>
    </row>
    <row r="524" spans="1:33" ht="15.5">
      <c r="A524" s="45"/>
      <c r="B524" s="45"/>
      <c r="D524" s="85"/>
      <c r="AD524" s="34"/>
      <c r="AE524" s="34"/>
      <c r="AF524" s="34"/>
      <c r="AG524" s="34"/>
    </row>
    <row r="525" spans="1:33" ht="15.5">
      <c r="A525" s="45"/>
      <c r="B525" s="45"/>
      <c r="D525" s="85"/>
      <c r="AD525" s="34"/>
      <c r="AE525" s="34"/>
      <c r="AF525" s="34"/>
      <c r="AG525" s="34"/>
    </row>
    <row r="526" spans="1:33" ht="15.5">
      <c r="A526" s="45"/>
      <c r="B526" s="45"/>
      <c r="D526" s="85"/>
      <c r="AD526" s="34"/>
      <c r="AE526" s="34"/>
      <c r="AF526" s="34"/>
      <c r="AG526" s="34"/>
    </row>
    <row r="527" spans="1:33" ht="15.5">
      <c r="A527" s="45"/>
      <c r="B527" s="45"/>
      <c r="D527" s="85"/>
      <c r="AD527" s="34"/>
      <c r="AE527" s="34"/>
      <c r="AF527" s="34"/>
      <c r="AG527" s="34"/>
    </row>
    <row r="528" spans="1:33" ht="15.5">
      <c r="A528" s="45"/>
      <c r="B528" s="45"/>
      <c r="D528" s="85"/>
      <c r="AD528" s="34"/>
      <c r="AE528" s="34"/>
      <c r="AF528" s="34"/>
      <c r="AG528" s="34"/>
    </row>
    <row r="529" spans="1:33" ht="15.5">
      <c r="A529" s="45"/>
      <c r="B529" s="45"/>
      <c r="D529" s="85"/>
      <c r="AD529" s="34"/>
      <c r="AE529" s="34"/>
      <c r="AF529" s="34"/>
      <c r="AG529" s="34"/>
    </row>
    <row r="530" spans="1:33" ht="15.5">
      <c r="A530" s="45"/>
      <c r="B530" s="45"/>
      <c r="D530" s="85"/>
      <c r="AD530" s="34"/>
      <c r="AE530" s="34"/>
      <c r="AF530" s="34"/>
      <c r="AG530" s="34"/>
    </row>
    <row r="531" spans="1:33" ht="15.5">
      <c r="A531" s="45"/>
      <c r="B531" s="45"/>
      <c r="D531" s="85"/>
      <c r="AD531" s="34"/>
      <c r="AE531" s="34"/>
      <c r="AF531" s="34"/>
      <c r="AG531" s="34"/>
    </row>
    <row r="532" spans="1:33" ht="15.5">
      <c r="A532" s="45"/>
      <c r="B532" s="45"/>
      <c r="D532" s="85"/>
      <c r="AD532" s="34"/>
      <c r="AE532" s="34"/>
      <c r="AF532" s="34"/>
      <c r="AG532" s="34"/>
    </row>
    <row r="533" spans="1:33" ht="15.5">
      <c r="A533" s="45"/>
      <c r="B533" s="45"/>
      <c r="D533" s="85"/>
      <c r="AD533" s="34"/>
      <c r="AE533" s="34"/>
      <c r="AF533" s="34"/>
      <c r="AG533" s="34"/>
    </row>
    <row r="534" spans="1:33" ht="15.5">
      <c r="A534" s="45"/>
      <c r="B534" s="45"/>
      <c r="D534" s="85"/>
      <c r="AD534" s="34"/>
      <c r="AE534" s="34"/>
      <c r="AF534" s="34"/>
      <c r="AG534" s="34"/>
    </row>
    <row r="535" spans="1:33" ht="15.5">
      <c r="A535" s="45"/>
      <c r="B535" s="45"/>
      <c r="D535" s="85"/>
      <c r="AD535" s="34"/>
      <c r="AE535" s="34"/>
      <c r="AF535" s="34"/>
      <c r="AG535" s="34"/>
    </row>
    <row r="536" spans="1:33" ht="15.5">
      <c r="A536" s="45"/>
      <c r="B536" s="45"/>
      <c r="D536" s="85"/>
      <c r="AD536" s="34"/>
      <c r="AE536" s="34"/>
      <c r="AF536" s="34"/>
      <c r="AG536" s="34"/>
    </row>
    <row r="537" spans="1:33" ht="15.5">
      <c r="A537" s="45"/>
      <c r="B537" s="45"/>
      <c r="D537" s="85"/>
      <c r="AD537" s="34"/>
      <c r="AE537" s="34"/>
      <c r="AF537" s="34"/>
      <c r="AG537" s="34"/>
    </row>
    <row r="538" spans="1:33" ht="15.5">
      <c r="A538" s="45"/>
      <c r="B538" s="45"/>
      <c r="D538" s="85"/>
      <c r="AD538" s="34"/>
      <c r="AE538" s="34"/>
      <c r="AF538" s="34"/>
      <c r="AG538" s="34"/>
    </row>
    <row r="539" spans="1:33" ht="15.5">
      <c r="A539" s="45"/>
      <c r="B539" s="45"/>
      <c r="D539" s="85"/>
      <c r="AD539" s="34"/>
      <c r="AE539" s="34"/>
      <c r="AF539" s="34"/>
      <c r="AG539" s="34"/>
    </row>
    <row r="540" spans="1:33" ht="15.5">
      <c r="A540" s="45"/>
      <c r="B540" s="45"/>
      <c r="D540" s="85"/>
      <c r="AD540" s="34"/>
      <c r="AE540" s="34"/>
      <c r="AF540" s="34"/>
      <c r="AG540" s="34"/>
    </row>
    <row r="541" spans="1:33" ht="15.5">
      <c r="A541" s="45"/>
      <c r="B541" s="45"/>
      <c r="D541" s="85"/>
      <c r="AD541" s="34"/>
      <c r="AE541" s="34"/>
      <c r="AF541" s="34"/>
      <c r="AG541" s="34"/>
    </row>
    <row r="542" spans="1:33" ht="15.5">
      <c r="A542" s="45"/>
      <c r="B542" s="45"/>
      <c r="D542" s="85"/>
      <c r="AD542" s="34"/>
      <c r="AE542" s="34"/>
      <c r="AF542" s="34"/>
      <c r="AG542" s="34"/>
    </row>
    <row r="543" spans="1:33" ht="15.5">
      <c r="A543" s="45"/>
      <c r="B543" s="45"/>
      <c r="D543" s="85"/>
      <c r="AD543" s="34"/>
      <c r="AE543" s="34"/>
      <c r="AF543" s="34"/>
      <c r="AG543" s="34"/>
    </row>
    <row r="544" spans="1:33" ht="15.5">
      <c r="A544" s="45"/>
      <c r="B544" s="45"/>
      <c r="D544" s="85"/>
      <c r="AD544" s="34"/>
      <c r="AE544" s="34"/>
      <c r="AF544" s="34"/>
      <c r="AG544" s="34"/>
    </row>
    <row r="545" spans="1:33" ht="15.5">
      <c r="A545" s="45"/>
      <c r="B545" s="45"/>
      <c r="D545" s="85"/>
      <c r="AD545" s="34"/>
      <c r="AE545" s="34"/>
      <c r="AF545" s="34"/>
      <c r="AG545" s="34"/>
    </row>
    <row r="546" spans="1:33" ht="15.5">
      <c r="A546" s="45"/>
      <c r="B546" s="45"/>
      <c r="D546" s="85"/>
      <c r="AD546" s="34"/>
      <c r="AE546" s="34"/>
      <c r="AF546" s="34"/>
      <c r="AG546" s="34"/>
    </row>
    <row r="547" spans="1:33" ht="15.5">
      <c r="A547" s="45"/>
      <c r="B547" s="45"/>
      <c r="D547" s="85"/>
      <c r="AD547" s="34"/>
      <c r="AE547" s="34"/>
      <c r="AF547" s="34"/>
      <c r="AG547" s="34"/>
    </row>
    <row r="548" spans="1:33" ht="15.5">
      <c r="A548" s="45"/>
      <c r="B548" s="45"/>
      <c r="D548" s="85"/>
      <c r="AD548" s="34"/>
      <c r="AE548" s="34"/>
      <c r="AF548" s="34"/>
      <c r="AG548" s="34"/>
    </row>
    <row r="549" spans="1:33" ht="15.5">
      <c r="A549" s="45"/>
      <c r="B549" s="45"/>
      <c r="D549" s="85"/>
      <c r="AD549" s="34"/>
      <c r="AE549" s="34"/>
      <c r="AF549" s="34"/>
      <c r="AG549" s="34"/>
    </row>
    <row r="550" spans="1:33" ht="15.5">
      <c r="A550" s="45"/>
      <c r="B550" s="45"/>
      <c r="D550" s="85"/>
      <c r="AD550" s="34"/>
      <c r="AE550" s="34"/>
      <c r="AF550" s="34"/>
      <c r="AG550" s="34"/>
    </row>
    <row r="551" spans="1:33" ht="15.5">
      <c r="A551" s="45"/>
      <c r="B551" s="45"/>
      <c r="D551" s="85"/>
      <c r="AD551" s="34"/>
      <c r="AE551" s="34"/>
      <c r="AF551" s="34"/>
      <c r="AG551" s="34"/>
    </row>
    <row r="552" spans="1:33" ht="15.5">
      <c r="A552" s="45"/>
      <c r="B552" s="45"/>
      <c r="D552" s="85"/>
      <c r="AD552" s="34"/>
      <c r="AE552" s="34"/>
      <c r="AF552" s="34"/>
      <c r="AG552" s="34"/>
    </row>
    <row r="553" spans="1:33" ht="15.5">
      <c r="A553" s="45"/>
      <c r="B553" s="45"/>
      <c r="D553" s="85"/>
      <c r="AD553" s="34"/>
      <c r="AE553" s="34"/>
      <c r="AF553" s="34"/>
      <c r="AG553" s="34"/>
    </row>
    <row r="554" spans="1:33" ht="15.5">
      <c r="A554" s="45"/>
      <c r="B554" s="45"/>
      <c r="D554" s="85"/>
      <c r="AD554" s="34"/>
      <c r="AE554" s="34"/>
      <c r="AF554" s="34"/>
      <c r="AG554" s="34"/>
    </row>
    <row r="555" spans="1:33" ht="15.5">
      <c r="A555" s="45"/>
      <c r="B555" s="45"/>
      <c r="D555" s="85"/>
      <c r="AD555" s="34"/>
      <c r="AE555" s="34"/>
      <c r="AF555" s="34"/>
      <c r="AG555" s="34"/>
    </row>
    <row r="556" spans="1:33" ht="15.5">
      <c r="A556" s="45"/>
      <c r="B556" s="45"/>
      <c r="D556" s="85"/>
      <c r="AD556" s="34"/>
      <c r="AE556" s="34"/>
      <c r="AF556" s="34"/>
      <c r="AG556" s="34"/>
    </row>
    <row r="557" spans="1:33" ht="15.5">
      <c r="A557" s="45"/>
      <c r="B557" s="45"/>
      <c r="D557" s="85"/>
      <c r="AD557" s="34"/>
      <c r="AE557" s="34"/>
      <c r="AF557" s="34"/>
      <c r="AG557" s="34"/>
    </row>
    <row r="558" spans="1:33" ht="15.5">
      <c r="A558" s="45"/>
      <c r="B558" s="45"/>
      <c r="D558" s="85"/>
      <c r="AD558" s="34"/>
      <c r="AE558" s="34"/>
      <c r="AF558" s="34"/>
      <c r="AG558" s="34"/>
    </row>
    <row r="559" spans="1:33" ht="15.5">
      <c r="A559" s="45"/>
      <c r="B559" s="45"/>
      <c r="D559" s="85"/>
      <c r="AD559" s="34"/>
      <c r="AE559" s="34"/>
      <c r="AF559" s="34"/>
      <c r="AG559" s="34"/>
    </row>
    <row r="560" spans="1:33" ht="15.5">
      <c r="A560" s="45"/>
      <c r="B560" s="45"/>
      <c r="D560" s="85"/>
      <c r="AD560" s="34"/>
      <c r="AE560" s="34"/>
      <c r="AF560" s="34"/>
      <c r="AG560" s="34"/>
    </row>
    <row r="561" spans="1:33" ht="15.5">
      <c r="A561" s="45"/>
      <c r="B561" s="45"/>
      <c r="D561" s="85"/>
      <c r="AD561" s="34"/>
      <c r="AE561" s="34"/>
      <c r="AF561" s="34"/>
      <c r="AG561" s="34"/>
    </row>
    <row r="562" spans="1:33" ht="15.5">
      <c r="A562" s="45"/>
      <c r="B562" s="45"/>
      <c r="D562" s="85"/>
      <c r="AD562" s="34"/>
      <c r="AE562" s="34"/>
      <c r="AF562" s="34"/>
      <c r="AG562" s="34"/>
    </row>
    <row r="563" spans="1:33" ht="15.5">
      <c r="A563" s="45"/>
      <c r="B563" s="45"/>
      <c r="D563" s="85"/>
      <c r="AD563" s="34"/>
      <c r="AE563" s="34"/>
      <c r="AF563" s="34"/>
      <c r="AG563" s="34"/>
    </row>
    <row r="564" spans="1:33" ht="15.5">
      <c r="A564" s="45"/>
      <c r="B564" s="45"/>
      <c r="D564" s="85"/>
      <c r="AD564" s="34"/>
      <c r="AE564" s="34"/>
      <c r="AF564" s="34"/>
      <c r="AG564" s="34"/>
    </row>
    <row r="565" spans="1:33" ht="15.5">
      <c r="A565" s="45"/>
      <c r="B565" s="45"/>
      <c r="D565" s="85"/>
      <c r="AD565" s="34"/>
      <c r="AE565" s="34"/>
      <c r="AF565" s="34"/>
      <c r="AG565" s="34"/>
    </row>
    <row r="566" spans="1:33" ht="15.5">
      <c r="A566" s="45"/>
      <c r="B566" s="45"/>
      <c r="D566" s="85"/>
      <c r="AD566" s="34"/>
      <c r="AE566" s="34"/>
      <c r="AF566" s="34"/>
      <c r="AG566" s="34"/>
    </row>
    <row r="567" spans="1:33" ht="15.5">
      <c r="A567" s="45"/>
      <c r="B567" s="45"/>
      <c r="D567" s="85"/>
      <c r="AD567" s="34"/>
      <c r="AE567" s="34"/>
      <c r="AF567" s="34"/>
      <c r="AG567" s="34"/>
    </row>
    <row r="568" spans="1:33" ht="15.5">
      <c r="A568" s="45"/>
      <c r="B568" s="45"/>
      <c r="D568" s="85"/>
      <c r="AD568" s="34"/>
      <c r="AE568" s="34"/>
      <c r="AF568" s="34"/>
      <c r="AG568" s="34"/>
    </row>
    <row r="569" spans="1:33" ht="15.5">
      <c r="A569" s="45"/>
      <c r="B569" s="45"/>
      <c r="D569" s="85"/>
      <c r="AD569" s="34"/>
      <c r="AE569" s="34"/>
      <c r="AF569" s="34"/>
      <c r="AG569" s="34"/>
    </row>
    <row r="570" spans="1:33" ht="15.5">
      <c r="A570" s="45"/>
      <c r="B570" s="45"/>
      <c r="D570" s="85"/>
      <c r="AD570" s="34"/>
      <c r="AE570" s="34"/>
      <c r="AF570" s="34"/>
      <c r="AG570" s="34"/>
    </row>
    <row r="571" spans="1:33" ht="15.5">
      <c r="A571" s="45"/>
      <c r="B571" s="45"/>
      <c r="D571" s="85"/>
      <c r="AD571" s="34"/>
      <c r="AE571" s="34"/>
      <c r="AF571" s="34"/>
      <c r="AG571" s="34"/>
    </row>
    <row r="572" spans="1:33" ht="15.5">
      <c r="A572" s="45"/>
      <c r="B572" s="45"/>
      <c r="D572" s="85"/>
      <c r="AD572" s="34"/>
      <c r="AE572" s="34"/>
      <c r="AF572" s="34"/>
      <c r="AG572" s="34"/>
    </row>
    <row r="573" spans="1:33" ht="15.5">
      <c r="A573" s="45"/>
      <c r="B573" s="45"/>
      <c r="D573" s="85"/>
      <c r="AD573" s="34"/>
      <c r="AE573" s="34"/>
      <c r="AF573" s="34"/>
      <c r="AG573" s="34"/>
    </row>
    <row r="574" spans="1:33" ht="15.5">
      <c r="A574" s="45"/>
      <c r="B574" s="45"/>
      <c r="D574" s="85"/>
      <c r="AD574" s="34"/>
      <c r="AE574" s="34"/>
      <c r="AF574" s="34"/>
      <c r="AG574" s="34"/>
    </row>
    <row r="575" spans="1:33" ht="15.5">
      <c r="A575" s="45"/>
      <c r="B575" s="45"/>
      <c r="D575" s="85"/>
      <c r="AD575" s="34"/>
      <c r="AE575" s="34"/>
      <c r="AF575" s="34"/>
      <c r="AG575" s="34"/>
    </row>
    <row r="576" spans="1:33" ht="15.5">
      <c r="A576" s="45"/>
      <c r="B576" s="45"/>
      <c r="D576" s="85"/>
      <c r="AD576" s="34"/>
      <c r="AE576" s="34"/>
      <c r="AF576" s="34"/>
      <c r="AG576" s="34"/>
    </row>
    <row r="577" spans="1:33" ht="15.5">
      <c r="A577" s="45"/>
      <c r="B577" s="45"/>
      <c r="D577" s="85"/>
      <c r="AD577" s="34"/>
      <c r="AE577" s="34"/>
      <c r="AF577" s="34"/>
      <c r="AG577" s="34"/>
    </row>
    <row r="578" spans="1:33" ht="15.5">
      <c r="A578" s="45"/>
      <c r="B578" s="45"/>
      <c r="D578" s="85"/>
      <c r="AD578" s="34"/>
      <c r="AE578" s="34"/>
      <c r="AF578" s="34"/>
      <c r="AG578" s="34"/>
    </row>
    <row r="579" spans="1:33" ht="15.5">
      <c r="A579" s="45"/>
      <c r="B579" s="45"/>
      <c r="D579" s="85"/>
      <c r="AD579" s="34"/>
      <c r="AE579" s="34"/>
      <c r="AF579" s="34"/>
      <c r="AG579" s="34"/>
    </row>
    <row r="580" spans="1:33" ht="15.5">
      <c r="A580" s="45"/>
      <c r="B580" s="45"/>
      <c r="D580" s="85"/>
      <c r="AD580" s="34"/>
      <c r="AE580" s="34"/>
      <c r="AF580" s="34"/>
      <c r="AG580" s="34"/>
    </row>
    <row r="581" spans="1:33" ht="15.5">
      <c r="A581" s="45"/>
      <c r="B581" s="45"/>
      <c r="D581" s="85"/>
      <c r="AD581" s="34"/>
      <c r="AE581" s="34"/>
      <c r="AF581" s="34"/>
      <c r="AG581" s="34"/>
    </row>
    <row r="582" spans="1:33" ht="15.5">
      <c r="A582" s="45"/>
      <c r="B582" s="45"/>
      <c r="D582" s="85"/>
      <c r="AD582" s="34"/>
      <c r="AE582" s="34"/>
      <c r="AF582" s="34"/>
      <c r="AG582" s="34"/>
    </row>
    <row r="583" spans="1:33" ht="15.5">
      <c r="A583" s="45"/>
      <c r="B583" s="45"/>
      <c r="D583" s="85"/>
      <c r="AD583" s="34"/>
      <c r="AE583" s="34"/>
      <c r="AF583" s="34"/>
      <c r="AG583" s="34"/>
    </row>
    <row r="584" spans="1:33" ht="15.5">
      <c r="A584" s="45"/>
      <c r="B584" s="45"/>
      <c r="D584" s="85"/>
      <c r="AD584" s="34"/>
      <c r="AE584" s="34"/>
      <c r="AF584" s="34"/>
      <c r="AG584" s="34"/>
    </row>
    <row r="585" spans="1:33" ht="15.5">
      <c r="A585" s="45"/>
      <c r="B585" s="45"/>
      <c r="D585" s="85"/>
      <c r="AD585" s="34"/>
      <c r="AE585" s="34"/>
      <c r="AF585" s="34"/>
      <c r="AG585" s="34"/>
    </row>
    <row r="586" spans="1:33" ht="15.5">
      <c r="A586" s="45"/>
      <c r="B586" s="45"/>
      <c r="D586" s="85"/>
      <c r="AD586" s="34"/>
      <c r="AE586" s="34"/>
      <c r="AF586" s="34"/>
      <c r="AG586" s="34"/>
    </row>
    <row r="587" spans="1:33" ht="15.5">
      <c r="A587" s="45"/>
      <c r="B587" s="45"/>
      <c r="D587" s="85"/>
      <c r="AD587" s="34"/>
      <c r="AE587" s="34"/>
      <c r="AF587" s="34"/>
      <c r="AG587" s="34"/>
    </row>
    <row r="588" spans="1:33" ht="15.5">
      <c r="A588" s="45"/>
      <c r="B588" s="45"/>
      <c r="D588" s="85"/>
      <c r="AD588" s="34"/>
      <c r="AE588" s="34"/>
      <c r="AF588" s="34"/>
      <c r="AG588" s="34"/>
    </row>
    <row r="589" spans="1:33" ht="15.5">
      <c r="A589" s="45"/>
      <c r="B589" s="45"/>
      <c r="D589" s="85"/>
      <c r="AD589" s="34"/>
      <c r="AE589" s="34"/>
      <c r="AF589" s="34"/>
      <c r="AG589" s="34"/>
    </row>
    <row r="590" spans="1:33" ht="15.5">
      <c r="A590" s="45"/>
      <c r="B590" s="45"/>
      <c r="D590" s="85"/>
      <c r="AD590" s="34"/>
      <c r="AE590" s="34"/>
      <c r="AF590" s="34"/>
      <c r="AG590" s="34"/>
    </row>
    <row r="591" spans="1:33" ht="15.5">
      <c r="A591" s="45"/>
      <c r="B591" s="45"/>
      <c r="D591" s="85"/>
      <c r="AD591" s="34"/>
      <c r="AE591" s="34"/>
      <c r="AF591" s="34"/>
      <c r="AG591" s="34"/>
    </row>
    <row r="592" spans="1:33" ht="15.5">
      <c r="A592" s="45"/>
      <c r="B592" s="45"/>
      <c r="D592" s="85"/>
      <c r="AD592" s="34"/>
      <c r="AE592" s="34"/>
      <c r="AF592" s="34"/>
      <c r="AG592" s="34"/>
    </row>
    <row r="593" spans="1:33" ht="15.5">
      <c r="A593" s="45"/>
      <c r="B593" s="45"/>
      <c r="D593" s="85"/>
      <c r="AD593" s="34"/>
      <c r="AE593" s="34"/>
      <c r="AF593" s="34"/>
      <c r="AG593" s="34"/>
    </row>
    <row r="594" spans="1:33" ht="15.5">
      <c r="A594" s="45"/>
      <c r="B594" s="45"/>
      <c r="D594" s="85"/>
      <c r="AD594" s="34"/>
      <c r="AE594" s="34"/>
      <c r="AF594" s="34"/>
      <c r="AG594" s="34"/>
    </row>
    <row r="595" spans="1:33" ht="15.5">
      <c r="A595" s="45"/>
      <c r="B595" s="45"/>
      <c r="D595" s="85"/>
      <c r="AD595" s="34"/>
      <c r="AE595" s="34"/>
      <c r="AF595" s="34"/>
      <c r="AG595" s="34"/>
    </row>
    <row r="596" spans="1:33" ht="15.5">
      <c r="A596" s="45"/>
      <c r="B596" s="45"/>
      <c r="D596" s="85"/>
      <c r="AD596" s="34"/>
      <c r="AE596" s="34"/>
      <c r="AF596" s="34"/>
      <c r="AG596" s="34"/>
    </row>
    <row r="597" spans="1:33" ht="15.5">
      <c r="A597" s="45"/>
      <c r="B597" s="45"/>
      <c r="D597" s="85"/>
      <c r="AD597" s="34"/>
      <c r="AE597" s="34"/>
      <c r="AF597" s="34"/>
      <c r="AG597" s="34"/>
    </row>
    <row r="598" spans="1:33" ht="15.5">
      <c r="A598" s="45"/>
      <c r="B598" s="45"/>
      <c r="D598" s="85"/>
      <c r="AD598" s="34"/>
      <c r="AE598" s="34"/>
      <c r="AF598" s="34"/>
      <c r="AG598" s="34"/>
    </row>
    <row r="599" spans="1:33" ht="15.5">
      <c r="A599" s="45"/>
      <c r="B599" s="45"/>
      <c r="D599" s="85"/>
      <c r="AD599" s="34"/>
      <c r="AE599" s="34"/>
      <c r="AF599" s="34"/>
      <c r="AG599" s="34"/>
    </row>
    <row r="600" spans="1:33" ht="15.5">
      <c r="A600" s="45"/>
      <c r="B600" s="45"/>
      <c r="D600" s="85"/>
      <c r="AD600" s="34"/>
      <c r="AE600" s="34"/>
      <c r="AF600" s="34"/>
      <c r="AG600" s="34"/>
    </row>
    <row r="601" spans="1:33" ht="15.5">
      <c r="A601" s="45"/>
      <c r="B601" s="45"/>
      <c r="D601" s="85"/>
      <c r="AD601" s="34"/>
      <c r="AE601" s="34"/>
      <c r="AF601" s="34"/>
      <c r="AG601" s="34"/>
    </row>
    <row r="602" spans="1:33" ht="15.5">
      <c r="A602" s="45"/>
      <c r="B602" s="45"/>
      <c r="D602" s="85"/>
      <c r="AD602" s="34"/>
      <c r="AE602" s="34"/>
      <c r="AF602" s="34"/>
      <c r="AG602" s="34"/>
    </row>
    <row r="603" spans="1:33" ht="15.5">
      <c r="A603" s="45"/>
      <c r="B603" s="45"/>
      <c r="D603" s="85"/>
      <c r="AD603" s="34"/>
      <c r="AE603" s="34"/>
      <c r="AF603" s="34"/>
      <c r="AG603" s="34"/>
    </row>
    <row r="604" spans="1:33" ht="15.5">
      <c r="A604" s="45"/>
      <c r="B604" s="45"/>
      <c r="D604" s="85"/>
      <c r="AD604" s="34"/>
      <c r="AE604" s="34"/>
      <c r="AF604" s="34"/>
      <c r="AG604" s="34"/>
    </row>
    <row r="605" spans="1:33" ht="15.5">
      <c r="A605" s="45"/>
      <c r="B605" s="45"/>
      <c r="D605" s="85"/>
      <c r="AD605" s="34"/>
      <c r="AE605" s="34"/>
      <c r="AF605" s="34"/>
      <c r="AG605" s="34"/>
    </row>
    <row r="606" spans="1:33" ht="15.5">
      <c r="A606" s="45"/>
      <c r="B606" s="45"/>
      <c r="D606" s="85"/>
      <c r="AD606" s="34"/>
      <c r="AE606" s="34"/>
      <c r="AF606" s="34"/>
      <c r="AG606" s="34"/>
    </row>
    <row r="607" spans="1:33" ht="15.5">
      <c r="A607" s="45"/>
      <c r="B607" s="45"/>
      <c r="D607" s="85"/>
      <c r="AD607" s="34"/>
      <c r="AE607" s="34"/>
      <c r="AF607" s="34"/>
      <c r="AG607" s="34"/>
    </row>
    <row r="608" spans="1:33" ht="15.5">
      <c r="A608" s="45"/>
      <c r="B608" s="45"/>
      <c r="D608" s="85"/>
      <c r="AD608" s="34"/>
      <c r="AE608" s="34"/>
      <c r="AF608" s="34"/>
      <c r="AG608" s="34"/>
    </row>
    <row r="609" spans="1:33" ht="15.5">
      <c r="A609" s="45"/>
      <c r="B609" s="45"/>
      <c r="D609" s="85"/>
      <c r="AD609" s="34"/>
      <c r="AE609" s="34"/>
      <c r="AF609" s="34"/>
      <c r="AG609" s="34"/>
    </row>
    <row r="610" spans="1:33" ht="15.5">
      <c r="A610" s="45"/>
      <c r="B610" s="45"/>
      <c r="D610" s="85"/>
      <c r="AD610" s="34"/>
      <c r="AE610" s="34"/>
      <c r="AF610" s="34"/>
      <c r="AG610" s="34"/>
    </row>
    <row r="611" spans="1:33" ht="15.5">
      <c r="A611" s="45"/>
      <c r="B611" s="45"/>
      <c r="D611" s="85"/>
      <c r="AD611" s="34"/>
      <c r="AE611" s="34"/>
      <c r="AF611" s="34"/>
      <c r="AG611" s="34"/>
    </row>
    <row r="612" spans="1:33" ht="15.5">
      <c r="A612" s="45"/>
      <c r="B612" s="45"/>
      <c r="D612" s="85"/>
      <c r="AD612" s="34"/>
      <c r="AE612" s="34"/>
      <c r="AF612" s="34"/>
      <c r="AG612" s="34"/>
    </row>
    <row r="613" spans="1:33" ht="15.5">
      <c r="A613" s="45"/>
      <c r="B613" s="45"/>
      <c r="D613" s="85"/>
      <c r="AD613" s="34"/>
      <c r="AE613" s="34"/>
      <c r="AF613" s="34"/>
      <c r="AG613" s="34"/>
    </row>
    <row r="614" spans="1:33" ht="15.5">
      <c r="A614" s="45"/>
      <c r="B614" s="45"/>
      <c r="D614" s="85"/>
      <c r="AD614" s="34"/>
      <c r="AE614" s="34"/>
      <c r="AF614" s="34"/>
      <c r="AG614" s="34"/>
    </row>
    <row r="615" spans="1:33" ht="15.5">
      <c r="A615" s="45"/>
      <c r="B615" s="45"/>
      <c r="D615" s="85"/>
      <c r="AD615" s="34"/>
      <c r="AE615" s="34"/>
      <c r="AF615" s="34"/>
      <c r="AG615" s="34"/>
    </row>
    <row r="616" spans="1:33" ht="15.5">
      <c r="A616" s="45"/>
      <c r="B616" s="45"/>
      <c r="D616" s="85"/>
      <c r="AD616" s="34"/>
      <c r="AE616" s="34"/>
      <c r="AF616" s="34"/>
      <c r="AG616" s="34"/>
    </row>
    <row r="617" spans="1:33" ht="15.5">
      <c r="A617" s="45"/>
      <c r="B617" s="45"/>
      <c r="D617" s="85"/>
      <c r="AD617" s="34"/>
      <c r="AE617" s="34"/>
      <c r="AF617" s="34"/>
      <c r="AG617" s="34"/>
    </row>
    <row r="618" spans="1:33" ht="15.5">
      <c r="A618" s="45"/>
      <c r="B618" s="45"/>
      <c r="D618" s="85"/>
      <c r="AD618" s="34"/>
      <c r="AE618" s="34"/>
      <c r="AF618" s="34"/>
      <c r="AG618" s="34"/>
    </row>
    <row r="619" spans="1:33" ht="15.5">
      <c r="A619" s="45"/>
      <c r="B619" s="45"/>
      <c r="D619" s="85"/>
      <c r="AD619" s="34"/>
      <c r="AE619" s="34"/>
      <c r="AF619" s="34"/>
      <c r="AG619" s="34"/>
    </row>
    <row r="620" spans="1:33" ht="15.5">
      <c r="A620" s="45"/>
      <c r="B620" s="45"/>
      <c r="D620" s="85"/>
      <c r="AD620" s="34"/>
      <c r="AE620" s="34"/>
      <c r="AF620" s="34"/>
      <c r="AG620" s="34"/>
    </row>
    <row r="621" spans="1:33" ht="15.5">
      <c r="A621" s="45"/>
      <c r="B621" s="45"/>
      <c r="D621" s="85"/>
      <c r="AD621" s="34"/>
      <c r="AE621" s="34"/>
      <c r="AF621" s="34"/>
      <c r="AG621" s="34"/>
    </row>
    <row r="622" spans="1:33" ht="15.5">
      <c r="A622" s="45"/>
      <c r="B622" s="45"/>
      <c r="D622" s="85"/>
      <c r="AD622" s="34"/>
      <c r="AE622" s="34"/>
      <c r="AF622" s="34"/>
      <c r="AG622" s="34"/>
    </row>
    <row r="623" spans="1:33" ht="15.5">
      <c r="A623" s="45"/>
      <c r="B623" s="45"/>
      <c r="D623" s="85"/>
      <c r="AD623" s="34"/>
      <c r="AE623" s="34"/>
      <c r="AF623" s="34"/>
      <c r="AG623" s="34"/>
    </row>
    <row r="624" spans="1:33" ht="15.5">
      <c r="A624" s="45"/>
      <c r="B624" s="45"/>
      <c r="D624" s="85"/>
      <c r="AD624" s="34"/>
      <c r="AE624" s="34"/>
      <c r="AF624" s="34"/>
      <c r="AG624" s="34"/>
    </row>
    <row r="625" spans="1:33" ht="15.5">
      <c r="A625" s="45"/>
      <c r="B625" s="45"/>
      <c r="D625" s="85"/>
      <c r="AD625" s="34"/>
      <c r="AE625" s="34"/>
      <c r="AF625" s="34"/>
      <c r="AG625" s="34"/>
    </row>
    <row r="626" spans="1:33" ht="15.5">
      <c r="A626" s="45"/>
      <c r="B626" s="45"/>
      <c r="D626" s="85"/>
      <c r="AD626" s="34"/>
      <c r="AE626" s="34"/>
      <c r="AF626" s="34"/>
      <c r="AG626" s="34"/>
    </row>
    <row r="627" spans="1:33" ht="15.5">
      <c r="A627" s="45"/>
      <c r="B627" s="45"/>
      <c r="D627" s="85"/>
      <c r="AD627" s="34"/>
      <c r="AE627" s="34"/>
      <c r="AF627" s="34"/>
      <c r="AG627" s="34"/>
    </row>
    <row r="628" spans="1:33" ht="15.5">
      <c r="A628" s="45"/>
      <c r="B628" s="45"/>
      <c r="D628" s="85"/>
      <c r="AD628" s="34"/>
      <c r="AE628" s="34"/>
      <c r="AF628" s="34"/>
      <c r="AG628" s="34"/>
    </row>
    <row r="629" spans="1:33" ht="15.5">
      <c r="A629" s="45"/>
      <c r="B629" s="45"/>
      <c r="D629" s="85"/>
      <c r="AD629" s="34"/>
      <c r="AE629" s="34"/>
      <c r="AF629" s="34"/>
      <c r="AG629" s="34"/>
    </row>
    <row r="630" spans="1:33" ht="15.5">
      <c r="A630" s="45"/>
      <c r="B630" s="45"/>
      <c r="D630" s="85"/>
      <c r="AD630" s="34"/>
      <c r="AE630" s="34"/>
      <c r="AF630" s="34"/>
      <c r="AG630" s="34"/>
    </row>
    <row r="631" spans="1:33" ht="15.5">
      <c r="A631" s="45"/>
      <c r="B631" s="45"/>
      <c r="D631" s="85"/>
      <c r="AD631" s="34"/>
      <c r="AE631" s="34"/>
      <c r="AF631" s="34"/>
      <c r="AG631" s="34"/>
    </row>
    <row r="632" spans="1:33" ht="15.5">
      <c r="A632" s="45"/>
      <c r="B632" s="45"/>
      <c r="D632" s="85"/>
      <c r="AD632" s="34"/>
      <c r="AE632" s="34"/>
      <c r="AF632" s="34"/>
      <c r="AG632" s="34"/>
    </row>
    <row r="633" spans="1:33" ht="15.5">
      <c r="A633" s="45"/>
      <c r="B633" s="45"/>
      <c r="D633" s="85"/>
      <c r="AD633" s="34"/>
      <c r="AE633" s="34"/>
      <c r="AF633" s="34"/>
      <c r="AG633" s="34"/>
    </row>
    <row r="634" spans="1:33" ht="15.5">
      <c r="A634" s="45"/>
      <c r="B634" s="45"/>
      <c r="D634" s="85"/>
      <c r="AD634" s="34"/>
      <c r="AE634" s="34"/>
      <c r="AF634" s="34"/>
      <c r="AG634" s="34"/>
    </row>
    <row r="635" spans="1:33" ht="15.5">
      <c r="A635" s="45"/>
      <c r="B635" s="45"/>
      <c r="D635" s="85"/>
      <c r="AD635" s="34"/>
      <c r="AE635" s="34"/>
      <c r="AF635" s="34"/>
      <c r="AG635" s="34"/>
    </row>
    <row r="636" spans="1:33" ht="15.5">
      <c r="A636" s="45"/>
      <c r="B636" s="45"/>
      <c r="D636" s="85"/>
      <c r="AD636" s="34"/>
      <c r="AE636" s="34"/>
      <c r="AF636" s="34"/>
      <c r="AG636" s="34"/>
    </row>
    <row r="637" spans="1:33" ht="15.5">
      <c r="A637" s="45"/>
      <c r="B637" s="45"/>
      <c r="D637" s="85"/>
      <c r="AD637" s="34"/>
      <c r="AE637" s="34"/>
      <c r="AF637" s="34"/>
      <c r="AG637" s="34"/>
    </row>
    <row r="638" spans="1:33" ht="15.5">
      <c r="A638" s="45"/>
      <c r="B638" s="45"/>
      <c r="D638" s="85"/>
      <c r="AD638" s="34"/>
      <c r="AE638" s="34"/>
      <c r="AF638" s="34"/>
      <c r="AG638" s="34"/>
    </row>
    <row r="639" spans="1:33" ht="15.5">
      <c r="A639" s="45"/>
      <c r="B639" s="45"/>
      <c r="D639" s="85"/>
      <c r="AD639" s="34"/>
      <c r="AE639" s="34"/>
      <c r="AF639" s="34"/>
      <c r="AG639" s="34"/>
    </row>
    <row r="640" spans="1:33" ht="15.5">
      <c r="A640" s="45"/>
      <c r="B640" s="45"/>
      <c r="D640" s="85"/>
      <c r="AD640" s="34"/>
      <c r="AE640" s="34"/>
      <c r="AF640" s="34"/>
      <c r="AG640" s="34"/>
    </row>
    <row r="641" spans="1:33" ht="15.5">
      <c r="A641" s="45"/>
      <c r="B641" s="45"/>
      <c r="D641" s="85"/>
      <c r="AD641" s="34"/>
      <c r="AE641" s="34"/>
      <c r="AF641" s="34"/>
      <c r="AG641" s="34"/>
    </row>
    <row r="642" spans="1:33" ht="15.5">
      <c r="A642" s="45"/>
      <c r="B642" s="45"/>
      <c r="D642" s="85"/>
      <c r="AD642" s="34"/>
      <c r="AE642" s="34"/>
      <c r="AF642" s="34"/>
      <c r="AG642" s="34"/>
    </row>
    <row r="643" spans="1:33" ht="15.5">
      <c r="A643" s="45"/>
      <c r="B643" s="45"/>
      <c r="D643" s="85"/>
      <c r="AD643" s="34"/>
      <c r="AE643" s="34"/>
      <c r="AF643" s="34"/>
      <c r="AG643" s="34"/>
    </row>
    <row r="644" spans="1:33" ht="15.5">
      <c r="A644" s="45"/>
      <c r="B644" s="45"/>
      <c r="D644" s="85"/>
      <c r="AD644" s="34"/>
      <c r="AE644" s="34"/>
      <c r="AF644" s="34"/>
      <c r="AG644" s="34"/>
    </row>
    <row r="645" spans="1:33" ht="15.5">
      <c r="A645" s="45"/>
      <c r="B645" s="45"/>
      <c r="D645" s="85"/>
      <c r="AD645" s="34"/>
      <c r="AE645" s="34"/>
      <c r="AF645" s="34"/>
      <c r="AG645" s="34"/>
    </row>
    <row r="646" spans="1:33" ht="15.5">
      <c r="A646" s="45"/>
      <c r="B646" s="45"/>
      <c r="D646" s="85"/>
      <c r="AD646" s="34"/>
      <c r="AE646" s="34"/>
      <c r="AF646" s="34"/>
      <c r="AG646" s="34"/>
    </row>
    <row r="647" spans="1:33" ht="15.5">
      <c r="A647" s="45"/>
      <c r="B647" s="45"/>
      <c r="D647" s="85"/>
      <c r="AD647" s="34"/>
      <c r="AE647" s="34"/>
      <c r="AF647" s="34"/>
      <c r="AG647" s="34"/>
    </row>
    <row r="648" spans="1:33" ht="15.5">
      <c r="A648" s="45"/>
      <c r="B648" s="45"/>
      <c r="D648" s="85"/>
      <c r="AD648" s="34"/>
      <c r="AE648" s="34"/>
      <c r="AF648" s="34"/>
      <c r="AG648" s="34"/>
    </row>
    <row r="649" spans="1:33" ht="15.5">
      <c r="A649" s="45"/>
      <c r="B649" s="45"/>
      <c r="D649" s="85"/>
      <c r="AD649" s="34"/>
      <c r="AE649" s="34"/>
      <c r="AF649" s="34"/>
      <c r="AG649" s="34"/>
    </row>
    <row r="650" spans="1:33" ht="15.5">
      <c r="A650" s="45"/>
      <c r="B650" s="45"/>
      <c r="D650" s="85"/>
      <c r="AD650" s="34"/>
      <c r="AE650" s="34"/>
      <c r="AF650" s="34"/>
      <c r="AG650" s="34"/>
    </row>
    <row r="651" spans="1:33" ht="15.5">
      <c r="A651" s="45"/>
      <c r="B651" s="45"/>
      <c r="D651" s="85"/>
      <c r="AD651" s="34"/>
      <c r="AE651" s="34"/>
      <c r="AF651" s="34"/>
      <c r="AG651" s="34"/>
    </row>
    <row r="652" spans="1:33" ht="15.5">
      <c r="A652" s="45"/>
      <c r="B652" s="45"/>
      <c r="D652" s="85"/>
      <c r="AD652" s="34"/>
      <c r="AE652" s="34"/>
      <c r="AF652" s="34"/>
      <c r="AG652" s="34"/>
    </row>
    <row r="653" spans="1:33" ht="15.5">
      <c r="A653" s="45"/>
      <c r="B653" s="45"/>
      <c r="D653" s="85"/>
      <c r="AD653" s="34"/>
      <c r="AE653" s="34"/>
      <c r="AF653" s="34"/>
      <c r="AG653" s="34"/>
    </row>
    <row r="654" spans="1:33" ht="15.5">
      <c r="A654" s="45"/>
      <c r="B654" s="45"/>
      <c r="D654" s="85"/>
      <c r="AD654" s="34"/>
      <c r="AE654" s="34"/>
      <c r="AF654" s="34"/>
      <c r="AG654" s="34"/>
    </row>
    <row r="655" spans="1:33" ht="15.5">
      <c r="A655" s="45"/>
      <c r="B655" s="45"/>
      <c r="D655" s="85"/>
      <c r="AD655" s="34"/>
      <c r="AE655" s="34"/>
      <c r="AF655" s="34"/>
      <c r="AG655" s="34"/>
    </row>
    <row r="656" spans="1:33" ht="15.5">
      <c r="A656" s="45"/>
      <c r="B656" s="45"/>
      <c r="D656" s="85"/>
      <c r="AD656" s="34"/>
      <c r="AE656" s="34"/>
      <c r="AF656" s="34"/>
      <c r="AG656" s="34"/>
    </row>
    <row r="657" spans="1:33" ht="15.5">
      <c r="A657" s="45"/>
      <c r="B657" s="45"/>
      <c r="D657" s="85"/>
      <c r="AD657" s="34"/>
      <c r="AE657" s="34"/>
      <c r="AF657" s="34"/>
      <c r="AG657" s="34"/>
    </row>
    <row r="658" spans="1:33" ht="15.5">
      <c r="A658" s="45"/>
      <c r="B658" s="45"/>
      <c r="D658" s="85"/>
      <c r="AD658" s="34"/>
      <c r="AE658" s="34"/>
      <c r="AF658" s="34"/>
      <c r="AG658" s="34"/>
    </row>
    <row r="659" spans="1:33" ht="15.5">
      <c r="A659" s="45"/>
      <c r="B659" s="45"/>
      <c r="D659" s="85"/>
      <c r="AD659" s="34"/>
      <c r="AE659" s="34"/>
      <c r="AF659" s="34"/>
      <c r="AG659" s="34"/>
    </row>
    <row r="660" spans="1:33" ht="15.5">
      <c r="A660" s="45"/>
      <c r="B660" s="45"/>
      <c r="D660" s="85"/>
      <c r="AD660" s="34"/>
      <c r="AE660" s="34"/>
      <c r="AF660" s="34"/>
      <c r="AG660" s="34"/>
    </row>
    <row r="661" spans="1:33" ht="15.5">
      <c r="A661" s="45"/>
      <c r="B661" s="45"/>
      <c r="D661" s="85"/>
      <c r="AD661" s="34"/>
      <c r="AE661" s="34"/>
      <c r="AF661" s="34"/>
      <c r="AG661" s="34"/>
    </row>
    <row r="662" spans="1:33" ht="15.5">
      <c r="A662" s="45"/>
      <c r="B662" s="45"/>
      <c r="D662" s="85"/>
      <c r="AD662" s="34"/>
      <c r="AE662" s="34"/>
      <c r="AF662" s="34"/>
      <c r="AG662" s="34"/>
    </row>
    <row r="663" spans="1:33" ht="15.5">
      <c r="A663" s="45"/>
      <c r="B663" s="45"/>
      <c r="D663" s="85"/>
      <c r="AD663" s="34"/>
      <c r="AE663" s="34"/>
      <c r="AF663" s="34"/>
      <c r="AG663" s="34"/>
    </row>
    <row r="664" spans="1:33" ht="15.5">
      <c r="A664" s="45"/>
      <c r="B664" s="45"/>
      <c r="D664" s="85"/>
      <c r="AD664" s="34"/>
      <c r="AE664" s="34"/>
      <c r="AF664" s="34"/>
      <c r="AG664" s="34"/>
    </row>
    <row r="665" spans="1:33" ht="15.5">
      <c r="A665" s="45"/>
      <c r="B665" s="45"/>
      <c r="D665" s="85"/>
      <c r="AD665" s="34"/>
      <c r="AE665" s="34"/>
      <c r="AF665" s="34"/>
      <c r="AG665" s="34"/>
    </row>
    <row r="666" spans="1:33" ht="15.5">
      <c r="A666" s="45"/>
      <c r="B666" s="45"/>
      <c r="D666" s="85"/>
      <c r="AD666" s="34"/>
      <c r="AE666" s="34"/>
      <c r="AF666" s="34"/>
      <c r="AG666" s="34"/>
    </row>
    <row r="667" spans="1:33" ht="15.5">
      <c r="A667" s="45"/>
      <c r="B667" s="45"/>
      <c r="D667" s="85"/>
      <c r="AD667" s="34"/>
      <c r="AE667" s="34"/>
      <c r="AF667" s="34"/>
      <c r="AG667" s="34"/>
    </row>
    <row r="668" spans="1:33" ht="15.5">
      <c r="A668" s="45"/>
      <c r="B668" s="45"/>
      <c r="D668" s="85"/>
      <c r="AD668" s="34"/>
      <c r="AE668" s="34"/>
      <c r="AF668" s="34"/>
      <c r="AG668" s="34"/>
    </row>
    <row r="669" spans="1:33" ht="15.5">
      <c r="A669" s="45"/>
      <c r="B669" s="45"/>
      <c r="D669" s="85"/>
      <c r="AD669" s="34"/>
      <c r="AE669" s="34"/>
      <c r="AF669" s="34"/>
      <c r="AG669" s="34"/>
    </row>
    <row r="670" spans="1:33" ht="15.5">
      <c r="A670" s="45"/>
      <c r="B670" s="45"/>
      <c r="D670" s="85"/>
      <c r="AD670" s="34"/>
      <c r="AE670" s="34"/>
      <c r="AF670" s="34"/>
      <c r="AG670" s="34"/>
    </row>
    <row r="671" spans="1:33" ht="15.5">
      <c r="A671" s="45"/>
      <c r="B671" s="45"/>
      <c r="D671" s="85"/>
      <c r="AD671" s="34"/>
      <c r="AE671" s="34"/>
      <c r="AF671" s="34"/>
      <c r="AG671" s="34"/>
    </row>
    <row r="672" spans="1:33" ht="15.5">
      <c r="A672" s="45"/>
      <c r="B672" s="45"/>
      <c r="D672" s="85"/>
      <c r="AD672" s="34"/>
      <c r="AE672" s="34"/>
      <c r="AF672" s="34"/>
      <c r="AG672" s="34"/>
    </row>
    <row r="673" spans="1:33" ht="15.5">
      <c r="A673" s="45"/>
      <c r="B673" s="45"/>
      <c r="D673" s="85"/>
      <c r="AD673" s="34"/>
      <c r="AE673" s="34"/>
      <c r="AF673" s="34"/>
      <c r="AG673" s="34"/>
    </row>
    <row r="674" spans="1:33" ht="15.5">
      <c r="A674" s="45"/>
      <c r="B674" s="45"/>
      <c r="D674" s="85"/>
      <c r="AD674" s="34"/>
      <c r="AE674" s="34"/>
      <c r="AF674" s="34"/>
      <c r="AG674" s="34"/>
    </row>
    <row r="675" spans="1:33" ht="15.5">
      <c r="A675" s="45"/>
      <c r="B675" s="45"/>
      <c r="D675" s="85"/>
      <c r="AD675" s="34"/>
      <c r="AE675" s="34"/>
      <c r="AF675" s="34"/>
      <c r="AG675" s="34"/>
    </row>
    <row r="676" spans="1:33" ht="15.5">
      <c r="A676" s="45"/>
      <c r="B676" s="45"/>
      <c r="D676" s="85"/>
      <c r="AD676" s="34"/>
      <c r="AE676" s="34"/>
      <c r="AF676" s="34"/>
      <c r="AG676" s="34"/>
    </row>
    <row r="677" spans="1:33" ht="15.5">
      <c r="A677" s="45"/>
      <c r="B677" s="45"/>
      <c r="D677" s="85"/>
      <c r="AD677" s="34"/>
      <c r="AE677" s="34"/>
      <c r="AF677" s="34"/>
      <c r="AG677" s="34"/>
    </row>
    <row r="678" spans="1:33" ht="15.5">
      <c r="A678" s="45"/>
      <c r="B678" s="45"/>
      <c r="D678" s="85"/>
      <c r="AD678" s="34"/>
      <c r="AE678" s="34"/>
      <c r="AF678" s="34"/>
      <c r="AG678" s="34"/>
    </row>
    <row r="679" spans="1:33" ht="15.5">
      <c r="A679" s="45"/>
      <c r="B679" s="45"/>
      <c r="D679" s="85"/>
      <c r="AD679" s="34"/>
      <c r="AE679" s="34"/>
      <c r="AF679" s="34"/>
      <c r="AG679" s="34"/>
    </row>
    <row r="680" spans="1:33" ht="15.5">
      <c r="A680" s="45"/>
      <c r="B680" s="45"/>
      <c r="D680" s="85"/>
      <c r="AD680" s="34"/>
      <c r="AE680" s="34"/>
      <c r="AF680" s="34"/>
      <c r="AG680" s="34"/>
    </row>
    <row r="681" spans="1:33" ht="15.5">
      <c r="A681" s="45"/>
      <c r="B681" s="45"/>
      <c r="D681" s="85"/>
      <c r="AD681" s="34"/>
      <c r="AE681" s="34"/>
      <c r="AF681" s="34"/>
      <c r="AG681" s="34"/>
    </row>
    <row r="682" spans="1:33" ht="15.5">
      <c r="A682" s="45"/>
      <c r="B682" s="45"/>
      <c r="D682" s="85"/>
      <c r="AD682" s="34"/>
      <c r="AE682" s="34"/>
      <c r="AF682" s="34"/>
      <c r="AG682" s="34"/>
    </row>
    <row r="683" spans="1:33" ht="15.5">
      <c r="A683" s="45"/>
      <c r="B683" s="45"/>
      <c r="D683" s="85"/>
      <c r="AD683" s="34"/>
      <c r="AE683" s="34"/>
      <c r="AF683" s="34"/>
      <c r="AG683" s="34"/>
    </row>
    <row r="684" spans="1:33" ht="15.5">
      <c r="A684" s="45"/>
      <c r="B684" s="45"/>
      <c r="D684" s="85"/>
      <c r="AD684" s="34"/>
      <c r="AE684" s="34"/>
      <c r="AF684" s="34"/>
      <c r="AG684" s="34"/>
    </row>
    <row r="685" spans="1:33" ht="15.5">
      <c r="A685" s="45"/>
      <c r="B685" s="45"/>
      <c r="D685" s="85"/>
      <c r="AD685" s="34"/>
      <c r="AE685" s="34"/>
      <c r="AF685" s="34"/>
      <c r="AG685" s="34"/>
    </row>
    <row r="686" spans="1:33" ht="15.5">
      <c r="A686" s="45"/>
      <c r="B686" s="45"/>
      <c r="D686" s="85"/>
      <c r="AD686" s="34"/>
      <c r="AE686" s="34"/>
      <c r="AF686" s="34"/>
      <c r="AG686" s="34"/>
    </row>
    <row r="687" spans="1:33" ht="15.5">
      <c r="A687" s="45"/>
      <c r="B687" s="45"/>
      <c r="D687" s="85"/>
      <c r="AD687" s="34"/>
      <c r="AE687" s="34"/>
      <c r="AF687" s="34"/>
      <c r="AG687" s="34"/>
    </row>
    <row r="688" spans="1:33" ht="15.5">
      <c r="A688" s="45"/>
      <c r="B688" s="45"/>
      <c r="D688" s="85"/>
      <c r="AD688" s="34"/>
      <c r="AE688" s="34"/>
      <c r="AF688" s="34"/>
      <c r="AG688" s="34"/>
    </row>
    <row r="689" spans="1:33" ht="15.5">
      <c r="A689" s="45"/>
      <c r="B689" s="45"/>
      <c r="D689" s="85"/>
      <c r="AD689" s="34"/>
      <c r="AE689" s="34"/>
      <c r="AF689" s="34"/>
      <c r="AG689" s="34"/>
    </row>
    <row r="690" spans="1:33" ht="15.5">
      <c r="A690" s="45"/>
      <c r="B690" s="45"/>
      <c r="D690" s="85"/>
      <c r="AD690" s="34"/>
      <c r="AE690" s="34"/>
      <c r="AF690" s="34"/>
      <c r="AG690" s="34"/>
    </row>
    <row r="691" spans="1:33" ht="15.5">
      <c r="A691" s="45"/>
      <c r="B691" s="45"/>
      <c r="D691" s="85"/>
      <c r="AD691" s="34"/>
      <c r="AE691" s="34"/>
      <c r="AF691" s="34"/>
      <c r="AG691" s="34"/>
    </row>
    <row r="692" spans="1:33" ht="15.5">
      <c r="A692" s="45"/>
      <c r="B692" s="45"/>
      <c r="D692" s="85"/>
      <c r="AD692" s="34"/>
      <c r="AE692" s="34"/>
      <c r="AF692" s="34"/>
      <c r="AG692" s="34"/>
    </row>
    <row r="693" spans="1:33" ht="15.5">
      <c r="A693" s="45"/>
      <c r="B693" s="45"/>
      <c r="D693" s="85"/>
      <c r="AD693" s="34"/>
      <c r="AE693" s="34"/>
      <c r="AF693" s="34"/>
      <c r="AG693" s="34"/>
    </row>
    <row r="694" spans="1:33" ht="15.5">
      <c r="A694" s="45"/>
      <c r="B694" s="45"/>
      <c r="D694" s="85"/>
      <c r="AD694" s="34"/>
      <c r="AE694" s="34"/>
      <c r="AF694" s="34"/>
      <c r="AG694" s="34"/>
    </row>
    <row r="695" spans="1:33" ht="15.5">
      <c r="A695" s="45"/>
      <c r="B695" s="45"/>
      <c r="D695" s="85"/>
      <c r="AD695" s="34"/>
      <c r="AE695" s="34"/>
      <c r="AF695" s="34"/>
      <c r="AG695" s="34"/>
    </row>
    <row r="696" spans="1:33" ht="15.5">
      <c r="A696" s="45"/>
      <c r="B696" s="45"/>
      <c r="D696" s="85"/>
      <c r="AD696" s="34"/>
      <c r="AE696" s="34"/>
      <c r="AF696" s="34"/>
      <c r="AG696" s="34"/>
    </row>
    <row r="697" spans="1:33" ht="15.5">
      <c r="A697" s="45"/>
      <c r="B697" s="45"/>
      <c r="D697" s="85"/>
      <c r="AD697" s="34"/>
      <c r="AE697" s="34"/>
      <c r="AF697" s="34"/>
      <c r="AG697" s="34"/>
    </row>
    <row r="698" spans="1:33" ht="15.5">
      <c r="A698" s="45"/>
      <c r="B698" s="45"/>
      <c r="D698" s="85"/>
      <c r="AD698" s="34"/>
      <c r="AE698" s="34"/>
      <c r="AF698" s="34"/>
      <c r="AG698" s="34"/>
    </row>
    <row r="699" spans="1:33" ht="15.5">
      <c r="A699" s="45"/>
      <c r="B699" s="45"/>
      <c r="D699" s="85"/>
      <c r="AD699" s="34"/>
      <c r="AE699" s="34"/>
      <c r="AF699" s="34"/>
      <c r="AG699" s="34"/>
    </row>
    <row r="700" spans="1:33" ht="15.5">
      <c r="A700" s="45"/>
      <c r="B700" s="45"/>
      <c r="D700" s="85"/>
      <c r="AD700" s="34"/>
      <c r="AE700" s="34"/>
      <c r="AF700" s="34"/>
      <c r="AG700" s="34"/>
    </row>
    <row r="701" spans="1:33" ht="15.5">
      <c r="A701" s="45"/>
      <c r="B701" s="45"/>
      <c r="D701" s="85"/>
      <c r="AD701" s="34"/>
      <c r="AE701" s="34"/>
      <c r="AF701" s="34"/>
      <c r="AG701" s="34"/>
    </row>
    <row r="702" spans="1:33" ht="15.5">
      <c r="A702" s="45"/>
      <c r="B702" s="45"/>
      <c r="D702" s="85"/>
      <c r="AD702" s="34"/>
      <c r="AE702" s="34"/>
      <c r="AF702" s="34"/>
      <c r="AG702" s="34"/>
    </row>
    <row r="703" spans="1:33" ht="15.5">
      <c r="A703" s="45"/>
      <c r="B703" s="45"/>
      <c r="D703" s="85"/>
      <c r="AD703" s="34"/>
      <c r="AE703" s="34"/>
      <c r="AF703" s="34"/>
      <c r="AG703" s="34"/>
    </row>
    <row r="704" spans="1:33" ht="15.5">
      <c r="A704" s="45"/>
      <c r="B704" s="45"/>
      <c r="D704" s="85"/>
      <c r="AD704" s="34"/>
      <c r="AE704" s="34"/>
      <c r="AF704" s="34"/>
      <c r="AG704" s="34"/>
    </row>
    <row r="705" spans="1:33" ht="15.5">
      <c r="A705" s="45"/>
      <c r="B705" s="45"/>
      <c r="D705" s="85"/>
      <c r="AD705" s="34"/>
      <c r="AE705" s="34"/>
      <c r="AF705" s="34"/>
      <c r="AG705" s="34"/>
    </row>
    <row r="706" spans="1:33" ht="15.5">
      <c r="A706" s="45"/>
      <c r="B706" s="45"/>
      <c r="D706" s="85"/>
      <c r="AD706" s="34"/>
      <c r="AE706" s="34"/>
      <c r="AF706" s="34"/>
      <c r="AG706" s="34"/>
    </row>
    <row r="707" spans="1:33" ht="15.5">
      <c r="A707" s="45"/>
      <c r="B707" s="45"/>
      <c r="D707" s="85"/>
      <c r="AD707" s="34"/>
      <c r="AE707" s="34"/>
      <c r="AF707" s="34"/>
      <c r="AG707" s="34"/>
    </row>
    <row r="708" spans="1:33" ht="15.5">
      <c r="A708" s="45"/>
      <c r="B708" s="45"/>
      <c r="D708" s="85"/>
      <c r="AD708" s="34"/>
      <c r="AE708" s="34"/>
      <c r="AF708" s="34"/>
      <c r="AG708" s="34"/>
    </row>
    <row r="709" spans="1:33" ht="15.5">
      <c r="A709" s="45"/>
      <c r="B709" s="45"/>
      <c r="D709" s="85"/>
      <c r="AD709" s="34"/>
      <c r="AE709" s="34"/>
      <c r="AF709" s="34"/>
      <c r="AG709" s="34"/>
    </row>
    <row r="710" spans="1:33" ht="15.5">
      <c r="A710" s="45"/>
      <c r="B710" s="45"/>
      <c r="D710" s="85"/>
      <c r="AD710" s="34"/>
      <c r="AE710" s="34"/>
      <c r="AF710" s="34"/>
      <c r="AG710" s="34"/>
    </row>
    <row r="711" spans="1:33" ht="15.5">
      <c r="A711" s="45"/>
      <c r="B711" s="45"/>
      <c r="D711" s="85"/>
      <c r="AD711" s="34"/>
      <c r="AE711" s="34"/>
      <c r="AF711" s="34"/>
      <c r="AG711" s="34"/>
    </row>
    <row r="712" spans="1:33" ht="15.5">
      <c r="A712" s="45"/>
      <c r="B712" s="45"/>
      <c r="D712" s="85"/>
      <c r="AD712" s="34"/>
      <c r="AE712" s="34"/>
      <c r="AF712" s="34"/>
      <c r="AG712" s="34"/>
    </row>
    <row r="713" spans="1:33" ht="15.5">
      <c r="A713" s="45"/>
      <c r="B713" s="45"/>
      <c r="D713" s="85"/>
      <c r="AD713" s="34"/>
      <c r="AE713" s="34"/>
      <c r="AF713" s="34"/>
      <c r="AG713" s="34"/>
    </row>
    <row r="714" spans="1:33" ht="15.5">
      <c r="A714" s="45"/>
      <c r="B714" s="45"/>
      <c r="D714" s="85"/>
      <c r="AD714" s="34"/>
      <c r="AE714" s="34"/>
      <c r="AF714" s="34"/>
      <c r="AG714" s="34"/>
    </row>
    <row r="715" spans="1:33" ht="15.5">
      <c r="A715" s="45"/>
      <c r="B715" s="45"/>
      <c r="D715" s="85"/>
      <c r="AD715" s="34"/>
      <c r="AE715" s="34"/>
      <c r="AF715" s="34"/>
      <c r="AG715" s="34"/>
    </row>
    <row r="716" spans="1:33" ht="15.5">
      <c r="A716" s="45"/>
      <c r="B716" s="45"/>
      <c r="D716" s="85"/>
      <c r="AD716" s="34"/>
      <c r="AE716" s="34"/>
      <c r="AF716" s="34"/>
      <c r="AG716" s="34"/>
    </row>
    <row r="717" spans="1:33" ht="15.5">
      <c r="A717" s="45"/>
      <c r="B717" s="45"/>
      <c r="D717" s="85"/>
      <c r="AD717" s="34"/>
      <c r="AE717" s="34"/>
      <c r="AF717" s="34"/>
      <c r="AG717" s="34"/>
    </row>
    <row r="718" spans="1:33" ht="15.5">
      <c r="A718" s="45"/>
      <c r="B718" s="45"/>
      <c r="D718" s="85"/>
      <c r="AD718" s="34"/>
      <c r="AE718" s="34"/>
      <c r="AF718" s="34"/>
      <c r="AG718" s="34"/>
    </row>
    <row r="719" spans="1:33" ht="15.5">
      <c r="A719" s="45"/>
      <c r="B719" s="45"/>
      <c r="D719" s="85"/>
      <c r="AD719" s="34"/>
      <c r="AE719" s="34"/>
      <c r="AF719" s="34"/>
      <c r="AG719" s="34"/>
    </row>
    <row r="720" spans="1:33" ht="15.5">
      <c r="A720" s="45"/>
      <c r="B720" s="45"/>
      <c r="D720" s="85"/>
      <c r="AD720" s="34"/>
      <c r="AE720" s="34"/>
      <c r="AF720" s="34"/>
      <c r="AG720" s="34"/>
    </row>
    <row r="721" spans="1:33" ht="15.5">
      <c r="A721" s="45"/>
      <c r="B721" s="45"/>
      <c r="D721" s="85"/>
      <c r="AD721" s="34"/>
      <c r="AE721" s="34"/>
      <c r="AF721" s="34"/>
      <c r="AG721" s="34"/>
    </row>
    <row r="722" spans="1:33" ht="15.5">
      <c r="A722" s="45"/>
      <c r="B722" s="45"/>
      <c r="D722" s="85"/>
      <c r="AD722" s="34"/>
      <c r="AE722" s="34"/>
      <c r="AF722" s="34"/>
      <c r="AG722" s="34"/>
    </row>
    <row r="723" spans="1:33" ht="15.5">
      <c r="A723" s="45"/>
      <c r="B723" s="45"/>
      <c r="D723" s="85"/>
      <c r="AD723" s="34"/>
      <c r="AE723" s="34"/>
      <c r="AF723" s="34"/>
      <c r="AG723" s="34"/>
    </row>
    <row r="724" spans="1:33" ht="15.5">
      <c r="A724" s="45"/>
      <c r="B724" s="45"/>
      <c r="D724" s="85"/>
      <c r="AD724" s="34"/>
      <c r="AE724" s="34"/>
      <c r="AF724" s="34"/>
      <c r="AG724" s="34"/>
    </row>
    <row r="725" spans="1:33" ht="15.5">
      <c r="A725" s="45"/>
      <c r="B725" s="45"/>
      <c r="D725" s="85"/>
      <c r="AD725" s="34"/>
      <c r="AE725" s="34"/>
      <c r="AF725" s="34"/>
      <c r="AG725" s="34"/>
    </row>
    <row r="726" spans="1:33" ht="15.5">
      <c r="A726" s="45"/>
      <c r="B726" s="45"/>
      <c r="D726" s="85"/>
      <c r="AD726" s="34"/>
      <c r="AE726" s="34"/>
      <c r="AF726" s="34"/>
      <c r="AG726" s="34"/>
    </row>
    <row r="727" spans="1:33" ht="15.5">
      <c r="A727" s="45"/>
      <c r="B727" s="45"/>
      <c r="D727" s="85"/>
      <c r="AD727" s="34"/>
      <c r="AE727" s="34"/>
      <c r="AF727" s="34"/>
      <c r="AG727" s="34"/>
    </row>
    <row r="728" spans="1:33" ht="15.5">
      <c r="A728" s="45"/>
      <c r="B728" s="45"/>
      <c r="D728" s="85"/>
      <c r="AD728" s="34"/>
      <c r="AE728" s="34"/>
      <c r="AF728" s="34"/>
      <c r="AG728" s="34"/>
    </row>
    <row r="729" spans="1:33" ht="15.5">
      <c r="A729" s="45"/>
      <c r="B729" s="45"/>
      <c r="D729" s="85"/>
      <c r="AD729" s="34"/>
      <c r="AE729" s="34"/>
      <c r="AF729" s="34"/>
      <c r="AG729" s="34"/>
    </row>
    <row r="730" spans="1:33" ht="15.5">
      <c r="A730" s="45"/>
      <c r="B730" s="45"/>
      <c r="D730" s="85"/>
      <c r="AD730" s="34"/>
      <c r="AE730" s="34"/>
      <c r="AF730" s="34"/>
      <c r="AG730" s="34"/>
    </row>
    <row r="731" spans="1:33" ht="15.5">
      <c r="A731" s="45"/>
      <c r="B731" s="45"/>
      <c r="D731" s="85"/>
      <c r="AD731" s="34"/>
      <c r="AE731" s="34"/>
      <c r="AF731" s="34"/>
      <c r="AG731" s="34"/>
    </row>
    <row r="732" spans="1:33" ht="15.5">
      <c r="A732" s="45"/>
      <c r="B732" s="45"/>
      <c r="D732" s="85"/>
      <c r="AD732" s="34"/>
      <c r="AE732" s="34"/>
      <c r="AF732" s="34"/>
      <c r="AG732" s="34"/>
    </row>
    <row r="733" spans="1:33" ht="15.5">
      <c r="A733" s="45"/>
      <c r="B733" s="45"/>
      <c r="D733" s="85"/>
      <c r="AD733" s="34"/>
      <c r="AE733" s="34"/>
      <c r="AF733" s="34"/>
      <c r="AG733" s="34"/>
    </row>
    <row r="734" spans="1:33" ht="15.5">
      <c r="A734" s="45"/>
      <c r="B734" s="45"/>
      <c r="D734" s="85"/>
      <c r="AD734" s="34"/>
      <c r="AE734" s="34"/>
      <c r="AF734" s="34"/>
      <c r="AG734" s="34"/>
    </row>
    <row r="735" spans="1:33" ht="15.5">
      <c r="A735" s="45"/>
      <c r="B735" s="45"/>
      <c r="D735" s="85"/>
      <c r="AD735" s="34"/>
      <c r="AE735" s="34"/>
      <c r="AF735" s="34"/>
      <c r="AG735" s="34"/>
    </row>
    <row r="736" spans="1:33" ht="15.5">
      <c r="A736" s="45"/>
      <c r="B736" s="45"/>
      <c r="D736" s="85"/>
      <c r="AD736" s="34"/>
      <c r="AE736" s="34"/>
      <c r="AF736" s="34"/>
      <c r="AG736" s="34"/>
    </row>
    <row r="737" spans="1:33" ht="15.5">
      <c r="A737" s="45"/>
      <c r="B737" s="45"/>
      <c r="D737" s="85"/>
      <c r="AD737" s="34"/>
      <c r="AE737" s="34"/>
      <c r="AF737" s="34"/>
      <c r="AG737" s="34"/>
    </row>
    <row r="738" spans="1:33" ht="15.5">
      <c r="A738" s="45"/>
      <c r="B738" s="45"/>
      <c r="D738" s="85"/>
      <c r="AD738" s="34"/>
      <c r="AE738" s="34"/>
      <c r="AF738" s="34"/>
      <c r="AG738" s="34"/>
    </row>
    <row r="739" spans="1:33" ht="15.5">
      <c r="A739" s="45"/>
      <c r="B739" s="45"/>
      <c r="D739" s="85"/>
      <c r="AD739" s="34"/>
      <c r="AE739" s="34"/>
      <c r="AF739" s="34"/>
      <c r="AG739" s="34"/>
    </row>
    <row r="740" spans="1:33" ht="15.5">
      <c r="A740" s="45"/>
      <c r="B740" s="45"/>
      <c r="D740" s="85"/>
      <c r="AD740" s="34"/>
      <c r="AE740" s="34"/>
      <c r="AF740" s="34"/>
      <c r="AG740" s="34"/>
    </row>
    <row r="741" spans="1:33" ht="15.5">
      <c r="A741" s="45"/>
      <c r="B741" s="45"/>
      <c r="D741" s="85"/>
      <c r="AD741" s="34"/>
      <c r="AE741" s="34"/>
      <c r="AF741" s="34"/>
      <c r="AG741" s="34"/>
    </row>
    <row r="742" spans="1:33" ht="15.5">
      <c r="A742" s="45"/>
      <c r="B742" s="45"/>
      <c r="D742" s="85"/>
      <c r="AD742" s="34"/>
      <c r="AE742" s="34"/>
      <c r="AF742" s="34"/>
      <c r="AG742" s="34"/>
    </row>
    <row r="743" spans="1:33" ht="15.5">
      <c r="A743" s="45"/>
      <c r="B743" s="45"/>
      <c r="D743" s="85"/>
      <c r="AD743" s="34"/>
      <c r="AE743" s="34"/>
      <c r="AF743" s="34"/>
      <c r="AG743" s="34"/>
    </row>
    <row r="744" spans="1:33" ht="15.5">
      <c r="A744" s="45"/>
      <c r="B744" s="45"/>
      <c r="D744" s="85"/>
      <c r="AD744" s="34"/>
      <c r="AE744" s="34"/>
      <c r="AF744" s="34"/>
      <c r="AG744" s="34"/>
    </row>
    <row r="745" spans="1:33" ht="15.5">
      <c r="A745" s="45"/>
      <c r="B745" s="45"/>
      <c r="D745" s="85"/>
      <c r="AD745" s="34"/>
      <c r="AE745" s="34"/>
      <c r="AF745" s="34"/>
      <c r="AG745" s="34"/>
    </row>
    <row r="746" spans="1:33" ht="15.5">
      <c r="A746" s="45"/>
      <c r="B746" s="45"/>
      <c r="D746" s="85"/>
      <c r="AD746" s="34"/>
      <c r="AE746" s="34"/>
      <c r="AF746" s="34"/>
      <c r="AG746" s="34"/>
    </row>
    <row r="747" spans="1:33" ht="15.5">
      <c r="A747" s="45"/>
      <c r="B747" s="45"/>
      <c r="D747" s="85"/>
      <c r="AD747" s="34"/>
      <c r="AE747" s="34"/>
      <c r="AF747" s="34"/>
      <c r="AG747" s="34"/>
    </row>
    <row r="748" spans="1:33" ht="15.5">
      <c r="A748" s="45"/>
      <c r="B748" s="45"/>
      <c r="D748" s="85"/>
      <c r="AD748" s="34"/>
      <c r="AE748" s="34"/>
      <c r="AF748" s="34"/>
      <c r="AG748" s="34"/>
    </row>
    <row r="749" spans="1:33" ht="15.5">
      <c r="A749" s="45"/>
      <c r="B749" s="45"/>
      <c r="D749" s="85"/>
      <c r="AD749" s="34"/>
      <c r="AE749" s="34"/>
      <c r="AF749" s="34"/>
      <c r="AG749" s="34"/>
    </row>
    <row r="750" spans="1:33" ht="15.5">
      <c r="A750" s="45"/>
      <c r="B750" s="45"/>
      <c r="D750" s="85"/>
      <c r="AD750" s="34"/>
      <c r="AE750" s="34"/>
      <c r="AF750" s="34"/>
      <c r="AG750" s="34"/>
    </row>
    <row r="751" spans="1:33" ht="15.5">
      <c r="A751" s="45"/>
      <c r="B751" s="45"/>
      <c r="D751" s="85"/>
      <c r="AD751" s="34"/>
      <c r="AE751" s="34"/>
      <c r="AF751" s="34"/>
      <c r="AG751" s="34"/>
    </row>
    <row r="752" spans="1:33" ht="15.5">
      <c r="A752" s="45"/>
      <c r="B752" s="45"/>
      <c r="D752" s="85"/>
      <c r="AD752" s="34"/>
      <c r="AE752" s="34"/>
      <c r="AF752" s="34"/>
      <c r="AG752" s="34"/>
    </row>
    <row r="753" spans="1:33" ht="15.5">
      <c r="A753" s="45"/>
      <c r="B753" s="45"/>
      <c r="D753" s="85"/>
      <c r="AD753" s="34"/>
      <c r="AE753" s="34"/>
      <c r="AF753" s="34"/>
      <c r="AG753" s="34"/>
    </row>
    <row r="754" spans="1:33" ht="15.5">
      <c r="A754" s="45"/>
      <c r="B754" s="45"/>
      <c r="D754" s="85"/>
      <c r="AD754" s="34"/>
      <c r="AE754" s="34"/>
      <c r="AF754" s="34"/>
      <c r="AG754" s="34"/>
    </row>
    <row r="755" spans="1:33" ht="15.5">
      <c r="A755" s="45"/>
      <c r="B755" s="45"/>
      <c r="D755" s="85"/>
      <c r="AD755" s="34"/>
      <c r="AE755" s="34"/>
      <c r="AF755" s="34"/>
      <c r="AG755" s="34"/>
    </row>
    <row r="756" spans="1:33" ht="15.5">
      <c r="A756" s="45"/>
      <c r="B756" s="45"/>
      <c r="D756" s="85"/>
      <c r="AD756" s="34"/>
      <c r="AE756" s="34"/>
      <c r="AF756" s="34"/>
      <c r="AG756" s="34"/>
    </row>
    <row r="757" spans="1:33" ht="15.5">
      <c r="A757" s="45"/>
      <c r="B757" s="45"/>
      <c r="D757" s="85"/>
      <c r="AD757" s="34"/>
      <c r="AE757" s="34"/>
      <c r="AF757" s="34"/>
      <c r="AG757" s="34"/>
    </row>
    <row r="758" spans="1:33" ht="15.5">
      <c r="A758" s="45"/>
      <c r="B758" s="45"/>
      <c r="D758" s="85"/>
      <c r="AD758" s="34"/>
      <c r="AE758" s="34"/>
      <c r="AF758" s="34"/>
      <c r="AG758" s="34"/>
    </row>
    <row r="759" spans="1:33" ht="15.5">
      <c r="A759" s="45"/>
      <c r="B759" s="45"/>
      <c r="D759" s="85"/>
      <c r="AD759" s="34"/>
      <c r="AE759" s="34"/>
      <c r="AF759" s="34"/>
      <c r="AG759" s="34"/>
    </row>
    <row r="760" spans="1:33" ht="15.5">
      <c r="A760" s="45"/>
      <c r="B760" s="45"/>
      <c r="D760" s="85"/>
      <c r="AD760" s="34"/>
      <c r="AE760" s="34"/>
      <c r="AF760" s="34"/>
      <c r="AG760" s="34"/>
    </row>
    <row r="761" spans="1:33" ht="15.5">
      <c r="A761" s="45"/>
      <c r="B761" s="45"/>
      <c r="D761" s="85"/>
      <c r="AD761" s="34"/>
      <c r="AE761" s="34"/>
      <c r="AF761" s="34"/>
      <c r="AG761" s="34"/>
    </row>
    <row r="762" spans="1:33" ht="15.5">
      <c r="A762" s="45"/>
      <c r="B762" s="45"/>
      <c r="D762" s="85"/>
      <c r="AD762" s="34"/>
      <c r="AE762" s="34"/>
      <c r="AF762" s="34"/>
      <c r="AG762" s="34"/>
    </row>
    <row r="763" spans="1:33" ht="15.5">
      <c r="A763" s="45"/>
      <c r="B763" s="45"/>
      <c r="D763" s="85"/>
      <c r="AD763" s="34"/>
      <c r="AE763" s="34"/>
      <c r="AF763" s="34"/>
      <c r="AG763" s="34"/>
    </row>
    <row r="764" spans="1:33" ht="15.5">
      <c r="A764" s="45"/>
      <c r="B764" s="45"/>
      <c r="D764" s="85"/>
      <c r="AD764" s="34"/>
      <c r="AE764" s="34"/>
      <c r="AF764" s="34"/>
      <c r="AG764" s="34"/>
    </row>
    <row r="765" spans="1:33" ht="15.5">
      <c r="A765" s="45"/>
      <c r="B765" s="45"/>
      <c r="D765" s="85"/>
      <c r="AD765" s="34"/>
      <c r="AE765" s="34"/>
      <c r="AF765" s="34"/>
      <c r="AG765" s="34"/>
    </row>
    <row r="766" spans="1:33" ht="15.5">
      <c r="A766" s="45"/>
      <c r="B766" s="45"/>
      <c r="D766" s="85"/>
      <c r="AD766" s="34"/>
      <c r="AE766" s="34"/>
      <c r="AF766" s="34"/>
      <c r="AG766" s="34"/>
    </row>
    <row r="767" spans="1:33" ht="15.5">
      <c r="A767" s="45"/>
      <c r="B767" s="45"/>
      <c r="D767" s="85"/>
      <c r="AD767" s="34"/>
      <c r="AE767" s="34"/>
      <c r="AF767" s="34"/>
      <c r="AG767" s="34"/>
    </row>
    <row r="768" spans="1:33" ht="15.5">
      <c r="A768" s="45"/>
      <c r="B768" s="45"/>
      <c r="D768" s="85"/>
      <c r="AD768" s="34"/>
      <c r="AE768" s="34"/>
      <c r="AF768" s="34"/>
      <c r="AG768" s="34"/>
    </row>
    <row r="769" spans="1:33" ht="15.5">
      <c r="A769" s="45"/>
      <c r="B769" s="45"/>
      <c r="D769" s="85"/>
      <c r="AD769" s="34"/>
      <c r="AE769" s="34"/>
      <c r="AF769" s="34"/>
      <c r="AG769" s="34"/>
    </row>
    <row r="770" spans="1:33" ht="15.5">
      <c r="A770" s="45"/>
      <c r="B770" s="45"/>
      <c r="D770" s="85"/>
      <c r="AD770" s="34"/>
      <c r="AE770" s="34"/>
      <c r="AF770" s="34"/>
      <c r="AG770" s="34"/>
    </row>
    <row r="771" spans="1:33" ht="15.5">
      <c r="A771" s="45"/>
      <c r="B771" s="45"/>
      <c r="D771" s="85"/>
      <c r="AD771" s="34"/>
      <c r="AE771" s="34"/>
      <c r="AF771" s="34"/>
      <c r="AG771" s="34"/>
    </row>
    <row r="772" spans="1:33" ht="15.5">
      <c r="A772" s="45"/>
      <c r="B772" s="45"/>
      <c r="D772" s="85"/>
      <c r="AD772" s="34"/>
      <c r="AE772" s="34"/>
      <c r="AF772" s="34"/>
      <c r="AG772" s="34"/>
    </row>
    <row r="773" spans="1:33" ht="15.5">
      <c r="A773" s="45"/>
      <c r="B773" s="45"/>
      <c r="D773" s="85"/>
      <c r="AD773" s="34"/>
      <c r="AE773" s="34"/>
      <c r="AF773" s="34"/>
      <c r="AG773" s="34"/>
    </row>
    <row r="774" spans="1:33" ht="15.5">
      <c r="A774" s="45"/>
      <c r="B774" s="45"/>
      <c r="D774" s="85"/>
      <c r="AD774" s="34"/>
      <c r="AE774" s="34"/>
      <c r="AF774" s="34"/>
      <c r="AG774" s="34"/>
    </row>
    <row r="775" spans="1:33" ht="15.5">
      <c r="A775" s="45"/>
      <c r="B775" s="45"/>
      <c r="D775" s="85"/>
      <c r="AD775" s="34"/>
      <c r="AE775" s="34"/>
      <c r="AF775" s="34"/>
      <c r="AG775" s="34"/>
    </row>
    <row r="776" spans="1:33" ht="15.5">
      <c r="A776" s="45"/>
      <c r="B776" s="45"/>
      <c r="D776" s="85"/>
      <c r="AD776" s="34"/>
      <c r="AE776" s="34"/>
      <c r="AF776" s="34"/>
      <c r="AG776" s="34"/>
    </row>
    <row r="777" spans="1:33" ht="15.5">
      <c r="A777" s="45"/>
      <c r="B777" s="45"/>
      <c r="D777" s="85"/>
      <c r="AD777" s="34"/>
      <c r="AE777" s="34"/>
      <c r="AF777" s="34"/>
      <c r="AG777" s="34"/>
    </row>
    <row r="778" spans="1:33" ht="15.5">
      <c r="A778" s="45"/>
      <c r="B778" s="45"/>
      <c r="D778" s="85"/>
      <c r="AD778" s="34"/>
      <c r="AE778" s="34"/>
      <c r="AF778" s="34"/>
      <c r="AG778" s="34"/>
    </row>
    <row r="779" spans="1:33" ht="15.5">
      <c r="A779" s="45"/>
      <c r="B779" s="45"/>
      <c r="D779" s="85"/>
      <c r="AD779" s="34"/>
      <c r="AE779" s="34"/>
      <c r="AF779" s="34"/>
      <c r="AG779" s="34"/>
    </row>
    <row r="780" spans="1:33" ht="15.5">
      <c r="A780" s="45"/>
      <c r="B780" s="45"/>
      <c r="D780" s="85"/>
      <c r="AD780" s="34"/>
      <c r="AE780" s="34"/>
      <c r="AF780" s="34"/>
      <c r="AG780" s="34"/>
    </row>
    <row r="781" spans="1:33" ht="15.5">
      <c r="A781" s="45"/>
      <c r="B781" s="45"/>
      <c r="D781" s="85"/>
      <c r="AD781" s="34"/>
      <c r="AE781" s="34"/>
      <c r="AF781" s="34"/>
      <c r="AG781" s="34"/>
    </row>
    <row r="782" spans="1:33" ht="15.5">
      <c r="A782" s="45"/>
      <c r="B782" s="45"/>
      <c r="D782" s="85"/>
      <c r="AD782" s="34"/>
      <c r="AE782" s="34"/>
      <c r="AF782" s="34"/>
      <c r="AG782" s="34"/>
    </row>
    <row r="783" spans="1:33" ht="15.5">
      <c r="A783" s="45"/>
      <c r="B783" s="45"/>
      <c r="D783" s="85"/>
      <c r="AD783" s="34"/>
      <c r="AE783" s="34"/>
      <c r="AF783" s="34"/>
      <c r="AG783" s="34"/>
    </row>
    <row r="784" spans="1:33" ht="15.5">
      <c r="A784" s="45"/>
      <c r="B784" s="45"/>
      <c r="D784" s="85"/>
      <c r="AD784" s="34"/>
      <c r="AE784" s="34"/>
      <c r="AF784" s="34"/>
      <c r="AG784" s="34"/>
    </row>
    <row r="785" spans="1:33" ht="15.5">
      <c r="A785" s="45"/>
      <c r="B785" s="45"/>
      <c r="D785" s="85"/>
      <c r="AD785" s="34"/>
      <c r="AE785" s="34"/>
      <c r="AF785" s="34"/>
      <c r="AG785" s="34"/>
    </row>
    <row r="786" spans="1:33" ht="15.5">
      <c r="A786" s="45"/>
      <c r="B786" s="45"/>
      <c r="D786" s="85"/>
      <c r="AD786" s="34"/>
      <c r="AE786" s="34"/>
      <c r="AF786" s="34"/>
      <c r="AG786" s="34"/>
    </row>
    <row r="787" spans="1:33" ht="15.5">
      <c r="A787" s="45"/>
      <c r="B787" s="45"/>
      <c r="D787" s="85"/>
      <c r="AD787" s="34"/>
      <c r="AE787" s="34"/>
      <c r="AF787" s="34"/>
      <c r="AG787" s="34"/>
    </row>
    <row r="788" spans="1:33" ht="15.5">
      <c r="A788" s="45"/>
      <c r="B788" s="45"/>
      <c r="D788" s="85"/>
      <c r="AD788" s="34"/>
      <c r="AE788" s="34"/>
      <c r="AF788" s="34"/>
      <c r="AG788" s="34"/>
    </row>
    <row r="789" spans="1:33" ht="15.5">
      <c r="A789" s="45"/>
      <c r="B789" s="45"/>
      <c r="D789" s="85"/>
      <c r="AD789" s="34"/>
      <c r="AE789" s="34"/>
      <c r="AF789" s="34"/>
      <c r="AG789" s="34"/>
    </row>
    <row r="790" spans="1:33" ht="15.5">
      <c r="A790" s="45"/>
      <c r="B790" s="45"/>
      <c r="D790" s="85"/>
      <c r="AD790" s="34"/>
      <c r="AE790" s="34"/>
      <c r="AF790" s="34"/>
      <c r="AG790" s="34"/>
    </row>
    <row r="791" spans="1:33" ht="15.5">
      <c r="A791" s="45"/>
      <c r="B791" s="45"/>
      <c r="D791" s="85"/>
      <c r="AD791" s="34"/>
      <c r="AE791" s="34"/>
      <c r="AF791" s="34"/>
      <c r="AG791" s="34"/>
    </row>
    <row r="792" spans="1:33" ht="15.5">
      <c r="A792" s="45"/>
      <c r="B792" s="45"/>
      <c r="D792" s="85"/>
      <c r="AD792" s="34"/>
      <c r="AE792" s="34"/>
      <c r="AF792" s="34"/>
      <c r="AG792" s="34"/>
    </row>
    <row r="793" spans="1:33" ht="15.5">
      <c r="A793" s="45"/>
      <c r="B793" s="45"/>
      <c r="D793" s="85"/>
      <c r="AD793" s="34"/>
      <c r="AE793" s="34"/>
      <c r="AF793" s="34"/>
      <c r="AG793" s="34"/>
    </row>
    <row r="794" spans="1:33" ht="15.5">
      <c r="A794" s="45"/>
      <c r="B794" s="45"/>
      <c r="D794" s="85"/>
      <c r="AD794" s="34"/>
      <c r="AE794" s="34"/>
      <c r="AF794" s="34"/>
      <c r="AG794" s="34"/>
    </row>
    <row r="795" spans="1:33" ht="15.5">
      <c r="A795" s="45"/>
      <c r="B795" s="45"/>
      <c r="D795" s="85"/>
      <c r="AD795" s="34"/>
      <c r="AE795" s="34"/>
      <c r="AF795" s="34"/>
      <c r="AG795" s="34"/>
    </row>
    <row r="796" spans="1:33" ht="15.5">
      <c r="A796" s="45"/>
      <c r="B796" s="45"/>
      <c r="D796" s="85"/>
      <c r="AD796" s="34"/>
      <c r="AE796" s="34"/>
      <c r="AF796" s="34"/>
      <c r="AG796" s="34"/>
    </row>
    <row r="797" spans="1:33" ht="15.5">
      <c r="A797" s="45"/>
      <c r="B797" s="45"/>
      <c r="D797" s="85"/>
      <c r="AD797" s="34"/>
      <c r="AE797" s="34"/>
      <c r="AF797" s="34"/>
      <c r="AG797" s="34"/>
    </row>
    <row r="798" spans="1:33" ht="15.5">
      <c r="A798" s="45"/>
      <c r="B798" s="45"/>
      <c r="D798" s="85"/>
      <c r="AD798" s="34"/>
      <c r="AE798" s="34"/>
      <c r="AF798" s="34"/>
      <c r="AG798" s="34"/>
    </row>
    <row r="799" spans="1:33" ht="15.5">
      <c r="A799" s="45"/>
      <c r="B799" s="45"/>
      <c r="D799" s="85"/>
      <c r="AD799" s="34"/>
      <c r="AE799" s="34"/>
      <c r="AF799" s="34"/>
      <c r="AG799" s="34"/>
    </row>
    <row r="800" spans="1:33" ht="15.5">
      <c r="A800" s="45"/>
      <c r="B800" s="45"/>
      <c r="D800" s="85"/>
      <c r="AD800" s="34"/>
      <c r="AE800" s="34"/>
      <c r="AF800" s="34"/>
      <c r="AG800" s="34"/>
    </row>
    <row r="801" spans="1:33" ht="15.5">
      <c r="A801" s="45"/>
      <c r="B801" s="45"/>
      <c r="D801" s="85"/>
      <c r="AD801" s="34"/>
      <c r="AE801" s="34"/>
      <c r="AF801" s="34"/>
      <c r="AG801" s="34"/>
    </row>
    <row r="802" spans="1:33" ht="15.5">
      <c r="A802" s="45"/>
      <c r="B802" s="45"/>
      <c r="D802" s="85"/>
      <c r="AD802" s="34"/>
      <c r="AE802" s="34"/>
      <c r="AF802" s="34"/>
      <c r="AG802" s="34"/>
    </row>
    <row r="803" spans="1:33" ht="15.5">
      <c r="A803" s="45"/>
      <c r="B803" s="45"/>
      <c r="D803" s="85"/>
      <c r="AD803" s="34"/>
      <c r="AE803" s="34"/>
      <c r="AF803" s="34"/>
      <c r="AG803" s="34"/>
    </row>
    <row r="804" spans="1:33" ht="15.5">
      <c r="A804" s="45"/>
      <c r="B804" s="45"/>
      <c r="D804" s="85"/>
      <c r="AD804" s="34"/>
      <c r="AE804" s="34"/>
      <c r="AF804" s="34"/>
      <c r="AG804" s="34"/>
    </row>
    <row r="805" spans="1:33" ht="15.5">
      <c r="A805" s="45"/>
      <c r="B805" s="45"/>
      <c r="D805" s="85"/>
      <c r="AD805" s="34"/>
      <c r="AE805" s="34"/>
      <c r="AF805" s="34"/>
      <c r="AG805" s="34"/>
    </row>
    <row r="806" spans="1:33" ht="15.5">
      <c r="A806" s="45"/>
      <c r="B806" s="45"/>
      <c r="D806" s="85"/>
      <c r="AD806" s="34"/>
      <c r="AE806" s="34"/>
      <c r="AF806" s="34"/>
      <c r="AG806" s="34"/>
    </row>
    <row r="807" spans="1:33" ht="15.5">
      <c r="A807" s="45"/>
      <c r="B807" s="45"/>
      <c r="D807" s="85"/>
      <c r="AD807" s="34"/>
      <c r="AE807" s="34"/>
      <c r="AF807" s="34"/>
      <c r="AG807" s="34"/>
    </row>
    <row r="808" spans="1:33" ht="15.5">
      <c r="A808" s="45"/>
      <c r="B808" s="45"/>
      <c r="D808" s="85"/>
      <c r="AD808" s="34"/>
      <c r="AE808" s="34"/>
      <c r="AF808" s="34"/>
      <c r="AG808" s="34"/>
    </row>
    <row r="809" spans="1:33" ht="15.5">
      <c r="A809" s="45"/>
      <c r="B809" s="45"/>
      <c r="D809" s="85"/>
      <c r="AD809" s="34"/>
      <c r="AE809" s="34"/>
      <c r="AF809" s="34"/>
      <c r="AG809" s="34"/>
    </row>
    <row r="810" spans="1:33" ht="15.5">
      <c r="A810" s="45"/>
      <c r="B810" s="45"/>
      <c r="D810" s="85"/>
      <c r="AD810" s="34"/>
      <c r="AE810" s="34"/>
      <c r="AF810" s="34"/>
      <c r="AG810" s="34"/>
    </row>
    <row r="811" spans="1:33" ht="15.5">
      <c r="A811" s="45"/>
      <c r="B811" s="45"/>
      <c r="D811" s="85"/>
      <c r="AD811" s="34"/>
      <c r="AE811" s="34"/>
      <c r="AF811" s="34"/>
      <c r="AG811" s="34"/>
    </row>
    <row r="812" spans="1:33" ht="15.5">
      <c r="A812" s="45"/>
      <c r="B812" s="45"/>
      <c r="D812" s="85"/>
      <c r="AD812" s="34"/>
      <c r="AE812" s="34"/>
      <c r="AF812" s="34"/>
      <c r="AG812" s="34"/>
    </row>
    <row r="813" spans="1:33" ht="15.5">
      <c r="A813" s="45"/>
      <c r="B813" s="45"/>
      <c r="D813" s="85"/>
      <c r="AD813" s="34"/>
      <c r="AE813" s="34"/>
      <c r="AF813" s="34"/>
      <c r="AG813" s="34"/>
    </row>
    <row r="814" spans="1:33" ht="15.5">
      <c r="A814" s="45"/>
      <c r="B814" s="45"/>
      <c r="D814" s="85"/>
      <c r="AD814" s="34"/>
      <c r="AE814" s="34"/>
      <c r="AF814" s="34"/>
      <c r="AG814" s="34"/>
    </row>
    <row r="815" spans="1:33" ht="15.5">
      <c r="A815" s="45"/>
      <c r="B815" s="45"/>
      <c r="D815" s="85"/>
      <c r="AD815" s="34"/>
      <c r="AE815" s="34"/>
      <c r="AF815" s="34"/>
      <c r="AG815" s="34"/>
    </row>
    <row r="816" spans="1:33" ht="15.5">
      <c r="A816" s="45"/>
      <c r="B816" s="45"/>
      <c r="D816" s="85"/>
      <c r="AD816" s="34"/>
      <c r="AE816" s="34"/>
      <c r="AF816" s="34"/>
      <c r="AG816" s="34"/>
    </row>
    <row r="817" spans="1:33" ht="15.5">
      <c r="A817" s="45"/>
      <c r="B817" s="45"/>
      <c r="D817" s="85"/>
      <c r="AD817" s="34"/>
      <c r="AE817" s="34"/>
      <c r="AF817" s="34"/>
      <c r="AG817" s="34"/>
    </row>
    <row r="818" spans="1:33" ht="15.5">
      <c r="A818" s="45"/>
      <c r="B818" s="45"/>
      <c r="D818" s="85"/>
      <c r="AD818" s="34"/>
      <c r="AE818" s="34"/>
      <c r="AF818" s="34"/>
      <c r="AG818" s="34"/>
    </row>
    <row r="819" spans="1:33" ht="15.5">
      <c r="A819" s="45"/>
      <c r="B819" s="45"/>
      <c r="D819" s="85"/>
      <c r="AD819" s="34"/>
      <c r="AE819" s="34"/>
      <c r="AF819" s="34"/>
      <c r="AG819" s="34"/>
    </row>
    <row r="820" spans="1:33" ht="15.5">
      <c r="A820" s="45"/>
      <c r="B820" s="45"/>
      <c r="D820" s="85"/>
      <c r="AD820" s="34"/>
      <c r="AE820" s="34"/>
      <c r="AF820" s="34"/>
      <c r="AG820" s="34"/>
    </row>
    <row r="821" spans="1:33" ht="15.5">
      <c r="A821" s="45"/>
      <c r="B821" s="45"/>
      <c r="D821" s="85"/>
      <c r="AD821" s="34"/>
      <c r="AE821" s="34"/>
      <c r="AF821" s="34"/>
      <c r="AG821" s="34"/>
    </row>
    <row r="822" spans="1:33" ht="15.5">
      <c r="A822" s="45"/>
      <c r="B822" s="45"/>
      <c r="D822" s="85"/>
      <c r="AD822" s="34"/>
      <c r="AE822" s="34"/>
      <c r="AF822" s="34"/>
      <c r="AG822" s="34"/>
    </row>
    <row r="823" spans="1:33" ht="15.5">
      <c r="A823" s="45"/>
      <c r="B823" s="45"/>
      <c r="D823" s="85"/>
      <c r="AD823" s="34"/>
      <c r="AE823" s="34"/>
      <c r="AF823" s="34"/>
      <c r="AG823" s="34"/>
    </row>
    <row r="824" spans="1:33" ht="15.5">
      <c r="A824" s="45"/>
      <c r="B824" s="45"/>
      <c r="D824" s="85"/>
      <c r="AD824" s="34"/>
      <c r="AE824" s="34"/>
      <c r="AF824" s="34"/>
      <c r="AG824" s="34"/>
    </row>
    <row r="825" spans="1:33" ht="15.5">
      <c r="A825" s="45"/>
      <c r="B825" s="45"/>
      <c r="D825" s="85"/>
      <c r="AD825" s="34"/>
      <c r="AE825" s="34"/>
      <c r="AF825" s="34"/>
      <c r="AG825" s="34"/>
    </row>
    <row r="826" spans="1:33" ht="15.5">
      <c r="A826" s="45"/>
      <c r="B826" s="45"/>
      <c r="D826" s="85"/>
      <c r="AD826" s="34"/>
      <c r="AE826" s="34"/>
      <c r="AF826" s="34"/>
      <c r="AG826" s="34"/>
    </row>
    <row r="827" spans="1:33" ht="15.5">
      <c r="A827" s="45"/>
      <c r="B827" s="45"/>
      <c r="D827" s="85"/>
      <c r="AD827" s="34"/>
      <c r="AE827" s="34"/>
      <c r="AF827" s="34"/>
      <c r="AG827" s="34"/>
    </row>
    <row r="828" spans="1:33" ht="15.5">
      <c r="A828" s="45"/>
      <c r="B828" s="45"/>
      <c r="D828" s="85"/>
      <c r="AD828" s="34"/>
      <c r="AE828" s="34"/>
      <c r="AF828" s="34"/>
      <c r="AG828" s="34"/>
    </row>
    <row r="829" spans="1:33" ht="15.5">
      <c r="A829" s="45"/>
      <c r="B829" s="45"/>
      <c r="D829" s="85"/>
      <c r="AD829" s="34"/>
      <c r="AE829" s="34"/>
      <c r="AF829" s="34"/>
      <c r="AG829" s="34"/>
    </row>
    <row r="830" spans="1:33" ht="15.5">
      <c r="A830" s="45"/>
      <c r="B830" s="45"/>
      <c r="D830" s="85"/>
      <c r="AD830" s="34"/>
      <c r="AE830" s="34"/>
      <c r="AF830" s="34"/>
      <c r="AG830" s="34"/>
    </row>
    <row r="831" spans="1:33" ht="15.5">
      <c r="A831" s="45"/>
      <c r="B831" s="45"/>
      <c r="D831" s="85"/>
      <c r="AD831" s="34"/>
      <c r="AE831" s="34"/>
      <c r="AF831" s="34"/>
      <c r="AG831" s="34"/>
    </row>
    <row r="832" spans="1:33" ht="15.5">
      <c r="A832" s="45"/>
      <c r="B832" s="45"/>
      <c r="D832" s="85"/>
      <c r="AD832" s="34"/>
      <c r="AE832" s="34"/>
      <c r="AF832" s="34"/>
      <c r="AG832" s="34"/>
    </row>
    <row r="833" spans="1:33" ht="15.5">
      <c r="A833" s="45"/>
      <c r="B833" s="45"/>
      <c r="D833" s="85"/>
      <c r="AD833" s="34"/>
      <c r="AE833" s="34"/>
      <c r="AF833" s="34"/>
      <c r="AG833" s="34"/>
    </row>
    <row r="834" spans="1:33" ht="15.5">
      <c r="A834" s="45"/>
      <c r="B834" s="45"/>
      <c r="D834" s="85"/>
      <c r="AD834" s="34"/>
      <c r="AE834" s="34"/>
      <c r="AF834" s="34"/>
      <c r="AG834" s="34"/>
    </row>
    <row r="835" spans="1:33" ht="15.5">
      <c r="A835" s="45"/>
      <c r="B835" s="45"/>
      <c r="D835" s="85"/>
      <c r="AD835" s="34"/>
      <c r="AE835" s="34"/>
      <c r="AF835" s="34"/>
      <c r="AG835" s="34"/>
    </row>
    <row r="836" spans="1:33" ht="15.5">
      <c r="A836" s="45"/>
      <c r="B836" s="45"/>
      <c r="D836" s="85"/>
      <c r="AD836" s="34"/>
      <c r="AE836" s="34"/>
      <c r="AF836" s="34"/>
      <c r="AG836" s="34"/>
    </row>
    <row r="837" spans="1:33" ht="15.5">
      <c r="A837" s="45"/>
      <c r="B837" s="45"/>
      <c r="D837" s="85"/>
      <c r="AD837" s="34"/>
      <c r="AE837" s="34"/>
      <c r="AF837" s="34"/>
      <c r="AG837" s="34"/>
    </row>
    <row r="838" spans="1:33" ht="15.5">
      <c r="A838" s="45"/>
      <c r="B838" s="45"/>
      <c r="D838" s="85"/>
      <c r="AD838" s="34"/>
      <c r="AE838" s="34"/>
      <c r="AF838" s="34"/>
      <c r="AG838" s="34"/>
    </row>
    <row r="839" spans="1:33" ht="15.5">
      <c r="A839" s="45"/>
      <c r="B839" s="45"/>
      <c r="D839" s="85"/>
      <c r="AD839" s="34"/>
      <c r="AE839" s="34"/>
      <c r="AF839" s="34"/>
      <c r="AG839" s="34"/>
    </row>
    <row r="840" spans="1:33" ht="15.5">
      <c r="A840" s="45"/>
      <c r="B840" s="45"/>
      <c r="D840" s="85"/>
      <c r="AD840" s="34"/>
      <c r="AE840" s="34"/>
      <c r="AF840" s="34"/>
      <c r="AG840" s="34"/>
    </row>
    <row r="841" spans="1:33" ht="15.5">
      <c r="A841" s="45"/>
      <c r="B841" s="45"/>
      <c r="D841" s="85"/>
      <c r="AD841" s="34"/>
      <c r="AE841" s="34"/>
      <c r="AF841" s="34"/>
      <c r="AG841" s="34"/>
    </row>
    <row r="842" spans="1:33" ht="15.5">
      <c r="A842" s="45"/>
      <c r="B842" s="45"/>
      <c r="D842" s="85"/>
      <c r="AD842" s="34"/>
      <c r="AE842" s="34"/>
      <c r="AF842" s="34"/>
      <c r="AG842" s="34"/>
    </row>
    <row r="843" spans="1:33" ht="15.5">
      <c r="A843" s="45"/>
      <c r="B843" s="45"/>
      <c r="D843" s="85"/>
      <c r="AD843" s="34"/>
      <c r="AE843" s="34"/>
      <c r="AF843" s="34"/>
      <c r="AG843" s="34"/>
    </row>
    <row r="844" spans="1:33" ht="15.5">
      <c r="A844" s="45"/>
      <c r="B844" s="45"/>
      <c r="D844" s="85"/>
      <c r="AD844" s="34"/>
      <c r="AE844" s="34"/>
      <c r="AF844" s="34"/>
      <c r="AG844" s="34"/>
    </row>
    <row r="845" spans="1:33" ht="15.5">
      <c r="A845" s="45"/>
      <c r="B845" s="45"/>
      <c r="D845" s="85"/>
      <c r="AD845" s="34"/>
      <c r="AE845" s="34"/>
      <c r="AF845" s="34"/>
      <c r="AG845" s="34"/>
    </row>
    <row r="846" spans="1:33" ht="15.5">
      <c r="A846" s="45"/>
      <c r="B846" s="45"/>
      <c r="D846" s="85"/>
      <c r="AD846" s="34"/>
      <c r="AE846" s="34"/>
      <c r="AF846" s="34"/>
      <c r="AG846" s="34"/>
    </row>
    <row r="847" spans="1:33" ht="15.5">
      <c r="A847" s="45"/>
      <c r="B847" s="45"/>
      <c r="D847" s="85"/>
      <c r="AD847" s="34"/>
      <c r="AE847" s="34"/>
      <c r="AF847" s="34"/>
      <c r="AG847" s="34"/>
    </row>
    <row r="848" spans="1:33" ht="15.5">
      <c r="A848" s="45"/>
      <c r="B848" s="45"/>
      <c r="D848" s="85"/>
      <c r="AD848" s="34"/>
      <c r="AE848" s="34"/>
      <c r="AF848" s="34"/>
      <c r="AG848" s="34"/>
    </row>
    <row r="849" spans="1:33" ht="15.5">
      <c r="A849" s="45"/>
      <c r="B849" s="45"/>
      <c r="D849" s="85"/>
      <c r="AD849" s="34"/>
      <c r="AE849" s="34"/>
      <c r="AF849" s="34"/>
      <c r="AG849" s="34"/>
    </row>
    <row r="850" spans="1:33" ht="15.5">
      <c r="A850" s="45"/>
      <c r="B850" s="45"/>
      <c r="D850" s="85"/>
      <c r="AD850" s="34"/>
      <c r="AE850" s="34"/>
      <c r="AF850" s="34"/>
      <c r="AG850" s="34"/>
    </row>
    <row r="851" spans="1:33" ht="15.5">
      <c r="A851" s="45"/>
      <c r="B851" s="45"/>
      <c r="D851" s="85"/>
      <c r="AD851" s="34"/>
      <c r="AE851" s="34"/>
      <c r="AF851" s="34"/>
      <c r="AG851" s="34"/>
    </row>
    <row r="852" spans="1:33" ht="15.5">
      <c r="A852" s="45"/>
      <c r="B852" s="45"/>
      <c r="D852" s="85"/>
      <c r="AD852" s="34"/>
      <c r="AE852" s="34"/>
      <c r="AF852" s="34"/>
      <c r="AG852" s="34"/>
    </row>
    <row r="853" spans="1:33" ht="15.5">
      <c r="A853" s="45"/>
      <c r="B853" s="45"/>
      <c r="D853" s="85"/>
      <c r="AD853" s="34"/>
      <c r="AE853" s="34"/>
      <c r="AF853" s="34"/>
      <c r="AG853" s="34"/>
    </row>
    <row r="854" spans="1:33" ht="15.5">
      <c r="A854" s="45"/>
      <c r="B854" s="45"/>
      <c r="D854" s="85"/>
      <c r="AD854" s="34"/>
      <c r="AE854" s="34"/>
      <c r="AF854" s="34"/>
      <c r="AG854" s="34"/>
    </row>
    <row r="855" spans="1:33" ht="15.5">
      <c r="A855" s="45"/>
      <c r="B855" s="45"/>
      <c r="D855" s="85"/>
      <c r="AD855" s="34"/>
      <c r="AE855" s="34"/>
      <c r="AF855" s="34"/>
      <c r="AG855" s="34"/>
    </row>
    <row r="856" spans="1:33" ht="15.5">
      <c r="A856" s="45"/>
      <c r="B856" s="45"/>
      <c r="D856" s="85"/>
      <c r="AD856" s="34"/>
      <c r="AE856" s="34"/>
      <c r="AF856" s="34"/>
      <c r="AG856" s="34"/>
    </row>
    <row r="857" spans="1:33" ht="15.5">
      <c r="A857" s="45"/>
      <c r="B857" s="45"/>
      <c r="D857" s="85"/>
      <c r="AD857" s="34"/>
      <c r="AE857" s="34"/>
      <c r="AF857" s="34"/>
      <c r="AG857" s="34"/>
    </row>
    <row r="858" spans="1:33" ht="15.5">
      <c r="A858" s="45"/>
      <c r="B858" s="45"/>
      <c r="D858" s="85"/>
      <c r="AD858" s="34"/>
      <c r="AE858" s="34"/>
      <c r="AF858" s="34"/>
      <c r="AG858" s="34"/>
    </row>
    <row r="859" spans="1:33" ht="15.5">
      <c r="A859" s="45"/>
      <c r="B859" s="45"/>
      <c r="D859" s="85"/>
      <c r="AD859" s="34"/>
      <c r="AE859" s="34"/>
      <c r="AF859" s="34"/>
      <c r="AG859" s="34"/>
    </row>
    <row r="860" spans="1:33" ht="15.5">
      <c r="A860" s="45"/>
      <c r="B860" s="45"/>
      <c r="D860" s="85"/>
      <c r="AD860" s="34"/>
      <c r="AE860" s="34"/>
      <c r="AF860" s="34"/>
      <c r="AG860" s="34"/>
    </row>
    <row r="861" spans="1:33" ht="15.5">
      <c r="A861" s="45"/>
      <c r="B861" s="45"/>
      <c r="D861" s="85"/>
      <c r="AD861" s="34"/>
      <c r="AE861" s="34"/>
      <c r="AF861" s="34"/>
      <c r="AG861" s="34"/>
    </row>
    <row r="862" spans="1:33" ht="15.5">
      <c r="A862" s="45"/>
      <c r="B862" s="45"/>
      <c r="D862" s="85"/>
      <c r="AD862" s="34"/>
      <c r="AE862" s="34"/>
      <c r="AF862" s="34"/>
      <c r="AG862" s="34"/>
    </row>
    <row r="863" spans="1:33" ht="15.5">
      <c r="A863" s="45"/>
      <c r="B863" s="45"/>
      <c r="D863" s="85"/>
      <c r="AD863" s="34"/>
      <c r="AE863" s="34"/>
      <c r="AF863" s="34"/>
      <c r="AG863" s="34"/>
    </row>
    <row r="864" spans="1:33" ht="15.5">
      <c r="A864" s="45"/>
      <c r="B864" s="45"/>
      <c r="D864" s="85"/>
      <c r="AD864" s="34"/>
      <c r="AE864" s="34"/>
      <c r="AF864" s="34"/>
      <c r="AG864" s="34"/>
    </row>
    <row r="865" spans="1:33" ht="15.5">
      <c r="A865" s="45"/>
      <c r="B865" s="45"/>
      <c r="D865" s="85"/>
      <c r="AD865" s="34"/>
      <c r="AE865" s="34"/>
      <c r="AF865" s="34"/>
      <c r="AG865" s="34"/>
    </row>
    <row r="866" spans="1:33" ht="15.5">
      <c r="A866" s="45"/>
      <c r="B866" s="45"/>
      <c r="D866" s="85"/>
      <c r="AD866" s="34"/>
      <c r="AE866" s="34"/>
      <c r="AF866" s="34"/>
      <c r="AG866" s="34"/>
    </row>
    <row r="867" spans="1:33" ht="15.5">
      <c r="A867" s="45"/>
      <c r="B867" s="45"/>
      <c r="D867" s="85"/>
      <c r="AD867" s="34"/>
      <c r="AE867" s="34"/>
      <c r="AF867" s="34"/>
      <c r="AG867" s="34"/>
    </row>
    <row r="868" spans="1:33" ht="15.5">
      <c r="A868" s="45"/>
      <c r="B868" s="45"/>
      <c r="D868" s="85"/>
      <c r="AD868" s="34"/>
      <c r="AE868" s="34"/>
      <c r="AF868" s="34"/>
      <c r="AG868" s="34"/>
    </row>
    <row r="869" spans="1:33" ht="15.5">
      <c r="A869" s="45"/>
      <c r="B869" s="45"/>
      <c r="D869" s="85"/>
      <c r="AD869" s="34"/>
      <c r="AE869" s="34"/>
      <c r="AF869" s="34"/>
      <c r="AG869" s="34"/>
    </row>
    <row r="870" spans="1:33" ht="15.5">
      <c r="A870" s="45"/>
      <c r="B870" s="45"/>
      <c r="D870" s="85"/>
      <c r="AD870" s="34"/>
      <c r="AE870" s="34"/>
      <c r="AF870" s="34"/>
      <c r="AG870" s="34"/>
    </row>
    <row r="871" spans="1:33" ht="15.5">
      <c r="A871" s="45"/>
      <c r="B871" s="45"/>
      <c r="D871" s="85"/>
      <c r="AD871" s="34"/>
      <c r="AE871" s="34"/>
      <c r="AF871" s="34"/>
      <c r="AG871" s="34"/>
    </row>
    <row r="872" spans="1:33" ht="15.5">
      <c r="A872" s="45"/>
      <c r="B872" s="45"/>
      <c r="D872" s="85"/>
      <c r="AD872" s="34"/>
      <c r="AE872" s="34"/>
      <c r="AF872" s="34"/>
      <c r="AG872" s="34"/>
    </row>
    <row r="873" spans="1:33" ht="15.5">
      <c r="A873" s="45"/>
      <c r="B873" s="45"/>
      <c r="D873" s="85"/>
      <c r="AD873" s="34"/>
      <c r="AE873" s="34"/>
      <c r="AF873" s="34"/>
      <c r="AG873" s="34"/>
    </row>
    <row r="874" spans="1:33" ht="15.5">
      <c r="A874" s="45"/>
      <c r="B874" s="45"/>
      <c r="D874" s="85"/>
      <c r="AD874" s="34"/>
      <c r="AE874" s="34"/>
      <c r="AF874" s="34"/>
      <c r="AG874" s="34"/>
    </row>
    <row r="875" spans="1:33" ht="15.5">
      <c r="A875" s="45"/>
      <c r="B875" s="45"/>
      <c r="D875" s="85"/>
      <c r="AD875" s="34"/>
      <c r="AE875" s="34"/>
      <c r="AF875" s="34"/>
      <c r="AG875" s="34"/>
    </row>
    <row r="876" spans="1:33" ht="15.5">
      <c r="A876" s="45"/>
      <c r="B876" s="45"/>
      <c r="D876" s="85"/>
      <c r="AD876" s="34"/>
      <c r="AE876" s="34"/>
      <c r="AF876" s="34"/>
      <c r="AG876" s="34"/>
    </row>
    <row r="877" spans="1:33" ht="15.5">
      <c r="A877" s="45"/>
      <c r="B877" s="45"/>
      <c r="D877" s="85"/>
      <c r="AD877" s="34"/>
      <c r="AE877" s="34"/>
      <c r="AF877" s="34"/>
      <c r="AG877" s="34"/>
    </row>
    <row r="878" spans="1:33" ht="15.5">
      <c r="A878" s="45"/>
      <c r="B878" s="45"/>
      <c r="D878" s="85"/>
      <c r="AD878" s="34"/>
      <c r="AE878" s="34"/>
      <c r="AF878" s="34"/>
      <c r="AG878" s="34"/>
    </row>
    <row r="879" spans="1:33" ht="15.5">
      <c r="A879" s="45"/>
      <c r="B879" s="45"/>
      <c r="D879" s="85"/>
      <c r="AD879" s="34"/>
      <c r="AE879" s="34"/>
      <c r="AF879" s="34"/>
      <c r="AG879" s="34"/>
    </row>
    <row r="880" spans="1:33" ht="15.5">
      <c r="A880" s="45"/>
      <c r="B880" s="45"/>
      <c r="D880" s="85"/>
      <c r="AD880" s="34"/>
      <c r="AE880" s="34"/>
      <c r="AF880" s="34"/>
      <c r="AG880" s="34"/>
    </row>
    <row r="881" spans="1:33" ht="15.5">
      <c r="A881" s="45"/>
      <c r="B881" s="45"/>
      <c r="D881" s="85"/>
      <c r="AD881" s="34"/>
      <c r="AE881" s="34"/>
      <c r="AF881" s="34"/>
      <c r="AG881" s="34"/>
    </row>
    <row r="882" spans="1:33" ht="15.5">
      <c r="A882" s="45"/>
      <c r="B882" s="45"/>
      <c r="D882" s="85"/>
      <c r="AD882" s="34"/>
      <c r="AE882" s="34"/>
      <c r="AF882" s="34"/>
      <c r="AG882" s="34"/>
    </row>
    <row r="883" spans="1:33" ht="15.5">
      <c r="A883" s="45"/>
      <c r="B883" s="45"/>
      <c r="D883" s="85"/>
      <c r="AD883" s="34"/>
      <c r="AE883" s="34"/>
      <c r="AF883" s="34"/>
      <c r="AG883" s="34"/>
    </row>
    <row r="884" spans="1:33" ht="15.5">
      <c r="A884" s="45"/>
      <c r="B884" s="45"/>
      <c r="D884" s="85"/>
      <c r="AD884" s="34"/>
      <c r="AE884" s="34"/>
      <c r="AF884" s="34"/>
      <c r="AG884" s="34"/>
    </row>
    <row r="885" spans="1:33" ht="15.5">
      <c r="A885" s="45"/>
      <c r="B885" s="45"/>
      <c r="D885" s="85"/>
      <c r="AD885" s="34"/>
      <c r="AE885" s="34"/>
      <c r="AF885" s="34"/>
      <c r="AG885" s="34"/>
    </row>
    <row r="886" spans="1:33" ht="15.5">
      <c r="A886" s="45"/>
      <c r="B886" s="45"/>
      <c r="D886" s="85"/>
      <c r="AD886" s="34"/>
      <c r="AE886" s="34"/>
      <c r="AF886" s="34"/>
      <c r="AG886" s="34"/>
    </row>
    <row r="887" spans="1:33" ht="15.5">
      <c r="A887" s="45"/>
      <c r="B887" s="45"/>
      <c r="D887" s="85"/>
      <c r="AD887" s="34"/>
      <c r="AE887" s="34"/>
      <c r="AF887" s="34"/>
      <c r="AG887" s="34"/>
    </row>
    <row r="888" spans="1:33" ht="15.5">
      <c r="A888" s="45"/>
      <c r="B888" s="45"/>
      <c r="D888" s="85"/>
      <c r="AD888" s="34"/>
      <c r="AE888" s="34"/>
      <c r="AF888" s="34"/>
      <c r="AG888" s="34"/>
    </row>
    <row r="889" spans="1:33" ht="15.5">
      <c r="A889" s="45"/>
      <c r="B889" s="45"/>
      <c r="D889" s="85"/>
      <c r="AD889" s="34"/>
      <c r="AE889" s="34"/>
      <c r="AF889" s="34"/>
      <c r="AG889" s="34"/>
    </row>
    <row r="890" spans="1:33" ht="15.5">
      <c r="A890" s="45"/>
      <c r="B890" s="45"/>
      <c r="D890" s="85"/>
      <c r="AD890" s="34"/>
      <c r="AE890" s="34"/>
      <c r="AF890" s="34"/>
      <c r="AG890" s="34"/>
    </row>
    <row r="891" spans="1:33" ht="15.5">
      <c r="A891" s="45"/>
      <c r="B891" s="45"/>
      <c r="D891" s="85"/>
      <c r="AD891" s="34"/>
      <c r="AE891" s="34"/>
      <c r="AF891" s="34"/>
      <c r="AG891" s="34"/>
    </row>
    <row r="892" spans="1:33" ht="15.5">
      <c r="A892" s="45"/>
      <c r="B892" s="45"/>
      <c r="D892" s="85"/>
      <c r="AD892" s="34"/>
      <c r="AE892" s="34"/>
      <c r="AF892" s="34"/>
      <c r="AG892" s="34"/>
    </row>
    <row r="893" spans="1:33" ht="15.5">
      <c r="A893" s="45"/>
      <c r="B893" s="45"/>
      <c r="D893" s="85"/>
      <c r="AD893" s="34"/>
      <c r="AE893" s="34"/>
      <c r="AF893" s="34"/>
      <c r="AG893" s="34"/>
    </row>
    <row r="894" spans="1:33" ht="15.5">
      <c r="A894" s="45"/>
      <c r="B894" s="45"/>
      <c r="D894" s="85"/>
      <c r="AD894" s="34"/>
      <c r="AE894" s="34"/>
      <c r="AF894" s="34"/>
      <c r="AG894" s="34"/>
    </row>
    <row r="895" spans="1:33" ht="15.5">
      <c r="A895" s="45"/>
      <c r="B895" s="45"/>
      <c r="D895" s="85"/>
      <c r="AD895" s="34"/>
      <c r="AE895" s="34"/>
      <c r="AF895" s="34"/>
      <c r="AG895" s="34"/>
    </row>
    <row r="896" spans="1:33" ht="15.5">
      <c r="A896" s="45"/>
      <c r="B896" s="45"/>
      <c r="D896" s="85"/>
      <c r="AD896" s="34"/>
      <c r="AE896" s="34"/>
      <c r="AF896" s="34"/>
      <c r="AG896" s="34"/>
    </row>
    <row r="897" spans="1:33" ht="15.5">
      <c r="A897" s="45"/>
      <c r="B897" s="45"/>
      <c r="D897" s="85"/>
      <c r="AD897" s="34"/>
      <c r="AE897" s="34"/>
      <c r="AF897" s="34"/>
      <c r="AG897" s="34"/>
    </row>
    <row r="898" spans="1:33" ht="15.5">
      <c r="A898" s="45"/>
      <c r="B898" s="45"/>
      <c r="D898" s="85"/>
      <c r="AD898" s="34"/>
      <c r="AE898" s="34"/>
      <c r="AF898" s="34"/>
      <c r="AG898" s="34"/>
    </row>
    <row r="899" spans="1:33" ht="15.5">
      <c r="A899" s="45"/>
      <c r="B899" s="45"/>
      <c r="D899" s="85"/>
      <c r="AD899" s="34"/>
      <c r="AE899" s="34"/>
      <c r="AF899" s="34"/>
      <c r="AG899" s="34"/>
    </row>
    <row r="900" spans="1:33" ht="15.5">
      <c r="A900" s="45"/>
      <c r="B900" s="45"/>
      <c r="D900" s="85"/>
      <c r="AD900" s="34"/>
      <c r="AE900" s="34"/>
      <c r="AF900" s="34"/>
      <c r="AG900" s="34"/>
    </row>
    <row r="901" spans="1:33" ht="15.5">
      <c r="A901" s="45"/>
      <c r="B901" s="45"/>
      <c r="D901" s="85"/>
      <c r="AD901" s="34"/>
      <c r="AE901" s="34"/>
      <c r="AF901" s="34"/>
      <c r="AG901" s="34"/>
    </row>
    <row r="902" spans="1:33" ht="15.5">
      <c r="A902" s="45"/>
      <c r="B902" s="45"/>
      <c r="D902" s="85"/>
      <c r="AD902" s="34"/>
      <c r="AE902" s="34"/>
      <c r="AF902" s="34"/>
      <c r="AG902" s="34"/>
    </row>
    <row r="903" spans="1:33" ht="15.5">
      <c r="A903" s="45"/>
      <c r="B903" s="45"/>
      <c r="D903" s="85"/>
      <c r="AD903" s="34"/>
      <c r="AE903" s="34"/>
      <c r="AF903" s="34"/>
      <c r="AG903" s="34"/>
    </row>
    <row r="904" spans="1:33" ht="15.5">
      <c r="A904" s="45"/>
      <c r="B904" s="45"/>
      <c r="D904" s="85"/>
      <c r="AD904" s="34"/>
      <c r="AE904" s="34"/>
      <c r="AF904" s="34"/>
      <c r="AG904" s="34"/>
    </row>
  </sheetData>
  <customSheetViews>
    <customSheetView guid="{B3B4BA88-7E98-4B62-A858-7C3A40640401}" filter="1" showAutoFilter="1">
      <pageMargins left="0.7" right="0.7" top="0.75" bottom="0.75" header="0.3" footer="0.3"/>
      <autoFilter ref="M1:M904" xr:uid="{C3E3FA00-B77C-43CB-895D-7C6F45776A9A}"/>
    </customSheetView>
    <customSheetView guid="{A21C9F9C-3D66-44CB-9757-8F7DE4AF9855}" filter="1" showAutoFilter="1">
      <pageMargins left="0.7" right="0.7" top="0.75" bottom="0.75" header="0.3" footer="0.3"/>
      <autoFilter ref="J1:J904" xr:uid="{54A4FFBF-785B-45DE-A1CB-5C174AF980B9}">
        <filterColumn colId="0">
          <filters blank="1"/>
        </filterColumn>
      </autoFilter>
    </customSheetView>
    <customSheetView guid="{13CC7FEA-71B2-4BBB-B49E-35071E5B7AB8}" filter="1" showAutoFilter="1">
      <pageMargins left="0.7" right="0.7" top="0.75" bottom="0.75" header="0.3" footer="0.3"/>
      <autoFilter ref="I1:I904" xr:uid="{8FF925AE-FB26-45C7-80D0-545929CBF9FF}">
        <filterColumn colId="0">
          <filters blank="1"/>
        </filterColumn>
      </autoFilter>
    </customSheetView>
    <customSheetView guid="{E5D717CC-3596-4541-A178-946066D6A9AC}" filter="1" showAutoFilter="1">
      <pageMargins left="0.7" right="0.7" top="0.75" bottom="0.75" header="0.3" footer="0.3"/>
      <autoFilter ref="K1:K904" xr:uid="{367A9230-5DE6-41FA-A1AA-76CA4656F763}">
        <filterColumn colId="0">
          <filters blank="1"/>
        </filterColumn>
      </autoFilter>
    </customSheetView>
    <customSheetView guid="{46A08C88-F057-4E77-84DA-41349FC9CF9F}" filter="1" showAutoFilter="1">
      <pageMargins left="0.7" right="0.7" top="0.75" bottom="0.75" header="0.3" footer="0.3"/>
      <autoFilter ref="AC1:AC904" xr:uid="{635289C1-2828-4938-9BDA-6C93BD8F94B9}">
        <filterColumn colId="0">
          <filters>
            <filter val="Da Xu 徐达"/>
          </filters>
        </filterColumn>
      </autoFilter>
    </customSheetView>
    <customSheetView guid="{30A25E70-968A-42D1-8004-AA7CAE7DDE4C}" filter="1" showAutoFilter="1">
      <pageMargins left="0.7" right="0.7" top="0.75" bottom="0.75" header="0.3" footer="0.3"/>
      <autoFilter ref="AC1:AC904" xr:uid="{7171EBA4-5D9E-42CF-8EC6-3E94DC6E44C6}">
        <filterColumn colId="0">
          <filters>
            <filter val="Hepeng Wang 王贺鹏"/>
          </filters>
        </filterColumn>
      </autoFilter>
    </customSheetView>
    <customSheetView guid="{DDA8AF42-7AE6-4886-96E5-A8B4CF0DB619}" filter="1" showAutoFilter="1">
      <pageMargins left="0.7" right="0.7" top="0.75" bottom="0.75" header="0.3" footer="0.3"/>
      <autoFilter ref="AE1:AE904" xr:uid="{09A4B473-BF4F-46BE-A872-1D3288A50A2B}">
        <filterColumn colId="0">
          <filters>
            <filter val="Han Shen"/>
          </filters>
        </filterColumn>
      </autoFilter>
    </customSheetView>
    <customSheetView guid="{0986B57A-A09A-4F97-BC44-A5665F7874C0}" filter="1" showAutoFilter="1">
      <pageMargins left="0.7" right="0.7" top="0.75" bottom="0.75" header="0.3" footer="0.3"/>
      <autoFilter ref="AE1:AE904" xr:uid="{4905265C-1CD8-403D-B7F7-A4EECA53A8DE}">
        <filterColumn colId="0">
          <filters>
            <filter val="Huajia Nie"/>
          </filters>
        </filterColumn>
      </autoFilter>
    </customSheetView>
    <customSheetView guid="{EFCA6297-B413-46AC-BD28-F984983EBE61}" filter="1" showAutoFilter="1">
      <pageMargins left="0.7" right="0.7" top="0.75" bottom="0.75" header="0.3" footer="0.3"/>
      <autoFilter ref="AE1:AE904" xr:uid="{35AA92F5-3F8A-4C63-A9F1-7A4BE515BEDF}">
        <filterColumn colId="0">
          <filters>
            <filter val="Han Shen"/>
          </filters>
        </filterColumn>
      </autoFilter>
    </customSheetView>
    <customSheetView guid="{A3EAC07F-81BF-4BC3-9163-D7BB2B400FDD}" filter="1" showAutoFilter="1">
      <pageMargins left="0.7" right="0.7" top="0.75" bottom="0.75" header="0.3" footer="0.3"/>
      <autoFilter ref="AE1:AE904" xr:uid="{9045E081-453E-4FD5-985C-5BD1F40D6AD6}">
        <filterColumn colId="0">
          <filters>
            <filter val="Han Shen"/>
          </filters>
        </filterColumn>
      </autoFilter>
    </customSheetView>
    <customSheetView guid="{01571460-2DCB-42BD-A34A-0F0974471195}" filter="1" showAutoFilter="1">
      <pageMargins left="0.7" right="0.7" top="0.75" bottom="0.75" header="0.3" footer="0.3"/>
      <autoFilter ref="AE1:AE904" xr:uid="{CEE3769A-4C86-44F9-A258-A4B3F985FD07}">
        <filterColumn colId="0">
          <filters>
            <filter val="Hepeng Wang"/>
          </filters>
        </filterColumn>
      </autoFilter>
    </customSheetView>
    <customSheetView guid="{E52F6983-849E-4B78-A13A-F80E701FF56C}" filter="1" showAutoFilter="1">
      <pageMargins left="0.7" right="0.7" top="0.75" bottom="0.75" header="0.3" footer="0.3"/>
      <autoFilter ref="AE1:AE904" xr:uid="{94A14336-82CE-43D1-BD9D-27F4EE753B95}">
        <filterColumn colId="0">
          <filters>
            <filter val="Han Shen"/>
          </filters>
        </filterColumn>
      </autoFilter>
    </customSheetView>
    <customSheetView guid="{C11143F3-5039-4616-8F54-5BB6F58E0A3F}" filter="1" showAutoFilter="1">
      <pageMargins left="0.7" right="0.7" top="0.75" bottom="0.75" header="0.3" footer="0.3"/>
      <autoFilter ref="AE1:AE904" xr:uid="{E901231B-6CCC-4F30-9197-3E3A7E4F4A7C}">
        <filterColumn colId="0">
          <filters>
            <filter val="Han Shen"/>
          </filters>
        </filterColumn>
      </autoFilter>
    </customSheetView>
    <customSheetView guid="{A4586E54-8C18-402A-88F5-A1D2BB888F5F}" filter="1" showAutoFilter="1">
      <pageMargins left="0.7" right="0.7" top="0.75" bottom="0.75" header="0.3" footer="0.3"/>
      <autoFilter ref="AD1:AD904" xr:uid="{43210624-2F3D-485D-9163-1766130AF23F}">
        <filterColumn colId="0">
          <filters blank="1"/>
        </filterColumn>
      </autoFilter>
    </customSheetView>
    <customSheetView guid="{E0DB8C99-D8E3-4531-BF97-BBACA0B76575}" filter="1" showAutoFilter="1">
      <pageMargins left="0.7" right="0.7" top="0.75" bottom="0.75" header="0.3" footer="0.3"/>
      <autoFilter ref="AD1:AD904" xr:uid="{AAEC5C07-1331-4E9D-BFE7-A79B53353BFF}"/>
    </customSheetView>
    <customSheetView guid="{70C2C3CB-9C77-45D0-92BF-083A1A89E2EC}" filter="1" showAutoFilter="1">
      <pageMargins left="0.7" right="0.7" top="0.75" bottom="0.75" header="0.3" footer="0.3"/>
      <autoFilter ref="AD1:AD904" xr:uid="{6342D515-FEC5-416D-B89F-BA6A582D63B6}">
        <filterColumn colId="0">
          <filters blank="1"/>
        </filterColumn>
      </autoFilter>
    </customSheetView>
    <customSheetView guid="{7D1D0CFF-A21C-4D7C-B4BE-D6CB3FEE1491}" filter="1" showAutoFilter="1">
      <pageMargins left="0.7" right="0.7" top="0.75" bottom="0.75" header="0.3" footer="0.3"/>
      <autoFilter ref="AD1:AD904" xr:uid="{78909506-5BD3-4D4B-A704-7FD366548CC8}"/>
    </customSheetView>
    <customSheetView guid="{CA961114-8F4A-497C-BC45-660719605658}" filter="1" showAutoFilter="1">
      <pageMargins left="0.7" right="0.7" top="0.75" bottom="0.75" header="0.3" footer="0.3"/>
      <autoFilter ref="AD1:AD904" xr:uid="{4D9A1A77-B724-4B19-B701-4A695056A40E}"/>
    </customSheetView>
  </customSheetViews>
  <phoneticPr fontId="85" type="noConversion"/>
  <dataValidations count="25">
    <dataValidation type="list" allowBlank="1" sqref="F3:F324" xr:uid="{00000000-0002-0000-0000-000000000000}">
      <formula1>"Noncollision,Front,Left Front,Right Front,Left Rear,Right Rear,Rear"</formula1>
    </dataValidation>
    <dataValidation type="list" allowBlank="1" sqref="H3:H324" xr:uid="{00000000-0002-0000-0000-000001000000}">
      <formula1>"Express,Principal Arterial,Minor Arterial,Branch,Frontage Road,Side Road,Urban,Highway,Rural"</formula1>
    </dataValidation>
    <dataValidation type="list" allowBlank="1" sqref="P3:P324" xr:uid="{00000000-0002-0000-0000-000002000000}">
      <formula1>"U Turn,Left Turn,Right Turn,Cut In,Lane Change,Continuous Lane Change,Going Straight,Pull Over,Pull Out,Merge,Exit,Side Pass,Nudge,Borrow Lane,Backing Up,Stopped in Traffic Lane,Starting in Traffic Lane,Cross,Wrong-way Driving"</formula1>
    </dataValidation>
    <dataValidation type="list" allowBlank="1" sqref="AH3 AE3:AE324" xr:uid="{00000000-0002-0000-0000-000003000000}">
      <formula1>"Hepeng Wang,Da Xu,Lingyu Meng,Zhiang Shen,Zhiwen Wang,Wei Jin,Han Shen,Huajia Nie,Shuo Cheng,Nanshu Zhao"</formula1>
    </dataValidation>
    <dataValidation type="list" allowBlank="1" sqref="W3:W211 W213:W324" xr:uid="{00000000-0002-0000-0000-000004000000}">
      <formula1>"Yes,No"</formula1>
    </dataValidation>
    <dataValidation type="list" allowBlank="1" sqref="G63:G270 G273 G276:G324" xr:uid="{00000000-0002-0000-0000-000005000000}">
      <formula1>"Double Vehicle,Multiple Vehicle,Pedestrian,Bicycle,Tricycle,Cones,Fence,Vehicle and Non-Vehicle,None"</formula1>
    </dataValidation>
    <dataValidation type="list" allowBlank="1" sqref="AL3" xr:uid="{00000000-0002-0000-0000-000006000000}">
      <formula1>"well covered,need improve,not covered"</formula1>
    </dataValidation>
    <dataValidation type="list" allowBlank="1" sqref="L3:L324" xr:uid="{00000000-0002-0000-0000-000007000000}">
      <formula1>"Traffic Signal,Stop Sign,Other,None"</formula1>
    </dataValidation>
    <dataValidation type="list" allowBlank="1" sqref="K3:K324" xr:uid="{00000000-0002-0000-0000-000008000000}">
      <formula1>"Multi-Lane Dual-Way,10 Lane 1 Way,9 Lane 1 Way,8 Lane 1 Way,7 Lane 1 Way,6 Lane 1 Way,5 Lane 1 Way,4 Lane 1 Way,3 Lane 1 Way,2 Lane 1 Way,1 Lane 1 Way,10 Lane 2 Way,9 Lane 2 Way,8 Lane 2 Way,7 Lane 2 Way,6 Lane 2 Way,5 Lane 2 Way,4 Lane 2 Way,3 Lane 2 Way"&amp;",2 Lane 2 Way"</formula1>
    </dataValidation>
    <dataValidation type="list" allowBlank="1" sqref="N3:N324" xr:uid="{00000000-0002-0000-0000-000009000000}">
      <formula1>"U Turn,Left Turn,Right Turn,Lane Change,Going Straight,Pull Over,Pull Out,Merge,Exit,Side Pass,Nudge,Continuous Lane Change,Backing Up,Stopped in Traffic Lane,Starting in Traffic Lane"</formula1>
    </dataValidation>
    <dataValidation type="list" allowBlank="1" sqref="O3:O324" xr:uid="{00000000-0002-0000-0000-00000A000000}">
      <formula1>"Car,Van,Truck,Trailer,Semitrailer,Bus,Motorbike,Bicycle,Train,Tram,Ambulance,Fire Truck,Police Car,Tricycle,Pedestrians,Wheelchair,Animal"</formula1>
    </dataValidation>
    <dataValidation type="list" allowBlank="1" sqref="S3:S324" xr:uid="{00000000-0002-0000-0000-00000B000000}">
      <formula1>"Lane Follow,Pull Over,Nudge,Side Pass,Crosswalk,Lane Change,Merge,Pull Out,Junction,Traffic Light,Dynamic  Routing,Occlusion,Cut In"</formula1>
    </dataValidation>
    <dataValidation type="list" allowBlank="1" sqref="U3:U324" xr:uid="{00000000-0002-0000-0000-00000C000000}">
      <formula1>"Normal,Rain,Snow/Sleet,Fog"</formula1>
    </dataValidation>
    <dataValidation type="list" allowBlank="1" sqref="AI3" xr:uid="{00000000-0002-0000-0000-00000D000000}">
      <formula1>"prior,later,unchanged,unsure"</formula1>
    </dataValidation>
    <dataValidation type="list" allowBlank="1" sqref="J3:J324" xr:uid="{00000000-0002-0000-0000-00000E000000}">
      <formula1>"Exit,Entrance,Gap,Merge,Construction Zone,None"</formula1>
    </dataValidation>
    <dataValidation type="list" allowBlank="1" sqref="Q3:R324" xr:uid="{00000000-0002-0000-0000-00000F000000}">
      <formula1>"Slowly,Quickly,Slow Down,Speed Up,Aggressively,Friendly,Small Radius,Large Radius,Low Priority,High Priority,Retrograde,Red Light,Illegal,Diagonally,Normal"</formula1>
    </dataValidation>
    <dataValidation type="list" allowBlank="1" sqref="B230" xr:uid="{00000000-0002-0000-0000-000010000000}">
      <formula1>"U Turn,Left Turn,Right Turn,Cut In,Lane Change,Continuous Lane Change,Going Straight,Pull Over,Pull Out,Merge,Side Pass,Nudge,Borrow Lane,Backing Up,Stopped in Traffic Lane,Starting in Traffic Lane,Cross,Retrograde,Wrong-way Driving"</formula1>
    </dataValidation>
    <dataValidation type="list" allowBlank="1" sqref="G3:G62 G271:G272 G274:G275 E3:E324" xr:uid="{00000000-0002-0000-0000-000011000000}">
      <formula1>"Double Vehicle,Multiple Vehicle,Pedestrian,Bicycle,Tricycle,Cones,Fence,None"</formula1>
    </dataValidation>
    <dataValidation type="list" allowBlank="1" sqref="AJ3" xr:uid="{00000000-0002-0000-0000-000012000000}">
      <formula1>"avoided,mitigated,unchanged,exacerbated"</formula1>
    </dataValidation>
    <dataValidation type="list" allowBlank="1" sqref="AQ3:AR3" xr:uid="{00000000-0002-0000-0000-000013000000}">
      <formula1>"High,Medium,Low"</formula1>
    </dataValidation>
    <dataValidation type="list" allowBlank="1" sqref="V3:V324" xr:uid="{00000000-0002-0000-0000-000014000000}">
      <formula1>"Daylight,Dark but Lighted,Dark,Dawn or Dusk"</formula1>
    </dataValidation>
    <dataValidation type="list" allowBlank="1" sqref="AD3:AD324" xr:uid="{00000000-0002-0000-0000-000015000000}">
      <formula1>"commited,reviewing,fixing,done,skip,delete"</formula1>
    </dataValidation>
    <dataValidation type="list" allowBlank="1" sqref="T3:T324" xr:uid="{00000000-0002-0000-0000-000016000000}">
      <formula1>"TAADS,Virtual ADS,Logsim"</formula1>
    </dataValidation>
    <dataValidation type="list" allowBlank="1" sqref="I3:I324" xr:uid="{00000000-0002-0000-0000-000017000000}">
      <formula1>"Y,T,Cross,Star,Straight,Curve,Roundabout"</formula1>
    </dataValidation>
    <dataValidation type="list" allowBlank="1" sqref="AC3:AC324" xr:uid="{00000000-0002-0000-0000-000018000000}">
      <formula1>"Lingyu Meng 孟凌宇,Zhiwen Wang 王志文,Da Xu 徐达,Hepeng Wang 王贺鹏,Zhiang Shen 申志昂,Wei Jin 靳伟"</formula1>
    </dataValidation>
  </dataValidations>
  <hyperlinks>
    <hyperlink ref="X3" r:id="rId1" xr:uid="{00000000-0004-0000-0000-000000000000}"/>
    <hyperlink ref="X4" r:id="rId2" xr:uid="{00000000-0004-0000-0000-000001000000}"/>
    <hyperlink ref="X5" r:id="rId3" xr:uid="{00000000-0004-0000-0000-000002000000}"/>
    <hyperlink ref="X6" r:id="rId4" xr:uid="{00000000-0004-0000-0000-000003000000}"/>
    <hyperlink ref="X7" r:id="rId5" xr:uid="{00000000-0004-0000-0000-000004000000}"/>
    <hyperlink ref="X8" r:id="rId6" xr:uid="{00000000-0004-0000-0000-000005000000}"/>
    <hyperlink ref="X9" r:id="rId7" xr:uid="{00000000-0004-0000-0000-000006000000}"/>
    <hyperlink ref="X10" r:id="rId8" xr:uid="{00000000-0004-0000-0000-000007000000}"/>
    <hyperlink ref="X11" r:id="rId9" xr:uid="{00000000-0004-0000-0000-000008000000}"/>
    <hyperlink ref="X12" r:id="rId10" xr:uid="{00000000-0004-0000-0000-000009000000}"/>
    <hyperlink ref="X13" r:id="rId11" xr:uid="{00000000-0004-0000-0000-00000A000000}"/>
    <hyperlink ref="X14" r:id="rId12" xr:uid="{00000000-0004-0000-0000-00000B000000}"/>
    <hyperlink ref="X15" r:id="rId13" xr:uid="{00000000-0004-0000-0000-00000C000000}"/>
    <hyperlink ref="X16" r:id="rId14" xr:uid="{00000000-0004-0000-0000-00000D000000}"/>
    <hyperlink ref="X17" r:id="rId15" xr:uid="{00000000-0004-0000-0000-00000E000000}"/>
    <hyperlink ref="X18" r:id="rId16" xr:uid="{00000000-0004-0000-0000-00000F000000}"/>
    <hyperlink ref="X19" r:id="rId17" xr:uid="{00000000-0004-0000-0000-000010000000}"/>
    <hyperlink ref="X20" r:id="rId18" xr:uid="{00000000-0004-0000-0000-000011000000}"/>
    <hyperlink ref="X21" r:id="rId19" xr:uid="{00000000-0004-0000-0000-000012000000}"/>
    <hyperlink ref="X22" r:id="rId20" xr:uid="{00000000-0004-0000-0000-000013000000}"/>
    <hyperlink ref="X23" r:id="rId21" xr:uid="{00000000-0004-0000-0000-000014000000}"/>
    <hyperlink ref="X24" r:id="rId22" xr:uid="{00000000-0004-0000-0000-000015000000}"/>
    <hyperlink ref="X25" r:id="rId23" xr:uid="{00000000-0004-0000-0000-000016000000}"/>
    <hyperlink ref="X26" r:id="rId24" xr:uid="{00000000-0004-0000-0000-000017000000}"/>
    <hyperlink ref="X27" r:id="rId25" xr:uid="{00000000-0004-0000-0000-000018000000}"/>
    <hyperlink ref="X28" r:id="rId26" xr:uid="{00000000-0004-0000-0000-000019000000}"/>
    <hyperlink ref="X29" r:id="rId27" xr:uid="{00000000-0004-0000-0000-00001A000000}"/>
    <hyperlink ref="X30" r:id="rId28" xr:uid="{00000000-0004-0000-0000-00001B000000}"/>
    <hyperlink ref="X31" r:id="rId29" xr:uid="{00000000-0004-0000-0000-00001C000000}"/>
    <hyperlink ref="X32" r:id="rId30" xr:uid="{00000000-0004-0000-0000-00001D000000}"/>
    <hyperlink ref="X33" r:id="rId31" xr:uid="{00000000-0004-0000-0000-00001E000000}"/>
    <hyperlink ref="X34" r:id="rId32" xr:uid="{00000000-0004-0000-0000-00001F000000}"/>
    <hyperlink ref="X35" r:id="rId33" xr:uid="{00000000-0004-0000-0000-000020000000}"/>
    <hyperlink ref="X36" r:id="rId34" xr:uid="{00000000-0004-0000-0000-000021000000}"/>
    <hyperlink ref="X37" r:id="rId35" xr:uid="{00000000-0004-0000-0000-000022000000}"/>
    <hyperlink ref="X38" r:id="rId36" xr:uid="{00000000-0004-0000-0000-000023000000}"/>
    <hyperlink ref="X39" r:id="rId37" xr:uid="{00000000-0004-0000-0000-000024000000}"/>
    <hyperlink ref="X40" r:id="rId38" xr:uid="{00000000-0004-0000-0000-000025000000}"/>
    <hyperlink ref="X41" r:id="rId39" xr:uid="{00000000-0004-0000-0000-000026000000}"/>
    <hyperlink ref="X42" r:id="rId40" xr:uid="{00000000-0004-0000-0000-000027000000}"/>
    <hyperlink ref="X43" r:id="rId41" xr:uid="{00000000-0004-0000-0000-000028000000}"/>
    <hyperlink ref="X44" r:id="rId42" xr:uid="{00000000-0004-0000-0000-000029000000}"/>
    <hyperlink ref="X45" r:id="rId43" xr:uid="{00000000-0004-0000-0000-00002A000000}"/>
    <hyperlink ref="X46" r:id="rId44" xr:uid="{00000000-0004-0000-0000-00002B000000}"/>
    <hyperlink ref="X47" r:id="rId45" xr:uid="{00000000-0004-0000-0000-00002C000000}"/>
    <hyperlink ref="X48" r:id="rId46" xr:uid="{00000000-0004-0000-0000-00002D000000}"/>
    <hyperlink ref="X49" r:id="rId47" xr:uid="{00000000-0004-0000-0000-00002E000000}"/>
    <hyperlink ref="X50" r:id="rId48" xr:uid="{00000000-0004-0000-0000-00002F000000}"/>
    <hyperlink ref="X51" r:id="rId49" xr:uid="{00000000-0004-0000-0000-000030000000}"/>
    <hyperlink ref="X52" r:id="rId50" xr:uid="{00000000-0004-0000-0000-000031000000}"/>
    <hyperlink ref="X53" r:id="rId51" xr:uid="{00000000-0004-0000-0000-000032000000}"/>
    <hyperlink ref="X54" r:id="rId52" xr:uid="{00000000-0004-0000-0000-000033000000}"/>
    <hyperlink ref="X55" r:id="rId53" xr:uid="{00000000-0004-0000-0000-000034000000}"/>
    <hyperlink ref="X56" r:id="rId54" xr:uid="{00000000-0004-0000-0000-000035000000}"/>
    <hyperlink ref="X57" r:id="rId55" xr:uid="{00000000-0004-0000-0000-000036000000}"/>
    <hyperlink ref="X58" r:id="rId56" xr:uid="{00000000-0004-0000-0000-000037000000}"/>
    <hyperlink ref="X59" r:id="rId57" xr:uid="{00000000-0004-0000-0000-000038000000}"/>
    <hyperlink ref="X60" r:id="rId58" xr:uid="{00000000-0004-0000-0000-000039000000}"/>
    <hyperlink ref="X61" r:id="rId59" xr:uid="{00000000-0004-0000-0000-00003A000000}"/>
    <hyperlink ref="X62" r:id="rId60" xr:uid="{00000000-0004-0000-0000-00003B000000}"/>
    <hyperlink ref="X63" r:id="rId61" xr:uid="{00000000-0004-0000-0000-00003C000000}"/>
    <hyperlink ref="X64" r:id="rId62" xr:uid="{00000000-0004-0000-0000-00003D000000}"/>
    <hyperlink ref="X65" r:id="rId63" xr:uid="{00000000-0004-0000-0000-00003E000000}"/>
    <hyperlink ref="X66" r:id="rId64" xr:uid="{00000000-0004-0000-0000-00003F000000}"/>
    <hyperlink ref="X67" r:id="rId65" xr:uid="{00000000-0004-0000-0000-000040000000}"/>
    <hyperlink ref="X68" r:id="rId66" xr:uid="{00000000-0004-0000-0000-000041000000}"/>
    <hyperlink ref="X69" r:id="rId67" xr:uid="{00000000-0004-0000-0000-000042000000}"/>
    <hyperlink ref="X70" r:id="rId68" xr:uid="{00000000-0004-0000-0000-000043000000}"/>
    <hyperlink ref="X71" r:id="rId69" xr:uid="{00000000-0004-0000-0000-000044000000}"/>
    <hyperlink ref="X72" r:id="rId70" xr:uid="{00000000-0004-0000-0000-000045000000}"/>
    <hyperlink ref="X73" r:id="rId71" xr:uid="{00000000-0004-0000-0000-000046000000}"/>
    <hyperlink ref="X74" r:id="rId72" xr:uid="{00000000-0004-0000-0000-000047000000}"/>
    <hyperlink ref="X75" r:id="rId73" xr:uid="{00000000-0004-0000-0000-000048000000}"/>
    <hyperlink ref="X76" r:id="rId74" xr:uid="{00000000-0004-0000-0000-000049000000}"/>
    <hyperlink ref="X77" r:id="rId75" xr:uid="{00000000-0004-0000-0000-00004A000000}"/>
    <hyperlink ref="X78" r:id="rId76" xr:uid="{00000000-0004-0000-0000-00004B000000}"/>
    <hyperlink ref="X79" r:id="rId77" xr:uid="{00000000-0004-0000-0000-00004C000000}"/>
    <hyperlink ref="X80" r:id="rId78" xr:uid="{00000000-0004-0000-0000-00004D000000}"/>
    <hyperlink ref="X81" r:id="rId79" xr:uid="{00000000-0004-0000-0000-00004E000000}"/>
    <hyperlink ref="X82" r:id="rId80" xr:uid="{00000000-0004-0000-0000-00004F000000}"/>
    <hyperlink ref="X83" r:id="rId81" xr:uid="{00000000-0004-0000-0000-000050000000}"/>
    <hyperlink ref="X84" r:id="rId82" xr:uid="{00000000-0004-0000-0000-000051000000}"/>
    <hyperlink ref="X85" r:id="rId83" xr:uid="{00000000-0004-0000-0000-000052000000}"/>
    <hyperlink ref="X86" r:id="rId84" xr:uid="{00000000-0004-0000-0000-000053000000}"/>
    <hyperlink ref="X89" r:id="rId85" xr:uid="{00000000-0004-0000-0000-000054000000}"/>
    <hyperlink ref="X90" r:id="rId86" xr:uid="{00000000-0004-0000-0000-000055000000}"/>
    <hyperlink ref="X92" r:id="rId87" xr:uid="{00000000-0004-0000-0000-000056000000}"/>
    <hyperlink ref="X94" r:id="rId88" xr:uid="{00000000-0004-0000-0000-000057000000}"/>
    <hyperlink ref="X97" r:id="rId89" xr:uid="{00000000-0004-0000-0000-000058000000}"/>
    <hyperlink ref="X98" r:id="rId90" xr:uid="{00000000-0004-0000-0000-000059000000}"/>
    <hyperlink ref="X99" r:id="rId91" xr:uid="{00000000-0004-0000-0000-00005A000000}"/>
    <hyperlink ref="X100" r:id="rId92" xr:uid="{00000000-0004-0000-0000-00005B000000}"/>
    <hyperlink ref="X101" r:id="rId93" xr:uid="{00000000-0004-0000-0000-00005C000000}"/>
    <hyperlink ref="X102" r:id="rId94" xr:uid="{00000000-0004-0000-0000-00005D000000}"/>
    <hyperlink ref="X103" r:id="rId95" xr:uid="{00000000-0004-0000-0000-00005E000000}"/>
    <hyperlink ref="X104" r:id="rId96" xr:uid="{00000000-0004-0000-0000-00005F000000}"/>
    <hyperlink ref="X105" r:id="rId97" xr:uid="{00000000-0004-0000-0000-000060000000}"/>
    <hyperlink ref="X106" r:id="rId98" xr:uid="{00000000-0004-0000-0000-000061000000}"/>
    <hyperlink ref="X107" r:id="rId99" xr:uid="{00000000-0004-0000-0000-000062000000}"/>
    <hyperlink ref="X108" r:id="rId100" xr:uid="{00000000-0004-0000-0000-000063000000}"/>
    <hyperlink ref="X109" r:id="rId101" xr:uid="{00000000-0004-0000-0000-000064000000}"/>
    <hyperlink ref="X110" r:id="rId102" xr:uid="{00000000-0004-0000-0000-000065000000}"/>
    <hyperlink ref="X111" r:id="rId103" xr:uid="{00000000-0004-0000-0000-000066000000}"/>
    <hyperlink ref="X112" r:id="rId104" xr:uid="{00000000-0004-0000-0000-000067000000}"/>
    <hyperlink ref="X113" r:id="rId105" xr:uid="{00000000-0004-0000-0000-000068000000}"/>
    <hyperlink ref="X114" r:id="rId106" xr:uid="{00000000-0004-0000-0000-000069000000}"/>
    <hyperlink ref="X115" r:id="rId107" xr:uid="{00000000-0004-0000-0000-00006A000000}"/>
    <hyperlink ref="X116" r:id="rId108" xr:uid="{00000000-0004-0000-0000-00006B000000}"/>
    <hyperlink ref="X117" r:id="rId109" xr:uid="{00000000-0004-0000-0000-00006C000000}"/>
    <hyperlink ref="X118" r:id="rId110" xr:uid="{00000000-0004-0000-0000-00006D000000}"/>
    <hyperlink ref="X119" r:id="rId111" xr:uid="{00000000-0004-0000-0000-00006E000000}"/>
    <hyperlink ref="X120" r:id="rId112" xr:uid="{00000000-0004-0000-0000-00006F000000}"/>
    <hyperlink ref="X121" r:id="rId113" xr:uid="{00000000-0004-0000-0000-000070000000}"/>
    <hyperlink ref="X122" r:id="rId114" xr:uid="{00000000-0004-0000-0000-000071000000}"/>
    <hyperlink ref="X123" r:id="rId115" xr:uid="{00000000-0004-0000-0000-000072000000}"/>
    <hyperlink ref="X124" r:id="rId116" xr:uid="{00000000-0004-0000-0000-000073000000}"/>
    <hyperlink ref="X125" r:id="rId117" xr:uid="{00000000-0004-0000-0000-000074000000}"/>
    <hyperlink ref="X126" r:id="rId118" xr:uid="{00000000-0004-0000-0000-000075000000}"/>
    <hyperlink ref="X127" r:id="rId119" xr:uid="{00000000-0004-0000-0000-000076000000}"/>
    <hyperlink ref="X128" r:id="rId120" xr:uid="{00000000-0004-0000-0000-000077000000}"/>
    <hyperlink ref="X129" r:id="rId121" xr:uid="{00000000-0004-0000-0000-000078000000}"/>
    <hyperlink ref="X130" r:id="rId122" xr:uid="{00000000-0004-0000-0000-000079000000}"/>
    <hyperlink ref="X131" r:id="rId123" xr:uid="{00000000-0004-0000-0000-00007A000000}"/>
    <hyperlink ref="X132" r:id="rId124" xr:uid="{00000000-0004-0000-0000-00007B000000}"/>
    <hyperlink ref="X133" r:id="rId125" xr:uid="{00000000-0004-0000-0000-00007C000000}"/>
    <hyperlink ref="X134" r:id="rId126" xr:uid="{00000000-0004-0000-0000-00007D000000}"/>
    <hyperlink ref="X135" r:id="rId127" xr:uid="{00000000-0004-0000-0000-00007E000000}"/>
    <hyperlink ref="X136" r:id="rId128" xr:uid="{00000000-0004-0000-0000-00007F000000}"/>
    <hyperlink ref="X137" r:id="rId129" xr:uid="{00000000-0004-0000-0000-000080000000}"/>
    <hyperlink ref="X138" r:id="rId130" xr:uid="{00000000-0004-0000-0000-000081000000}"/>
    <hyperlink ref="X139" r:id="rId131" xr:uid="{00000000-0004-0000-0000-000082000000}"/>
    <hyperlink ref="X140" r:id="rId132" xr:uid="{00000000-0004-0000-0000-000083000000}"/>
    <hyperlink ref="X141" r:id="rId133" xr:uid="{00000000-0004-0000-0000-000084000000}"/>
    <hyperlink ref="X142" r:id="rId134" xr:uid="{00000000-0004-0000-0000-000085000000}"/>
    <hyperlink ref="X143" r:id="rId135" xr:uid="{00000000-0004-0000-0000-000086000000}"/>
    <hyperlink ref="X144" r:id="rId136" xr:uid="{00000000-0004-0000-0000-000087000000}"/>
    <hyperlink ref="X145" r:id="rId137" xr:uid="{00000000-0004-0000-0000-000088000000}"/>
    <hyperlink ref="X146" r:id="rId138" xr:uid="{00000000-0004-0000-0000-000089000000}"/>
    <hyperlink ref="X147" r:id="rId139" xr:uid="{00000000-0004-0000-0000-00008A000000}"/>
    <hyperlink ref="X148" r:id="rId140" xr:uid="{00000000-0004-0000-0000-00008B000000}"/>
    <hyperlink ref="X149" r:id="rId141" xr:uid="{00000000-0004-0000-0000-00008C000000}"/>
    <hyperlink ref="X150" r:id="rId142" xr:uid="{00000000-0004-0000-0000-00008D000000}"/>
    <hyperlink ref="X151" r:id="rId143" xr:uid="{00000000-0004-0000-0000-00008E000000}"/>
    <hyperlink ref="X152" r:id="rId144" xr:uid="{00000000-0004-0000-0000-00008F000000}"/>
    <hyperlink ref="X153" r:id="rId145" xr:uid="{00000000-0004-0000-0000-000090000000}"/>
    <hyperlink ref="X154" r:id="rId146" xr:uid="{00000000-0004-0000-0000-000091000000}"/>
    <hyperlink ref="X155" r:id="rId147" xr:uid="{00000000-0004-0000-0000-000092000000}"/>
    <hyperlink ref="X156" r:id="rId148" xr:uid="{00000000-0004-0000-0000-000093000000}"/>
    <hyperlink ref="X157" r:id="rId149" xr:uid="{00000000-0004-0000-0000-000094000000}"/>
    <hyperlink ref="X158" r:id="rId150" xr:uid="{00000000-0004-0000-0000-000095000000}"/>
    <hyperlink ref="X159" r:id="rId151" xr:uid="{00000000-0004-0000-0000-000096000000}"/>
    <hyperlink ref="X160" r:id="rId152" xr:uid="{00000000-0004-0000-0000-000097000000}"/>
    <hyperlink ref="X161" r:id="rId153" xr:uid="{00000000-0004-0000-0000-000098000000}"/>
    <hyperlink ref="X162" r:id="rId154" xr:uid="{00000000-0004-0000-0000-000099000000}"/>
    <hyperlink ref="X163" r:id="rId155" xr:uid="{00000000-0004-0000-0000-00009A000000}"/>
    <hyperlink ref="X164" r:id="rId156" xr:uid="{00000000-0004-0000-0000-00009B000000}"/>
    <hyperlink ref="X165" r:id="rId157" xr:uid="{00000000-0004-0000-0000-00009C000000}"/>
    <hyperlink ref="X166" r:id="rId158" xr:uid="{00000000-0004-0000-0000-00009D000000}"/>
    <hyperlink ref="X167" r:id="rId159" xr:uid="{00000000-0004-0000-0000-00009E000000}"/>
    <hyperlink ref="X168" r:id="rId160" xr:uid="{00000000-0004-0000-0000-00009F000000}"/>
    <hyperlink ref="X169" r:id="rId161" xr:uid="{00000000-0004-0000-0000-0000A0000000}"/>
    <hyperlink ref="X170" r:id="rId162" xr:uid="{00000000-0004-0000-0000-0000A1000000}"/>
    <hyperlink ref="X171" r:id="rId163" xr:uid="{00000000-0004-0000-0000-0000A2000000}"/>
    <hyperlink ref="X172" r:id="rId164" xr:uid="{00000000-0004-0000-0000-0000A3000000}"/>
    <hyperlink ref="X173" r:id="rId165" xr:uid="{00000000-0004-0000-0000-0000A4000000}"/>
    <hyperlink ref="X174" r:id="rId166" xr:uid="{00000000-0004-0000-0000-0000A5000000}"/>
    <hyperlink ref="X177" r:id="rId167" xr:uid="{00000000-0004-0000-0000-0000A6000000}"/>
    <hyperlink ref="X178" r:id="rId168" xr:uid="{00000000-0004-0000-0000-0000A7000000}"/>
    <hyperlink ref="X181" r:id="rId169" xr:uid="{00000000-0004-0000-0000-0000A8000000}"/>
    <hyperlink ref="X188" r:id="rId170" xr:uid="{00000000-0004-0000-0000-0000A9000000}"/>
    <hyperlink ref="X189" r:id="rId171" xr:uid="{00000000-0004-0000-0000-0000AA000000}"/>
    <hyperlink ref="X190" r:id="rId172" xr:uid="{00000000-0004-0000-0000-0000AB000000}"/>
    <hyperlink ref="X191" r:id="rId173" xr:uid="{00000000-0004-0000-0000-0000AC000000}"/>
    <hyperlink ref="X192" r:id="rId174" xr:uid="{00000000-0004-0000-0000-0000AD000000}"/>
    <hyperlink ref="X193" r:id="rId175" xr:uid="{00000000-0004-0000-0000-0000AE000000}"/>
    <hyperlink ref="X194" r:id="rId176" xr:uid="{00000000-0004-0000-0000-0000AF000000}"/>
    <hyperlink ref="X195" r:id="rId177" xr:uid="{00000000-0004-0000-0000-0000B0000000}"/>
    <hyperlink ref="X196" r:id="rId178" xr:uid="{00000000-0004-0000-0000-0000B1000000}"/>
    <hyperlink ref="X197" r:id="rId179" xr:uid="{00000000-0004-0000-0000-0000B2000000}"/>
    <hyperlink ref="X198" r:id="rId180" xr:uid="{00000000-0004-0000-0000-0000B3000000}"/>
    <hyperlink ref="X199" r:id="rId181" xr:uid="{00000000-0004-0000-0000-0000B4000000}"/>
    <hyperlink ref="X200" r:id="rId182" xr:uid="{00000000-0004-0000-0000-0000B5000000}"/>
    <hyperlink ref="X201" r:id="rId183" xr:uid="{00000000-0004-0000-0000-0000B6000000}"/>
    <hyperlink ref="X202" r:id="rId184" xr:uid="{00000000-0004-0000-0000-0000B7000000}"/>
    <hyperlink ref="X203" r:id="rId185" xr:uid="{00000000-0004-0000-0000-0000B8000000}"/>
    <hyperlink ref="X204" r:id="rId186" xr:uid="{00000000-0004-0000-0000-0000B9000000}"/>
    <hyperlink ref="X205" r:id="rId187" xr:uid="{00000000-0004-0000-0000-0000BA000000}"/>
    <hyperlink ref="X206" r:id="rId188" xr:uid="{00000000-0004-0000-0000-0000BB000000}"/>
    <hyperlink ref="X207" r:id="rId189" xr:uid="{00000000-0004-0000-0000-0000BC000000}"/>
    <hyperlink ref="X208" r:id="rId190" xr:uid="{00000000-0004-0000-0000-0000BD000000}"/>
    <hyperlink ref="X209" r:id="rId191" xr:uid="{00000000-0004-0000-0000-0000BE000000}"/>
    <hyperlink ref="X210" r:id="rId192" xr:uid="{00000000-0004-0000-0000-0000BF000000}"/>
    <hyperlink ref="X211" r:id="rId193" xr:uid="{00000000-0004-0000-0000-0000C0000000}"/>
    <hyperlink ref="X212" r:id="rId194" xr:uid="{00000000-0004-0000-0000-0000C1000000}"/>
    <hyperlink ref="X213" r:id="rId195" xr:uid="{00000000-0004-0000-0000-0000C2000000}"/>
    <hyperlink ref="X214" r:id="rId196" xr:uid="{00000000-0004-0000-0000-0000C3000000}"/>
    <hyperlink ref="X215" r:id="rId197" xr:uid="{00000000-0004-0000-0000-0000C4000000}"/>
    <hyperlink ref="X216" r:id="rId198" xr:uid="{00000000-0004-0000-0000-0000C5000000}"/>
    <hyperlink ref="X217" r:id="rId199" xr:uid="{00000000-0004-0000-0000-0000C6000000}"/>
    <hyperlink ref="X218" r:id="rId200" xr:uid="{00000000-0004-0000-0000-0000C7000000}"/>
    <hyperlink ref="X219" r:id="rId201" xr:uid="{00000000-0004-0000-0000-0000C8000000}"/>
    <hyperlink ref="X220" r:id="rId202" xr:uid="{00000000-0004-0000-0000-0000C9000000}"/>
    <hyperlink ref="X221" r:id="rId203" xr:uid="{00000000-0004-0000-0000-0000CA000000}"/>
    <hyperlink ref="X222" r:id="rId204" xr:uid="{00000000-0004-0000-0000-0000CB000000}"/>
    <hyperlink ref="X223" r:id="rId205" xr:uid="{00000000-0004-0000-0000-0000CC000000}"/>
    <hyperlink ref="X224" r:id="rId206" xr:uid="{00000000-0004-0000-0000-0000CD000000}"/>
    <hyperlink ref="X225" r:id="rId207" xr:uid="{00000000-0004-0000-0000-0000CE000000}"/>
    <hyperlink ref="X226" r:id="rId208" xr:uid="{00000000-0004-0000-0000-0000CF000000}"/>
    <hyperlink ref="X227" r:id="rId209" xr:uid="{00000000-0004-0000-0000-0000D0000000}"/>
    <hyperlink ref="X228" r:id="rId210" xr:uid="{00000000-0004-0000-0000-0000D1000000}"/>
    <hyperlink ref="X229" r:id="rId211" xr:uid="{00000000-0004-0000-0000-0000D2000000}"/>
    <hyperlink ref="X230" r:id="rId212" xr:uid="{00000000-0004-0000-0000-0000D3000000}"/>
    <hyperlink ref="X231" r:id="rId213" xr:uid="{00000000-0004-0000-0000-0000D4000000}"/>
    <hyperlink ref="X232" r:id="rId214" xr:uid="{00000000-0004-0000-0000-0000D5000000}"/>
    <hyperlink ref="X233" r:id="rId215" xr:uid="{00000000-0004-0000-0000-0000D6000000}"/>
    <hyperlink ref="X234" r:id="rId216" xr:uid="{00000000-0004-0000-0000-0000D7000000}"/>
    <hyperlink ref="X235" r:id="rId217" xr:uid="{00000000-0004-0000-0000-0000D8000000}"/>
    <hyperlink ref="X236" r:id="rId218" xr:uid="{00000000-0004-0000-0000-0000D9000000}"/>
    <hyperlink ref="X237" r:id="rId219" xr:uid="{00000000-0004-0000-0000-0000DA000000}"/>
    <hyperlink ref="X238" r:id="rId220" xr:uid="{00000000-0004-0000-0000-0000DB000000}"/>
    <hyperlink ref="X239" r:id="rId221" xr:uid="{00000000-0004-0000-0000-0000DC000000}"/>
    <hyperlink ref="X240" r:id="rId222" xr:uid="{00000000-0004-0000-0000-0000DD000000}"/>
    <hyperlink ref="X241" r:id="rId223" xr:uid="{00000000-0004-0000-0000-0000DE000000}"/>
    <hyperlink ref="X242" r:id="rId224" xr:uid="{00000000-0004-0000-0000-0000DF000000}"/>
    <hyperlink ref="X243" r:id="rId225" xr:uid="{00000000-0004-0000-0000-0000E0000000}"/>
    <hyperlink ref="X244" r:id="rId226" xr:uid="{00000000-0004-0000-0000-0000E1000000}"/>
    <hyperlink ref="X245" r:id="rId227" xr:uid="{00000000-0004-0000-0000-0000E2000000}"/>
    <hyperlink ref="X246" r:id="rId228" xr:uid="{00000000-0004-0000-0000-0000E3000000}"/>
    <hyperlink ref="X247" r:id="rId229" xr:uid="{00000000-0004-0000-0000-0000E4000000}"/>
    <hyperlink ref="AF247" r:id="rId230" xr:uid="{00000000-0004-0000-0000-0000E5000000}"/>
    <hyperlink ref="X248" r:id="rId231" xr:uid="{00000000-0004-0000-0000-0000E6000000}"/>
    <hyperlink ref="X249" r:id="rId232" xr:uid="{00000000-0004-0000-0000-0000E7000000}"/>
    <hyperlink ref="X250" r:id="rId233" xr:uid="{00000000-0004-0000-0000-0000E8000000}"/>
    <hyperlink ref="X251" r:id="rId234" xr:uid="{00000000-0004-0000-0000-0000E9000000}"/>
    <hyperlink ref="X252" r:id="rId235" xr:uid="{00000000-0004-0000-0000-0000EA000000}"/>
    <hyperlink ref="X253" r:id="rId236" xr:uid="{00000000-0004-0000-0000-0000EB000000}"/>
    <hyperlink ref="X254" r:id="rId237" xr:uid="{00000000-0004-0000-0000-0000EC000000}"/>
    <hyperlink ref="X255" r:id="rId238" xr:uid="{00000000-0004-0000-0000-0000ED000000}"/>
    <hyperlink ref="X256" r:id="rId239" xr:uid="{00000000-0004-0000-0000-0000EE000000}"/>
    <hyperlink ref="X257" r:id="rId240" xr:uid="{00000000-0004-0000-0000-0000EF000000}"/>
    <hyperlink ref="X258" r:id="rId241" xr:uid="{00000000-0004-0000-0000-0000F0000000}"/>
    <hyperlink ref="X259" r:id="rId242" xr:uid="{00000000-0004-0000-0000-0000F1000000}"/>
    <hyperlink ref="X260" r:id="rId243" xr:uid="{00000000-0004-0000-0000-0000F2000000}"/>
    <hyperlink ref="X261" r:id="rId244" xr:uid="{00000000-0004-0000-0000-0000F3000000}"/>
    <hyperlink ref="X262" r:id="rId245" xr:uid="{00000000-0004-0000-0000-0000F4000000}"/>
    <hyperlink ref="X263" r:id="rId246" xr:uid="{00000000-0004-0000-0000-0000F5000000}"/>
    <hyperlink ref="X264" r:id="rId247" xr:uid="{00000000-0004-0000-0000-0000F6000000}"/>
    <hyperlink ref="X265" r:id="rId248" xr:uid="{00000000-0004-0000-0000-0000F7000000}"/>
    <hyperlink ref="X266" r:id="rId249" xr:uid="{00000000-0004-0000-0000-0000F8000000}"/>
    <hyperlink ref="X267" r:id="rId250" xr:uid="{00000000-0004-0000-0000-0000F9000000}"/>
    <hyperlink ref="X268" r:id="rId251" xr:uid="{00000000-0004-0000-0000-0000FA000000}"/>
    <hyperlink ref="X269" r:id="rId252" xr:uid="{00000000-0004-0000-0000-0000FB000000}"/>
    <hyperlink ref="X270" r:id="rId253" xr:uid="{00000000-0004-0000-0000-0000FC000000}"/>
    <hyperlink ref="X272" r:id="rId254" xr:uid="{00000000-0004-0000-0000-0000FD000000}"/>
    <hyperlink ref="X277" r:id="rId255" xr:uid="{00000000-0004-0000-0000-0000FE000000}"/>
    <hyperlink ref="X279" r:id="rId256" xr:uid="{00000000-0004-0000-0000-0000FF000000}"/>
    <hyperlink ref="X280" r:id="rId257" xr:uid="{00000000-0004-0000-0000-000000010000}"/>
    <hyperlink ref="X281" r:id="rId258" xr:uid="{00000000-0004-0000-0000-000001010000}"/>
    <hyperlink ref="X282" r:id="rId259" xr:uid="{00000000-0004-0000-0000-000002010000}"/>
    <hyperlink ref="X283" r:id="rId260" xr:uid="{00000000-0004-0000-0000-000003010000}"/>
    <hyperlink ref="X284" r:id="rId261" xr:uid="{00000000-0004-0000-0000-000004010000}"/>
    <hyperlink ref="X285" r:id="rId262" xr:uid="{00000000-0004-0000-0000-000005010000}"/>
    <hyperlink ref="X286" r:id="rId263" xr:uid="{00000000-0004-0000-0000-000006010000}"/>
    <hyperlink ref="X287" r:id="rId264" xr:uid="{00000000-0004-0000-0000-000007010000}"/>
    <hyperlink ref="X288" r:id="rId265" xr:uid="{00000000-0004-0000-0000-000008010000}"/>
    <hyperlink ref="X289" r:id="rId266" xr:uid="{00000000-0004-0000-0000-000009010000}"/>
    <hyperlink ref="X290" r:id="rId267" xr:uid="{00000000-0004-0000-0000-00000A010000}"/>
    <hyperlink ref="X291" r:id="rId268" xr:uid="{00000000-0004-0000-0000-00000B010000}"/>
    <hyperlink ref="X292" r:id="rId269" xr:uid="{00000000-0004-0000-0000-00000C010000}"/>
    <hyperlink ref="X293" r:id="rId270" xr:uid="{00000000-0004-0000-0000-00000D010000}"/>
    <hyperlink ref="X294" r:id="rId271" xr:uid="{00000000-0004-0000-0000-00000E010000}"/>
    <hyperlink ref="X295" r:id="rId272" xr:uid="{00000000-0004-0000-0000-00000F010000}"/>
    <hyperlink ref="X296" r:id="rId273" xr:uid="{00000000-0004-0000-0000-000010010000}"/>
    <hyperlink ref="X297" r:id="rId274" xr:uid="{00000000-0004-0000-0000-000011010000}"/>
    <hyperlink ref="X298" r:id="rId275" xr:uid="{00000000-0004-0000-0000-000012010000}"/>
    <hyperlink ref="X299" r:id="rId276" xr:uid="{00000000-0004-0000-0000-000013010000}"/>
    <hyperlink ref="X300" r:id="rId277" xr:uid="{00000000-0004-0000-0000-000014010000}"/>
    <hyperlink ref="X301" r:id="rId278" xr:uid="{00000000-0004-0000-0000-000015010000}"/>
    <hyperlink ref="X302" r:id="rId279" xr:uid="{00000000-0004-0000-0000-000016010000}"/>
    <hyperlink ref="X303" r:id="rId280" xr:uid="{00000000-0004-0000-0000-000017010000}"/>
    <hyperlink ref="X304" r:id="rId281" xr:uid="{00000000-0004-0000-0000-000018010000}"/>
    <hyperlink ref="X305" r:id="rId282" xr:uid="{00000000-0004-0000-0000-000019010000}"/>
    <hyperlink ref="X306" r:id="rId283" xr:uid="{00000000-0004-0000-0000-00001A010000}"/>
    <hyperlink ref="X307" r:id="rId284" xr:uid="{00000000-0004-0000-0000-00001B010000}"/>
    <hyperlink ref="X308" r:id="rId285" xr:uid="{00000000-0004-0000-0000-00001C010000}"/>
    <hyperlink ref="X309" r:id="rId286" xr:uid="{00000000-0004-0000-0000-00001D010000}"/>
    <hyperlink ref="X310" r:id="rId287" xr:uid="{00000000-0004-0000-0000-00001E010000}"/>
    <hyperlink ref="X311" r:id="rId288" xr:uid="{00000000-0004-0000-0000-00001F010000}"/>
    <hyperlink ref="X312" r:id="rId289" xr:uid="{00000000-0004-0000-0000-000020010000}"/>
    <hyperlink ref="X313" r:id="rId290" xr:uid="{00000000-0004-0000-0000-000021010000}"/>
    <hyperlink ref="X314" r:id="rId291" xr:uid="{00000000-0004-0000-0000-000022010000}"/>
    <hyperlink ref="X315" r:id="rId292" xr:uid="{00000000-0004-0000-0000-000023010000}"/>
    <hyperlink ref="X316" r:id="rId293" xr:uid="{00000000-0004-0000-0000-000024010000}"/>
    <hyperlink ref="X317" r:id="rId294" xr:uid="{00000000-0004-0000-0000-000025010000}"/>
    <hyperlink ref="X318" r:id="rId295" xr:uid="{00000000-0004-0000-0000-000026010000}"/>
    <hyperlink ref="X319" r:id="rId296" xr:uid="{00000000-0004-0000-0000-000027010000}"/>
    <hyperlink ref="X320" r:id="rId297" xr:uid="{00000000-0004-0000-0000-000028010000}"/>
    <hyperlink ref="X321" r:id="rId298" xr:uid="{00000000-0004-0000-0000-000029010000}"/>
    <hyperlink ref="X322" r:id="rId299" xr:uid="{00000000-0004-0000-0000-00002A010000}"/>
    <hyperlink ref="X323" r:id="rId300" xr:uid="{00000000-0004-0000-0000-00002B010000}"/>
    <hyperlink ref="X324" r:id="rId301" xr:uid="{00000000-0004-0000-0000-00002C010000}"/>
  </hyperlinks>
  <pageMargins left="0.7" right="0.7" top="0.75" bottom="0.75" header="0.3" footer="0.3"/>
  <legacyDrawing r:id="rId3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B2:I3"/>
  <sheetViews>
    <sheetView workbookViewId="0"/>
  </sheetViews>
  <sheetFormatPr defaultColWidth="14.3984375" defaultRowHeight="15.75" customHeight="1"/>
  <sheetData>
    <row r="2" spans="2:9" ht="15.75" customHeight="1">
      <c r="B2" s="86" t="s">
        <v>1908</v>
      </c>
      <c r="C2" s="86" t="s">
        <v>1909</v>
      </c>
      <c r="D2" s="86" t="s">
        <v>1910</v>
      </c>
      <c r="E2" s="86" t="s">
        <v>1911</v>
      </c>
      <c r="F2" s="86" t="s">
        <v>1912</v>
      </c>
      <c r="G2" s="86" t="s">
        <v>1913</v>
      </c>
      <c r="H2" s="86" t="s">
        <v>1914</v>
      </c>
      <c r="I2" s="86" t="s">
        <v>1915</v>
      </c>
    </row>
    <row r="3" spans="2:9" ht="15.75" customHeight="1">
      <c r="B3" s="86">
        <v>322</v>
      </c>
      <c r="C3" s="86">
        <f>COUNTIF('Scenario Naming'!AD2:AD1000, "done")</f>
        <v>322</v>
      </c>
      <c r="D3" s="87">
        <f>COUNTIF('Scenario Naming'!AD2:AD1000, "fixing")</f>
        <v>0</v>
      </c>
      <c r="E3" s="87">
        <f>COUNTIF('Scenario Naming'!AD2:AD1000, "reviewing")</f>
        <v>0</v>
      </c>
      <c r="F3" s="87">
        <f>COUNTIF('Scenario Naming'!AD2:AD1000, "committed")</f>
        <v>0</v>
      </c>
      <c r="G3" s="87">
        <f>COUNTIF('Scenario Naming'!AD2:AD1000, "skip")</f>
        <v>0</v>
      </c>
      <c r="H3" s="87">
        <f>COUNTIF('Scenario Naming'!AD2:AD1000, "delete")</f>
        <v>0</v>
      </c>
      <c r="I3" s="87">
        <f>B3-C3-D3-E3-F3-G3-H3</f>
        <v>0</v>
      </c>
    </row>
  </sheetData>
  <phoneticPr fontId="8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I212"/>
  <sheetViews>
    <sheetView workbookViewId="0"/>
  </sheetViews>
  <sheetFormatPr defaultColWidth="14.3984375" defaultRowHeight="15.75" customHeight="1"/>
  <cols>
    <col min="2" max="2" width="38.8984375" customWidth="1"/>
    <col min="3" max="3" width="20.3984375" customWidth="1"/>
    <col min="4" max="4" width="30.09765625" customWidth="1"/>
    <col min="5" max="7" width="21.59765625" customWidth="1"/>
    <col min="8" max="8" width="27.69921875" customWidth="1"/>
    <col min="9" max="12" width="21.59765625" customWidth="1"/>
    <col min="13" max="13" width="25.8984375" customWidth="1"/>
    <col min="14" max="21" width="21.59765625" customWidth="1"/>
  </cols>
  <sheetData>
    <row r="1" spans="1:35" ht="15.75" customHeight="1">
      <c r="A1" s="45"/>
      <c r="B1" s="88"/>
      <c r="C1" s="88"/>
      <c r="D1" s="45"/>
      <c r="E1" s="89"/>
      <c r="F1" s="89"/>
      <c r="G1" s="90"/>
      <c r="H1" s="90"/>
      <c r="I1" s="90"/>
      <c r="J1" s="90"/>
      <c r="K1" s="90"/>
      <c r="L1" s="90"/>
      <c r="M1" s="45"/>
      <c r="N1" s="90"/>
      <c r="O1" s="90"/>
      <c r="P1" s="90"/>
      <c r="Q1" s="90"/>
      <c r="R1" s="90"/>
      <c r="S1" s="90"/>
      <c r="T1" s="45"/>
      <c r="U1" s="45"/>
      <c r="V1" s="45"/>
      <c r="W1" s="45"/>
      <c r="X1" s="45"/>
      <c r="Y1" s="45"/>
      <c r="Z1" s="45"/>
      <c r="AA1" s="45"/>
      <c r="AB1" s="45"/>
      <c r="AC1" s="45"/>
      <c r="AD1" s="45"/>
      <c r="AE1" s="45"/>
      <c r="AF1" s="45"/>
      <c r="AG1" s="45"/>
      <c r="AH1" s="45"/>
      <c r="AI1" s="45"/>
    </row>
    <row r="2" spans="1:35" ht="15.75" customHeight="1">
      <c r="B2" s="91" t="str">
        <f ca="1">IFERROR(__xludf.DUMMYFUNCTION("ArrayFormula(QUERY('Scenario Naming'!$A2:$AD1000,""select S, count(S) where S != '' and AD != 'delete' group by S label count(S) 'Total Number'"",1))"),"Feature")</f>
        <v>Feature</v>
      </c>
      <c r="C2" s="91" t="str">
        <f ca="1">IFERROR(__xludf.DUMMYFUNCTION("""COMPUTED_VALUE"""),"Total Number")</f>
        <v>Total Number</v>
      </c>
      <c r="D2" s="25">
        <f ca="1">SUM(C3:C12)</f>
        <v>322</v>
      </c>
      <c r="E2" s="92" t="s">
        <v>10</v>
      </c>
      <c r="F2" s="92" t="s">
        <v>1908</v>
      </c>
      <c r="G2" s="93" t="s">
        <v>52</v>
      </c>
      <c r="H2" s="93" t="s">
        <v>221</v>
      </c>
      <c r="I2" s="93" t="s">
        <v>1394</v>
      </c>
      <c r="J2" s="93" t="s">
        <v>81</v>
      </c>
      <c r="K2" s="93" t="s">
        <v>307</v>
      </c>
      <c r="L2" s="93" t="s">
        <v>375</v>
      </c>
      <c r="N2" s="90"/>
      <c r="O2" s="90"/>
      <c r="P2" s="90"/>
      <c r="Q2" s="90"/>
      <c r="R2" s="90"/>
      <c r="S2" s="90"/>
    </row>
    <row r="3" spans="1:35" ht="15.75" customHeight="1">
      <c r="B3" s="25" t="str">
        <f ca="1">IFERROR(__xludf.DUMMYFUNCTION("""COMPUTED_VALUE"""),"Crosswalk")</f>
        <v>Crosswalk</v>
      </c>
      <c r="C3" s="94">
        <f ca="1">IFERROR(__xludf.DUMMYFUNCTION("""COMPUTED_VALUE"""),1)</f>
        <v>1</v>
      </c>
      <c r="E3" s="93" t="s">
        <v>85</v>
      </c>
      <c r="F3" s="95">
        <f>SUM(G3:L3)</f>
        <v>140</v>
      </c>
      <c r="G3" s="95">
        <f>COUNTIFS('Scenario Naming'!$S:$S, "Cut In",'Scenario Naming'!$I:$I, "Cross",'Scenario Naming'!$AD:$AD, "&lt;&gt;delete")</f>
        <v>21</v>
      </c>
      <c r="H3" s="96">
        <f>COUNTIFS('Scenario Naming'!$S:$S, "Cut In",'Scenario Naming'!$I:$I, "Curve",'Scenario Naming'!$AD:$AD, "&lt;&gt;delete")</f>
        <v>3</v>
      </c>
      <c r="I3" s="96">
        <f>COUNTIFS('Scenario Naming'!$S:$S, "Cut In",'Scenario Naming'!$I:$I, "Roundabout",'Scenario Naming'!$AD:$AD, "&lt;&gt;delete")</f>
        <v>1</v>
      </c>
      <c r="J3" s="96">
        <f>COUNTIFS('Scenario Naming'!$S:$S, "Cut In",'Scenario Naming'!$I:$I, "Straight",'Scenario Naming'!$AD:$AD, "&lt;&gt;delete")</f>
        <v>100</v>
      </c>
      <c r="K3" s="96">
        <f>COUNTIFS('Scenario Naming'!$S:$S, "Cut In",'Scenario Naming'!$I:$I, "T",'Scenario Naming'!$AD:$AD, "&lt;&gt;delete")</f>
        <v>11</v>
      </c>
      <c r="L3" s="96">
        <f>COUNTIFS('Scenario Naming'!$S:$S, "Cut In",'Scenario Naming'!$I:$I, "Y",'Scenario Naming'!$AD:$AD, "&lt;&gt;delete")</f>
        <v>4</v>
      </c>
      <c r="N3" s="45"/>
      <c r="O3" s="45"/>
      <c r="P3" s="45"/>
      <c r="Q3" s="45"/>
      <c r="R3" s="45"/>
      <c r="S3" s="45"/>
    </row>
    <row r="4" spans="1:35" ht="15.75" customHeight="1">
      <c r="B4" s="93" t="str">
        <f ca="1">IFERROR(__xludf.DUMMYFUNCTION("""COMPUTED_VALUE"""),"Cut In")</f>
        <v>Cut In</v>
      </c>
      <c r="C4" s="93">
        <f ca="1">IFERROR(__xludf.DUMMYFUNCTION("""COMPUTED_VALUE"""),140)</f>
        <v>140</v>
      </c>
      <c r="E4" s="92" t="s">
        <v>11</v>
      </c>
      <c r="F4" s="93"/>
      <c r="G4" s="93" t="s">
        <v>456</v>
      </c>
      <c r="H4" s="93" t="s">
        <v>127</v>
      </c>
      <c r="I4" s="93" t="s">
        <v>501</v>
      </c>
      <c r="J4" s="93" t="s">
        <v>107</v>
      </c>
      <c r="K4" s="93" t="s">
        <v>109</v>
      </c>
      <c r="L4" s="93" t="s">
        <v>53</v>
      </c>
      <c r="M4" s="92" t="s">
        <v>1916</v>
      </c>
      <c r="N4" s="92" t="s">
        <v>1917</v>
      </c>
      <c r="O4" s="45"/>
      <c r="P4" s="45"/>
      <c r="Q4" s="45"/>
      <c r="R4" s="45"/>
      <c r="S4" s="45"/>
    </row>
    <row r="5" spans="1:35" ht="15.75" customHeight="1">
      <c r="B5" s="97" t="str">
        <f ca="1">IFERROR(__xludf.DUMMYFUNCTION("""COMPUTED_VALUE"""),"Junction")</f>
        <v>Junction</v>
      </c>
      <c r="C5" s="97">
        <f ca="1">IFERROR(__xludf.DUMMYFUNCTION("""COMPUTED_VALUE"""),117)</f>
        <v>117</v>
      </c>
      <c r="E5" s="93" t="s">
        <v>85</v>
      </c>
      <c r="F5" s="96">
        <f>SUM(G5:L5)</f>
        <v>140</v>
      </c>
      <c r="G5" s="98">
        <f>COUNTIFS('Scenario Naming'!$S:$S, "Cut In",'Scenario Naming'!$J:$J, "Construction Zone")</f>
        <v>1</v>
      </c>
      <c r="H5" s="98">
        <f>COUNTIFS('Scenario Naming'!$S:$S, "Cut In",'Scenario Naming'!$J:$J, "Entrance")</f>
        <v>17</v>
      </c>
      <c r="I5" s="98">
        <f>COUNTIFS('Scenario Naming'!$S:$S, "Cut In",'Scenario Naming'!$J:$J, "Exit")</f>
        <v>18</v>
      </c>
      <c r="J5" s="99">
        <f>COUNTIFS('Scenario Naming'!$S:$S, "Cut In",'Scenario Naming'!$J:$J, "Gap")</f>
        <v>16</v>
      </c>
      <c r="K5" s="99">
        <f>COUNTIFS('Scenario Naming'!$S:$S, "Cut In",'Scenario Naming'!$J:$J, "Merge")</f>
        <v>6</v>
      </c>
      <c r="L5" s="96">
        <f>COUNTIFS('Scenario Naming'!$S:$S, "Cut In",'Scenario Naming'!$J:$J, "None")</f>
        <v>82</v>
      </c>
      <c r="M5" s="100">
        <f t="array" ref="M5">COUNTIFS('Scenario Naming'!$S:$S, "Cut In",'Scenario Naming'!$J:$J, "None",'Scenario Naming'!$I:$I, {"Straight","Curve"})</f>
        <v>64</v>
      </c>
      <c r="N5" s="101">
        <f>L5-M5</f>
        <v>18</v>
      </c>
    </row>
    <row r="6" spans="1:35" ht="15.75" customHeight="1">
      <c r="B6" s="25" t="str">
        <f ca="1">IFERROR(__xludf.DUMMYFUNCTION("""COMPUTED_VALUE"""),"Lane Change")</f>
        <v>Lane Change</v>
      </c>
      <c r="C6" s="94">
        <f ca="1">IFERROR(__xludf.DUMMYFUNCTION("""COMPUTED_VALUE"""),2)</f>
        <v>2</v>
      </c>
    </row>
    <row r="7" spans="1:35" ht="15.75" customHeight="1">
      <c r="B7" s="25" t="str">
        <f ca="1">IFERROR(__xludf.DUMMYFUNCTION("""COMPUTED_VALUE"""),"Lane Follow")</f>
        <v>Lane Follow</v>
      </c>
      <c r="C7" s="94">
        <f ca="1">IFERROR(__xludf.DUMMYFUNCTION("""COMPUTED_VALUE"""),31)</f>
        <v>31</v>
      </c>
      <c r="E7" s="97" t="s">
        <v>17</v>
      </c>
      <c r="F7" s="97" t="s">
        <v>1908</v>
      </c>
      <c r="G7" s="97" t="s">
        <v>422</v>
      </c>
      <c r="H7" s="97" t="s">
        <v>137</v>
      </c>
      <c r="I7" s="97" t="s">
        <v>52</v>
      </c>
      <c r="J7" s="97" t="s">
        <v>85</v>
      </c>
      <c r="K7" s="97" t="s">
        <v>501</v>
      </c>
      <c r="L7" s="97" t="s">
        <v>59</v>
      </c>
      <c r="M7" s="97" t="s">
        <v>194</v>
      </c>
      <c r="N7" s="97" t="s">
        <v>348</v>
      </c>
      <c r="O7" s="97" t="s">
        <v>109</v>
      </c>
      <c r="P7" s="97" t="s">
        <v>294</v>
      </c>
      <c r="Q7" s="97" t="s">
        <v>537</v>
      </c>
      <c r="R7" s="97" t="s">
        <v>57</v>
      </c>
      <c r="S7" s="97" t="s">
        <v>624</v>
      </c>
      <c r="T7" s="97" t="s">
        <v>108</v>
      </c>
      <c r="U7" s="97" t="s">
        <v>293</v>
      </c>
    </row>
    <row r="8" spans="1:35" ht="15.75" customHeight="1">
      <c r="B8" s="25" t="str">
        <f ca="1">IFERROR(__xludf.DUMMYFUNCTION("""COMPUTED_VALUE"""),"Merge")</f>
        <v>Merge</v>
      </c>
      <c r="C8" s="102">
        <f ca="1">IFERROR(__xludf.DUMMYFUNCTION("""COMPUTED_VALUE"""),13)</f>
        <v>13</v>
      </c>
      <c r="E8" s="103" t="s">
        <v>61</v>
      </c>
      <c r="F8" s="96">
        <f>SUM(G8:U8)</f>
        <v>117</v>
      </c>
      <c r="G8" s="104">
        <f>COUNTIFS('Scenario Naming'!$S:$S, "Junction",'Scenario Naming'!$P:$P, "Borrow Lane")</f>
        <v>2</v>
      </c>
      <c r="H8" s="105">
        <f>COUNTIFS('Scenario Naming'!$S:$S, "Junction",'Scenario Naming'!$P:$P, "Continuous Lane Change")</f>
        <v>2</v>
      </c>
      <c r="I8" s="105">
        <f>COUNTIFS('Scenario Naming'!$S:$S, "Junction",'Scenario Naming'!$P:$P, "Cross")</f>
        <v>9</v>
      </c>
      <c r="J8" s="105">
        <f>COUNTIFS('Scenario Naming'!$S:$S, "Junction",'Scenario Naming'!$P:$P, "Cut In")</f>
        <v>8</v>
      </c>
      <c r="K8" s="105">
        <f>COUNTIFS('Scenario Naming'!$S:$S, "Junction",'Scenario Naming'!$P:$P, "Exit")</f>
        <v>0</v>
      </c>
      <c r="L8" s="105">
        <f>COUNTIFS('Scenario Naming'!$S:$S, "Junction",'Scenario Naming'!$P:$P, "Going Straight")</f>
        <v>35</v>
      </c>
      <c r="M8" s="105">
        <f>COUNTIFS('Scenario Naming'!$S:$S, "Junction",'Scenario Naming'!$P:$P, "Lane Change")</f>
        <v>1</v>
      </c>
      <c r="N8" s="106">
        <f>COUNTIFS('Scenario Naming'!$S:$S, "Junction",'Scenario Naming'!$P:$P, "Left Turn")</f>
        <v>31</v>
      </c>
      <c r="O8" s="105">
        <f>COUNTIFS('Scenario Naming'!$S:$S, "Junction",'Scenario Naming'!$P:$P, "Merge")</f>
        <v>4</v>
      </c>
      <c r="P8" s="105">
        <f>COUNTIFS('Scenario Naming'!$S:$S, "Junction",'Scenario Naming'!$P:$P, "Nudge")</f>
        <v>0</v>
      </c>
      <c r="Q8" s="106">
        <f>COUNTIFS('Scenario Naming'!$S:$S, "Junction",'Scenario Naming'!$P:$P, "Pull Out")</f>
        <v>1</v>
      </c>
      <c r="R8" s="106">
        <f>COUNTIFS('Scenario Naming'!$S:$S, "Junction",'Scenario Naming'!$P:$P, "Right Turn")</f>
        <v>12</v>
      </c>
      <c r="S8" s="106">
        <f>COUNTIFS('Scenario Naming'!$S:$S, "Junction",'Scenario Naming'!$P:$P, "Stopped in Traffic Lane")</f>
        <v>0</v>
      </c>
      <c r="T8" s="106">
        <f>COUNTIFS('Scenario Naming'!$S:$S, "Junction",'Scenario Naming'!$P:$P, "U Turn")</f>
        <v>11</v>
      </c>
      <c r="U8" s="106">
        <f>COUNTIFS('Scenario Naming'!$S:$S, "Junction",'Scenario Naming'!$P:$P, "Wrong-way Driving")</f>
        <v>1</v>
      </c>
    </row>
    <row r="9" spans="1:35" ht="15.75" customHeight="1">
      <c r="B9" s="25" t="str">
        <f ca="1">IFERROR(__xludf.DUMMYFUNCTION("""COMPUTED_VALUE"""),"Nudge")</f>
        <v>Nudge</v>
      </c>
      <c r="C9" s="101">
        <f ca="1">IFERROR(__xludf.DUMMYFUNCTION("""COMPUTED_VALUE"""),13)</f>
        <v>13</v>
      </c>
      <c r="M9" s="22" t="s">
        <v>1918</v>
      </c>
    </row>
    <row r="10" spans="1:35" ht="15.75" customHeight="1">
      <c r="B10" s="25" t="str">
        <f ca="1">IFERROR(__xludf.DUMMYFUNCTION("""COMPUTED_VALUE"""),"Pull Out")</f>
        <v>Pull Out</v>
      </c>
      <c r="C10" s="94">
        <f ca="1">IFERROR(__xludf.DUMMYFUNCTION("""COMPUTED_VALUE"""),2)</f>
        <v>2</v>
      </c>
      <c r="E10" s="107" t="s">
        <v>31</v>
      </c>
    </row>
    <row r="11" spans="1:35" ht="15.75" customHeight="1">
      <c r="B11" s="25" t="str">
        <f ca="1">IFERROR(__xludf.DUMMYFUNCTION("""COMPUTED_VALUE"""),"Side Pass")</f>
        <v>Side Pass</v>
      </c>
      <c r="C11" s="94">
        <f ca="1">IFERROR(__xludf.DUMMYFUNCTION("""COMPUTED_VALUE"""),2)</f>
        <v>2</v>
      </c>
      <c r="E11" s="108" t="s">
        <v>1919</v>
      </c>
      <c r="F11" s="47" t="s">
        <v>1920</v>
      </c>
      <c r="G11" s="22">
        <v>61</v>
      </c>
      <c r="H11" s="22" t="s">
        <v>1921</v>
      </c>
    </row>
    <row r="12" spans="1:35" ht="15.75" customHeight="1">
      <c r="B12" s="25" t="str">
        <f ca="1">IFERROR(__xludf.DUMMYFUNCTION("""COMPUTED_VALUE"""),"Traffic Light")</f>
        <v>Traffic Light</v>
      </c>
      <c r="C12" s="94">
        <f ca="1">IFERROR(__xludf.DUMMYFUNCTION("""COMPUTED_VALUE"""),1)</f>
        <v>1</v>
      </c>
      <c r="E12" s="108" t="s">
        <v>1922</v>
      </c>
      <c r="F12" s="6" t="s">
        <v>1923</v>
      </c>
      <c r="G12" s="22">
        <v>56</v>
      </c>
      <c r="H12" s="22" t="s">
        <v>1921</v>
      </c>
    </row>
    <row r="13" spans="1:35" ht="15.75" customHeight="1">
      <c r="E13" s="108" t="s">
        <v>669</v>
      </c>
      <c r="F13" s="109" t="s">
        <v>1924</v>
      </c>
      <c r="G13" s="22">
        <v>64</v>
      </c>
      <c r="H13" s="22" t="s">
        <v>1925</v>
      </c>
    </row>
    <row r="14" spans="1:35" ht="15.75" customHeight="1">
      <c r="E14" s="96"/>
      <c r="F14" s="110" t="s">
        <v>1926</v>
      </c>
      <c r="G14" s="22">
        <v>53</v>
      </c>
      <c r="H14" s="22" t="s">
        <v>1927</v>
      </c>
    </row>
    <row r="15" spans="1:35" ht="15.75" customHeight="1">
      <c r="B15" s="91" t="str">
        <f ca="1">IFERROR(__xludf.DUMMYFUNCTION("ArrayFormula(QUERY(#REF!,""select T, count(T) where T != '' and AD != 'delete' group by T label count(T) 'Total Number'"",1))"),"#REF!")</f>
        <v>#REF!</v>
      </c>
      <c r="C15" s="91"/>
      <c r="E15" s="96"/>
      <c r="F15" s="111" t="s">
        <v>1928</v>
      </c>
      <c r="G15" s="22">
        <v>49</v>
      </c>
      <c r="H15" s="22" t="s">
        <v>1929</v>
      </c>
    </row>
    <row r="16" spans="1:35" ht="15.75" customHeight="1">
      <c r="E16" s="96"/>
      <c r="F16" s="112" t="s">
        <v>1930</v>
      </c>
      <c r="G16" s="22">
        <v>39</v>
      </c>
      <c r="H16" s="22" t="s">
        <v>1931</v>
      </c>
    </row>
    <row r="20" spans="2:9" ht="15.75" customHeight="1">
      <c r="H20" s="113"/>
    </row>
    <row r="23" spans="2:9" ht="15.75" customHeight="1">
      <c r="B23" s="91" t="str">
        <f ca="1">IFERROR(__xludf.DUMMYFUNCTION("ArrayFormula(QUERY('Scenario Naming'!A2:AD1000,""select F, count(F) where F != '' and AD != 'delete' group by F label count(F) 'Total Number'"",1))"),"Initial Point of Impact")</f>
        <v>Initial Point of Impact</v>
      </c>
      <c r="C23" s="91" t="str">
        <f ca="1">IFERROR(__xludf.DUMMYFUNCTION("""COMPUTED_VALUE"""),"Total Number")</f>
        <v>Total Number</v>
      </c>
      <c r="D23" s="25">
        <f ca="1">SUM(C24:C30)</f>
        <v>322</v>
      </c>
    </row>
    <row r="24" spans="2:9" ht="15.75" customHeight="1">
      <c r="B24" s="25" t="str">
        <f ca="1">IFERROR(__xludf.DUMMYFUNCTION("""COMPUTED_VALUE"""),"Front")</f>
        <v>Front</v>
      </c>
      <c r="C24" s="25">
        <f ca="1">IFERROR(__xludf.DUMMYFUNCTION("""COMPUTED_VALUE"""),44)</f>
        <v>44</v>
      </c>
    </row>
    <row r="25" spans="2:9" ht="13">
      <c r="B25" s="25" t="str">
        <f ca="1">IFERROR(__xludf.DUMMYFUNCTION("""COMPUTED_VALUE"""),"Left Front")</f>
        <v>Left Front</v>
      </c>
      <c r="C25" s="25">
        <f ca="1">IFERROR(__xludf.DUMMYFUNCTION("""COMPUTED_VALUE"""),95)</f>
        <v>95</v>
      </c>
    </row>
    <row r="26" spans="2:9" ht="13">
      <c r="B26" s="25" t="str">
        <f ca="1">IFERROR(__xludf.DUMMYFUNCTION("""COMPUTED_VALUE"""),"Left Rear")</f>
        <v>Left Rear</v>
      </c>
      <c r="C26" s="25">
        <f ca="1">IFERROR(__xludf.DUMMYFUNCTION("""COMPUTED_VALUE"""),16)</f>
        <v>16</v>
      </c>
    </row>
    <row r="27" spans="2:9" ht="16.5">
      <c r="B27" s="25" t="str">
        <f ca="1">IFERROR(__xludf.DUMMYFUNCTION("""COMPUTED_VALUE"""),"Noncollision")</f>
        <v>Noncollision</v>
      </c>
      <c r="C27" s="25">
        <f ca="1">IFERROR(__xludf.DUMMYFUNCTION("""COMPUTED_VALUE"""),31)</f>
        <v>31</v>
      </c>
      <c r="D27" s="113"/>
    </row>
    <row r="28" spans="2:9" ht="13">
      <c r="B28" s="25" t="str">
        <f ca="1">IFERROR(__xludf.DUMMYFUNCTION("""COMPUTED_VALUE"""),"Rear")</f>
        <v>Rear</v>
      </c>
      <c r="C28" s="25">
        <f ca="1">IFERROR(__xludf.DUMMYFUNCTION("""COMPUTED_VALUE"""),3)</f>
        <v>3</v>
      </c>
    </row>
    <row r="29" spans="2:9" ht="16.5">
      <c r="B29" s="25" t="str">
        <f ca="1">IFERROR(__xludf.DUMMYFUNCTION("""COMPUTED_VALUE"""),"Right Front")</f>
        <v>Right Front</v>
      </c>
      <c r="C29" s="25">
        <f ca="1">IFERROR(__xludf.DUMMYFUNCTION("""COMPUTED_VALUE"""),120)</f>
        <v>120</v>
      </c>
      <c r="I29" s="113"/>
    </row>
    <row r="30" spans="2:9" ht="13">
      <c r="B30" s="25" t="str">
        <f ca="1">IFERROR(__xludf.DUMMYFUNCTION("""COMPUTED_VALUE"""),"Right Rear")</f>
        <v>Right Rear</v>
      </c>
      <c r="C30" s="25">
        <f ca="1">IFERROR(__xludf.DUMMYFUNCTION("""COMPUTED_VALUE"""),13)</f>
        <v>13</v>
      </c>
    </row>
    <row r="33" spans="2:4" ht="13">
      <c r="B33" s="91" t="str">
        <f ca="1">IFERROR(__xludf.DUMMYFUNCTION("ArrayFormula(QUERY('Scenario Naming'!A2:AD1000,""select G, count(G) where G != '' and AD != 'delete' group by G label count(G) 'Total Number'"",1))"),"Collision Risk Type")</f>
        <v>Collision Risk Type</v>
      </c>
      <c r="C33" s="91" t="str">
        <f ca="1">IFERROR(__xludf.DUMMYFUNCTION("""COMPUTED_VALUE"""),"Total Number")</f>
        <v>Total Number</v>
      </c>
      <c r="D33" s="25">
        <f ca="1">SUM(C34:C40)</f>
        <v>322</v>
      </c>
    </row>
    <row r="34" spans="2:4" ht="13">
      <c r="B34" s="25" t="str">
        <f ca="1">IFERROR(__xludf.DUMMYFUNCTION("""COMPUTED_VALUE"""),"Bicycle")</f>
        <v>Bicycle</v>
      </c>
      <c r="C34" s="25">
        <f ca="1">IFERROR(__xludf.DUMMYFUNCTION("""COMPUTED_VALUE"""),1)</f>
        <v>1</v>
      </c>
    </row>
    <row r="35" spans="2:4" ht="13">
      <c r="B35" s="25" t="str">
        <f ca="1">IFERROR(__xludf.DUMMYFUNCTION("""COMPUTED_VALUE"""),"Cones")</f>
        <v>Cones</v>
      </c>
      <c r="C35" s="25">
        <f ca="1">IFERROR(__xludf.DUMMYFUNCTION("""COMPUTED_VALUE"""),1)</f>
        <v>1</v>
      </c>
    </row>
    <row r="36" spans="2:4" ht="13">
      <c r="B36" s="25" t="str">
        <f ca="1">IFERROR(__xludf.DUMMYFUNCTION("""COMPUTED_VALUE"""),"Double Vehicle")</f>
        <v>Double Vehicle</v>
      </c>
      <c r="C36" s="25">
        <f ca="1">IFERROR(__xludf.DUMMYFUNCTION("""COMPUTED_VALUE"""),241)</f>
        <v>241</v>
      </c>
    </row>
    <row r="37" spans="2:4" ht="13">
      <c r="B37" s="25" t="str">
        <f ca="1">IFERROR(__xludf.DUMMYFUNCTION("""COMPUTED_VALUE"""),"Multiple Vehicle")</f>
        <v>Multiple Vehicle</v>
      </c>
      <c r="C37" s="25">
        <f ca="1">IFERROR(__xludf.DUMMYFUNCTION("""COMPUTED_VALUE"""),74)</f>
        <v>74</v>
      </c>
    </row>
    <row r="38" spans="2:4" ht="13">
      <c r="B38" s="25" t="str">
        <f ca="1">IFERROR(__xludf.DUMMYFUNCTION("""COMPUTED_VALUE"""),"None")</f>
        <v>None</v>
      </c>
      <c r="C38" s="25">
        <f ca="1">IFERROR(__xludf.DUMMYFUNCTION("""COMPUTED_VALUE"""),1)</f>
        <v>1</v>
      </c>
    </row>
    <row r="39" spans="2:4" ht="13">
      <c r="B39" s="25" t="str">
        <f ca="1">IFERROR(__xludf.DUMMYFUNCTION("""COMPUTED_VALUE"""),"Tricycle")</f>
        <v>Tricycle</v>
      </c>
      <c r="C39" s="25">
        <f ca="1">IFERROR(__xludf.DUMMYFUNCTION("""COMPUTED_VALUE"""),3)</f>
        <v>3</v>
      </c>
    </row>
    <row r="40" spans="2:4" ht="13">
      <c r="B40" s="25" t="str">
        <f ca="1">IFERROR(__xludf.DUMMYFUNCTION("""COMPUTED_VALUE"""),"Vehicle and Non-Vehicle")</f>
        <v>Vehicle and Non-Vehicle</v>
      </c>
      <c r="C40" s="25">
        <f ca="1">IFERROR(__xludf.DUMMYFUNCTION("""COMPUTED_VALUE"""),1)</f>
        <v>1</v>
      </c>
    </row>
    <row r="43" spans="2:4" ht="13">
      <c r="B43" s="91" t="str">
        <f ca="1">IFERROR(__xludf.DUMMYFUNCTION("ArrayFormula(QUERY('Scenario Naming'!A2:AD1000,""select H, count(H) where H != '' and AD != 'delete' group by H label count(H) 'Total Number'"",1))"),"Land Use")</f>
        <v>Land Use</v>
      </c>
      <c r="C43" s="91" t="str">
        <f ca="1">IFERROR(__xludf.DUMMYFUNCTION("""COMPUTED_VALUE"""),"Total Number")</f>
        <v>Total Number</v>
      </c>
      <c r="D43" s="25">
        <f ca="1">SUM(C44:C52)</f>
        <v>322</v>
      </c>
    </row>
    <row r="44" spans="2:4" ht="13">
      <c r="B44" s="25" t="str">
        <f ca="1">IFERROR(__xludf.DUMMYFUNCTION("""COMPUTED_VALUE"""),"Branch")</f>
        <v>Branch</v>
      </c>
      <c r="C44" s="25">
        <f ca="1">IFERROR(__xludf.DUMMYFUNCTION("""COMPUTED_VALUE"""),17)</f>
        <v>17</v>
      </c>
    </row>
    <row r="45" spans="2:4" ht="13">
      <c r="B45" s="25" t="str">
        <f ca="1">IFERROR(__xludf.DUMMYFUNCTION("""COMPUTED_VALUE"""),"Express")</f>
        <v>Express</v>
      </c>
      <c r="C45" s="25">
        <f ca="1">IFERROR(__xludf.DUMMYFUNCTION("""COMPUTED_VALUE"""),22)</f>
        <v>22</v>
      </c>
    </row>
    <row r="46" spans="2:4" ht="13">
      <c r="B46" s="25" t="str">
        <f ca="1">IFERROR(__xludf.DUMMYFUNCTION("""COMPUTED_VALUE"""),"Frontage Road")</f>
        <v>Frontage Road</v>
      </c>
      <c r="C46" s="25">
        <f ca="1">IFERROR(__xludf.DUMMYFUNCTION("""COMPUTED_VALUE"""),2)</f>
        <v>2</v>
      </c>
    </row>
    <row r="47" spans="2:4" ht="13">
      <c r="B47" s="25" t="str">
        <f ca="1">IFERROR(__xludf.DUMMYFUNCTION("""COMPUTED_VALUE"""),"Highway")</f>
        <v>Highway</v>
      </c>
      <c r="C47" s="25">
        <f ca="1">IFERROR(__xludf.DUMMYFUNCTION("""COMPUTED_VALUE"""),18)</f>
        <v>18</v>
      </c>
    </row>
    <row r="48" spans="2:4" ht="13">
      <c r="B48" s="25" t="str">
        <f ca="1">IFERROR(__xludf.DUMMYFUNCTION("""COMPUTED_VALUE"""),"Minor Arterial")</f>
        <v>Minor Arterial</v>
      </c>
      <c r="C48" s="25">
        <f ca="1">IFERROR(__xludf.DUMMYFUNCTION("""COMPUTED_VALUE"""),135)</f>
        <v>135</v>
      </c>
    </row>
    <row r="49" spans="2:4" ht="13">
      <c r="B49" s="25" t="str">
        <f ca="1">IFERROR(__xludf.DUMMYFUNCTION("""COMPUTED_VALUE"""),"Principal Arterial")</f>
        <v>Principal Arterial</v>
      </c>
      <c r="C49" s="25">
        <f ca="1">IFERROR(__xludf.DUMMYFUNCTION("""COMPUTED_VALUE"""),120)</f>
        <v>120</v>
      </c>
    </row>
    <row r="50" spans="2:4" ht="13">
      <c r="B50" s="25" t="str">
        <f ca="1">IFERROR(__xludf.DUMMYFUNCTION("""COMPUTED_VALUE"""),"Rural")</f>
        <v>Rural</v>
      </c>
      <c r="C50" s="25">
        <f ca="1">IFERROR(__xludf.DUMMYFUNCTION("""COMPUTED_VALUE"""),5)</f>
        <v>5</v>
      </c>
    </row>
    <row r="51" spans="2:4" ht="13">
      <c r="B51" s="25" t="str">
        <f ca="1">IFERROR(__xludf.DUMMYFUNCTION("""COMPUTED_VALUE"""),"Side Road")</f>
        <v>Side Road</v>
      </c>
      <c r="C51" s="25">
        <f ca="1">IFERROR(__xludf.DUMMYFUNCTION("""COMPUTED_VALUE"""),3)</f>
        <v>3</v>
      </c>
    </row>
    <row r="52" spans="2:4" ht="13">
      <c r="B52" s="46"/>
      <c r="C52" s="46"/>
    </row>
    <row r="55" spans="2:4" ht="13">
      <c r="B55" s="91" t="str">
        <f ca="1">IFERROR(__xludf.DUMMYFUNCTION("ArrayFormula(QUERY('Scenario Naming'!A2:AD1000,""select I, count(I) where I != '' and AD != 'delete' group by I label count(I) 'Total Number'"",1))"),"Road Shape")</f>
        <v>Road Shape</v>
      </c>
      <c r="C55" s="91" t="str">
        <f ca="1">IFERROR(__xludf.DUMMYFUNCTION("""COMPUTED_VALUE"""),"Total Number")</f>
        <v>Total Number</v>
      </c>
      <c r="D55" s="25">
        <f ca="1">SUM(C56:C61)</f>
        <v>322</v>
      </c>
    </row>
    <row r="56" spans="2:4" ht="13">
      <c r="B56" s="25" t="str">
        <f ca="1">IFERROR(__xludf.DUMMYFUNCTION("""COMPUTED_VALUE"""),"Cross")</f>
        <v>Cross</v>
      </c>
      <c r="C56" s="25">
        <f ca="1">IFERROR(__xludf.DUMMYFUNCTION("""COMPUTED_VALUE"""),93)</f>
        <v>93</v>
      </c>
    </row>
    <row r="57" spans="2:4" ht="13">
      <c r="B57" s="25" t="str">
        <f ca="1">IFERROR(__xludf.DUMMYFUNCTION("""COMPUTED_VALUE"""),"Curve")</f>
        <v>Curve</v>
      </c>
      <c r="C57" s="25">
        <f ca="1">IFERROR(__xludf.DUMMYFUNCTION("""COMPUTED_VALUE"""),9)</f>
        <v>9</v>
      </c>
    </row>
    <row r="58" spans="2:4" ht="13">
      <c r="B58" s="25" t="str">
        <f ca="1">IFERROR(__xludf.DUMMYFUNCTION("""COMPUTED_VALUE"""),"Roundabout")</f>
        <v>Roundabout</v>
      </c>
      <c r="C58" s="25">
        <f ca="1">IFERROR(__xludf.DUMMYFUNCTION("""COMPUTED_VALUE"""),2)</f>
        <v>2</v>
      </c>
    </row>
    <row r="59" spans="2:4" ht="13">
      <c r="B59" s="25" t="str">
        <f ca="1">IFERROR(__xludf.DUMMYFUNCTION("""COMPUTED_VALUE"""),"Straight")</f>
        <v>Straight</v>
      </c>
      <c r="C59" s="25">
        <f ca="1">IFERROR(__xludf.DUMMYFUNCTION("""COMPUTED_VALUE"""),155)</f>
        <v>155</v>
      </c>
    </row>
    <row r="60" spans="2:4" ht="13">
      <c r="B60" s="25" t="str">
        <f ca="1">IFERROR(__xludf.DUMMYFUNCTION("""COMPUTED_VALUE"""),"T")</f>
        <v>T</v>
      </c>
      <c r="C60" s="25">
        <f ca="1">IFERROR(__xludf.DUMMYFUNCTION("""COMPUTED_VALUE"""),59)</f>
        <v>59</v>
      </c>
    </row>
    <row r="61" spans="2:4" ht="13">
      <c r="B61" s="25" t="str">
        <f ca="1">IFERROR(__xludf.DUMMYFUNCTION("""COMPUTED_VALUE"""),"Y")</f>
        <v>Y</v>
      </c>
      <c r="C61" s="25">
        <f ca="1">IFERROR(__xludf.DUMMYFUNCTION("""COMPUTED_VALUE"""),4)</f>
        <v>4</v>
      </c>
    </row>
    <row r="64" spans="2:4" ht="13">
      <c r="B64" s="91" t="str">
        <f ca="1">IFERROR(__xludf.DUMMYFUNCTION("ArrayFormula(QUERY('Scenario Naming'!A2:AD1000,""select J, count(J) where J != '' and AD != 'delete' group by J label count(J) 'Total Number'"",1))"),"Road Position")</f>
        <v>Road Position</v>
      </c>
      <c r="C64" s="91" t="str">
        <f ca="1">IFERROR(__xludf.DUMMYFUNCTION("""COMPUTED_VALUE"""),"Total Number")</f>
        <v>Total Number</v>
      </c>
      <c r="D64" s="25">
        <f ca="1">SUM(C65:C70)</f>
        <v>322</v>
      </c>
    </row>
    <row r="65" spans="2:4" ht="13">
      <c r="B65" s="25" t="str">
        <f ca="1">IFERROR(__xludf.DUMMYFUNCTION("""COMPUTED_VALUE"""),"Construction Zone")</f>
        <v>Construction Zone</v>
      </c>
      <c r="C65" s="25">
        <f ca="1">IFERROR(__xludf.DUMMYFUNCTION("""COMPUTED_VALUE"""),2)</f>
        <v>2</v>
      </c>
    </row>
    <row r="66" spans="2:4" ht="13">
      <c r="B66" s="25" t="str">
        <f ca="1">IFERROR(__xludf.DUMMYFUNCTION("""COMPUTED_VALUE"""),"Entrance")</f>
        <v>Entrance</v>
      </c>
      <c r="C66" s="25">
        <f ca="1">IFERROR(__xludf.DUMMYFUNCTION("""COMPUTED_VALUE"""),33)</f>
        <v>33</v>
      </c>
    </row>
    <row r="67" spans="2:4" ht="13">
      <c r="B67" s="25" t="str">
        <f ca="1">IFERROR(__xludf.DUMMYFUNCTION("""COMPUTED_VALUE"""),"Exit")</f>
        <v>Exit</v>
      </c>
      <c r="C67" s="25">
        <f ca="1">IFERROR(__xludf.DUMMYFUNCTION("""COMPUTED_VALUE"""),29)</f>
        <v>29</v>
      </c>
    </row>
    <row r="68" spans="2:4" ht="13">
      <c r="B68" s="25" t="str">
        <f ca="1">IFERROR(__xludf.DUMMYFUNCTION("""COMPUTED_VALUE"""),"Gap")</f>
        <v>Gap</v>
      </c>
      <c r="C68" s="25">
        <f ca="1">IFERROR(__xludf.DUMMYFUNCTION("""COMPUTED_VALUE"""),40)</f>
        <v>40</v>
      </c>
    </row>
    <row r="69" spans="2:4" ht="13">
      <c r="B69" s="25" t="str">
        <f ca="1">IFERROR(__xludf.DUMMYFUNCTION("""COMPUTED_VALUE"""),"Merge")</f>
        <v>Merge</v>
      </c>
      <c r="C69" s="25">
        <f ca="1">IFERROR(__xludf.DUMMYFUNCTION("""COMPUTED_VALUE"""),10)</f>
        <v>10</v>
      </c>
    </row>
    <row r="70" spans="2:4" ht="13">
      <c r="B70" s="25" t="str">
        <f ca="1">IFERROR(__xludf.DUMMYFUNCTION("""COMPUTED_VALUE"""),"None")</f>
        <v>None</v>
      </c>
      <c r="C70" s="25">
        <f ca="1">IFERROR(__xludf.DUMMYFUNCTION("""COMPUTED_VALUE"""),208)</f>
        <v>208</v>
      </c>
    </row>
    <row r="73" spans="2:4" ht="13">
      <c r="B73" s="91" t="str">
        <f ca="1">IFERROR(__xludf.DUMMYFUNCTION("ArrayFormula(QUERY('Scenario Naming'!A2:AD1000,""select K, count(K) where K != '' and AD != 'delete' group by K label count(K) 'Total Number'"",1))"),"Number of Lanes")</f>
        <v>Number of Lanes</v>
      </c>
      <c r="C73" s="91" t="str">
        <f ca="1">IFERROR(__xludf.DUMMYFUNCTION("""COMPUTED_VALUE"""),"Total Number")</f>
        <v>Total Number</v>
      </c>
      <c r="D73" s="25">
        <f ca="1">SUM(C74:C87)</f>
        <v>322</v>
      </c>
    </row>
    <row r="74" spans="2:4" ht="13">
      <c r="B74" s="25" t="str">
        <f ca="1">IFERROR(__xludf.DUMMYFUNCTION("""COMPUTED_VALUE"""),"1 Lane 1 Way")</f>
        <v>1 Lane 1 Way</v>
      </c>
      <c r="C74" s="25">
        <f ca="1">IFERROR(__xludf.DUMMYFUNCTION("""COMPUTED_VALUE"""),2)</f>
        <v>2</v>
      </c>
    </row>
    <row r="75" spans="2:4" ht="13">
      <c r="B75" s="25" t="str">
        <f ca="1">IFERROR(__xludf.DUMMYFUNCTION("""COMPUTED_VALUE"""),"2 Lane 1 Way")</f>
        <v>2 Lane 1 Way</v>
      </c>
      <c r="C75" s="25">
        <f ca="1">IFERROR(__xludf.DUMMYFUNCTION("""COMPUTED_VALUE"""),29)</f>
        <v>29</v>
      </c>
    </row>
    <row r="76" spans="2:4" ht="13">
      <c r="B76" s="25" t="str">
        <f ca="1">IFERROR(__xludf.DUMMYFUNCTION("""COMPUTED_VALUE"""),"2 Lane 2 Way")</f>
        <v>2 Lane 2 Way</v>
      </c>
      <c r="C76" s="25">
        <f ca="1">IFERROR(__xludf.DUMMYFUNCTION("""COMPUTED_VALUE"""),34)</f>
        <v>34</v>
      </c>
    </row>
    <row r="77" spans="2:4" ht="13">
      <c r="B77" s="25" t="str">
        <f ca="1">IFERROR(__xludf.DUMMYFUNCTION("""COMPUTED_VALUE"""),"3 Lane 1 Way")</f>
        <v>3 Lane 1 Way</v>
      </c>
      <c r="C77" s="25">
        <f ca="1">IFERROR(__xludf.DUMMYFUNCTION("""COMPUTED_VALUE"""),55)</f>
        <v>55</v>
      </c>
    </row>
    <row r="78" spans="2:4" ht="13">
      <c r="B78" s="25" t="str">
        <f ca="1">IFERROR(__xludf.DUMMYFUNCTION("""COMPUTED_VALUE"""),"4 Lane 1 Way")</f>
        <v>4 Lane 1 Way</v>
      </c>
      <c r="C78" s="25">
        <f ca="1">IFERROR(__xludf.DUMMYFUNCTION("""COMPUTED_VALUE"""),31)</f>
        <v>31</v>
      </c>
    </row>
    <row r="79" spans="2:4" ht="13">
      <c r="B79" s="25" t="str">
        <f ca="1">IFERROR(__xludf.DUMMYFUNCTION("""COMPUTED_VALUE"""),"4 Lane 2 Way")</f>
        <v>4 Lane 2 Way</v>
      </c>
      <c r="C79" s="25">
        <f ca="1">IFERROR(__xludf.DUMMYFUNCTION("""COMPUTED_VALUE"""),71)</f>
        <v>71</v>
      </c>
    </row>
    <row r="80" spans="2:4" ht="13">
      <c r="B80" s="25" t="str">
        <f ca="1">IFERROR(__xludf.DUMMYFUNCTION("""COMPUTED_VALUE"""),"5 Lane 1 Way")</f>
        <v>5 Lane 1 Way</v>
      </c>
      <c r="C80" s="25">
        <f ca="1">IFERROR(__xludf.DUMMYFUNCTION("""COMPUTED_VALUE"""),8)</f>
        <v>8</v>
      </c>
    </row>
    <row r="81" spans="2:4" ht="13">
      <c r="B81" s="25" t="str">
        <f ca="1">IFERROR(__xludf.DUMMYFUNCTION("""COMPUTED_VALUE"""),"5 Lane 2 Way")</f>
        <v>5 Lane 2 Way</v>
      </c>
      <c r="C81" s="25">
        <f ca="1">IFERROR(__xludf.DUMMYFUNCTION("""COMPUTED_VALUE"""),2)</f>
        <v>2</v>
      </c>
    </row>
    <row r="82" spans="2:4" ht="13">
      <c r="B82" s="25" t="str">
        <f ca="1">IFERROR(__xludf.DUMMYFUNCTION("""COMPUTED_VALUE"""),"6 Lane 1 Way")</f>
        <v>6 Lane 1 Way</v>
      </c>
      <c r="C82" s="25">
        <f ca="1">IFERROR(__xludf.DUMMYFUNCTION("""COMPUTED_VALUE"""),1)</f>
        <v>1</v>
      </c>
    </row>
    <row r="83" spans="2:4" ht="13">
      <c r="B83" s="25" t="str">
        <f ca="1">IFERROR(__xludf.DUMMYFUNCTION("""COMPUTED_VALUE"""),"6 Lane 2 Way")</f>
        <v>6 Lane 2 Way</v>
      </c>
      <c r="C83" s="25">
        <f ca="1">IFERROR(__xludf.DUMMYFUNCTION("""COMPUTED_VALUE"""),36)</f>
        <v>36</v>
      </c>
    </row>
    <row r="84" spans="2:4" ht="13">
      <c r="B84" s="25" t="str">
        <f ca="1">IFERROR(__xludf.DUMMYFUNCTION("""COMPUTED_VALUE"""),"7 Lane 2 Way")</f>
        <v>7 Lane 2 Way</v>
      </c>
      <c r="C84" s="25">
        <f ca="1">IFERROR(__xludf.DUMMYFUNCTION("""COMPUTED_VALUE"""),4)</f>
        <v>4</v>
      </c>
    </row>
    <row r="85" spans="2:4" ht="13">
      <c r="B85" s="25" t="str">
        <f ca="1">IFERROR(__xludf.DUMMYFUNCTION("""COMPUTED_VALUE"""),"8 Lane 2 Way")</f>
        <v>8 Lane 2 Way</v>
      </c>
      <c r="C85" s="25">
        <f ca="1">IFERROR(__xludf.DUMMYFUNCTION("""COMPUTED_VALUE"""),16)</f>
        <v>16</v>
      </c>
    </row>
    <row r="86" spans="2:4" ht="13">
      <c r="B86" s="25" t="str">
        <f ca="1">IFERROR(__xludf.DUMMYFUNCTION("""COMPUTED_VALUE"""),"9 Lane 2 Way")</f>
        <v>9 Lane 2 Way</v>
      </c>
      <c r="C86" s="25">
        <f ca="1">IFERROR(__xludf.DUMMYFUNCTION("""COMPUTED_VALUE"""),1)</f>
        <v>1</v>
      </c>
    </row>
    <row r="87" spans="2:4" ht="13">
      <c r="B87" s="25" t="str">
        <f ca="1">IFERROR(__xludf.DUMMYFUNCTION("""COMPUTED_VALUE"""),"Multi-Lane Dual-Way")</f>
        <v>Multi-Lane Dual-Way</v>
      </c>
      <c r="C87" s="25">
        <f ca="1">IFERROR(__xludf.DUMMYFUNCTION("""COMPUTED_VALUE"""),32)</f>
        <v>32</v>
      </c>
    </row>
    <row r="91" spans="2:4" ht="13">
      <c r="B91" s="91" t="str">
        <f ca="1">IFERROR(__xludf.DUMMYFUNCTION("ArrayFormula(QUERY('Scenario Naming'!A2:AD1000,""select L, count(L) where L != '' and AD != 'delete' group by L label count(L) 'Total Number'"",1))"),"Traffic Control Device")</f>
        <v>Traffic Control Device</v>
      </c>
      <c r="C91" s="91" t="str">
        <f ca="1">IFERROR(__xludf.DUMMYFUNCTION("""COMPUTED_VALUE"""),"Total Number")</f>
        <v>Total Number</v>
      </c>
      <c r="D91" s="25">
        <f ca="1">SUM(C92:C93)</f>
        <v>322</v>
      </c>
    </row>
    <row r="92" spans="2:4" ht="13">
      <c r="B92" s="25" t="str">
        <f ca="1">IFERROR(__xludf.DUMMYFUNCTION("""COMPUTED_VALUE"""),"None")</f>
        <v>None</v>
      </c>
      <c r="C92" s="25">
        <f ca="1">IFERROR(__xludf.DUMMYFUNCTION("""COMPUTED_VALUE"""),240)</f>
        <v>240</v>
      </c>
    </row>
    <row r="93" spans="2:4" ht="13">
      <c r="B93" s="25" t="str">
        <f ca="1">IFERROR(__xludf.DUMMYFUNCTION("""COMPUTED_VALUE"""),"Traffic Signal")</f>
        <v>Traffic Signal</v>
      </c>
      <c r="C93" s="25">
        <f ca="1">IFERROR(__xludf.DUMMYFUNCTION("""COMPUTED_VALUE"""),82)</f>
        <v>82</v>
      </c>
    </row>
    <row r="96" spans="2:4" ht="13">
      <c r="B96" s="91" t="str">
        <f ca="1">IFERROR(__xludf.DUMMYFUNCTION("ArrayFormula(QUERY('Scenario Naming'!A2:AD1000,""select M, count(M) where M != '' and AD != 'delete' group by M label count(M) 'Total Number'"",1))"),"EGO Type")</f>
        <v>EGO Type</v>
      </c>
      <c r="C96" s="91" t="str">
        <f ca="1">IFERROR(__xludf.DUMMYFUNCTION("""COMPUTED_VALUE"""),"Total Number")</f>
        <v>Total Number</v>
      </c>
      <c r="D96" s="25">
        <f ca="1">SUM(C97:C111)</f>
        <v>322</v>
      </c>
    </row>
    <row r="97" spans="2:3" ht="13">
      <c r="B97" s="25" t="str">
        <f ca="1">IFERROR(__xludf.DUMMYFUNCTION("""COMPUTED_VALUE"""),"accord-cn-1")</f>
        <v>accord-cn-1</v>
      </c>
      <c r="C97" s="25">
        <f ca="1">IFERROR(__xludf.DUMMYFUNCTION("""COMPUTED_VALUE"""),9)</f>
        <v>9</v>
      </c>
    </row>
    <row r="98" spans="2:3" ht="13">
      <c r="B98" s="25" t="str">
        <f ca="1">IFERROR(__xludf.DUMMYFUNCTION("""COMPUTED_VALUE"""),"byd-cn-001")</f>
        <v>byd-cn-001</v>
      </c>
      <c r="C98" s="25">
        <f ca="1">IFERROR(__xludf.DUMMYFUNCTION("""COMPUTED_VALUE"""),34)</f>
        <v>34</v>
      </c>
    </row>
    <row r="99" spans="2:3" ht="13">
      <c r="B99" s="25" t="str">
        <f ca="1">IFERROR(__xludf.DUMMYFUNCTION("""COMPUTED_VALUE"""),"byd-cn-1")</f>
        <v>byd-cn-1</v>
      </c>
      <c r="C99" s="25">
        <f ca="1">IFERROR(__xludf.DUMMYFUNCTION("""COMPUTED_VALUE"""),180)</f>
        <v>180</v>
      </c>
    </row>
    <row r="100" spans="2:3" ht="13">
      <c r="B100" s="25" t="str">
        <f ca="1">IFERROR(__xludf.DUMMYFUNCTION("""COMPUTED_VALUE"""),"byd-cn-10")</f>
        <v>byd-cn-10</v>
      </c>
      <c r="C100" s="25">
        <f ca="1">IFERROR(__xludf.DUMMYFUNCTION("""COMPUTED_VALUE"""),1)</f>
        <v>1</v>
      </c>
    </row>
    <row r="101" spans="2:3" ht="13">
      <c r="B101" s="25" t="str">
        <f ca="1">IFERROR(__xludf.DUMMYFUNCTION("""COMPUTED_VALUE"""),"byd-cn-5")</f>
        <v>byd-cn-5</v>
      </c>
      <c r="C101" s="25">
        <f ca="1">IFERROR(__xludf.DUMMYFUNCTION("""COMPUTED_VALUE"""),6)</f>
        <v>6</v>
      </c>
    </row>
    <row r="102" spans="2:3" ht="13">
      <c r="B102" s="25" t="str">
        <f ca="1">IFERROR(__xludf.DUMMYFUNCTION("""COMPUTED_VALUE"""),"mkz-cn-001")</f>
        <v>mkz-cn-001</v>
      </c>
      <c r="C102" s="25">
        <f ca="1">IFERROR(__xludf.DUMMYFUNCTION("""COMPUTED_VALUE"""),1)</f>
        <v>1</v>
      </c>
    </row>
    <row r="103" spans="2:3" ht="13">
      <c r="B103" s="25" t="str">
        <f ca="1">IFERROR(__xludf.DUMMYFUNCTION("""COMPUTED_VALUE"""),"mkz-cn-1")</f>
        <v>mkz-cn-1</v>
      </c>
      <c r="C103" s="25">
        <f ca="1">IFERROR(__xludf.DUMMYFUNCTION("""COMPUTED_VALUE"""),1)</f>
        <v>1</v>
      </c>
    </row>
    <row r="104" spans="2:3" ht="13">
      <c r="B104" s="25" t="str">
        <f ca="1">IFERROR(__xludf.DUMMYFUNCTION("""COMPUTED_VALUE"""),"pacifica-001")</f>
        <v>pacifica-001</v>
      </c>
      <c r="C104" s="25">
        <f ca="1">IFERROR(__xludf.DUMMYFUNCTION("""COMPUTED_VALUE"""),7)</f>
        <v>7</v>
      </c>
    </row>
    <row r="105" spans="2:3" ht="13">
      <c r="B105" s="25" t="str">
        <f ca="1">IFERROR(__xludf.DUMMYFUNCTION("""COMPUTED_VALUE"""),"pacifica-cn-001")</f>
        <v>pacifica-cn-001</v>
      </c>
      <c r="C105" s="25">
        <f ca="1">IFERROR(__xludf.DUMMYFUNCTION("""COMPUTED_VALUE"""),26)</f>
        <v>26</v>
      </c>
    </row>
    <row r="106" spans="2:3" ht="13">
      <c r="B106" s="25" t="str">
        <f ca="1">IFERROR(__xludf.DUMMYFUNCTION("""COMPUTED_VALUE"""),"pacifica-cn-1")</f>
        <v>pacifica-cn-1</v>
      </c>
      <c r="C106" s="25">
        <f ca="1">IFERROR(__xludf.DUMMYFUNCTION("""COMPUTED_VALUE"""),52)</f>
        <v>52</v>
      </c>
    </row>
    <row r="107" spans="2:3" ht="13">
      <c r="B107" s="25" t="str">
        <f ca="1">IFERROR(__xludf.DUMMYFUNCTION("""COMPUTED_VALUE"""),"pacifica-cn-10")</f>
        <v>pacifica-cn-10</v>
      </c>
      <c r="C107" s="25">
        <f ca="1">IFERROR(__xludf.DUMMYFUNCTION("""COMPUTED_VALUE"""),1)</f>
        <v>1</v>
      </c>
    </row>
    <row r="108" spans="2:3" ht="13">
      <c r="B108" s="25" t="str">
        <f ca="1">IFERROR(__xludf.DUMMYFUNCTION("""COMPUTED_VALUE"""),"pacifica-cn-106x1")</f>
        <v>pacifica-cn-106x1</v>
      </c>
      <c r="C108" s="25">
        <f ca="1">IFERROR(__xludf.DUMMYFUNCTION("""COMPUTED_VALUE"""),1)</f>
        <v>1</v>
      </c>
    </row>
    <row r="109" spans="2:3" ht="13">
      <c r="B109" s="25" t="str">
        <f ca="1">IFERROR(__xludf.DUMMYFUNCTION("""COMPUTED_VALUE"""),"pacifica-cn-12")</f>
        <v>pacifica-cn-12</v>
      </c>
      <c r="C109" s="25">
        <f ca="1">IFERROR(__xludf.DUMMYFUNCTION("""COMPUTED_VALUE"""),1)</f>
        <v>1</v>
      </c>
    </row>
    <row r="110" spans="2:3" ht="13">
      <c r="B110" s="25" t="str">
        <f ca="1">IFERROR(__xludf.DUMMYFUNCTION("""COMPUTED_VALUE"""),"pacifica-cn-14")</f>
        <v>pacifica-cn-14</v>
      </c>
      <c r="C110" s="25">
        <f ca="1">IFERROR(__xludf.DUMMYFUNCTION("""COMPUTED_VALUE"""),1)</f>
        <v>1</v>
      </c>
    </row>
    <row r="111" spans="2:3" ht="13">
      <c r="B111" s="25" t="str">
        <f ca="1">IFERROR(__xludf.DUMMYFUNCTION("""COMPUTED_VALUE"""),"pacifica-cn-34")</f>
        <v>pacifica-cn-34</v>
      </c>
      <c r="C111" s="25">
        <f ca="1">IFERROR(__xludf.DUMMYFUNCTION("""COMPUTED_VALUE"""),1)</f>
        <v>1</v>
      </c>
    </row>
    <row r="113" spans="2:4" ht="13">
      <c r="B113" s="114"/>
      <c r="C113" s="114"/>
    </row>
    <row r="114" spans="2:4" ht="13">
      <c r="B114" s="91" t="str">
        <f ca="1">IFERROR(__xludf.DUMMYFUNCTION("ArrayFormula(QUERY('Scenario Naming'!A2:AD1000,""select N, count(N) where N != '' and AD != 'delete' group by N label count(N) 'Total Number'"",1))"),"EGO Maneuver")</f>
        <v>EGO Maneuver</v>
      </c>
      <c r="C114" s="91" t="str">
        <f ca="1">IFERROR(__xludf.DUMMYFUNCTION("""COMPUTED_VALUE"""),"Total Number")</f>
        <v>Total Number</v>
      </c>
      <c r="D114" s="25">
        <f ca="1">SUM(C115:C123)</f>
        <v>322</v>
      </c>
    </row>
    <row r="115" spans="2:4" ht="13">
      <c r="B115" s="25" t="str">
        <f ca="1">IFERROR(__xludf.DUMMYFUNCTION("""COMPUTED_VALUE"""),"Going Straight")</f>
        <v>Going Straight</v>
      </c>
      <c r="C115" s="25">
        <f ca="1">IFERROR(__xludf.DUMMYFUNCTION("""COMPUTED_VALUE"""),275)</f>
        <v>275</v>
      </c>
    </row>
    <row r="116" spans="2:4" ht="13">
      <c r="B116" s="25" t="str">
        <f ca="1">IFERROR(__xludf.DUMMYFUNCTION("""COMPUTED_VALUE"""),"Lane Change")</f>
        <v>Lane Change</v>
      </c>
      <c r="C116" s="25">
        <f ca="1">IFERROR(__xludf.DUMMYFUNCTION("""COMPUTED_VALUE"""),4)</f>
        <v>4</v>
      </c>
    </row>
    <row r="117" spans="2:4" ht="13">
      <c r="B117" s="25" t="str">
        <f ca="1">IFERROR(__xludf.DUMMYFUNCTION("""COMPUTED_VALUE"""),"Left Turn")</f>
        <v>Left Turn</v>
      </c>
      <c r="C117" s="25">
        <f ca="1">IFERROR(__xludf.DUMMYFUNCTION("""COMPUTED_VALUE"""),21)</f>
        <v>21</v>
      </c>
    </row>
    <row r="118" spans="2:4" ht="13">
      <c r="B118" s="25" t="str">
        <f ca="1">IFERROR(__xludf.DUMMYFUNCTION("""COMPUTED_VALUE"""),"Nudge")</f>
        <v>Nudge</v>
      </c>
      <c r="C118" s="25">
        <f ca="1">IFERROR(__xludf.DUMMYFUNCTION("""COMPUTED_VALUE"""),2)</f>
        <v>2</v>
      </c>
    </row>
    <row r="119" spans="2:4" ht="13">
      <c r="B119" s="25" t="str">
        <f ca="1">IFERROR(__xludf.DUMMYFUNCTION("""COMPUTED_VALUE"""),"Pull Out")</f>
        <v>Pull Out</v>
      </c>
      <c r="C119" s="25">
        <f ca="1">IFERROR(__xludf.DUMMYFUNCTION("""COMPUTED_VALUE"""),2)</f>
        <v>2</v>
      </c>
    </row>
    <row r="120" spans="2:4" ht="13">
      <c r="B120" s="25" t="str">
        <f ca="1">IFERROR(__xludf.DUMMYFUNCTION("""COMPUTED_VALUE"""),"Right Turn")</f>
        <v>Right Turn</v>
      </c>
      <c r="C120" s="25">
        <f ca="1">IFERROR(__xludf.DUMMYFUNCTION("""COMPUTED_VALUE"""),10)</f>
        <v>10</v>
      </c>
    </row>
    <row r="121" spans="2:4" ht="13">
      <c r="B121" s="25" t="str">
        <f ca="1">IFERROR(__xludf.DUMMYFUNCTION("""COMPUTED_VALUE"""),"Side Pass")</f>
        <v>Side Pass</v>
      </c>
      <c r="C121" s="25">
        <f ca="1">IFERROR(__xludf.DUMMYFUNCTION("""COMPUTED_VALUE"""),1)</f>
        <v>1</v>
      </c>
    </row>
    <row r="122" spans="2:4" ht="13">
      <c r="B122" s="25" t="str">
        <f ca="1">IFERROR(__xludf.DUMMYFUNCTION("""COMPUTED_VALUE"""),"Starting in Traffic Lane")</f>
        <v>Starting in Traffic Lane</v>
      </c>
      <c r="C122" s="25">
        <f ca="1">IFERROR(__xludf.DUMMYFUNCTION("""COMPUTED_VALUE"""),5)</f>
        <v>5</v>
      </c>
    </row>
    <row r="123" spans="2:4" ht="13">
      <c r="B123" s="25" t="str">
        <f ca="1">IFERROR(__xludf.DUMMYFUNCTION("""COMPUTED_VALUE"""),"U Turn")</f>
        <v>U Turn</v>
      </c>
      <c r="C123" s="25">
        <f ca="1">IFERROR(__xludf.DUMMYFUNCTION("""COMPUTED_VALUE"""),2)</f>
        <v>2</v>
      </c>
    </row>
    <row r="126" spans="2:4" ht="13">
      <c r="B126" s="91" t="str">
        <f ca="1">IFERROR(__xludf.DUMMYFUNCTION("ArrayFormula(QUERY('Scenario Naming'!A2:AD1000,""select O, count(O) where O != '' and AD != 'delete' group by O label count(O) 'Total Number'"",1))"),"OBS Type")</f>
        <v>OBS Type</v>
      </c>
      <c r="C126" s="91" t="str">
        <f ca="1">IFERROR(__xludf.DUMMYFUNCTION("""COMPUTED_VALUE"""),"Total Number")</f>
        <v>Total Number</v>
      </c>
      <c r="D126" s="25">
        <f ca="1">SUM(C127:C135)</f>
        <v>322</v>
      </c>
    </row>
    <row r="127" spans="2:4" ht="13">
      <c r="B127" s="25" t="str">
        <f ca="1">IFERROR(__xludf.DUMMYFUNCTION("""COMPUTED_VALUE"""),"Bicycle")</f>
        <v>Bicycle</v>
      </c>
      <c r="C127" s="25">
        <f ca="1">IFERROR(__xludf.DUMMYFUNCTION("""COMPUTED_VALUE"""),3)</f>
        <v>3</v>
      </c>
    </row>
    <row r="128" spans="2:4" ht="13">
      <c r="B128" s="25" t="str">
        <f ca="1">IFERROR(__xludf.DUMMYFUNCTION("""COMPUTED_VALUE"""),"Bus")</f>
        <v>Bus</v>
      </c>
      <c r="C128" s="25">
        <f ca="1">IFERROR(__xludf.DUMMYFUNCTION("""COMPUTED_VALUE"""),2)</f>
        <v>2</v>
      </c>
    </row>
    <row r="129" spans="2:4" ht="13">
      <c r="B129" s="25" t="str">
        <f ca="1">IFERROR(__xludf.DUMMYFUNCTION("""COMPUTED_VALUE"""),"Car")</f>
        <v>Car</v>
      </c>
      <c r="C129" s="25">
        <f ca="1">IFERROR(__xludf.DUMMYFUNCTION("""COMPUTED_VALUE"""),280)</f>
        <v>280</v>
      </c>
    </row>
    <row r="130" spans="2:4" ht="13">
      <c r="B130" s="25" t="str">
        <f ca="1">IFERROR(__xludf.DUMMYFUNCTION("""COMPUTED_VALUE"""),"Motorbike")</f>
        <v>Motorbike</v>
      </c>
      <c r="C130" s="25">
        <f ca="1">IFERROR(__xludf.DUMMYFUNCTION("""COMPUTED_VALUE"""),6)</f>
        <v>6</v>
      </c>
    </row>
    <row r="131" spans="2:4" ht="13">
      <c r="B131" s="25" t="str">
        <f ca="1">IFERROR(__xludf.DUMMYFUNCTION("""COMPUTED_VALUE"""),"Semitrailer")</f>
        <v>Semitrailer</v>
      </c>
      <c r="C131" s="25">
        <f ca="1">IFERROR(__xludf.DUMMYFUNCTION("""COMPUTED_VALUE"""),1)</f>
        <v>1</v>
      </c>
    </row>
    <row r="132" spans="2:4" ht="13">
      <c r="B132" s="25" t="str">
        <f ca="1">IFERROR(__xludf.DUMMYFUNCTION("""COMPUTED_VALUE"""),"Trailer")</f>
        <v>Trailer</v>
      </c>
      <c r="C132" s="25">
        <f ca="1">IFERROR(__xludf.DUMMYFUNCTION("""COMPUTED_VALUE"""),2)</f>
        <v>2</v>
      </c>
    </row>
    <row r="133" spans="2:4" ht="13">
      <c r="B133" s="25" t="str">
        <f ca="1">IFERROR(__xludf.DUMMYFUNCTION("""COMPUTED_VALUE"""),"Tricycle")</f>
        <v>Tricycle</v>
      </c>
      <c r="C133" s="25">
        <f ca="1">IFERROR(__xludf.DUMMYFUNCTION("""COMPUTED_VALUE"""),5)</f>
        <v>5</v>
      </c>
    </row>
    <row r="134" spans="2:4" ht="13">
      <c r="B134" s="25" t="str">
        <f ca="1">IFERROR(__xludf.DUMMYFUNCTION("""COMPUTED_VALUE"""),"Truck")</f>
        <v>Truck</v>
      </c>
      <c r="C134" s="25">
        <f ca="1">IFERROR(__xludf.DUMMYFUNCTION("""COMPUTED_VALUE"""),20)</f>
        <v>20</v>
      </c>
    </row>
    <row r="135" spans="2:4" ht="13">
      <c r="B135" s="25" t="str">
        <f ca="1">IFERROR(__xludf.DUMMYFUNCTION("""COMPUTED_VALUE"""),"Van")</f>
        <v>Van</v>
      </c>
      <c r="C135" s="25">
        <f ca="1">IFERROR(__xludf.DUMMYFUNCTION("""COMPUTED_VALUE"""),3)</f>
        <v>3</v>
      </c>
    </row>
    <row r="137" spans="2:4" ht="13">
      <c r="B137" s="88"/>
      <c r="C137" s="88"/>
    </row>
    <row r="138" spans="2:4" ht="13">
      <c r="B138" s="91" t="str">
        <f ca="1">IFERROR(__xludf.DUMMYFUNCTION("ArrayFormula(QUERY('Scenario Naming'!A2:AD1000,""select P, count(P) where P != '' and AD != 'delete' group by P label count(P) 'Total Number'"",1))"),"OBS Maneuver")</f>
        <v>OBS Maneuver</v>
      </c>
      <c r="C138" s="91" t="str">
        <f ca="1">IFERROR(__xludf.DUMMYFUNCTION("""COMPUTED_VALUE"""),"Total Number")</f>
        <v>Total Number</v>
      </c>
      <c r="D138" s="25">
        <f ca="1">SUM(C139:C153)</f>
        <v>322</v>
      </c>
    </row>
    <row r="139" spans="2:4" ht="13">
      <c r="B139" s="25" t="str">
        <f ca="1">IFERROR(__xludf.DUMMYFUNCTION("""COMPUTED_VALUE"""),"Borrow Lane")</f>
        <v>Borrow Lane</v>
      </c>
      <c r="C139" s="25">
        <f ca="1">IFERROR(__xludf.DUMMYFUNCTION("""COMPUTED_VALUE"""),13)</f>
        <v>13</v>
      </c>
    </row>
    <row r="140" spans="2:4" ht="13">
      <c r="B140" s="25" t="str">
        <f ca="1">IFERROR(__xludf.DUMMYFUNCTION("""COMPUTED_VALUE"""),"Continuous Lane Change")</f>
        <v>Continuous Lane Change</v>
      </c>
      <c r="C140" s="25">
        <f ca="1">IFERROR(__xludf.DUMMYFUNCTION("""COMPUTED_VALUE"""),26)</f>
        <v>26</v>
      </c>
    </row>
    <row r="141" spans="2:4" ht="13">
      <c r="B141" s="25" t="str">
        <f ca="1">IFERROR(__xludf.DUMMYFUNCTION("""COMPUTED_VALUE"""),"Cross")</f>
        <v>Cross</v>
      </c>
      <c r="C141" s="25">
        <f ca="1">IFERROR(__xludf.DUMMYFUNCTION("""COMPUTED_VALUE"""),15)</f>
        <v>15</v>
      </c>
    </row>
    <row r="142" spans="2:4" ht="13">
      <c r="B142" s="25" t="str">
        <f ca="1">IFERROR(__xludf.DUMMYFUNCTION("""COMPUTED_VALUE"""),"Cut In")</f>
        <v>Cut In</v>
      </c>
      <c r="C142" s="25">
        <f ca="1">IFERROR(__xludf.DUMMYFUNCTION("""COMPUTED_VALUE"""),82)</f>
        <v>82</v>
      </c>
    </row>
    <row r="143" spans="2:4" ht="13">
      <c r="B143" s="25" t="str">
        <f ca="1">IFERROR(__xludf.DUMMYFUNCTION("""COMPUTED_VALUE"""),"Exit")</f>
        <v>Exit</v>
      </c>
      <c r="C143" s="25">
        <f ca="1">IFERROR(__xludf.DUMMYFUNCTION("""COMPUTED_VALUE"""),1)</f>
        <v>1</v>
      </c>
    </row>
    <row r="144" spans="2:4" ht="13">
      <c r="B144" s="25" t="str">
        <f ca="1">IFERROR(__xludf.DUMMYFUNCTION("""COMPUTED_VALUE"""),"Going Straight")</f>
        <v>Going Straight</v>
      </c>
      <c r="C144" s="25">
        <f ca="1">IFERROR(__xludf.DUMMYFUNCTION("""COMPUTED_VALUE"""),46)</f>
        <v>46</v>
      </c>
    </row>
    <row r="145" spans="2:7" ht="13">
      <c r="B145" s="25" t="str">
        <f ca="1">IFERROR(__xludf.DUMMYFUNCTION("""COMPUTED_VALUE"""),"Lane Change")</f>
        <v>Lane Change</v>
      </c>
      <c r="C145" s="25">
        <f ca="1">IFERROR(__xludf.DUMMYFUNCTION("""COMPUTED_VALUE"""),21)</f>
        <v>21</v>
      </c>
    </row>
    <row r="146" spans="2:7" ht="13">
      <c r="B146" s="25" t="str">
        <f ca="1">IFERROR(__xludf.DUMMYFUNCTION("""COMPUTED_VALUE"""),"Left Turn")</f>
        <v>Left Turn</v>
      </c>
      <c r="C146" s="25">
        <f ca="1">IFERROR(__xludf.DUMMYFUNCTION("""COMPUTED_VALUE"""),40)</f>
        <v>40</v>
      </c>
    </row>
    <row r="147" spans="2:7" ht="13">
      <c r="B147" s="25" t="str">
        <f ca="1">IFERROR(__xludf.DUMMYFUNCTION("""COMPUTED_VALUE"""),"Merge")</f>
        <v>Merge</v>
      </c>
      <c r="C147" s="25">
        <f ca="1">IFERROR(__xludf.DUMMYFUNCTION("""COMPUTED_VALUE"""),16)</f>
        <v>16</v>
      </c>
    </row>
    <row r="148" spans="2:7" ht="13">
      <c r="B148" s="25" t="str">
        <f ca="1">IFERROR(__xludf.DUMMYFUNCTION("""COMPUTED_VALUE"""),"Nudge")</f>
        <v>Nudge</v>
      </c>
      <c r="C148" s="25">
        <f ca="1">IFERROR(__xludf.DUMMYFUNCTION("""COMPUTED_VALUE"""),3)</f>
        <v>3</v>
      </c>
    </row>
    <row r="149" spans="2:7" ht="13">
      <c r="B149" s="25" t="str">
        <f ca="1">IFERROR(__xludf.DUMMYFUNCTION("""COMPUTED_VALUE"""),"Pull Out")</f>
        <v>Pull Out</v>
      </c>
      <c r="C149" s="25">
        <f ca="1">IFERROR(__xludf.DUMMYFUNCTION("""COMPUTED_VALUE"""),6)</f>
        <v>6</v>
      </c>
    </row>
    <row r="150" spans="2:7" ht="13">
      <c r="B150" s="25" t="str">
        <f ca="1">IFERROR(__xludf.DUMMYFUNCTION("""COMPUTED_VALUE"""),"Right Turn")</f>
        <v>Right Turn</v>
      </c>
      <c r="C150" s="25">
        <f ca="1">IFERROR(__xludf.DUMMYFUNCTION("""COMPUTED_VALUE"""),15)</f>
        <v>15</v>
      </c>
    </row>
    <row r="151" spans="2:7" ht="13">
      <c r="B151" s="25" t="str">
        <f ca="1">IFERROR(__xludf.DUMMYFUNCTION("""COMPUTED_VALUE"""),"Stopped in Traffic Lane")</f>
        <v>Stopped in Traffic Lane</v>
      </c>
      <c r="C151" s="25">
        <f ca="1">IFERROR(__xludf.DUMMYFUNCTION("""COMPUTED_VALUE"""),2)</f>
        <v>2</v>
      </c>
    </row>
    <row r="152" spans="2:7" ht="13">
      <c r="B152" s="25" t="str">
        <f ca="1">IFERROR(__xludf.DUMMYFUNCTION("""COMPUTED_VALUE"""),"U Turn")</f>
        <v>U Turn</v>
      </c>
      <c r="C152" s="25">
        <f ca="1">IFERROR(__xludf.DUMMYFUNCTION("""COMPUTED_VALUE"""),30)</f>
        <v>30</v>
      </c>
    </row>
    <row r="153" spans="2:7" ht="13">
      <c r="B153" s="25" t="str">
        <f ca="1">IFERROR(__xludf.DUMMYFUNCTION("""COMPUTED_VALUE"""),"Wrong-way Driving")</f>
        <v>Wrong-way Driving</v>
      </c>
      <c r="C153" s="25">
        <f ca="1">IFERROR(__xludf.DUMMYFUNCTION("""COMPUTED_VALUE"""),6)</f>
        <v>6</v>
      </c>
    </row>
    <row r="154" spans="2:7" ht="16.5">
      <c r="F154" s="113"/>
      <c r="G154" s="95"/>
    </row>
    <row r="156" spans="2:7" ht="13">
      <c r="B156" s="91" t="str">
        <f ca="1">IFERROR(__xludf.DUMMYFUNCTION("ArrayFormula(QUERY('Scenario Naming'!A2:AD1000,""select Q, count(Q) where Q != '' and AD != 'delete' group by Q label count(Q) 'Total Number'"",1))"),"How")</f>
        <v>How</v>
      </c>
      <c r="C156" s="91" t="str">
        <f ca="1">IFERROR(__xludf.DUMMYFUNCTION("""COMPUTED_VALUE"""),"Total Number")</f>
        <v>Total Number</v>
      </c>
      <c r="D156" s="25">
        <f ca="1">SUM(C157:C169)</f>
        <v>322</v>
      </c>
    </row>
    <row r="157" spans="2:7" ht="13">
      <c r="B157" s="25" t="str">
        <f ca="1">IFERROR(__xludf.DUMMYFUNCTION("""COMPUTED_VALUE"""),"Aggressively")</f>
        <v>Aggressively</v>
      </c>
      <c r="C157" s="25">
        <f ca="1">IFERROR(__xludf.DUMMYFUNCTION("""COMPUTED_VALUE"""),174)</f>
        <v>174</v>
      </c>
    </row>
    <row r="158" spans="2:7" ht="13">
      <c r="B158" s="25" t="str">
        <f ca="1">IFERROR(__xludf.DUMMYFUNCTION("""COMPUTED_VALUE"""),"Friendly")</f>
        <v>Friendly</v>
      </c>
      <c r="C158" s="25">
        <f ca="1">IFERROR(__xludf.DUMMYFUNCTION("""COMPUTED_VALUE"""),3)</f>
        <v>3</v>
      </c>
    </row>
    <row r="159" spans="2:7" ht="13">
      <c r="B159" s="25" t="str">
        <f ca="1">IFERROR(__xludf.DUMMYFUNCTION("""COMPUTED_VALUE"""),"High Priority")</f>
        <v>High Priority</v>
      </c>
      <c r="C159" s="25">
        <f ca="1">IFERROR(__xludf.DUMMYFUNCTION("""COMPUTED_VALUE"""),1)</f>
        <v>1</v>
      </c>
    </row>
    <row r="160" spans="2:7" ht="13">
      <c r="B160" s="25" t="str">
        <f ca="1">IFERROR(__xludf.DUMMYFUNCTION("""COMPUTED_VALUE"""),"Illegal")</f>
        <v>Illegal</v>
      </c>
      <c r="C160" s="25">
        <f ca="1">IFERROR(__xludf.DUMMYFUNCTION("""COMPUTED_VALUE"""),30)</f>
        <v>30</v>
      </c>
    </row>
    <row r="161" spans="2:10" ht="13">
      <c r="B161" s="25" t="str">
        <f ca="1">IFERROR(__xludf.DUMMYFUNCTION("""COMPUTED_VALUE"""),"Large Radius")</f>
        <v>Large Radius</v>
      </c>
      <c r="C161" s="25">
        <f ca="1">IFERROR(__xludf.DUMMYFUNCTION("""COMPUTED_VALUE"""),1)</f>
        <v>1</v>
      </c>
    </row>
    <row r="162" spans="2:10" ht="13">
      <c r="B162" s="25" t="str">
        <f ca="1">IFERROR(__xludf.DUMMYFUNCTION("""COMPUTED_VALUE"""),"Low Priority")</f>
        <v>Low Priority</v>
      </c>
      <c r="C162" s="25">
        <f ca="1">IFERROR(__xludf.DUMMYFUNCTION("""COMPUTED_VALUE"""),12)</f>
        <v>12</v>
      </c>
    </row>
    <row r="163" spans="2:10" ht="13">
      <c r="B163" s="25" t="str">
        <f ca="1">IFERROR(__xludf.DUMMYFUNCTION("""COMPUTED_VALUE"""),"Normal")</f>
        <v>Normal</v>
      </c>
      <c r="C163" s="25">
        <f ca="1">IFERROR(__xludf.DUMMYFUNCTION("""COMPUTED_VALUE"""),18)</f>
        <v>18</v>
      </c>
    </row>
    <row r="164" spans="2:10" ht="13">
      <c r="B164" s="25" t="str">
        <f ca="1">IFERROR(__xludf.DUMMYFUNCTION("""COMPUTED_VALUE"""),"Quickly")</f>
        <v>Quickly</v>
      </c>
      <c r="C164" s="25">
        <f ca="1">IFERROR(__xludf.DUMMYFUNCTION("""COMPUTED_VALUE"""),25)</f>
        <v>25</v>
      </c>
    </row>
    <row r="165" spans="2:10" ht="13">
      <c r="B165" s="25" t="str">
        <f ca="1">IFERROR(__xludf.DUMMYFUNCTION("""COMPUTED_VALUE"""),"Red Light")</f>
        <v>Red Light</v>
      </c>
      <c r="C165" s="25">
        <f ca="1">IFERROR(__xludf.DUMMYFUNCTION("""COMPUTED_VALUE"""),11)</f>
        <v>11</v>
      </c>
    </row>
    <row r="166" spans="2:10" ht="13">
      <c r="B166" s="25" t="str">
        <f ca="1">IFERROR(__xludf.DUMMYFUNCTION("""COMPUTED_VALUE"""),"Slow Down")</f>
        <v>Slow Down</v>
      </c>
      <c r="C166" s="25">
        <f ca="1">IFERROR(__xludf.DUMMYFUNCTION("""COMPUTED_VALUE"""),22)</f>
        <v>22</v>
      </c>
    </row>
    <row r="167" spans="2:10" ht="13">
      <c r="B167" s="25" t="str">
        <f ca="1">IFERROR(__xludf.DUMMYFUNCTION("""COMPUTED_VALUE"""),"Slowly")</f>
        <v>Slowly</v>
      </c>
      <c r="C167" s="25">
        <f ca="1">IFERROR(__xludf.DUMMYFUNCTION("""COMPUTED_VALUE"""),19)</f>
        <v>19</v>
      </c>
    </row>
    <row r="168" spans="2:10" ht="13">
      <c r="B168" s="25" t="str">
        <f ca="1">IFERROR(__xludf.DUMMYFUNCTION("""COMPUTED_VALUE"""),"Small Radius")</f>
        <v>Small Radius</v>
      </c>
      <c r="C168" s="25">
        <f ca="1">IFERROR(__xludf.DUMMYFUNCTION("""COMPUTED_VALUE"""),1)</f>
        <v>1</v>
      </c>
    </row>
    <row r="169" spans="2:10" ht="13">
      <c r="B169" s="25" t="str">
        <f ca="1">IFERROR(__xludf.DUMMYFUNCTION("""COMPUTED_VALUE"""),"Speed Up")</f>
        <v>Speed Up</v>
      </c>
      <c r="C169" s="25">
        <f ca="1">IFERROR(__xludf.DUMMYFUNCTION("""COMPUTED_VALUE"""),5)</f>
        <v>5</v>
      </c>
    </row>
    <row r="172" spans="2:10" ht="13">
      <c r="B172" s="91" t="str">
        <f ca="1">IFERROR(__xludf.DUMMYFUNCTION("ArrayFormula(QUERY('Scenario Naming'!A2:AD1000,""select R, count(R) where R != '' and AD != 'delete' group by R label count(R) 'Total Number'"",1))"),"How")</f>
        <v>How</v>
      </c>
      <c r="C172" s="91" t="str">
        <f ca="1">IFERROR(__xludf.DUMMYFUNCTION("""COMPUTED_VALUE"""),"Total Number")</f>
        <v>Total Number</v>
      </c>
      <c r="D172" s="25">
        <f ca="1">SUM(C173:C183)</f>
        <v>83</v>
      </c>
    </row>
    <row r="173" spans="2:10" ht="13">
      <c r="B173" s="25" t="str">
        <f ca="1">IFERROR(__xludf.DUMMYFUNCTION("""COMPUTED_VALUE"""),"Aggressively")</f>
        <v>Aggressively</v>
      </c>
      <c r="C173" s="25">
        <f ca="1">IFERROR(__xludf.DUMMYFUNCTION("""COMPUTED_VALUE"""),22)</f>
        <v>22</v>
      </c>
    </row>
    <row r="174" spans="2:10" ht="16.5">
      <c r="B174" s="25" t="str">
        <f ca="1">IFERROR(__xludf.DUMMYFUNCTION("""COMPUTED_VALUE"""),"Diagonally")</f>
        <v>Diagonally</v>
      </c>
      <c r="C174" s="25">
        <f ca="1">IFERROR(__xludf.DUMMYFUNCTION("""COMPUTED_VALUE"""),1)</f>
        <v>1</v>
      </c>
      <c r="H174" s="113"/>
    </row>
    <row r="175" spans="2:10" ht="16.5">
      <c r="B175" s="25" t="str">
        <f ca="1">IFERROR(__xludf.DUMMYFUNCTION("""COMPUTED_VALUE"""),"High Priority")</f>
        <v>High Priority</v>
      </c>
      <c r="C175" s="25">
        <f ca="1">IFERROR(__xludf.DUMMYFUNCTION("""COMPUTED_VALUE"""),2)</f>
        <v>2</v>
      </c>
      <c r="I175" s="113"/>
      <c r="J175" s="113"/>
    </row>
    <row r="176" spans="2:10" ht="13">
      <c r="B176" s="25" t="str">
        <f ca="1">IFERROR(__xludf.DUMMYFUNCTION("""COMPUTED_VALUE"""),"Illegal")</f>
        <v>Illegal</v>
      </c>
      <c r="C176" s="25">
        <f ca="1">IFERROR(__xludf.DUMMYFUNCTION("""COMPUTED_VALUE"""),20)</f>
        <v>20</v>
      </c>
    </row>
    <row r="177" spans="2:21" ht="13">
      <c r="B177" s="25" t="str">
        <f ca="1">IFERROR(__xludf.DUMMYFUNCTION("""COMPUTED_VALUE"""),"Low Priority")</f>
        <v>Low Priority</v>
      </c>
      <c r="C177" s="25">
        <f ca="1">IFERROR(__xludf.DUMMYFUNCTION("""COMPUTED_VALUE"""),14)</f>
        <v>14</v>
      </c>
    </row>
    <row r="178" spans="2:21" ht="13">
      <c r="B178" s="25" t="str">
        <f ca="1">IFERROR(__xludf.DUMMYFUNCTION("""COMPUTED_VALUE"""),"Normal")</f>
        <v>Normal</v>
      </c>
      <c r="C178" s="25">
        <f ca="1">IFERROR(__xludf.DUMMYFUNCTION("""COMPUTED_VALUE"""),2)</f>
        <v>2</v>
      </c>
    </row>
    <row r="179" spans="2:21" ht="13">
      <c r="B179" s="25" t="str">
        <f ca="1">IFERROR(__xludf.DUMMYFUNCTION("""COMPUTED_VALUE"""),"Quickly")</f>
        <v>Quickly</v>
      </c>
      <c r="C179" s="25">
        <f ca="1">IFERROR(__xludf.DUMMYFUNCTION("""COMPUTED_VALUE"""),5)</f>
        <v>5</v>
      </c>
    </row>
    <row r="180" spans="2:21" ht="13">
      <c r="B180" s="25" t="str">
        <f ca="1">IFERROR(__xludf.DUMMYFUNCTION("""COMPUTED_VALUE"""),"Red Light")</f>
        <v>Red Light</v>
      </c>
      <c r="C180" s="25">
        <f ca="1">IFERROR(__xludf.DUMMYFUNCTION("""COMPUTED_VALUE"""),1)</f>
        <v>1</v>
      </c>
    </row>
    <row r="181" spans="2:21" ht="13">
      <c r="B181" s="25" t="str">
        <f ca="1">IFERROR(__xludf.DUMMYFUNCTION("""COMPUTED_VALUE"""),"Slow Down")</f>
        <v>Slow Down</v>
      </c>
      <c r="C181" s="25">
        <f ca="1">IFERROR(__xludf.DUMMYFUNCTION("""COMPUTED_VALUE"""),8)</f>
        <v>8</v>
      </c>
    </row>
    <row r="182" spans="2:21" ht="13">
      <c r="B182" s="25" t="str">
        <f ca="1">IFERROR(__xludf.DUMMYFUNCTION("""COMPUTED_VALUE"""),"Small Radius")</f>
        <v>Small Radius</v>
      </c>
      <c r="C182" s="25">
        <f ca="1">IFERROR(__xludf.DUMMYFUNCTION("""COMPUTED_VALUE"""),3)</f>
        <v>3</v>
      </c>
    </row>
    <row r="183" spans="2:21" ht="13">
      <c r="B183" s="25" t="str">
        <f ca="1">IFERROR(__xludf.DUMMYFUNCTION("""COMPUTED_VALUE"""),"Speed Up")</f>
        <v>Speed Up</v>
      </c>
      <c r="C183" s="25">
        <f ca="1">IFERROR(__xludf.DUMMYFUNCTION("""COMPUTED_VALUE"""),5)</f>
        <v>5</v>
      </c>
    </row>
    <row r="184" spans="2:21" ht="16.5">
      <c r="G184" s="95"/>
    </row>
    <row r="186" spans="2:21" ht="13">
      <c r="B186" s="91" t="str">
        <f ca="1">IFERROR(__xludf.DUMMYFUNCTION("ArrayFormula(QUERY('Scenario Naming'!$A2:$AD1000,""select S, count(S) where S != '' and AD != 'delete' group by S label count(S) 'Total Number'"",1))"),"Feature")</f>
        <v>Feature</v>
      </c>
      <c r="C186" s="91" t="str">
        <f ca="1">IFERROR(__xludf.DUMMYFUNCTION("""COMPUTED_VALUE"""),"Total Number")</f>
        <v>Total Number</v>
      </c>
      <c r="D186" s="25">
        <f ca="1">SUM(C187:C196)</f>
        <v>322</v>
      </c>
      <c r="E186" s="92" t="s">
        <v>10</v>
      </c>
      <c r="F186" s="92" t="s">
        <v>1908</v>
      </c>
      <c r="G186" s="93" t="s">
        <v>52</v>
      </c>
      <c r="H186" s="93" t="s">
        <v>221</v>
      </c>
      <c r="I186" s="93" t="s">
        <v>1394</v>
      </c>
      <c r="J186" s="93" t="s">
        <v>81</v>
      </c>
      <c r="K186" s="93" t="s">
        <v>307</v>
      </c>
      <c r="L186" s="93" t="s">
        <v>375</v>
      </c>
      <c r="N186" s="90"/>
      <c r="O186" s="90"/>
      <c r="P186" s="90"/>
      <c r="Q186" s="90"/>
      <c r="R186" s="90"/>
      <c r="S186" s="90"/>
    </row>
    <row r="187" spans="2:21" ht="16.5">
      <c r="B187" s="25" t="str">
        <f ca="1">IFERROR(__xludf.DUMMYFUNCTION("""COMPUTED_VALUE"""),"Crosswalk")</f>
        <v>Crosswalk</v>
      </c>
      <c r="C187" s="94">
        <f ca="1">IFERROR(__xludf.DUMMYFUNCTION("""COMPUTED_VALUE"""),1)</f>
        <v>1</v>
      </c>
      <c r="E187" s="93" t="s">
        <v>85</v>
      </c>
      <c r="F187" s="95">
        <f>SUM(G187:L187)</f>
        <v>140</v>
      </c>
      <c r="G187" s="95">
        <f>COUNTIFS('Scenario Naming'!$S:$S, "Cut In",'Scenario Naming'!$I:$I, "Cross",'Scenario Naming'!$AD:$AD, "&lt;&gt;delete")</f>
        <v>21</v>
      </c>
      <c r="H187" s="96">
        <f>COUNTIFS('Scenario Naming'!$S:$S, "Cut In",'Scenario Naming'!$I:$I, "Curve",'Scenario Naming'!$AD:$AD, "&lt;&gt;delete")</f>
        <v>3</v>
      </c>
      <c r="I187" s="96">
        <f>COUNTIFS('Scenario Naming'!$S:$S, "Cut In",'Scenario Naming'!$I:$I, "Roundabout",'Scenario Naming'!$AD:$AD, "&lt;&gt;delete")</f>
        <v>1</v>
      </c>
      <c r="J187" s="96">
        <f>COUNTIFS('Scenario Naming'!$S:$S, "Cut In",'Scenario Naming'!$I:$I, "Straight",'Scenario Naming'!$AD:$AD, "&lt;&gt;delete")</f>
        <v>100</v>
      </c>
      <c r="K187" s="96">
        <f>COUNTIFS('Scenario Naming'!$S:$S, "Cut In",'Scenario Naming'!$I:$I, "T",'Scenario Naming'!$AD:$AD, "&lt;&gt;delete")</f>
        <v>11</v>
      </c>
      <c r="L187" s="96">
        <f>COUNTIFS('Scenario Naming'!$S:$S, "Cut In",'Scenario Naming'!$I:$I, "Y",'Scenario Naming'!$AD:$AD, "&lt;&gt;delete")</f>
        <v>4</v>
      </c>
      <c r="N187" s="45"/>
      <c r="O187" s="45"/>
      <c r="P187" s="45"/>
      <c r="Q187" s="45"/>
      <c r="R187" s="45"/>
      <c r="S187" s="45"/>
    </row>
    <row r="188" spans="2:21" ht="13">
      <c r="B188" s="93" t="str">
        <f ca="1">IFERROR(__xludf.DUMMYFUNCTION("""COMPUTED_VALUE"""),"Cut In")</f>
        <v>Cut In</v>
      </c>
      <c r="C188" s="93">
        <f ca="1">IFERROR(__xludf.DUMMYFUNCTION("""COMPUTED_VALUE"""),140)</f>
        <v>140</v>
      </c>
      <c r="E188" s="92" t="s">
        <v>11</v>
      </c>
      <c r="F188" s="93"/>
      <c r="G188" s="93" t="s">
        <v>456</v>
      </c>
      <c r="H188" s="93" t="s">
        <v>127</v>
      </c>
      <c r="I188" s="93" t="s">
        <v>501</v>
      </c>
      <c r="J188" s="93" t="s">
        <v>107</v>
      </c>
      <c r="K188" s="93" t="s">
        <v>109</v>
      </c>
      <c r="L188" s="93" t="s">
        <v>53</v>
      </c>
      <c r="M188" s="92" t="s">
        <v>1916</v>
      </c>
      <c r="N188" s="92" t="s">
        <v>1917</v>
      </c>
      <c r="O188" s="45"/>
      <c r="P188" s="45"/>
      <c r="Q188" s="45"/>
      <c r="R188" s="45"/>
      <c r="S188" s="45"/>
    </row>
    <row r="189" spans="2:21" ht="13">
      <c r="B189" s="97" t="str">
        <f ca="1">IFERROR(__xludf.DUMMYFUNCTION("""COMPUTED_VALUE"""),"Junction")</f>
        <v>Junction</v>
      </c>
      <c r="C189" s="97">
        <f ca="1">IFERROR(__xludf.DUMMYFUNCTION("""COMPUTED_VALUE"""),117)</f>
        <v>117</v>
      </c>
      <c r="E189" s="93" t="s">
        <v>85</v>
      </c>
      <c r="F189" s="96">
        <f>SUM(G189:L189)</f>
        <v>140</v>
      </c>
      <c r="G189" s="98">
        <f>COUNTIFS('Scenario Naming'!$S:$S, "Cut In",'Scenario Naming'!$J:$J, "Construction Zone")</f>
        <v>1</v>
      </c>
      <c r="H189" s="98">
        <f>COUNTIFS('Scenario Naming'!$S:$S, "Cut In",'Scenario Naming'!$J:$J, "Entrance")</f>
        <v>17</v>
      </c>
      <c r="I189" s="98">
        <f>COUNTIFS('Scenario Naming'!$S:$S, "Cut In",'Scenario Naming'!$J:$J, "Exit")</f>
        <v>18</v>
      </c>
      <c r="J189" s="99">
        <f>COUNTIFS('Scenario Naming'!$S:$S, "Cut In",'Scenario Naming'!$J:$J, "Gap")</f>
        <v>16</v>
      </c>
      <c r="K189" s="99">
        <f>COUNTIFS('Scenario Naming'!$S:$S, "Cut In",'Scenario Naming'!$J:$J, "Merge")</f>
        <v>6</v>
      </c>
      <c r="L189" s="96">
        <f>COUNTIFS('Scenario Naming'!$S:$S, "Cut In",'Scenario Naming'!$J:$J, "None")</f>
        <v>82</v>
      </c>
      <c r="M189" s="100">
        <f t="array" ref="M189">COUNTIFS('Scenario Naming'!$S:$S, "Cut In",'Scenario Naming'!$J:$J, "None",'Scenario Naming'!$I:$I, {"Straight","Curve"})</f>
        <v>64</v>
      </c>
      <c r="N189" s="101">
        <f>L189-M189</f>
        <v>18</v>
      </c>
    </row>
    <row r="190" spans="2:21" ht="13">
      <c r="B190" s="25" t="str">
        <f ca="1">IFERROR(__xludf.DUMMYFUNCTION("""COMPUTED_VALUE"""),"Lane Change")</f>
        <v>Lane Change</v>
      </c>
      <c r="C190" s="94">
        <f ca="1">IFERROR(__xludf.DUMMYFUNCTION("""COMPUTED_VALUE"""),2)</f>
        <v>2</v>
      </c>
    </row>
    <row r="191" spans="2:21" ht="13">
      <c r="B191" s="25" t="str">
        <f ca="1">IFERROR(__xludf.DUMMYFUNCTION("""COMPUTED_VALUE"""),"Lane Follow")</f>
        <v>Lane Follow</v>
      </c>
      <c r="C191" s="94">
        <f ca="1">IFERROR(__xludf.DUMMYFUNCTION("""COMPUTED_VALUE"""),31)</f>
        <v>31</v>
      </c>
      <c r="E191" s="97" t="s">
        <v>17</v>
      </c>
      <c r="F191" s="97" t="s">
        <v>1908</v>
      </c>
      <c r="G191" s="97" t="s">
        <v>422</v>
      </c>
      <c r="H191" s="97" t="s">
        <v>137</v>
      </c>
      <c r="I191" s="97" t="s">
        <v>52</v>
      </c>
      <c r="J191" s="97" t="s">
        <v>85</v>
      </c>
      <c r="K191" s="97" t="s">
        <v>501</v>
      </c>
      <c r="L191" s="97" t="s">
        <v>59</v>
      </c>
      <c r="M191" s="97" t="s">
        <v>194</v>
      </c>
      <c r="N191" s="97" t="s">
        <v>348</v>
      </c>
      <c r="O191" s="97" t="s">
        <v>109</v>
      </c>
      <c r="P191" s="97" t="s">
        <v>294</v>
      </c>
      <c r="Q191" s="97" t="s">
        <v>537</v>
      </c>
      <c r="R191" s="97" t="s">
        <v>57</v>
      </c>
      <c r="S191" s="97" t="s">
        <v>624</v>
      </c>
      <c r="T191" s="97" t="s">
        <v>108</v>
      </c>
      <c r="U191" s="97" t="s">
        <v>293</v>
      </c>
    </row>
    <row r="192" spans="2:21" ht="13">
      <c r="B192" s="25" t="str">
        <f ca="1">IFERROR(__xludf.DUMMYFUNCTION("""COMPUTED_VALUE"""),"Merge")</f>
        <v>Merge</v>
      </c>
      <c r="C192" s="102">
        <f ca="1">IFERROR(__xludf.DUMMYFUNCTION("""COMPUTED_VALUE"""),13)</f>
        <v>13</v>
      </c>
      <c r="E192" s="103" t="s">
        <v>61</v>
      </c>
      <c r="F192" s="96">
        <f>SUM(G192:U192)</f>
        <v>117</v>
      </c>
      <c r="G192" s="104">
        <f>COUNTIFS('Scenario Naming'!$S:$S, "Junction",'Scenario Naming'!$P:$P, "Borrow Lane")</f>
        <v>2</v>
      </c>
      <c r="H192" s="105">
        <f>COUNTIFS('Scenario Naming'!$S:$S, "Junction",'Scenario Naming'!$P:$P, "Continuous Lane Change")</f>
        <v>2</v>
      </c>
      <c r="I192" s="105">
        <f>COUNTIFS('Scenario Naming'!$S:$S, "Junction",'Scenario Naming'!$P:$P, "Cross")</f>
        <v>9</v>
      </c>
      <c r="J192" s="105">
        <f>COUNTIFS('Scenario Naming'!$S:$S, "Junction",'Scenario Naming'!$P:$P, "Cut In")</f>
        <v>8</v>
      </c>
      <c r="K192" s="105">
        <f>COUNTIFS('Scenario Naming'!$S:$S, "Junction",'Scenario Naming'!$P:$P, "Exit")</f>
        <v>0</v>
      </c>
      <c r="L192" s="105">
        <f>COUNTIFS('Scenario Naming'!$S:$S, "Junction",'Scenario Naming'!$P:$P, "Going Straight")</f>
        <v>35</v>
      </c>
      <c r="M192" s="105">
        <f>COUNTIFS('Scenario Naming'!$S:$S, "Junction",'Scenario Naming'!$P:$P, "Lane Change")</f>
        <v>1</v>
      </c>
      <c r="N192" s="106">
        <f>COUNTIFS('Scenario Naming'!$S:$S, "Junction",'Scenario Naming'!$P:$P, "Left Turn")</f>
        <v>31</v>
      </c>
      <c r="O192" s="115">
        <f>COUNTIFS('Scenario Naming'!$S:$S, "Junction",'Scenario Naming'!$P:$P, "Merge")</f>
        <v>4</v>
      </c>
      <c r="P192" s="115">
        <f>COUNTIFS('Scenario Naming'!$S:$S, "Junction",'Scenario Naming'!$P:$P, "Nudge")</f>
        <v>0</v>
      </c>
      <c r="Q192" s="106">
        <f>COUNTIFS('Scenario Naming'!$S:$S, "Junction",'Scenario Naming'!$P:$P, "Pull Out")</f>
        <v>1</v>
      </c>
      <c r="R192" s="106">
        <f>COUNTIFS('Scenario Naming'!$S:$S, "Junction",'Scenario Naming'!$P:$P, "Right Turn")</f>
        <v>12</v>
      </c>
      <c r="S192" s="106">
        <f>COUNTIFS('Scenario Naming'!$S:$S, "Junction",'Scenario Naming'!$P:$P, "Stopped in Traffic Lane")</f>
        <v>0</v>
      </c>
      <c r="T192" s="106">
        <f>COUNTIFS('Scenario Naming'!$S:$S, "Junction",'Scenario Naming'!$P:$P, "U Turn")</f>
        <v>11</v>
      </c>
      <c r="U192" s="106">
        <f>COUNTIFS('Scenario Naming'!$S:$S, "Junction",'Scenario Naming'!$P:$P, "Wrong-way Driving")</f>
        <v>1</v>
      </c>
    </row>
    <row r="193" spans="2:13" ht="13">
      <c r="B193" s="25" t="str">
        <f ca="1">IFERROR(__xludf.DUMMYFUNCTION("""COMPUTED_VALUE"""),"Nudge")</f>
        <v>Nudge</v>
      </c>
      <c r="C193" s="101">
        <f ca="1">IFERROR(__xludf.DUMMYFUNCTION("""COMPUTED_VALUE"""),13)</f>
        <v>13</v>
      </c>
      <c r="M193" s="22" t="s">
        <v>1918</v>
      </c>
    </row>
    <row r="194" spans="2:13" ht="13">
      <c r="B194" s="25" t="str">
        <f ca="1">IFERROR(__xludf.DUMMYFUNCTION("""COMPUTED_VALUE"""),"Pull Out")</f>
        <v>Pull Out</v>
      </c>
      <c r="C194" s="94">
        <f ca="1">IFERROR(__xludf.DUMMYFUNCTION("""COMPUTED_VALUE"""),2)</f>
        <v>2</v>
      </c>
      <c r="E194" s="47" t="s">
        <v>1920</v>
      </c>
      <c r="F194" s="22">
        <v>61</v>
      </c>
      <c r="G194" s="22" t="s">
        <v>1921</v>
      </c>
    </row>
    <row r="195" spans="2:13" ht="13">
      <c r="B195" s="25" t="str">
        <f ca="1">IFERROR(__xludf.DUMMYFUNCTION("""COMPUTED_VALUE"""),"Side Pass")</f>
        <v>Side Pass</v>
      </c>
      <c r="C195" s="94">
        <f ca="1">IFERROR(__xludf.DUMMYFUNCTION("""COMPUTED_VALUE"""),2)</f>
        <v>2</v>
      </c>
      <c r="E195" s="6" t="s">
        <v>1923</v>
      </c>
      <c r="F195" s="22">
        <v>56</v>
      </c>
      <c r="G195" s="22" t="s">
        <v>1921</v>
      </c>
    </row>
    <row r="196" spans="2:13" ht="13">
      <c r="B196" s="25" t="str">
        <f ca="1">IFERROR(__xludf.DUMMYFUNCTION("""COMPUTED_VALUE"""),"Traffic Light")</f>
        <v>Traffic Light</v>
      </c>
      <c r="C196" s="94">
        <f ca="1">IFERROR(__xludf.DUMMYFUNCTION("""COMPUTED_VALUE"""),1)</f>
        <v>1</v>
      </c>
      <c r="E196" s="109" t="s">
        <v>1924</v>
      </c>
      <c r="F196" s="22">
        <v>64</v>
      </c>
      <c r="G196" s="22" t="s">
        <v>1925</v>
      </c>
    </row>
    <row r="197" spans="2:13" ht="13">
      <c r="E197" s="110" t="s">
        <v>1926</v>
      </c>
      <c r="F197" s="22">
        <v>53</v>
      </c>
      <c r="G197" s="22" t="s">
        <v>1927</v>
      </c>
    </row>
    <row r="198" spans="2:13" ht="13">
      <c r="E198" s="111" t="s">
        <v>1928</v>
      </c>
      <c r="F198" s="22">
        <v>49</v>
      </c>
      <c r="G198" s="22" t="s">
        <v>1929</v>
      </c>
    </row>
    <row r="199" spans="2:13" ht="13">
      <c r="B199" s="91" t="str">
        <f ca="1">IFERROR(__xludf.DUMMYFUNCTION("ArrayFormula(QUERY('Scenario Naming'!A2:AD1000,""select T, count(T) where T != '' and AD != 'delete' group by T label count(T) 'Total Number'"",1))"),"Scenario Set")</f>
        <v>Scenario Set</v>
      </c>
      <c r="C199" s="91" t="str">
        <f ca="1">IFERROR(__xludf.DUMMYFUNCTION("""COMPUTED_VALUE"""),"Total Number")</f>
        <v>Total Number</v>
      </c>
      <c r="E199" s="112" t="s">
        <v>1930</v>
      </c>
      <c r="F199" s="22">
        <v>39</v>
      </c>
      <c r="G199" s="22" t="s">
        <v>1931</v>
      </c>
    </row>
    <row r="200" spans="2:13" ht="13">
      <c r="B200" s="25" t="str">
        <f ca="1">IFERROR(__xludf.DUMMYFUNCTION("""COMPUTED_VALUE"""),"TAADS")</f>
        <v>TAADS</v>
      </c>
      <c r="C200" s="25">
        <f ca="1">IFERROR(__xludf.DUMMYFUNCTION("""COMPUTED_VALUE"""),322)</f>
        <v>322</v>
      </c>
    </row>
    <row r="203" spans="2:13" ht="13">
      <c r="B203" s="91" t="str">
        <f ca="1">IFERROR(__xludf.DUMMYFUNCTION("ArrayFormula(QUERY('Scenario Naming'!A2:AD1000,""select U, count(U) where U != '' and AD != 'delete' group by U label count(U) 'Total Number'"",1))"),"Weather Condition")</f>
        <v>Weather Condition</v>
      </c>
      <c r="C203" s="91" t="str">
        <f ca="1">IFERROR(__xludf.DUMMYFUNCTION("""COMPUTED_VALUE"""),"Total Number")</f>
        <v>Total Number</v>
      </c>
      <c r="D203" s="25">
        <f ca="1">SUM(C204:C205)</f>
        <v>322</v>
      </c>
    </row>
    <row r="204" spans="2:13" ht="13">
      <c r="B204" s="25" t="str">
        <f ca="1">IFERROR(__xludf.DUMMYFUNCTION("""COMPUTED_VALUE"""),"Normal")</f>
        <v>Normal</v>
      </c>
      <c r="C204" s="25">
        <f ca="1">IFERROR(__xludf.DUMMYFUNCTION("""COMPUTED_VALUE"""),304)</f>
        <v>304</v>
      </c>
    </row>
    <row r="205" spans="2:13" ht="13">
      <c r="B205" s="25" t="str">
        <f ca="1">IFERROR(__xludf.DUMMYFUNCTION("""COMPUTED_VALUE"""),"Rain")</f>
        <v>Rain</v>
      </c>
      <c r="C205" s="25">
        <f ca="1">IFERROR(__xludf.DUMMYFUNCTION("""COMPUTED_VALUE"""),18)</f>
        <v>18</v>
      </c>
    </row>
    <row r="208" spans="2:13" ht="13">
      <c r="B208" s="91" t="str">
        <f ca="1">IFERROR(__xludf.DUMMYFUNCTION("ArrayFormula(QUERY('Scenario Naming'!A2:AD1000,""select V, count(V) where V != '' and AD != 'delete' group by V label count(V) 'Total Number'"",1))"),"Light Condition")</f>
        <v>Light Condition</v>
      </c>
      <c r="C208" s="91" t="str">
        <f ca="1">IFERROR(__xludf.DUMMYFUNCTION("""COMPUTED_VALUE"""),"Total Number")</f>
        <v>Total Number</v>
      </c>
      <c r="D208" s="25">
        <f ca="1">SUM(C209:C212)</f>
        <v>322</v>
      </c>
    </row>
    <row r="209" spans="2:3" ht="13">
      <c r="B209" s="25" t="str">
        <f ca="1">IFERROR(__xludf.DUMMYFUNCTION("""COMPUTED_VALUE"""),"Dark")</f>
        <v>Dark</v>
      </c>
      <c r="C209" s="25">
        <f ca="1">IFERROR(__xludf.DUMMYFUNCTION("""COMPUTED_VALUE"""),6)</f>
        <v>6</v>
      </c>
    </row>
    <row r="210" spans="2:3" ht="13">
      <c r="B210" s="25" t="str">
        <f ca="1">IFERROR(__xludf.DUMMYFUNCTION("""COMPUTED_VALUE"""),"Dark but Lighted")</f>
        <v>Dark but Lighted</v>
      </c>
      <c r="C210" s="25">
        <f ca="1">IFERROR(__xludf.DUMMYFUNCTION("""COMPUTED_VALUE"""),30)</f>
        <v>30</v>
      </c>
    </row>
    <row r="211" spans="2:3" ht="13">
      <c r="B211" s="25" t="str">
        <f ca="1">IFERROR(__xludf.DUMMYFUNCTION("""COMPUTED_VALUE"""),"Dawn or Dusk")</f>
        <v>Dawn or Dusk</v>
      </c>
      <c r="C211" s="25">
        <f ca="1">IFERROR(__xludf.DUMMYFUNCTION("""COMPUTED_VALUE"""),7)</f>
        <v>7</v>
      </c>
    </row>
    <row r="212" spans="2:3" ht="13">
      <c r="B212" s="25" t="str">
        <f ca="1">IFERROR(__xludf.DUMMYFUNCTION("""COMPUTED_VALUE"""),"Daylight")</f>
        <v>Daylight</v>
      </c>
      <c r="C212" s="25">
        <f ca="1">IFERROR(__xludf.DUMMYFUNCTION("""COMPUTED_VALUE"""),279)</f>
        <v>279</v>
      </c>
    </row>
  </sheetData>
  <phoneticPr fontId="8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000"/>
  <sheetViews>
    <sheetView workbookViewId="0"/>
  </sheetViews>
  <sheetFormatPr defaultColWidth="14.3984375" defaultRowHeight="15.75" customHeight="1"/>
  <cols>
    <col min="1" max="1" width="8.69921875" customWidth="1"/>
    <col min="2" max="2" width="33.3984375" customWidth="1"/>
    <col min="3" max="3" width="129.69921875" customWidth="1"/>
    <col min="4" max="26" width="8.69921875" customWidth="1"/>
  </cols>
  <sheetData>
    <row r="1" spans="1:3" ht="15.75" customHeight="1">
      <c r="B1" s="116" t="s">
        <v>1932</v>
      </c>
      <c r="C1" s="116" t="s">
        <v>1933</v>
      </c>
    </row>
    <row r="2" spans="1:3" ht="15.75" customHeight="1">
      <c r="A2" s="116">
        <v>0</v>
      </c>
      <c r="B2" s="25" t="s">
        <v>522</v>
      </c>
      <c r="C2" s="26" t="s">
        <v>1934</v>
      </c>
    </row>
    <row r="3" spans="1:3" ht="15.75" customHeight="1">
      <c r="A3" s="116">
        <v>1</v>
      </c>
      <c r="B3" s="25" t="s">
        <v>529</v>
      </c>
      <c r="C3" s="25" t="s">
        <v>1935</v>
      </c>
    </row>
    <row r="4" spans="1:3" ht="15.75" customHeight="1">
      <c r="A4" s="116">
        <v>2</v>
      </c>
      <c r="B4" s="25" t="s">
        <v>534</v>
      </c>
      <c r="C4" s="25" t="s">
        <v>1936</v>
      </c>
    </row>
    <row r="5" spans="1:3" ht="15.75" customHeight="1">
      <c r="A5" s="116">
        <v>3</v>
      </c>
      <c r="B5" s="25" t="s">
        <v>540</v>
      </c>
      <c r="C5" s="25" t="s">
        <v>1937</v>
      </c>
    </row>
    <row r="6" spans="1:3" ht="15.75" customHeight="1">
      <c r="A6" s="116">
        <v>4</v>
      </c>
      <c r="B6" s="25" t="s">
        <v>547</v>
      </c>
      <c r="C6" s="25" t="s">
        <v>1938</v>
      </c>
    </row>
    <row r="7" spans="1:3" ht="15.75" customHeight="1">
      <c r="A7" s="116">
        <v>5</v>
      </c>
      <c r="B7" s="25" t="s">
        <v>872</v>
      </c>
      <c r="C7" s="25" t="s">
        <v>1939</v>
      </c>
    </row>
    <row r="8" spans="1:3" ht="15.75" customHeight="1">
      <c r="A8" s="116">
        <v>6</v>
      </c>
      <c r="B8" s="25" t="s">
        <v>552</v>
      </c>
      <c r="C8" s="25" t="s">
        <v>1940</v>
      </c>
    </row>
    <row r="9" spans="1:3" ht="15.75" customHeight="1">
      <c r="A9" s="116">
        <v>7</v>
      </c>
      <c r="B9" s="25" t="s">
        <v>557</v>
      </c>
      <c r="C9" s="25" t="s">
        <v>1941</v>
      </c>
    </row>
    <row r="10" spans="1:3" ht="15.75" customHeight="1">
      <c r="A10" s="116">
        <v>8</v>
      </c>
      <c r="B10" s="25" t="s">
        <v>599</v>
      </c>
      <c r="C10" s="25" t="s">
        <v>1942</v>
      </c>
    </row>
    <row r="11" spans="1:3" ht="15.75" customHeight="1">
      <c r="A11" s="116">
        <v>9</v>
      </c>
      <c r="B11" s="25" t="s">
        <v>565</v>
      </c>
      <c r="C11" s="25" t="s">
        <v>1943</v>
      </c>
    </row>
    <row r="12" spans="1:3" ht="15.75" customHeight="1">
      <c r="A12" s="116">
        <v>10</v>
      </c>
      <c r="B12" s="25" t="s">
        <v>604</v>
      </c>
      <c r="C12" s="25" t="s">
        <v>1944</v>
      </c>
    </row>
    <row r="13" spans="1:3" ht="15.75" customHeight="1">
      <c r="A13" s="116">
        <v>11</v>
      </c>
      <c r="B13" s="25" t="s">
        <v>609</v>
      </c>
      <c r="C13" s="25" t="s">
        <v>1945</v>
      </c>
    </row>
    <row r="14" spans="1:3" ht="15.75" customHeight="1">
      <c r="A14" s="116">
        <v>12</v>
      </c>
      <c r="B14" s="25" t="s">
        <v>572</v>
      </c>
      <c r="C14" s="25" t="s">
        <v>1946</v>
      </c>
    </row>
    <row r="15" spans="1:3" ht="15.75" customHeight="1">
      <c r="A15" s="116">
        <v>13</v>
      </c>
      <c r="B15" s="25" t="s">
        <v>579</v>
      </c>
      <c r="C15" s="25" t="s">
        <v>1947</v>
      </c>
    </row>
    <row r="16" spans="1:3" ht="15.75" customHeight="1">
      <c r="A16" s="116">
        <v>14</v>
      </c>
      <c r="B16" s="25" t="s">
        <v>586</v>
      </c>
      <c r="C16" s="25" t="s">
        <v>1948</v>
      </c>
    </row>
    <row r="17" spans="1:3" ht="15.75" customHeight="1">
      <c r="A17" s="116">
        <v>15</v>
      </c>
      <c r="B17" s="25" t="s">
        <v>594</v>
      </c>
      <c r="C17" s="25" t="s">
        <v>1949</v>
      </c>
    </row>
    <row r="18" spans="1:3" ht="15.75" customHeight="1">
      <c r="A18" s="116">
        <v>16</v>
      </c>
      <c r="B18" s="25" t="s">
        <v>615</v>
      </c>
      <c r="C18" s="25" t="s">
        <v>1950</v>
      </c>
    </row>
    <row r="19" spans="1:3" ht="15.75" customHeight="1">
      <c r="A19" s="116">
        <v>17</v>
      </c>
      <c r="B19" s="25" t="s">
        <v>621</v>
      </c>
      <c r="C19" s="25" t="s">
        <v>1951</v>
      </c>
    </row>
    <row r="20" spans="1:3" ht="15.75" customHeight="1">
      <c r="A20" s="116">
        <v>18</v>
      </c>
      <c r="B20" s="25" t="s">
        <v>629</v>
      </c>
      <c r="C20" s="25" t="s">
        <v>1952</v>
      </c>
    </row>
    <row r="21" spans="1:3" ht="15.75" customHeight="1">
      <c r="A21" s="116">
        <v>19</v>
      </c>
      <c r="B21" s="25" t="s">
        <v>679</v>
      </c>
      <c r="C21" s="25" t="s">
        <v>1953</v>
      </c>
    </row>
    <row r="22" spans="1:3" ht="15.75" customHeight="1">
      <c r="A22" s="116">
        <v>20</v>
      </c>
      <c r="B22" s="25" t="s">
        <v>141</v>
      </c>
      <c r="C22" s="25" t="s">
        <v>1954</v>
      </c>
    </row>
    <row r="23" spans="1:3" ht="15.75" customHeight="1">
      <c r="A23" s="116">
        <v>21</v>
      </c>
      <c r="B23" s="25" t="s">
        <v>730</v>
      </c>
      <c r="C23" s="25" t="s">
        <v>1955</v>
      </c>
    </row>
    <row r="24" spans="1:3" ht="15.75" customHeight="1">
      <c r="A24" s="116">
        <v>22</v>
      </c>
      <c r="B24" s="25" t="s">
        <v>736</v>
      </c>
      <c r="C24" s="25" t="s">
        <v>1956</v>
      </c>
    </row>
    <row r="25" spans="1:3" ht="13">
      <c r="A25" s="116">
        <v>23</v>
      </c>
      <c r="B25" s="25" t="s">
        <v>742</v>
      </c>
      <c r="C25" s="25" t="s">
        <v>1957</v>
      </c>
    </row>
    <row r="26" spans="1:3" ht="13">
      <c r="A26" s="116">
        <v>24</v>
      </c>
      <c r="B26" s="25" t="s">
        <v>747</v>
      </c>
      <c r="C26" s="25" t="s">
        <v>1958</v>
      </c>
    </row>
    <row r="27" spans="1:3" ht="13">
      <c r="A27" s="116">
        <v>25</v>
      </c>
      <c r="B27" s="25" t="s">
        <v>752</v>
      </c>
      <c r="C27" s="25" t="s">
        <v>1959</v>
      </c>
    </row>
    <row r="28" spans="1:3" ht="13">
      <c r="A28" s="116">
        <v>26</v>
      </c>
      <c r="B28" s="25" t="s">
        <v>115</v>
      </c>
      <c r="C28" s="25" t="s">
        <v>1960</v>
      </c>
    </row>
    <row r="29" spans="1:3" ht="13">
      <c r="A29" s="116">
        <v>27</v>
      </c>
      <c r="B29" s="25" t="s">
        <v>123</v>
      </c>
      <c r="C29" s="25" t="s">
        <v>1961</v>
      </c>
    </row>
    <row r="30" spans="1:3" ht="13">
      <c r="A30" s="116">
        <v>28</v>
      </c>
      <c r="B30" s="25" t="s">
        <v>635</v>
      </c>
      <c r="C30" s="25" t="s">
        <v>1962</v>
      </c>
    </row>
    <row r="31" spans="1:3" ht="13">
      <c r="A31" s="116">
        <v>29</v>
      </c>
      <c r="B31" s="25" t="s">
        <v>641</v>
      </c>
      <c r="C31" s="25" t="s">
        <v>1963</v>
      </c>
    </row>
    <row r="32" spans="1:3" ht="13">
      <c r="A32" s="116">
        <v>30</v>
      </c>
      <c r="B32" s="25" t="s">
        <v>645</v>
      </c>
      <c r="C32" s="25" t="s">
        <v>1964</v>
      </c>
    </row>
    <row r="33" spans="1:3" ht="13">
      <c r="A33" s="116">
        <v>31</v>
      </c>
      <c r="B33" s="25" t="s">
        <v>651</v>
      </c>
      <c r="C33" s="25" t="s">
        <v>1965</v>
      </c>
    </row>
    <row r="34" spans="1:3" ht="13">
      <c r="A34" s="116">
        <v>32</v>
      </c>
      <c r="B34" s="25" t="s">
        <v>657</v>
      </c>
      <c r="C34" s="25" t="s">
        <v>1966</v>
      </c>
    </row>
    <row r="35" spans="1:3" ht="13">
      <c r="A35" s="116">
        <v>33</v>
      </c>
      <c r="B35" s="25" t="s">
        <v>665</v>
      </c>
      <c r="C35" s="25" t="s">
        <v>1967</v>
      </c>
    </row>
    <row r="36" spans="1:3" ht="13">
      <c r="A36" s="116">
        <v>34</v>
      </c>
      <c r="B36" s="25" t="s">
        <v>671</v>
      </c>
      <c r="C36" s="25" t="s">
        <v>1968</v>
      </c>
    </row>
    <row r="37" spans="1:3" ht="13">
      <c r="A37" s="116">
        <v>35</v>
      </c>
      <c r="B37" s="25" t="s">
        <v>685</v>
      </c>
      <c r="C37" s="25" t="s">
        <v>1969</v>
      </c>
    </row>
    <row r="38" spans="1:3" ht="13">
      <c r="A38" s="116">
        <v>36</v>
      </c>
      <c r="B38" s="25" t="s">
        <v>692</v>
      </c>
      <c r="C38" s="25" t="s">
        <v>1970</v>
      </c>
    </row>
    <row r="39" spans="1:3" ht="13">
      <c r="A39" s="116">
        <v>37</v>
      </c>
      <c r="B39" s="25" t="s">
        <v>757</v>
      </c>
      <c r="C39" s="25" t="s">
        <v>1971</v>
      </c>
    </row>
    <row r="40" spans="1:3" ht="13">
      <c r="A40" s="116">
        <v>38</v>
      </c>
      <c r="B40" s="25" t="s">
        <v>698</v>
      </c>
      <c r="C40" s="25" t="s">
        <v>1972</v>
      </c>
    </row>
    <row r="41" spans="1:3" ht="13">
      <c r="A41" s="116">
        <v>39</v>
      </c>
      <c r="B41" s="25" t="s">
        <v>705</v>
      </c>
      <c r="C41" s="25" t="s">
        <v>1973</v>
      </c>
    </row>
    <row r="42" spans="1:3" ht="13">
      <c r="A42" s="116">
        <v>40</v>
      </c>
      <c r="B42" s="25" t="s">
        <v>711</v>
      </c>
      <c r="C42" s="25" t="s">
        <v>1974</v>
      </c>
    </row>
    <row r="43" spans="1:3" ht="13">
      <c r="A43" s="116">
        <v>41</v>
      </c>
      <c r="B43" s="25" t="s">
        <v>715</v>
      </c>
      <c r="C43" s="25" t="s">
        <v>1975</v>
      </c>
    </row>
    <row r="44" spans="1:3" ht="13">
      <c r="A44" s="116">
        <v>42</v>
      </c>
      <c r="B44" s="25" t="s">
        <v>721</v>
      </c>
      <c r="C44" s="25" t="s">
        <v>1976</v>
      </c>
    </row>
    <row r="45" spans="1:3" ht="13">
      <c r="A45" s="116">
        <v>43</v>
      </c>
      <c r="B45" s="25" t="s">
        <v>726</v>
      </c>
      <c r="C45" s="25" t="s">
        <v>1977</v>
      </c>
    </row>
    <row r="46" spans="1:3" ht="13">
      <c r="A46" s="116">
        <v>44</v>
      </c>
      <c r="B46" s="25" t="s">
        <v>762</v>
      </c>
      <c r="C46" s="25" t="s">
        <v>1978</v>
      </c>
    </row>
    <row r="47" spans="1:3" ht="13">
      <c r="A47" s="116">
        <v>45</v>
      </c>
      <c r="B47" s="25" t="s">
        <v>767</v>
      </c>
      <c r="C47" s="25" t="s">
        <v>1979</v>
      </c>
    </row>
    <row r="48" spans="1:3" ht="13">
      <c r="A48" s="116">
        <v>46</v>
      </c>
      <c r="B48" s="25" t="s">
        <v>773</v>
      </c>
      <c r="C48" s="25" t="s">
        <v>1980</v>
      </c>
    </row>
    <row r="49" spans="1:3" ht="13">
      <c r="A49" s="116">
        <v>47</v>
      </c>
      <c r="B49" s="25" t="s">
        <v>780</v>
      </c>
      <c r="C49" s="25" t="s">
        <v>1981</v>
      </c>
    </row>
    <row r="50" spans="1:3" ht="13">
      <c r="A50" s="116">
        <v>48</v>
      </c>
      <c r="B50" s="25" t="s">
        <v>788</v>
      </c>
      <c r="C50" s="25" t="s">
        <v>1982</v>
      </c>
    </row>
    <row r="51" spans="1:3" ht="13">
      <c r="A51" s="116">
        <v>49</v>
      </c>
      <c r="B51" s="25" t="s">
        <v>794</v>
      </c>
      <c r="C51" s="25" t="s">
        <v>1983</v>
      </c>
    </row>
    <row r="52" spans="1:3" ht="13">
      <c r="A52" s="116">
        <v>50</v>
      </c>
      <c r="B52" s="25" t="s">
        <v>46</v>
      </c>
      <c r="C52" s="25" t="s">
        <v>1984</v>
      </c>
    </row>
    <row r="53" spans="1:3" ht="13">
      <c r="A53" s="116">
        <v>51</v>
      </c>
      <c r="B53" s="25" t="s">
        <v>798</v>
      </c>
      <c r="C53" s="25" t="s">
        <v>1985</v>
      </c>
    </row>
    <row r="54" spans="1:3" ht="13">
      <c r="A54" s="116">
        <v>52</v>
      </c>
      <c r="B54" s="25" t="s">
        <v>805</v>
      </c>
      <c r="C54" s="25" t="s">
        <v>1986</v>
      </c>
    </row>
    <row r="55" spans="1:3" ht="13">
      <c r="A55" s="116">
        <v>53</v>
      </c>
      <c r="B55" s="25" t="s">
        <v>810</v>
      </c>
      <c r="C55" s="25" t="s">
        <v>1987</v>
      </c>
    </row>
    <row r="56" spans="1:3" ht="13">
      <c r="A56" s="116">
        <v>54</v>
      </c>
      <c r="B56" s="25" t="s">
        <v>813</v>
      </c>
      <c r="C56" s="25" t="s">
        <v>1988</v>
      </c>
    </row>
    <row r="57" spans="1:3" ht="13">
      <c r="A57" s="116">
        <v>55</v>
      </c>
      <c r="B57" s="25" t="s">
        <v>815</v>
      </c>
      <c r="C57" s="25" t="s">
        <v>1989</v>
      </c>
    </row>
    <row r="58" spans="1:3" ht="13">
      <c r="A58" s="116">
        <v>56</v>
      </c>
      <c r="B58" s="25" t="s">
        <v>820</v>
      </c>
      <c r="C58" s="25" t="s">
        <v>1990</v>
      </c>
    </row>
    <row r="59" spans="1:3" ht="13">
      <c r="A59" s="116">
        <v>57</v>
      </c>
      <c r="B59" s="25" t="s">
        <v>827</v>
      </c>
      <c r="C59" s="25" t="s">
        <v>1991</v>
      </c>
    </row>
    <row r="60" spans="1:3" ht="13">
      <c r="A60" s="116">
        <v>58</v>
      </c>
      <c r="B60" s="25" t="s">
        <v>868</v>
      </c>
      <c r="C60" s="25" t="s">
        <v>1992</v>
      </c>
    </row>
    <row r="61" spans="1:3" ht="13">
      <c r="A61" s="116">
        <v>59</v>
      </c>
      <c r="B61" s="25" t="s">
        <v>831</v>
      </c>
      <c r="C61" s="25" t="s">
        <v>1993</v>
      </c>
    </row>
    <row r="62" spans="1:3" ht="13">
      <c r="A62" s="116">
        <v>60</v>
      </c>
      <c r="B62" s="25" t="s">
        <v>835</v>
      </c>
      <c r="C62" s="25" t="s">
        <v>1994</v>
      </c>
    </row>
    <row r="63" spans="1:3" ht="13">
      <c r="A63" s="116">
        <v>61</v>
      </c>
      <c r="B63" s="25" t="s">
        <v>839</v>
      </c>
      <c r="C63" s="25" t="s">
        <v>1995</v>
      </c>
    </row>
    <row r="64" spans="1:3" ht="13">
      <c r="A64" s="116">
        <v>62</v>
      </c>
      <c r="B64" s="25" t="s">
        <v>845</v>
      </c>
      <c r="C64" s="25" t="s">
        <v>1996</v>
      </c>
    </row>
    <row r="65" spans="1:3" ht="13">
      <c r="A65" s="116">
        <v>63</v>
      </c>
      <c r="B65" s="25" t="s">
        <v>848</v>
      </c>
      <c r="C65" s="25" t="s">
        <v>1997</v>
      </c>
    </row>
    <row r="66" spans="1:3" ht="13">
      <c r="A66" s="116">
        <v>64</v>
      </c>
      <c r="B66" s="25" t="s">
        <v>853</v>
      </c>
      <c r="C66" s="25" t="s">
        <v>1998</v>
      </c>
    </row>
    <row r="67" spans="1:3" ht="13">
      <c r="A67" s="116">
        <v>65</v>
      </c>
      <c r="B67" s="25" t="s">
        <v>861</v>
      </c>
      <c r="C67" s="25" t="s">
        <v>1999</v>
      </c>
    </row>
    <row r="68" spans="1:3" ht="13">
      <c r="A68" s="116">
        <v>66</v>
      </c>
      <c r="B68" s="25" t="s">
        <v>2000</v>
      </c>
      <c r="C68" s="25" t="s">
        <v>2001</v>
      </c>
    </row>
    <row r="69" spans="1:3" ht="13">
      <c r="A69" s="116">
        <v>67</v>
      </c>
      <c r="B69" s="25" t="s">
        <v>891</v>
      </c>
      <c r="C69" s="25" t="s">
        <v>2002</v>
      </c>
    </row>
    <row r="70" spans="1:3" ht="13">
      <c r="A70" s="116">
        <v>68</v>
      </c>
      <c r="B70" s="25" t="s">
        <v>477</v>
      </c>
      <c r="C70" s="25" t="s">
        <v>2003</v>
      </c>
    </row>
    <row r="71" spans="1:3" ht="13">
      <c r="A71" s="116">
        <v>69</v>
      </c>
      <c r="B71" s="25" t="s">
        <v>880</v>
      </c>
      <c r="C71" s="25" t="s">
        <v>2004</v>
      </c>
    </row>
    <row r="72" spans="1:3" ht="13">
      <c r="A72" s="116">
        <v>70</v>
      </c>
      <c r="B72" s="25" t="s">
        <v>885</v>
      </c>
      <c r="C72" s="25" t="s">
        <v>2005</v>
      </c>
    </row>
    <row r="73" spans="1:3" ht="13">
      <c r="A73" s="116">
        <v>71</v>
      </c>
      <c r="B73" s="25" t="s">
        <v>897</v>
      </c>
      <c r="C73" s="25" t="s">
        <v>2006</v>
      </c>
    </row>
    <row r="74" spans="1:3" ht="13">
      <c r="A74" s="116">
        <v>72</v>
      </c>
      <c r="B74" s="25" t="s">
        <v>266</v>
      </c>
      <c r="C74" s="25" t="s">
        <v>2007</v>
      </c>
    </row>
    <row r="75" spans="1:3" ht="13">
      <c r="A75" s="116">
        <v>73</v>
      </c>
      <c r="B75" s="25" t="s">
        <v>903</v>
      </c>
      <c r="C75" s="25" t="s">
        <v>2008</v>
      </c>
    </row>
    <row r="76" spans="1:3" ht="13">
      <c r="A76" s="116">
        <v>74</v>
      </c>
      <c r="B76" s="25" t="s">
        <v>280</v>
      </c>
      <c r="C76" s="25" t="s">
        <v>2009</v>
      </c>
    </row>
    <row r="77" spans="1:3" ht="13">
      <c r="A77" s="116">
        <v>75</v>
      </c>
      <c r="B77" s="25" t="s">
        <v>273</v>
      </c>
      <c r="C77" s="25" t="s">
        <v>2010</v>
      </c>
    </row>
    <row r="78" spans="1:3" ht="13">
      <c r="A78" s="116">
        <v>76</v>
      </c>
      <c r="B78" s="25" t="s">
        <v>285</v>
      </c>
      <c r="C78" s="25" t="s">
        <v>2011</v>
      </c>
    </row>
    <row r="79" spans="1:3" ht="13">
      <c r="A79" s="116">
        <v>77</v>
      </c>
      <c r="B79" s="25" t="s">
        <v>258</v>
      </c>
      <c r="C79" s="25" t="s">
        <v>2012</v>
      </c>
    </row>
    <row r="80" spans="1:3" ht="13">
      <c r="A80" s="116">
        <v>78</v>
      </c>
      <c r="B80" s="25" t="s">
        <v>290</v>
      </c>
      <c r="C80" s="25" t="s">
        <v>2013</v>
      </c>
    </row>
    <row r="81" spans="1:3" ht="13">
      <c r="A81" s="116">
        <v>79</v>
      </c>
      <c r="B81" s="25" t="s">
        <v>304</v>
      </c>
      <c r="C81" s="25" t="s">
        <v>2014</v>
      </c>
    </row>
    <row r="82" spans="1:3" ht="13">
      <c r="A82" s="116">
        <v>80</v>
      </c>
      <c r="B82" s="25" t="s">
        <v>914</v>
      </c>
      <c r="C82" s="25" t="s">
        <v>2015</v>
      </c>
    </row>
    <row r="83" spans="1:3" ht="13">
      <c r="A83" s="116">
        <v>81</v>
      </c>
      <c r="B83" s="25" t="s">
        <v>921</v>
      </c>
      <c r="C83" s="25" t="s">
        <v>2016</v>
      </c>
    </row>
    <row r="84" spans="1:3" ht="13">
      <c r="A84" s="116">
        <v>82</v>
      </c>
      <c r="B84" s="25" t="s">
        <v>929</v>
      </c>
      <c r="C84" s="25" t="s">
        <v>2017</v>
      </c>
    </row>
    <row r="85" spans="1:3" ht="13">
      <c r="A85" s="116">
        <v>83</v>
      </c>
      <c r="B85" s="25" t="s">
        <v>933</v>
      </c>
      <c r="C85" s="25" t="s">
        <v>2018</v>
      </c>
    </row>
    <row r="86" spans="1:3" ht="13">
      <c r="A86" s="116">
        <v>84</v>
      </c>
      <c r="B86" s="25" t="s">
        <v>939</v>
      </c>
      <c r="C86" s="25" t="s">
        <v>2019</v>
      </c>
    </row>
    <row r="87" spans="1:3" ht="13">
      <c r="A87" s="116">
        <v>85</v>
      </c>
      <c r="B87" s="25" t="s">
        <v>944</v>
      </c>
      <c r="C87" s="25" t="s">
        <v>2020</v>
      </c>
    </row>
    <row r="88" spans="1:3" ht="13">
      <c r="A88" s="116">
        <v>86</v>
      </c>
      <c r="B88" s="25" t="s">
        <v>948</v>
      </c>
      <c r="C88" s="25" t="s">
        <v>2021</v>
      </c>
    </row>
    <row r="89" spans="1:3" ht="13">
      <c r="A89" s="116">
        <v>87</v>
      </c>
      <c r="B89" s="25" t="s">
        <v>955</v>
      </c>
      <c r="C89" s="25" t="s">
        <v>2022</v>
      </c>
    </row>
    <row r="90" spans="1:3" ht="13">
      <c r="A90" s="116">
        <v>88</v>
      </c>
      <c r="B90" s="25" t="s">
        <v>385</v>
      </c>
      <c r="C90" s="25" t="s">
        <v>2023</v>
      </c>
    </row>
    <row r="91" spans="1:3" ht="13">
      <c r="A91" s="116">
        <v>89</v>
      </c>
      <c r="B91" s="25" t="s">
        <v>395</v>
      </c>
      <c r="C91" s="25" t="s">
        <v>2024</v>
      </c>
    </row>
    <row r="92" spans="1:3" ht="13">
      <c r="A92" s="116">
        <v>90</v>
      </c>
      <c r="B92" s="25" t="s">
        <v>403</v>
      </c>
      <c r="C92" s="25" t="s">
        <v>2025</v>
      </c>
    </row>
    <row r="93" spans="1:3" ht="13">
      <c r="A93" s="116">
        <v>91</v>
      </c>
      <c r="B93" s="25" t="s">
        <v>411</v>
      </c>
      <c r="C93" s="25" t="s">
        <v>2026</v>
      </c>
    </row>
    <row r="94" spans="1:3" ht="13">
      <c r="A94" s="116">
        <v>92</v>
      </c>
      <c r="B94" s="25" t="s">
        <v>418</v>
      </c>
      <c r="C94" s="25" t="s">
        <v>2027</v>
      </c>
    </row>
    <row r="95" spans="1:3" ht="13">
      <c r="A95" s="116">
        <v>93</v>
      </c>
      <c r="B95" s="25" t="s">
        <v>428</v>
      </c>
      <c r="C95" s="25" t="s">
        <v>2028</v>
      </c>
    </row>
    <row r="96" spans="1:3" ht="13">
      <c r="A96" s="116">
        <v>94</v>
      </c>
      <c r="B96" s="25" t="s">
        <v>437</v>
      </c>
      <c r="C96" s="25" t="s">
        <v>2029</v>
      </c>
    </row>
    <row r="97" spans="1:3" ht="13">
      <c r="A97" s="116">
        <v>95</v>
      </c>
      <c r="B97" s="25" t="s">
        <v>445</v>
      </c>
      <c r="C97" s="25" t="s">
        <v>2030</v>
      </c>
    </row>
    <row r="98" spans="1:3" ht="13">
      <c r="A98" s="116">
        <v>96</v>
      </c>
      <c r="B98" s="25" t="s">
        <v>452</v>
      </c>
      <c r="C98" s="25" t="s">
        <v>2031</v>
      </c>
    </row>
    <row r="99" spans="1:3" ht="13">
      <c r="A99" s="116">
        <v>97</v>
      </c>
      <c r="B99" s="25" t="s">
        <v>464</v>
      </c>
      <c r="C99" s="25" t="s">
        <v>2032</v>
      </c>
    </row>
    <row r="100" spans="1:3" ht="13">
      <c r="A100" s="116">
        <v>98</v>
      </c>
      <c r="B100" s="25" t="s">
        <v>961</v>
      </c>
      <c r="C100" s="25" t="s">
        <v>2033</v>
      </c>
    </row>
    <row r="101" spans="1:3" ht="13">
      <c r="A101" s="116">
        <v>99</v>
      </c>
      <c r="B101" s="25" t="s">
        <v>966</v>
      </c>
      <c r="C101" s="25" t="s">
        <v>2034</v>
      </c>
    </row>
    <row r="102" spans="1:3" ht="13">
      <c r="A102" s="116">
        <v>100</v>
      </c>
      <c r="B102" s="25" t="s">
        <v>972</v>
      </c>
      <c r="C102" s="25" t="s">
        <v>2035</v>
      </c>
    </row>
    <row r="103" spans="1:3" ht="13">
      <c r="A103" s="116">
        <v>101</v>
      </c>
      <c r="B103" s="25" t="s">
        <v>979</v>
      </c>
      <c r="C103" s="25" t="s">
        <v>2036</v>
      </c>
    </row>
    <row r="104" spans="1:3" ht="13">
      <c r="A104" s="116">
        <v>102</v>
      </c>
      <c r="B104" s="25" t="s">
        <v>983</v>
      </c>
      <c r="C104" s="25" t="s">
        <v>2037</v>
      </c>
    </row>
    <row r="105" spans="1:3" ht="13">
      <c r="A105" s="116">
        <v>103</v>
      </c>
      <c r="B105" s="25" t="s">
        <v>989</v>
      </c>
      <c r="C105" s="25" t="s">
        <v>2038</v>
      </c>
    </row>
    <row r="106" spans="1:3" ht="13">
      <c r="A106" s="116">
        <v>104</v>
      </c>
      <c r="B106" s="25" t="s">
        <v>994</v>
      </c>
      <c r="C106" s="25" t="s">
        <v>2039</v>
      </c>
    </row>
    <row r="107" spans="1:3" ht="13">
      <c r="A107" s="116">
        <v>105</v>
      </c>
      <c r="B107" s="25" t="s">
        <v>998</v>
      </c>
      <c r="C107" s="25" t="s">
        <v>2040</v>
      </c>
    </row>
    <row r="108" spans="1:3" ht="13">
      <c r="A108" s="116">
        <v>106</v>
      </c>
      <c r="B108" s="25" t="s">
        <v>1003</v>
      </c>
      <c r="C108" s="25" t="s">
        <v>2041</v>
      </c>
    </row>
    <row r="109" spans="1:3" ht="13">
      <c r="A109" s="116">
        <v>107</v>
      </c>
      <c r="B109" s="25" t="s">
        <v>1007</v>
      </c>
      <c r="C109" s="25" t="s">
        <v>2042</v>
      </c>
    </row>
    <row r="110" spans="1:3" ht="13">
      <c r="A110" s="116">
        <v>108</v>
      </c>
      <c r="B110" s="25" t="s">
        <v>1013</v>
      </c>
      <c r="C110" s="25" t="s">
        <v>2043</v>
      </c>
    </row>
    <row r="111" spans="1:3" ht="13">
      <c r="A111" s="116">
        <v>109</v>
      </c>
      <c r="B111" s="25" t="s">
        <v>1024</v>
      </c>
      <c r="C111" s="25" t="s">
        <v>2044</v>
      </c>
    </row>
    <row r="112" spans="1:3" ht="13">
      <c r="A112" s="116">
        <v>110</v>
      </c>
      <c r="B112" s="25" t="s">
        <v>166</v>
      </c>
      <c r="C112" s="25" t="s">
        <v>2045</v>
      </c>
    </row>
    <row r="113" spans="1:3" ht="13">
      <c r="A113" s="116">
        <v>111</v>
      </c>
      <c r="B113" s="25" t="s">
        <v>179</v>
      </c>
      <c r="C113" s="25" t="s">
        <v>2046</v>
      </c>
    </row>
    <row r="114" spans="1:3" ht="13">
      <c r="A114" s="116">
        <v>112</v>
      </c>
      <c r="B114" s="25" t="s">
        <v>189</v>
      </c>
      <c r="C114" s="25" t="s">
        <v>2047</v>
      </c>
    </row>
    <row r="115" spans="1:3" ht="13">
      <c r="A115" s="116">
        <v>113</v>
      </c>
      <c r="B115" s="25" t="s">
        <v>200</v>
      </c>
      <c r="C115" s="25" t="s">
        <v>2048</v>
      </c>
    </row>
    <row r="116" spans="1:3" ht="13">
      <c r="A116" s="116">
        <v>114</v>
      </c>
      <c r="B116" s="25" t="s">
        <v>1019</v>
      </c>
      <c r="C116" s="25" t="s">
        <v>2049</v>
      </c>
    </row>
    <row r="117" spans="1:3" ht="13">
      <c r="A117" s="116">
        <v>115</v>
      </c>
      <c r="B117" s="25" t="s">
        <v>210</v>
      </c>
      <c r="C117" s="25" t="s">
        <v>2050</v>
      </c>
    </row>
    <row r="118" spans="1:3" ht="13">
      <c r="A118" s="116">
        <v>116</v>
      </c>
      <c r="B118" s="25" t="s">
        <v>1029</v>
      </c>
      <c r="C118" s="25" t="s">
        <v>2051</v>
      </c>
    </row>
    <row r="119" spans="1:3" ht="13">
      <c r="A119" s="116">
        <v>117</v>
      </c>
      <c r="B119" s="25" t="s">
        <v>226</v>
      </c>
      <c r="C119" s="25" t="s">
        <v>2052</v>
      </c>
    </row>
    <row r="120" spans="1:3" ht="13">
      <c r="A120" s="116">
        <v>118</v>
      </c>
      <c r="B120" s="25" t="s">
        <v>1033</v>
      </c>
      <c r="C120" s="25" t="s">
        <v>2053</v>
      </c>
    </row>
    <row r="121" spans="1:3" ht="13">
      <c r="A121" s="116">
        <v>119</v>
      </c>
      <c r="B121" s="25" t="s">
        <v>1038</v>
      </c>
      <c r="C121" s="25" t="s">
        <v>2054</v>
      </c>
    </row>
    <row r="122" spans="1:3" ht="13">
      <c r="A122" s="116">
        <v>120</v>
      </c>
      <c r="B122" s="25" t="s">
        <v>1043</v>
      </c>
      <c r="C122" s="25" t="s">
        <v>2055</v>
      </c>
    </row>
    <row r="123" spans="1:3" ht="13">
      <c r="A123" s="116">
        <v>121</v>
      </c>
      <c r="B123" s="25" t="s">
        <v>1048</v>
      </c>
      <c r="C123" s="25" t="s">
        <v>2056</v>
      </c>
    </row>
    <row r="124" spans="1:3" ht="13">
      <c r="A124" s="116">
        <v>122</v>
      </c>
      <c r="B124" s="25" t="s">
        <v>1053</v>
      </c>
      <c r="C124" s="25" t="s">
        <v>2057</v>
      </c>
    </row>
    <row r="125" spans="1:3" ht="13">
      <c r="A125" s="116">
        <v>123</v>
      </c>
      <c r="B125" s="25" t="s">
        <v>1059</v>
      </c>
      <c r="C125" s="25" t="s">
        <v>2058</v>
      </c>
    </row>
    <row r="126" spans="1:3" ht="13">
      <c r="A126" s="116">
        <v>124</v>
      </c>
      <c r="B126" s="25" t="s">
        <v>1065</v>
      </c>
      <c r="C126" s="25" t="s">
        <v>2059</v>
      </c>
    </row>
    <row r="127" spans="1:3" ht="13">
      <c r="A127" s="116">
        <v>125</v>
      </c>
      <c r="B127" s="25" t="s">
        <v>1071</v>
      </c>
      <c r="C127" s="25" t="s">
        <v>2060</v>
      </c>
    </row>
    <row r="128" spans="1:3" ht="13">
      <c r="A128" s="116">
        <v>126</v>
      </c>
      <c r="B128" s="25" t="s">
        <v>1077</v>
      </c>
      <c r="C128" s="25" t="s">
        <v>2061</v>
      </c>
    </row>
    <row r="129" spans="1:3" ht="13">
      <c r="A129" s="116">
        <v>127</v>
      </c>
      <c r="B129" s="25" t="s">
        <v>1083</v>
      </c>
      <c r="C129" s="25" t="s">
        <v>2062</v>
      </c>
    </row>
    <row r="130" spans="1:3" ht="13">
      <c r="A130" s="116">
        <v>128</v>
      </c>
      <c r="B130" s="25" t="s">
        <v>1091</v>
      </c>
      <c r="C130" s="25" t="s">
        <v>2063</v>
      </c>
    </row>
    <row r="131" spans="1:3" ht="13">
      <c r="A131" s="116">
        <v>129</v>
      </c>
      <c r="B131" s="25" t="s">
        <v>1099</v>
      </c>
      <c r="C131" s="25" t="s">
        <v>2064</v>
      </c>
    </row>
    <row r="132" spans="1:3" ht="13">
      <c r="A132" s="116">
        <v>130</v>
      </c>
      <c r="B132" s="25" t="s">
        <v>1105</v>
      </c>
      <c r="C132" s="25" t="s">
        <v>2065</v>
      </c>
    </row>
    <row r="133" spans="1:3" ht="13">
      <c r="A133" s="116">
        <v>131</v>
      </c>
      <c r="B133" s="25" t="s">
        <v>1113</v>
      </c>
      <c r="C133" s="25" t="s">
        <v>2066</v>
      </c>
    </row>
    <row r="134" spans="1:3" ht="13">
      <c r="A134" s="116">
        <v>132</v>
      </c>
      <c r="B134" s="25" t="s">
        <v>1120</v>
      </c>
      <c r="C134" s="25" t="s">
        <v>2067</v>
      </c>
    </row>
    <row r="135" spans="1:3" ht="13">
      <c r="A135" s="116">
        <v>133</v>
      </c>
      <c r="B135" s="25" t="s">
        <v>321</v>
      </c>
      <c r="C135" s="25" t="s">
        <v>2068</v>
      </c>
    </row>
    <row r="136" spans="1:3" ht="13">
      <c r="A136" s="116">
        <v>134</v>
      </c>
      <c r="B136" s="25" t="s">
        <v>329</v>
      </c>
      <c r="C136" s="25" t="s">
        <v>2069</v>
      </c>
    </row>
    <row r="137" spans="1:3" ht="13">
      <c r="A137" s="116">
        <v>135</v>
      </c>
      <c r="B137" s="25" t="s">
        <v>335</v>
      </c>
      <c r="C137" s="25" t="s">
        <v>2070</v>
      </c>
    </row>
    <row r="138" spans="1:3" ht="13">
      <c r="A138" s="116">
        <v>136</v>
      </c>
      <c r="B138" s="25" t="s">
        <v>339</v>
      </c>
      <c r="C138" s="25" t="s">
        <v>2071</v>
      </c>
    </row>
    <row r="139" spans="1:3" ht="13">
      <c r="A139" s="116">
        <v>137</v>
      </c>
      <c r="B139" s="25" t="s">
        <v>345</v>
      </c>
      <c r="C139" s="25" t="s">
        <v>2072</v>
      </c>
    </row>
    <row r="140" spans="1:3" ht="13">
      <c r="A140" s="116">
        <v>138</v>
      </c>
      <c r="B140" s="25" t="s">
        <v>353</v>
      </c>
      <c r="C140" s="25" t="s">
        <v>2073</v>
      </c>
    </row>
    <row r="141" spans="1:3" ht="13">
      <c r="A141" s="116">
        <v>139</v>
      </c>
      <c r="B141" s="25" t="s">
        <v>360</v>
      </c>
      <c r="C141" s="25" t="s">
        <v>2074</v>
      </c>
    </row>
    <row r="142" spans="1:3" ht="13">
      <c r="A142" s="116">
        <v>140</v>
      </c>
      <c r="B142" s="25" t="s">
        <v>367</v>
      </c>
      <c r="C142" s="25" t="s">
        <v>2075</v>
      </c>
    </row>
    <row r="143" spans="1:3" ht="13">
      <c r="A143" s="116">
        <v>141</v>
      </c>
      <c r="B143" s="25" t="s">
        <v>372</v>
      </c>
      <c r="C143" s="25" t="s">
        <v>2076</v>
      </c>
    </row>
    <row r="144" spans="1:3" ht="13">
      <c r="A144" s="116">
        <v>142</v>
      </c>
      <c r="B144" s="25" t="s">
        <v>379</v>
      </c>
      <c r="C144" s="25" t="s">
        <v>2077</v>
      </c>
    </row>
    <row r="145" spans="1:3" ht="13">
      <c r="A145" s="116">
        <v>143</v>
      </c>
      <c r="B145" s="25" t="s">
        <v>1126</v>
      </c>
      <c r="C145" s="25" t="s">
        <v>2078</v>
      </c>
    </row>
    <row r="146" spans="1:3" ht="13">
      <c r="A146" s="116">
        <v>144</v>
      </c>
      <c r="B146" s="25" t="s">
        <v>1132</v>
      </c>
      <c r="C146" s="25" t="s">
        <v>2079</v>
      </c>
    </row>
    <row r="147" spans="1:3" ht="13">
      <c r="A147" s="116">
        <v>145</v>
      </c>
      <c r="B147" s="25" t="s">
        <v>1135</v>
      </c>
      <c r="C147" s="25" t="s">
        <v>2080</v>
      </c>
    </row>
    <row r="148" spans="1:3" ht="13">
      <c r="A148" s="116">
        <v>146</v>
      </c>
      <c r="B148" s="25" t="s">
        <v>1139</v>
      </c>
      <c r="C148" s="25" t="s">
        <v>2081</v>
      </c>
    </row>
    <row r="149" spans="1:3" ht="13">
      <c r="A149" s="116">
        <v>147</v>
      </c>
      <c r="B149" s="25" t="s">
        <v>1147</v>
      </c>
      <c r="C149" s="25" t="s">
        <v>2082</v>
      </c>
    </row>
    <row r="150" spans="1:3" ht="13">
      <c r="A150" s="116">
        <v>148</v>
      </c>
      <c r="B150" s="25" t="s">
        <v>1151</v>
      </c>
      <c r="C150" s="25" t="s">
        <v>2083</v>
      </c>
    </row>
    <row r="151" spans="1:3" ht="13">
      <c r="A151" s="116">
        <v>149</v>
      </c>
      <c r="B151" s="25" t="s">
        <v>1158</v>
      </c>
      <c r="C151" s="25" t="s">
        <v>2084</v>
      </c>
    </row>
    <row r="152" spans="1:3" ht="13">
      <c r="A152" s="116">
        <v>150</v>
      </c>
      <c r="B152" s="25" t="s">
        <v>1165</v>
      </c>
      <c r="C152" s="25" t="s">
        <v>2085</v>
      </c>
    </row>
    <row r="153" spans="1:3" ht="13">
      <c r="A153" s="116">
        <v>151</v>
      </c>
      <c r="B153" s="25" t="s">
        <v>1171</v>
      </c>
      <c r="C153" s="25" t="s">
        <v>2086</v>
      </c>
    </row>
    <row r="154" spans="1:3" ht="13">
      <c r="A154" s="116">
        <v>152</v>
      </c>
      <c r="B154" s="25" t="s">
        <v>1176</v>
      </c>
      <c r="C154" s="25" t="s">
        <v>2087</v>
      </c>
    </row>
    <row r="155" spans="1:3" ht="13">
      <c r="A155" s="116">
        <v>153</v>
      </c>
      <c r="B155" s="25" t="s">
        <v>1181</v>
      </c>
      <c r="C155" s="25" t="s">
        <v>2088</v>
      </c>
    </row>
    <row r="156" spans="1:3" ht="13">
      <c r="A156" s="116">
        <v>154</v>
      </c>
      <c r="B156" s="25" t="s">
        <v>1187</v>
      </c>
      <c r="C156" s="25" t="s">
        <v>2089</v>
      </c>
    </row>
    <row r="157" spans="1:3" ht="13">
      <c r="A157" s="116">
        <v>155</v>
      </c>
      <c r="B157" s="25" t="s">
        <v>1194</v>
      </c>
      <c r="C157" s="25" t="s">
        <v>2090</v>
      </c>
    </row>
    <row r="158" spans="1:3" ht="13">
      <c r="A158" s="116">
        <v>156</v>
      </c>
      <c r="B158" s="25" t="s">
        <v>1210</v>
      </c>
      <c r="C158" s="25" t="s">
        <v>2091</v>
      </c>
    </row>
    <row r="159" spans="1:3" ht="13">
      <c r="A159" s="116">
        <v>157</v>
      </c>
      <c r="B159" s="25" t="s">
        <v>1200</v>
      </c>
      <c r="C159" s="25" t="s">
        <v>2092</v>
      </c>
    </row>
    <row r="160" spans="1:3" ht="13">
      <c r="A160" s="116">
        <v>158</v>
      </c>
      <c r="B160" s="25" t="s">
        <v>234</v>
      </c>
      <c r="C160" s="25" t="s">
        <v>2093</v>
      </c>
    </row>
    <row r="161" spans="1:3" ht="13">
      <c r="A161" s="116">
        <v>159</v>
      </c>
      <c r="B161" s="25" t="s">
        <v>245</v>
      </c>
      <c r="C161" s="25" t="s">
        <v>2094</v>
      </c>
    </row>
    <row r="162" spans="1:3" ht="13">
      <c r="A162" s="116">
        <v>160</v>
      </c>
      <c r="B162" s="25" t="s">
        <v>1205</v>
      </c>
      <c r="C162" s="25" t="s">
        <v>2095</v>
      </c>
    </row>
    <row r="163" spans="1:3" ht="13">
      <c r="A163" s="116">
        <v>161</v>
      </c>
      <c r="B163" s="25" t="s">
        <v>1216</v>
      </c>
      <c r="C163" s="25" t="s">
        <v>2096</v>
      </c>
    </row>
    <row r="164" spans="1:3" ht="13">
      <c r="A164" s="116">
        <v>162</v>
      </c>
      <c r="B164" s="25" t="s">
        <v>251</v>
      </c>
      <c r="C164" s="25" t="s">
        <v>2097</v>
      </c>
    </row>
    <row r="165" spans="1:3" ht="13">
      <c r="A165" s="116">
        <v>163</v>
      </c>
      <c r="B165" s="25" t="s">
        <v>1221</v>
      </c>
      <c r="C165" s="25" t="s">
        <v>2098</v>
      </c>
    </row>
    <row r="166" spans="1:3" ht="13">
      <c r="A166" s="116">
        <v>164</v>
      </c>
      <c r="B166" s="25" t="s">
        <v>1228</v>
      </c>
      <c r="C166" s="25" t="s">
        <v>2099</v>
      </c>
    </row>
    <row r="167" spans="1:3" ht="13">
      <c r="A167" s="116">
        <v>165</v>
      </c>
      <c r="B167" s="25" t="s">
        <v>1236</v>
      </c>
      <c r="C167" s="25" t="s">
        <v>2100</v>
      </c>
    </row>
    <row r="168" spans="1:3" ht="13">
      <c r="A168" s="116">
        <v>166</v>
      </c>
      <c r="B168" s="25" t="s">
        <v>1240</v>
      </c>
      <c r="C168" s="25" t="s">
        <v>2101</v>
      </c>
    </row>
    <row r="169" spans="1:3" ht="13">
      <c r="A169" s="116">
        <v>167</v>
      </c>
      <c r="B169" s="25" t="s">
        <v>1249</v>
      </c>
      <c r="C169" s="25" t="s">
        <v>2102</v>
      </c>
    </row>
    <row r="170" spans="1:3" ht="13">
      <c r="A170" s="116">
        <v>168</v>
      </c>
      <c r="B170" s="25" t="s">
        <v>1246</v>
      </c>
      <c r="C170" s="25" t="s">
        <v>2103</v>
      </c>
    </row>
    <row r="171" spans="1:3" ht="13">
      <c r="A171" s="116">
        <v>169</v>
      </c>
      <c r="B171" s="25" t="s">
        <v>1253</v>
      </c>
      <c r="C171" s="25" t="s">
        <v>2104</v>
      </c>
    </row>
    <row r="172" spans="1:3" ht="13">
      <c r="A172" s="116">
        <v>170</v>
      </c>
      <c r="B172" s="25" t="s">
        <v>1258</v>
      </c>
      <c r="C172" s="25" t="s">
        <v>2105</v>
      </c>
    </row>
    <row r="173" spans="1:3" ht="13">
      <c r="A173" s="116">
        <v>171</v>
      </c>
      <c r="B173" s="25" t="s">
        <v>1262</v>
      </c>
      <c r="C173" s="25" t="s">
        <v>2106</v>
      </c>
    </row>
    <row r="174" spans="1:3" ht="13">
      <c r="A174" s="116">
        <v>172</v>
      </c>
      <c r="B174" s="25" t="s">
        <v>1266</v>
      </c>
      <c r="C174" s="25" t="s">
        <v>2107</v>
      </c>
    </row>
    <row r="175" spans="1:3" ht="13">
      <c r="A175" s="116">
        <v>173</v>
      </c>
      <c r="B175" s="25" t="s">
        <v>1271</v>
      </c>
      <c r="C175" s="25" t="s">
        <v>2108</v>
      </c>
    </row>
    <row r="176" spans="1:3" ht="13">
      <c r="A176" s="116">
        <v>174</v>
      </c>
      <c r="B176" s="25" t="s">
        <v>1275</v>
      </c>
      <c r="C176" s="25" t="s">
        <v>2109</v>
      </c>
    </row>
    <row r="177" spans="1:3" ht="13">
      <c r="A177" s="116">
        <v>175</v>
      </c>
      <c r="B177" s="25" t="s">
        <v>1286</v>
      </c>
      <c r="C177" s="25" t="s">
        <v>2110</v>
      </c>
    </row>
    <row r="178" spans="1:3" ht="13">
      <c r="A178" s="116">
        <v>176</v>
      </c>
      <c r="B178" s="25" t="s">
        <v>1278</v>
      </c>
      <c r="C178" s="25" t="s">
        <v>2111</v>
      </c>
    </row>
    <row r="179" spans="1:3" ht="13">
      <c r="A179" s="116">
        <v>177</v>
      </c>
      <c r="B179" s="25" t="s">
        <v>1291</v>
      </c>
      <c r="C179" s="25" t="s">
        <v>2112</v>
      </c>
    </row>
    <row r="180" spans="1:3" ht="13">
      <c r="A180" s="116">
        <v>178</v>
      </c>
      <c r="B180" s="25" t="s">
        <v>1281</v>
      </c>
      <c r="C180" s="25" t="s">
        <v>2113</v>
      </c>
    </row>
    <row r="181" spans="1:3" ht="13">
      <c r="A181" s="116">
        <v>179</v>
      </c>
      <c r="B181" s="25" t="s">
        <v>1295</v>
      </c>
      <c r="C181" s="25" t="s">
        <v>2114</v>
      </c>
    </row>
    <row r="182" spans="1:3" ht="13">
      <c r="A182" s="116">
        <v>180</v>
      </c>
      <c r="B182" s="25" t="s">
        <v>1299</v>
      </c>
      <c r="C182" s="25" t="s">
        <v>2115</v>
      </c>
    </row>
    <row r="183" spans="1:3" ht="13">
      <c r="A183" s="116">
        <v>181</v>
      </c>
      <c r="B183" s="25" t="s">
        <v>1302</v>
      </c>
      <c r="C183" s="25" t="s">
        <v>2116</v>
      </c>
    </row>
    <row r="184" spans="1:3" ht="13">
      <c r="A184" s="116">
        <v>182</v>
      </c>
      <c r="B184" s="25" t="s">
        <v>471</v>
      </c>
      <c r="C184" s="25" t="s">
        <v>2117</v>
      </c>
    </row>
    <row r="185" spans="1:3" ht="13">
      <c r="A185" s="116">
        <v>183</v>
      </c>
      <c r="B185" s="25" t="s">
        <v>479</v>
      </c>
      <c r="C185" s="25" t="s">
        <v>2118</v>
      </c>
    </row>
    <row r="186" spans="1:3" ht="13">
      <c r="A186" s="116">
        <v>184</v>
      </c>
      <c r="B186" s="25" t="s">
        <v>483</v>
      </c>
      <c r="C186" s="25" t="s">
        <v>2119</v>
      </c>
    </row>
    <row r="187" spans="1:3" ht="13">
      <c r="A187" s="116">
        <v>185</v>
      </c>
      <c r="B187" s="25" t="s">
        <v>487</v>
      </c>
      <c r="C187" s="25" t="s">
        <v>2120</v>
      </c>
    </row>
    <row r="188" spans="1:3" ht="13">
      <c r="A188" s="116">
        <v>186</v>
      </c>
      <c r="B188" s="25" t="s">
        <v>1308</v>
      </c>
      <c r="C188" s="25" t="s">
        <v>2121</v>
      </c>
    </row>
    <row r="189" spans="1:3" ht="13">
      <c r="A189" s="116">
        <v>187</v>
      </c>
      <c r="B189" s="25" t="s">
        <v>1315</v>
      </c>
      <c r="C189" s="25" t="s">
        <v>2122</v>
      </c>
    </row>
    <row r="190" spans="1:3" ht="13">
      <c r="A190" s="116">
        <v>188</v>
      </c>
      <c r="B190" s="25" t="s">
        <v>1320</v>
      </c>
      <c r="C190" s="25" t="s">
        <v>2123</v>
      </c>
    </row>
    <row r="191" spans="1:3" ht="13">
      <c r="A191" s="116">
        <v>189</v>
      </c>
      <c r="B191" s="25" t="s">
        <v>492</v>
      </c>
      <c r="C191" s="25" t="s">
        <v>2124</v>
      </c>
    </row>
    <row r="192" spans="1:3" ht="13">
      <c r="A192" s="116">
        <v>190</v>
      </c>
      <c r="B192" s="25" t="s">
        <v>1325</v>
      </c>
      <c r="C192" s="25" t="s">
        <v>2125</v>
      </c>
    </row>
    <row r="193" spans="1:3" ht="13">
      <c r="A193" s="116">
        <v>191</v>
      </c>
      <c r="B193" s="25" t="s">
        <v>1330</v>
      </c>
      <c r="C193" s="25" t="s">
        <v>2126</v>
      </c>
    </row>
    <row r="194" spans="1:3" ht="13">
      <c r="A194" s="116">
        <v>192</v>
      </c>
      <c r="B194" s="25" t="s">
        <v>158</v>
      </c>
      <c r="C194" s="25" t="s">
        <v>2127</v>
      </c>
    </row>
    <row r="195" spans="1:3" ht="13">
      <c r="A195" s="116">
        <v>193</v>
      </c>
      <c r="B195" s="25" t="s">
        <v>498</v>
      </c>
      <c r="C195" s="25" t="s">
        <v>2128</v>
      </c>
    </row>
    <row r="196" spans="1:3" ht="13">
      <c r="A196" s="116">
        <v>194</v>
      </c>
      <c r="B196" s="25" t="s">
        <v>504</v>
      </c>
      <c r="C196" s="25" t="s">
        <v>2129</v>
      </c>
    </row>
    <row r="197" spans="1:3" ht="13">
      <c r="A197" s="116">
        <v>195</v>
      </c>
      <c r="B197" s="25" t="s">
        <v>508</v>
      </c>
      <c r="C197" s="25" t="s">
        <v>2130</v>
      </c>
    </row>
    <row r="198" spans="1:3" ht="13">
      <c r="A198" s="116">
        <v>196</v>
      </c>
      <c r="B198" s="25" t="s">
        <v>512</v>
      </c>
      <c r="C198" s="25" t="s">
        <v>2131</v>
      </c>
    </row>
    <row r="199" spans="1:3" ht="13">
      <c r="A199" s="116">
        <v>197</v>
      </c>
      <c r="B199" s="25" t="s">
        <v>1343</v>
      </c>
      <c r="C199" s="25" t="s">
        <v>2132</v>
      </c>
    </row>
    <row r="200" spans="1:3" ht="13">
      <c r="A200" s="116">
        <v>198</v>
      </c>
      <c r="B200" s="25" t="s">
        <v>1349</v>
      </c>
      <c r="C200" s="25" t="s">
        <v>2133</v>
      </c>
    </row>
    <row r="201" spans="1:3" ht="13">
      <c r="A201" s="116">
        <v>199</v>
      </c>
      <c r="B201" s="25" t="s">
        <v>1383</v>
      </c>
      <c r="C201" s="25" t="s">
        <v>2134</v>
      </c>
    </row>
    <row r="202" spans="1:3" ht="13">
      <c r="A202" s="116">
        <v>200</v>
      </c>
      <c r="B202" s="25" t="s">
        <v>1356</v>
      </c>
      <c r="C202" s="25" t="s">
        <v>2135</v>
      </c>
    </row>
    <row r="203" spans="1:3" ht="13">
      <c r="A203" s="116">
        <v>201</v>
      </c>
      <c r="B203" s="25" t="s">
        <v>518</v>
      </c>
      <c r="C203" s="25" t="s">
        <v>2136</v>
      </c>
    </row>
    <row r="204" spans="1:3" ht="13">
      <c r="A204" s="116">
        <v>202</v>
      </c>
      <c r="B204" s="25" t="s">
        <v>1363</v>
      </c>
      <c r="C204" s="25" t="s">
        <v>2137</v>
      </c>
    </row>
    <row r="205" spans="1:3" ht="13">
      <c r="A205" s="116">
        <v>203</v>
      </c>
      <c r="B205" s="25" t="s">
        <v>1370</v>
      </c>
      <c r="C205" s="25" t="s">
        <v>2138</v>
      </c>
    </row>
    <row r="206" spans="1:3" ht="13">
      <c r="A206" s="116">
        <v>204</v>
      </c>
      <c r="B206" s="25" t="s">
        <v>1335</v>
      </c>
      <c r="C206" s="25" t="s">
        <v>2139</v>
      </c>
    </row>
    <row r="207" spans="1:3" ht="13">
      <c r="A207" s="116">
        <v>205</v>
      </c>
      <c r="B207" s="25" t="s">
        <v>1340</v>
      </c>
      <c r="C207" s="25" t="s">
        <v>2140</v>
      </c>
    </row>
    <row r="208" spans="1:3" ht="13">
      <c r="A208" s="116">
        <v>206</v>
      </c>
      <c r="B208" s="25" t="s">
        <v>1376</v>
      </c>
      <c r="C208" s="25" t="s">
        <v>2141</v>
      </c>
    </row>
    <row r="209" spans="1:3" ht="13">
      <c r="A209" s="116">
        <v>207</v>
      </c>
      <c r="B209" s="25" t="s">
        <v>1464</v>
      </c>
      <c r="C209" s="25" t="s">
        <v>2142</v>
      </c>
    </row>
    <row r="210" spans="1:3" ht="13">
      <c r="A210" s="116">
        <v>208</v>
      </c>
      <c r="B210" s="25" t="s">
        <v>1471</v>
      </c>
      <c r="C210" s="25" t="s">
        <v>2143</v>
      </c>
    </row>
    <row r="211" spans="1:3" ht="13">
      <c r="A211" s="116">
        <v>209</v>
      </c>
      <c r="B211" s="25" t="s">
        <v>1391</v>
      </c>
      <c r="C211" s="25" t="s">
        <v>2144</v>
      </c>
    </row>
    <row r="212" spans="1:3" ht="13">
      <c r="A212" s="116">
        <v>210</v>
      </c>
      <c r="B212" s="25" t="s">
        <v>1398</v>
      </c>
      <c r="C212" s="25" t="s">
        <v>2145</v>
      </c>
    </row>
    <row r="213" spans="1:3" ht="13">
      <c r="A213" s="116">
        <v>211</v>
      </c>
      <c r="B213" s="25" t="s">
        <v>1477</v>
      </c>
      <c r="C213" s="25" t="s">
        <v>2146</v>
      </c>
    </row>
    <row r="214" spans="1:3" ht="13">
      <c r="A214" s="116">
        <v>212</v>
      </c>
      <c r="B214" s="25" t="s">
        <v>1483</v>
      </c>
      <c r="C214" s="25" t="s">
        <v>2147</v>
      </c>
    </row>
    <row r="215" spans="1:3" ht="13">
      <c r="A215" s="116">
        <v>213</v>
      </c>
      <c r="B215" s="25" t="s">
        <v>149</v>
      </c>
      <c r="C215" s="25" t="s">
        <v>2148</v>
      </c>
    </row>
    <row r="216" spans="1:3" ht="13">
      <c r="A216" s="116">
        <v>214</v>
      </c>
      <c r="B216" s="25" t="s">
        <v>1488</v>
      </c>
      <c r="C216" s="25" t="s">
        <v>2149</v>
      </c>
    </row>
    <row r="217" spans="1:3" ht="13">
      <c r="A217" s="116">
        <v>215</v>
      </c>
      <c r="B217" s="25" t="s">
        <v>1402</v>
      </c>
      <c r="C217" s="25" t="s">
        <v>2150</v>
      </c>
    </row>
    <row r="218" spans="1:3" ht="13">
      <c r="A218" s="116">
        <v>216</v>
      </c>
      <c r="B218" s="25" t="s">
        <v>1494</v>
      </c>
      <c r="C218" s="25" t="s">
        <v>2151</v>
      </c>
    </row>
    <row r="219" spans="1:3" ht="13">
      <c r="A219" s="116">
        <v>217</v>
      </c>
      <c r="B219" s="25" t="s">
        <v>1408</v>
      </c>
      <c r="C219" s="25" t="s">
        <v>2152</v>
      </c>
    </row>
    <row r="220" spans="1:3" ht="13">
      <c r="A220" s="116">
        <v>218</v>
      </c>
      <c r="B220" s="25" t="s">
        <v>1416</v>
      </c>
      <c r="C220" s="25" t="s">
        <v>2153</v>
      </c>
    </row>
    <row r="221" spans="1:3" ht="13">
      <c r="A221" s="116">
        <v>219</v>
      </c>
      <c r="B221" s="25" t="s">
        <v>1423</v>
      </c>
      <c r="C221" s="25" t="s">
        <v>2154</v>
      </c>
    </row>
    <row r="222" spans="1:3" ht="13">
      <c r="A222" s="116">
        <v>220</v>
      </c>
      <c r="B222" s="25" t="s">
        <v>1430</v>
      </c>
      <c r="C222" s="25" t="s">
        <v>2155</v>
      </c>
    </row>
    <row r="223" spans="1:3" ht="13">
      <c r="A223" s="116">
        <v>221</v>
      </c>
      <c r="B223" s="25" t="s">
        <v>1435</v>
      </c>
      <c r="C223" s="25" t="s">
        <v>2156</v>
      </c>
    </row>
    <row r="224" spans="1:3" ht="13">
      <c r="A224" s="116">
        <v>222</v>
      </c>
      <c r="B224" s="25" t="s">
        <v>1442</v>
      </c>
      <c r="C224" s="25" t="s">
        <v>2157</v>
      </c>
    </row>
    <row r="225" spans="1:3" ht="13">
      <c r="A225" s="116">
        <v>223</v>
      </c>
      <c r="B225" s="25" t="s">
        <v>1448</v>
      </c>
      <c r="C225" s="25" t="s">
        <v>2158</v>
      </c>
    </row>
    <row r="226" spans="1:3" ht="13">
      <c r="A226" s="116">
        <v>224</v>
      </c>
      <c r="B226" s="25" t="s">
        <v>1452</v>
      </c>
      <c r="C226" s="25" t="s">
        <v>2159</v>
      </c>
    </row>
    <row r="227" spans="1:3" ht="13">
      <c r="A227" s="116">
        <v>225</v>
      </c>
      <c r="B227" s="25" t="s">
        <v>2160</v>
      </c>
      <c r="C227" s="25" t="s">
        <v>2161</v>
      </c>
    </row>
    <row r="228" spans="1:3" ht="13">
      <c r="A228" s="116">
        <v>226</v>
      </c>
      <c r="B228" s="25" t="s">
        <v>1499</v>
      </c>
      <c r="C228" s="25" t="s">
        <v>2162</v>
      </c>
    </row>
    <row r="229" spans="1:3" ht="13">
      <c r="A229" s="116">
        <v>227</v>
      </c>
      <c r="B229" s="25" t="s">
        <v>1505</v>
      </c>
      <c r="C229" s="25" t="s">
        <v>2163</v>
      </c>
    </row>
    <row r="230" spans="1:3" ht="13">
      <c r="A230" s="116">
        <v>228</v>
      </c>
      <c r="B230" s="25" t="s">
        <v>134</v>
      </c>
      <c r="C230" s="25" t="s">
        <v>2164</v>
      </c>
    </row>
    <row r="231" spans="1:3" ht="13">
      <c r="A231" s="116">
        <v>229</v>
      </c>
      <c r="B231" s="25" t="s">
        <v>1508</v>
      </c>
      <c r="C231" s="25" t="s">
        <v>2165</v>
      </c>
    </row>
    <row r="232" spans="1:3" ht="13">
      <c r="A232" s="116">
        <v>230</v>
      </c>
      <c r="B232" s="25" t="s">
        <v>1514</v>
      </c>
      <c r="C232" s="25" t="s">
        <v>2166</v>
      </c>
    </row>
    <row r="233" spans="1:3" ht="13">
      <c r="A233" s="116">
        <v>231</v>
      </c>
      <c r="B233" s="25" t="s">
        <v>1557</v>
      </c>
      <c r="C233" s="25" t="s">
        <v>2167</v>
      </c>
    </row>
    <row r="234" spans="1:3" ht="13">
      <c r="A234" s="116">
        <v>232</v>
      </c>
      <c r="B234" s="25" t="s">
        <v>75</v>
      </c>
      <c r="C234" s="25" t="s">
        <v>2168</v>
      </c>
    </row>
    <row r="235" spans="1:3" ht="13">
      <c r="A235" s="116">
        <v>233</v>
      </c>
      <c r="B235" s="25" t="s">
        <v>1560</v>
      </c>
      <c r="C235" s="25" t="s">
        <v>2169</v>
      </c>
    </row>
    <row r="236" spans="1:3" ht="13">
      <c r="A236" s="116">
        <v>234</v>
      </c>
      <c r="B236" s="25" t="s">
        <v>1566</v>
      </c>
      <c r="C236" s="25" t="s">
        <v>2170</v>
      </c>
    </row>
    <row r="237" spans="1:3" ht="13">
      <c r="A237" s="116">
        <v>235</v>
      </c>
      <c r="B237" s="25" t="s">
        <v>1571</v>
      </c>
      <c r="C237" s="25" t="s">
        <v>2171</v>
      </c>
    </row>
    <row r="238" spans="1:3" ht="13">
      <c r="A238" s="116">
        <v>236</v>
      </c>
      <c r="B238" s="25" t="s">
        <v>1575</v>
      </c>
      <c r="C238" s="25" t="s">
        <v>2172</v>
      </c>
    </row>
    <row r="239" spans="1:3" ht="13">
      <c r="A239" s="116">
        <v>237</v>
      </c>
      <c r="B239" s="25" t="s">
        <v>92</v>
      </c>
      <c r="C239" s="25" t="s">
        <v>2173</v>
      </c>
    </row>
    <row r="240" spans="1:3" ht="13">
      <c r="A240" s="116">
        <v>238</v>
      </c>
      <c r="B240" s="25" t="s">
        <v>104</v>
      </c>
      <c r="C240" s="25" t="s">
        <v>2174</v>
      </c>
    </row>
    <row r="241" spans="1:3" ht="13">
      <c r="A241" s="116">
        <v>239</v>
      </c>
      <c r="B241" s="25" t="s">
        <v>1580</v>
      </c>
      <c r="C241" s="25" t="s">
        <v>2175</v>
      </c>
    </row>
    <row r="242" spans="1:3" ht="13">
      <c r="A242" s="116">
        <v>240</v>
      </c>
      <c r="B242" s="25" t="s">
        <v>1584</v>
      </c>
      <c r="C242" s="25" t="s">
        <v>2176</v>
      </c>
    </row>
    <row r="243" spans="1:3" ht="13">
      <c r="A243" s="116">
        <v>241</v>
      </c>
      <c r="B243" s="25" t="s">
        <v>1588</v>
      </c>
      <c r="C243" s="25" t="s">
        <v>2177</v>
      </c>
    </row>
    <row r="244" spans="1:3" ht="13">
      <c r="A244" s="116">
        <v>242</v>
      </c>
      <c r="B244" s="25" t="s">
        <v>1592</v>
      </c>
      <c r="C244" s="25" t="s">
        <v>2178</v>
      </c>
    </row>
    <row r="245" spans="1:3" ht="13">
      <c r="A245" s="116">
        <v>243</v>
      </c>
      <c r="B245" s="25" t="s">
        <v>1520</v>
      </c>
      <c r="C245" s="25" t="s">
        <v>2179</v>
      </c>
    </row>
    <row r="246" spans="1:3" ht="13">
      <c r="A246" s="116">
        <v>244</v>
      </c>
      <c r="B246" s="25" t="s">
        <v>1525</v>
      </c>
      <c r="C246" s="25" t="s">
        <v>2180</v>
      </c>
    </row>
    <row r="247" spans="1:3" ht="13">
      <c r="A247" s="116">
        <v>245</v>
      </c>
      <c r="B247" s="25" t="s">
        <v>1529</v>
      </c>
      <c r="C247" s="25" t="s">
        <v>2181</v>
      </c>
    </row>
    <row r="248" spans="1:3" ht="13">
      <c r="A248" s="116">
        <v>246</v>
      </c>
      <c r="B248" s="25" t="s">
        <v>1534</v>
      </c>
      <c r="C248" s="25" t="s">
        <v>2182</v>
      </c>
    </row>
    <row r="249" spans="1:3" ht="13">
      <c r="A249" s="116">
        <v>247</v>
      </c>
      <c r="B249" s="25" t="s">
        <v>1540</v>
      </c>
      <c r="C249" s="25" t="s">
        <v>2183</v>
      </c>
    </row>
    <row r="250" spans="1:3" ht="13">
      <c r="A250" s="116">
        <v>248</v>
      </c>
      <c r="B250" s="25" t="s">
        <v>1544</v>
      </c>
      <c r="C250" s="25" t="s">
        <v>2184</v>
      </c>
    </row>
    <row r="251" spans="1:3" ht="13">
      <c r="A251" s="116">
        <v>249</v>
      </c>
      <c r="B251" s="25" t="s">
        <v>1550</v>
      </c>
      <c r="C251" s="25" t="s">
        <v>2185</v>
      </c>
    </row>
    <row r="252" spans="1:3" ht="13">
      <c r="A252" s="116">
        <v>250</v>
      </c>
      <c r="B252" s="25" t="s">
        <v>1598</v>
      </c>
      <c r="C252" s="25" t="s">
        <v>2186</v>
      </c>
    </row>
    <row r="253" spans="1:3" ht="13">
      <c r="A253" s="116">
        <v>251</v>
      </c>
      <c r="B253" s="25" t="s">
        <v>1602</v>
      </c>
      <c r="C253" s="25" t="s">
        <v>2187</v>
      </c>
    </row>
    <row r="254" spans="1:3" ht="13">
      <c r="A254" s="116">
        <v>252</v>
      </c>
      <c r="B254" s="25" t="s">
        <v>309</v>
      </c>
      <c r="C254" s="25" t="s">
        <v>2188</v>
      </c>
    </row>
    <row r="255" spans="1:3" ht="13">
      <c r="A255" s="116">
        <v>253</v>
      </c>
      <c r="B255" s="25" t="s">
        <v>1607</v>
      </c>
      <c r="C255" s="25" t="s">
        <v>2189</v>
      </c>
    </row>
    <row r="256" spans="1:3" ht="13">
      <c r="A256" s="116">
        <v>254</v>
      </c>
      <c r="B256" s="25" t="s">
        <v>1612</v>
      </c>
      <c r="C256" s="25" t="s">
        <v>2190</v>
      </c>
    </row>
    <row r="257" spans="1:3" ht="13">
      <c r="A257" s="116">
        <v>255</v>
      </c>
      <c r="B257" s="25" t="s">
        <v>316</v>
      </c>
      <c r="C257" s="25" t="s">
        <v>2191</v>
      </c>
    </row>
    <row r="258" spans="1:3" ht="13">
      <c r="A258" s="116">
        <v>256</v>
      </c>
      <c r="B258" s="25" t="s">
        <v>1616</v>
      </c>
      <c r="C258" s="25" t="s">
        <v>2192</v>
      </c>
    </row>
    <row r="259" spans="1:3" ht="13">
      <c r="A259" s="116">
        <v>257</v>
      </c>
      <c r="B259" s="25" t="s">
        <v>1620</v>
      </c>
      <c r="C259" s="25" t="s">
        <v>2193</v>
      </c>
    </row>
    <row r="260" spans="1:3" ht="13">
      <c r="A260" s="116">
        <v>258</v>
      </c>
      <c r="B260" s="25" t="s">
        <v>1624</v>
      </c>
      <c r="C260" s="25" t="s">
        <v>2194</v>
      </c>
    </row>
    <row r="261" spans="1:3" ht="13">
      <c r="A261" s="116">
        <v>259</v>
      </c>
      <c r="B261" s="25" t="s">
        <v>1630</v>
      </c>
      <c r="C261" s="25" t="s">
        <v>2195</v>
      </c>
    </row>
    <row r="262" spans="1:3" ht="13">
      <c r="A262" s="116">
        <v>260</v>
      </c>
      <c r="B262" s="25" t="s">
        <v>1635</v>
      </c>
      <c r="C262" s="25" t="s">
        <v>2196</v>
      </c>
    </row>
    <row r="263" spans="1:3" ht="13">
      <c r="A263" s="116">
        <v>261</v>
      </c>
      <c r="B263" s="25" t="s">
        <v>1639</v>
      </c>
      <c r="C263" s="25" t="s">
        <v>2197</v>
      </c>
    </row>
    <row r="264" spans="1:3" ht="13">
      <c r="A264" s="116">
        <v>262</v>
      </c>
      <c r="B264" s="25" t="s">
        <v>1645</v>
      </c>
      <c r="C264" s="25" t="s">
        <v>2198</v>
      </c>
    </row>
    <row r="265" spans="1:3" ht="13">
      <c r="A265" s="116">
        <v>263</v>
      </c>
      <c r="B265" s="25" t="s">
        <v>1651</v>
      </c>
      <c r="C265" s="25" t="s">
        <v>2199</v>
      </c>
    </row>
    <row r="266" spans="1:3" ht="13">
      <c r="A266" s="116">
        <v>264</v>
      </c>
      <c r="B266" s="25" t="s">
        <v>1656</v>
      </c>
      <c r="C266" s="25" t="s">
        <v>2200</v>
      </c>
    </row>
    <row r="267" spans="1:3" ht="13">
      <c r="A267" s="116">
        <v>265</v>
      </c>
      <c r="B267" s="25" t="s">
        <v>1661</v>
      </c>
      <c r="C267" s="25" t="s">
        <v>2201</v>
      </c>
    </row>
    <row r="268" spans="1:3" ht="13">
      <c r="A268" s="116">
        <v>266</v>
      </c>
      <c r="B268" s="25" t="s">
        <v>1668</v>
      </c>
      <c r="C268" s="25" t="s">
        <v>2202</v>
      </c>
    </row>
    <row r="269" spans="1:3" ht="13">
      <c r="A269" s="116">
        <v>267</v>
      </c>
      <c r="B269" s="25" t="s">
        <v>1671</v>
      </c>
      <c r="C269" s="25" t="s">
        <v>2203</v>
      </c>
    </row>
    <row r="270" spans="1:3" ht="13">
      <c r="A270" s="116">
        <v>268</v>
      </c>
      <c r="B270" s="25" t="s">
        <v>1676</v>
      </c>
      <c r="C270" s="25" t="s">
        <v>2204</v>
      </c>
    </row>
    <row r="271" spans="1:3" ht="13">
      <c r="A271" s="116">
        <v>269</v>
      </c>
      <c r="B271" s="25" t="s">
        <v>1679</v>
      </c>
      <c r="C271" s="25" t="s">
        <v>2205</v>
      </c>
    </row>
    <row r="272" spans="1:3" ht="13">
      <c r="A272" s="116">
        <v>270</v>
      </c>
      <c r="B272" s="25" t="s">
        <v>1684</v>
      </c>
      <c r="C272" s="25" t="s">
        <v>2206</v>
      </c>
    </row>
    <row r="273" spans="1:3" ht="13">
      <c r="A273" s="116">
        <v>271</v>
      </c>
      <c r="B273" s="25" t="s">
        <v>1687</v>
      </c>
      <c r="C273" s="25" t="s">
        <v>2207</v>
      </c>
    </row>
    <row r="274" spans="1:3" ht="13">
      <c r="A274" s="116">
        <v>272</v>
      </c>
      <c r="B274" s="25" t="s">
        <v>1690</v>
      </c>
      <c r="C274" s="25" t="s">
        <v>2208</v>
      </c>
    </row>
    <row r="275" spans="1:3" ht="13">
      <c r="A275" s="116">
        <v>273</v>
      </c>
      <c r="B275" s="25" t="s">
        <v>1694</v>
      </c>
      <c r="C275" s="25" t="s">
        <v>2209</v>
      </c>
    </row>
    <row r="276" spans="1:3" ht="13">
      <c r="A276" s="116">
        <v>274</v>
      </c>
      <c r="B276" s="25" t="s">
        <v>1698</v>
      </c>
      <c r="C276" s="25" t="s">
        <v>2210</v>
      </c>
    </row>
    <row r="277" spans="1:3" ht="13">
      <c r="A277" s="116">
        <v>275</v>
      </c>
      <c r="B277" s="25" t="s">
        <v>1703</v>
      </c>
      <c r="C277" s="25" t="s">
        <v>2211</v>
      </c>
    </row>
    <row r="278" spans="1:3" ht="13">
      <c r="A278" s="116">
        <v>276</v>
      </c>
      <c r="B278" s="25" t="s">
        <v>1707</v>
      </c>
      <c r="C278" s="25" t="s">
        <v>2212</v>
      </c>
    </row>
    <row r="279" spans="1:3" ht="13">
      <c r="A279" s="116">
        <v>277</v>
      </c>
      <c r="B279" s="25" t="s">
        <v>1711</v>
      </c>
      <c r="C279" s="25" t="s">
        <v>2213</v>
      </c>
    </row>
    <row r="280" spans="1:3" ht="13">
      <c r="A280" s="116">
        <v>278</v>
      </c>
      <c r="B280" s="25" t="s">
        <v>1715</v>
      </c>
      <c r="C280" s="25" t="s">
        <v>2214</v>
      </c>
    </row>
    <row r="281" spans="1:3" ht="13">
      <c r="A281" s="116">
        <v>279</v>
      </c>
      <c r="B281" s="25" t="s">
        <v>1718</v>
      </c>
      <c r="C281" s="25" t="s">
        <v>2215</v>
      </c>
    </row>
    <row r="282" spans="1:3" ht="13">
      <c r="A282" s="116">
        <v>280</v>
      </c>
      <c r="B282" s="25" t="s">
        <v>1722</v>
      </c>
      <c r="C282" s="25" t="s">
        <v>2216</v>
      </c>
    </row>
    <row r="283" spans="1:3" ht="13">
      <c r="A283" s="116">
        <v>281</v>
      </c>
      <c r="B283" s="25" t="s">
        <v>1725</v>
      </c>
      <c r="C283" s="25" t="s">
        <v>2217</v>
      </c>
    </row>
    <row r="284" spans="1:3" ht="13">
      <c r="A284" s="116">
        <v>282</v>
      </c>
      <c r="B284" s="25" t="s">
        <v>1730</v>
      </c>
      <c r="C284" s="25" t="s">
        <v>2218</v>
      </c>
    </row>
    <row r="285" spans="1:3" ht="13">
      <c r="A285" s="116">
        <v>283</v>
      </c>
      <c r="B285" s="25" t="s">
        <v>1733</v>
      </c>
      <c r="C285" s="25" t="s">
        <v>2219</v>
      </c>
    </row>
    <row r="286" spans="1:3" ht="13">
      <c r="A286" s="116">
        <v>284</v>
      </c>
      <c r="B286" s="25" t="s">
        <v>1738</v>
      </c>
      <c r="C286" s="25" t="s">
        <v>2220</v>
      </c>
    </row>
    <row r="287" spans="1:3" ht="13">
      <c r="A287" s="116">
        <v>285</v>
      </c>
      <c r="B287" s="25" t="s">
        <v>1741</v>
      </c>
      <c r="C287" s="25" t="s">
        <v>2221</v>
      </c>
    </row>
    <row r="288" spans="1:3" ht="13">
      <c r="A288" s="116">
        <v>286</v>
      </c>
      <c r="B288" s="25" t="s">
        <v>1746</v>
      </c>
      <c r="C288" s="25" t="s">
        <v>2222</v>
      </c>
    </row>
    <row r="289" spans="1:3" ht="13">
      <c r="A289" s="116">
        <v>287</v>
      </c>
      <c r="B289" s="25" t="s">
        <v>1751</v>
      </c>
      <c r="C289" s="25" t="s">
        <v>2223</v>
      </c>
    </row>
    <row r="290" spans="1:3" ht="13">
      <c r="A290" s="116">
        <v>288</v>
      </c>
      <c r="B290" s="25" t="s">
        <v>1756</v>
      </c>
      <c r="C290" s="25" t="s">
        <v>2224</v>
      </c>
    </row>
    <row r="291" spans="1:3" ht="13">
      <c r="A291" s="116">
        <v>289</v>
      </c>
      <c r="B291" s="25" t="s">
        <v>1760</v>
      </c>
      <c r="C291" s="25" t="s">
        <v>2225</v>
      </c>
    </row>
    <row r="292" spans="1:3" ht="13">
      <c r="A292" s="116">
        <v>290</v>
      </c>
      <c r="B292" s="25" t="s">
        <v>1766</v>
      </c>
      <c r="C292" s="25" t="s">
        <v>2226</v>
      </c>
    </row>
    <row r="293" spans="1:3" ht="13">
      <c r="A293" s="116">
        <v>291</v>
      </c>
      <c r="B293" s="25" t="s">
        <v>1771</v>
      </c>
      <c r="C293" s="25" t="s">
        <v>2227</v>
      </c>
    </row>
    <row r="294" spans="1:3" ht="13">
      <c r="A294" s="116">
        <v>292</v>
      </c>
      <c r="B294" s="25" t="s">
        <v>1775</v>
      </c>
      <c r="C294" s="25" t="s">
        <v>2228</v>
      </c>
    </row>
    <row r="295" spans="1:3" ht="13">
      <c r="A295" s="116">
        <v>293</v>
      </c>
      <c r="B295" s="25" t="s">
        <v>1779</v>
      </c>
      <c r="C295" s="25" t="s">
        <v>2229</v>
      </c>
    </row>
    <row r="296" spans="1:3" ht="13">
      <c r="A296" s="116">
        <v>294</v>
      </c>
      <c r="B296" s="25" t="s">
        <v>1783</v>
      </c>
      <c r="C296" s="25" t="s">
        <v>2230</v>
      </c>
    </row>
    <row r="297" spans="1:3" ht="13">
      <c r="A297" s="116">
        <v>295</v>
      </c>
      <c r="B297" s="25" t="s">
        <v>1787</v>
      </c>
      <c r="C297" s="25" t="s">
        <v>2231</v>
      </c>
    </row>
    <row r="298" spans="1:3" ht="13">
      <c r="A298" s="116">
        <v>296</v>
      </c>
      <c r="B298" s="25" t="s">
        <v>1792</v>
      </c>
      <c r="C298" s="25" t="s">
        <v>2232</v>
      </c>
    </row>
    <row r="299" spans="1:3" ht="13">
      <c r="A299" s="116">
        <v>297</v>
      </c>
      <c r="B299" s="25" t="s">
        <v>1796</v>
      </c>
      <c r="C299" s="25" t="s">
        <v>2233</v>
      </c>
    </row>
    <row r="300" spans="1:3" ht="13">
      <c r="A300" s="116">
        <v>298</v>
      </c>
      <c r="B300" s="25" t="s">
        <v>1802</v>
      </c>
      <c r="C300" s="25" t="s">
        <v>2234</v>
      </c>
    </row>
    <row r="301" spans="1:3" ht="13">
      <c r="A301" s="116">
        <v>299</v>
      </c>
      <c r="B301" s="25" t="s">
        <v>1806</v>
      </c>
      <c r="C301" s="25" t="s">
        <v>2235</v>
      </c>
    </row>
    <row r="302" spans="1:3" ht="13">
      <c r="A302" s="116">
        <v>300</v>
      </c>
      <c r="B302" s="25" t="s">
        <v>1811</v>
      </c>
      <c r="C302" s="25" t="s">
        <v>2236</v>
      </c>
    </row>
    <row r="303" spans="1:3" ht="13">
      <c r="A303" s="116">
        <v>301</v>
      </c>
      <c r="B303" s="25" t="s">
        <v>1816</v>
      </c>
      <c r="C303" s="25" t="s">
        <v>2237</v>
      </c>
    </row>
    <row r="304" spans="1:3" ht="13">
      <c r="A304" s="116">
        <v>302</v>
      </c>
      <c r="B304" s="25" t="s">
        <v>1822</v>
      </c>
      <c r="C304" s="25" t="s">
        <v>2238</v>
      </c>
    </row>
    <row r="305" spans="1:3" ht="13">
      <c r="A305" s="116">
        <v>303</v>
      </c>
      <c r="B305" s="25" t="s">
        <v>1824</v>
      </c>
      <c r="C305" s="25" t="s">
        <v>2239</v>
      </c>
    </row>
    <row r="306" spans="1:3" ht="13">
      <c r="A306" s="116">
        <v>304</v>
      </c>
      <c r="B306" s="25" t="s">
        <v>1829</v>
      </c>
      <c r="C306" s="25" t="s">
        <v>2240</v>
      </c>
    </row>
    <row r="307" spans="1:3" ht="13">
      <c r="A307" s="116">
        <v>305</v>
      </c>
      <c r="B307" s="25" t="s">
        <v>1835</v>
      </c>
      <c r="C307" s="25" t="s">
        <v>2241</v>
      </c>
    </row>
    <row r="308" spans="1:3" ht="13">
      <c r="A308" s="116">
        <v>306</v>
      </c>
      <c r="B308" s="25" t="s">
        <v>1840</v>
      </c>
      <c r="C308" s="25" t="s">
        <v>2242</v>
      </c>
    </row>
    <row r="309" spans="1:3" ht="13">
      <c r="A309" s="116">
        <v>307</v>
      </c>
      <c r="B309" s="25" t="s">
        <v>1844</v>
      </c>
      <c r="C309" s="25" t="s">
        <v>2243</v>
      </c>
    </row>
    <row r="310" spans="1:3" ht="13">
      <c r="A310" s="116">
        <v>308</v>
      </c>
      <c r="B310" s="25" t="s">
        <v>1850</v>
      </c>
      <c r="C310" s="25" t="s">
        <v>2244</v>
      </c>
    </row>
    <row r="311" spans="1:3" ht="13">
      <c r="A311" s="116">
        <v>309</v>
      </c>
      <c r="B311" s="25" t="s">
        <v>1856</v>
      </c>
      <c r="C311" s="25" t="s">
        <v>2245</v>
      </c>
    </row>
    <row r="312" spans="1:3" ht="13">
      <c r="A312" s="116">
        <v>310</v>
      </c>
      <c r="B312" s="25" t="s">
        <v>1861</v>
      </c>
      <c r="C312" s="25" t="s">
        <v>2246</v>
      </c>
    </row>
    <row r="313" spans="1:3" ht="13">
      <c r="A313" s="116">
        <v>311</v>
      </c>
      <c r="B313" s="25" t="s">
        <v>1866</v>
      </c>
      <c r="C313" s="25" t="s">
        <v>2247</v>
      </c>
    </row>
    <row r="314" spans="1:3" ht="13">
      <c r="A314" s="116">
        <v>312</v>
      </c>
      <c r="B314" s="25" t="s">
        <v>1872</v>
      </c>
      <c r="C314" s="25" t="s">
        <v>2248</v>
      </c>
    </row>
    <row r="315" spans="1:3" ht="13">
      <c r="A315" s="116">
        <v>313</v>
      </c>
      <c r="B315" s="25" t="s">
        <v>1877</v>
      </c>
      <c r="C315" s="25" t="s">
        <v>2249</v>
      </c>
    </row>
    <row r="316" spans="1:3" ht="13">
      <c r="A316" s="116">
        <v>314</v>
      </c>
      <c r="B316" s="25" t="s">
        <v>1881</v>
      </c>
      <c r="C316" s="25" t="s">
        <v>2250</v>
      </c>
    </row>
    <row r="317" spans="1:3" ht="13">
      <c r="A317" s="116">
        <v>315</v>
      </c>
      <c r="B317" s="25" t="s">
        <v>218</v>
      </c>
      <c r="C317" s="25" t="s">
        <v>2251</v>
      </c>
    </row>
    <row r="318" spans="1:3" ht="13">
      <c r="A318" s="116">
        <v>316</v>
      </c>
      <c r="B318" s="25" t="s">
        <v>1885</v>
      </c>
      <c r="C318" s="25" t="s">
        <v>2252</v>
      </c>
    </row>
    <row r="319" spans="1:3" ht="13">
      <c r="A319" s="116">
        <v>317</v>
      </c>
      <c r="B319" s="25" t="s">
        <v>1891</v>
      </c>
      <c r="C319" s="25" t="s">
        <v>2253</v>
      </c>
    </row>
    <row r="320" spans="1:3" ht="13">
      <c r="A320" s="116">
        <v>318</v>
      </c>
      <c r="B320" s="25" t="s">
        <v>1895</v>
      </c>
      <c r="C320" s="25" t="s">
        <v>2254</v>
      </c>
    </row>
    <row r="321" spans="1:3" ht="13">
      <c r="A321" s="116">
        <v>319</v>
      </c>
      <c r="B321" s="25" t="s">
        <v>298</v>
      </c>
      <c r="C321" s="25" t="s">
        <v>2255</v>
      </c>
    </row>
    <row r="322" spans="1:3" ht="13">
      <c r="A322" s="116">
        <v>320</v>
      </c>
      <c r="B322" s="25" t="s">
        <v>1900</v>
      </c>
      <c r="C322" s="25" t="s">
        <v>2256</v>
      </c>
    </row>
    <row r="323" spans="1:3" ht="13">
      <c r="A323" s="116">
        <v>321</v>
      </c>
      <c r="B323" s="25" t="s">
        <v>1905</v>
      </c>
      <c r="C323" s="25" t="s">
        <v>2257</v>
      </c>
    </row>
    <row r="324" spans="1:3" ht="13"/>
    <row r="325" spans="1:3" ht="13"/>
    <row r="326" spans="1:3" ht="13"/>
    <row r="327" spans="1:3" ht="13"/>
    <row r="328" spans="1:3" ht="13"/>
    <row r="329" spans="1:3" ht="13"/>
    <row r="330" spans="1:3" ht="13"/>
    <row r="331" spans="1:3" ht="13"/>
    <row r="332" spans="1:3" ht="13"/>
    <row r="333" spans="1:3" ht="13"/>
    <row r="334" spans="1:3" ht="13"/>
    <row r="335" spans="1:3" ht="13"/>
    <row r="336" spans="1:3" ht="13"/>
    <row r="337" ht="13"/>
    <row r="338" ht="13"/>
    <row r="339" ht="13"/>
    <row r="340" ht="13"/>
    <row r="341" ht="13"/>
    <row r="342" ht="13"/>
    <row r="343" ht="13"/>
    <row r="344" ht="13"/>
    <row r="345" ht="13"/>
    <row r="346" ht="13"/>
    <row r="347" ht="13"/>
    <row r="348" ht="13"/>
    <row r="349" ht="13"/>
    <row r="350" ht="13"/>
    <row r="351" ht="13"/>
    <row r="352" ht="13"/>
    <row r="353" ht="13"/>
    <row r="354" ht="13"/>
    <row r="355" ht="13"/>
    <row r="356" ht="13"/>
    <row r="357" ht="13"/>
    <row r="358" ht="13"/>
    <row r="359" ht="13"/>
    <row r="360" ht="13"/>
    <row r="361" ht="13"/>
    <row r="362" ht="13"/>
    <row r="363" ht="13"/>
    <row r="364" ht="13"/>
    <row r="365" ht="13"/>
    <row r="366" ht="13"/>
    <row r="367" ht="13"/>
    <row r="368" ht="13"/>
    <row r="369" ht="13"/>
    <row r="370" ht="13"/>
    <row r="371" ht="13"/>
    <row r="372" ht="13"/>
    <row r="373" ht="13"/>
    <row r="374" ht="13"/>
    <row r="375" ht="13"/>
    <row r="376" ht="13"/>
    <row r="377" ht="13"/>
    <row r="378" ht="13"/>
    <row r="379" ht="13"/>
    <row r="380" ht="13"/>
    <row r="381" ht="13"/>
    <row r="382" ht="13"/>
    <row r="383" ht="13"/>
    <row r="384" ht="13"/>
    <row r="385" ht="13"/>
    <row r="386" ht="13"/>
    <row r="387" ht="13"/>
    <row r="388" ht="13"/>
    <row r="389" ht="13"/>
    <row r="390" ht="13"/>
    <row r="391" ht="13"/>
    <row r="392" ht="13"/>
    <row r="393" ht="13"/>
    <row r="394" ht="13"/>
    <row r="395" ht="13"/>
    <row r="396" ht="13"/>
    <row r="397" ht="13"/>
    <row r="398" ht="13"/>
    <row r="399" ht="13"/>
    <row r="400" ht="13"/>
    <row r="401" ht="13"/>
    <row r="402" ht="13"/>
    <row r="403" ht="13"/>
    <row r="404" ht="13"/>
    <row r="405" ht="13"/>
    <row r="406" ht="13"/>
    <row r="407" ht="13"/>
    <row r="408" ht="13"/>
    <row r="409" ht="13"/>
    <row r="410" ht="13"/>
    <row r="411" ht="13"/>
    <row r="412" ht="13"/>
    <row r="413" ht="13"/>
    <row r="414" ht="13"/>
    <row r="415" ht="13"/>
    <row r="416" ht="13"/>
    <row r="417" ht="13"/>
    <row r="418" ht="13"/>
    <row r="419" ht="13"/>
    <row r="420" ht="13"/>
    <row r="421" ht="13"/>
    <row r="422" ht="13"/>
    <row r="423" ht="13"/>
    <row r="424" ht="13"/>
    <row r="425" ht="13"/>
    <row r="426" ht="13"/>
    <row r="427" ht="13"/>
    <row r="428" ht="13"/>
    <row r="429" ht="13"/>
    <row r="430" ht="13"/>
    <row r="431" ht="13"/>
    <row r="432" ht="13"/>
    <row r="433" ht="13"/>
    <row r="434" ht="13"/>
    <row r="435" ht="13"/>
    <row r="436" ht="13"/>
    <row r="437" ht="13"/>
    <row r="438" ht="13"/>
    <row r="439" ht="13"/>
    <row r="440" ht="13"/>
    <row r="441" ht="13"/>
    <row r="442" ht="13"/>
    <row r="443" ht="13"/>
    <row r="444" ht="13"/>
    <row r="445" ht="13"/>
    <row r="446" ht="13"/>
    <row r="447" ht="13"/>
    <row r="448" ht="13"/>
    <row r="449" ht="13"/>
    <row r="450" ht="13"/>
    <row r="451" ht="13"/>
    <row r="452" ht="13"/>
    <row r="453" ht="13"/>
    <row r="454" ht="13"/>
    <row r="455" ht="13"/>
    <row r="456" ht="13"/>
    <row r="457" ht="13"/>
    <row r="458" ht="13"/>
    <row r="459" ht="13"/>
    <row r="460" ht="13"/>
    <row r="461" ht="13"/>
    <row r="462" ht="13"/>
    <row r="463" ht="13"/>
    <row r="464" ht="13"/>
    <row r="465" ht="13"/>
    <row r="466" ht="13"/>
    <row r="467" ht="13"/>
    <row r="468" ht="13"/>
    <row r="469" ht="13"/>
    <row r="470" ht="13"/>
    <row r="471" ht="13"/>
    <row r="472" ht="13"/>
    <row r="473" ht="13"/>
    <row r="474" ht="13"/>
    <row r="475" ht="13"/>
    <row r="476" ht="13"/>
    <row r="477" ht="13"/>
    <row r="478" ht="13"/>
    <row r="479" ht="13"/>
    <row r="480" ht="13"/>
    <row r="481" ht="13"/>
    <row r="482" ht="13"/>
    <row r="483" ht="13"/>
    <row r="484" ht="13"/>
    <row r="485" ht="13"/>
    <row r="486" ht="13"/>
    <row r="487" ht="13"/>
    <row r="488" ht="13"/>
    <row r="489" ht="13"/>
    <row r="490" ht="13"/>
    <row r="491" ht="13"/>
    <row r="492" ht="13"/>
    <row r="493" ht="13"/>
    <row r="494" ht="13"/>
    <row r="495" ht="13"/>
    <row r="496" ht="13"/>
    <row r="497" ht="13"/>
    <row r="498" ht="13"/>
    <row r="499" ht="13"/>
    <row r="500" ht="13"/>
    <row r="501" ht="13"/>
    <row r="502" ht="13"/>
    <row r="503" ht="13"/>
    <row r="504" ht="13"/>
    <row r="505" ht="13"/>
    <row r="506" ht="13"/>
    <row r="507" ht="13"/>
    <row r="508" ht="13"/>
    <row r="509" ht="13"/>
    <row r="510" ht="13"/>
    <row r="511" ht="13"/>
    <row r="512" ht="13"/>
    <row r="513" ht="13"/>
    <row r="514" ht="13"/>
    <row r="515" ht="13"/>
    <row r="516" ht="13"/>
    <row r="517" ht="13"/>
    <row r="518" ht="13"/>
    <row r="519" ht="13"/>
    <row r="520" ht="13"/>
    <row r="521" ht="13"/>
    <row r="522" ht="13"/>
    <row r="523" ht="13"/>
    <row r="524" ht="13"/>
    <row r="525" ht="13"/>
    <row r="526" ht="13"/>
    <row r="527" ht="13"/>
    <row r="528" ht="13"/>
    <row r="529" ht="13"/>
    <row r="530" ht="13"/>
    <row r="531" ht="13"/>
    <row r="532" ht="13"/>
    <row r="533" ht="13"/>
    <row r="534" ht="13"/>
    <row r="535" ht="13"/>
    <row r="536" ht="13"/>
    <row r="537" ht="13"/>
    <row r="538" ht="13"/>
    <row r="539" ht="13"/>
    <row r="540" ht="13"/>
    <row r="541" ht="13"/>
    <row r="542" ht="13"/>
    <row r="543" ht="13"/>
    <row r="544" ht="13"/>
    <row r="545" ht="13"/>
    <row r="546" ht="13"/>
    <row r="547" ht="13"/>
    <row r="548" ht="13"/>
    <row r="549" ht="13"/>
    <row r="550" ht="13"/>
    <row r="551" ht="13"/>
    <row r="552" ht="13"/>
    <row r="553" ht="13"/>
    <row r="554" ht="13"/>
    <row r="555" ht="13"/>
    <row r="556" ht="13"/>
    <row r="557" ht="13"/>
    <row r="558" ht="13"/>
    <row r="559" ht="13"/>
    <row r="560" ht="13"/>
    <row r="561" ht="13"/>
    <row r="562" ht="13"/>
    <row r="563" ht="13"/>
    <row r="564" ht="13"/>
    <row r="565" ht="13"/>
    <row r="566" ht="13"/>
    <row r="567" ht="13"/>
    <row r="568" ht="13"/>
    <row r="569" ht="13"/>
    <row r="570" ht="13"/>
    <row r="571" ht="13"/>
    <row r="572" ht="13"/>
    <row r="573" ht="13"/>
    <row r="574" ht="13"/>
    <row r="575" ht="13"/>
    <row r="576" ht="13"/>
    <row r="577" ht="13"/>
    <row r="578" ht="13"/>
    <row r="579" ht="13"/>
    <row r="580" ht="13"/>
    <row r="581" ht="13"/>
    <row r="582" ht="13"/>
    <row r="583" ht="13"/>
    <row r="584" ht="13"/>
    <row r="585" ht="13"/>
    <row r="586" ht="13"/>
    <row r="587" ht="13"/>
    <row r="588" ht="13"/>
    <row r="589" ht="13"/>
    <row r="590" ht="13"/>
    <row r="591" ht="13"/>
    <row r="592" ht="13"/>
    <row r="593" ht="13"/>
    <row r="594" ht="13"/>
    <row r="595" ht="13"/>
    <row r="596" ht="13"/>
    <row r="597" ht="13"/>
    <row r="598" ht="13"/>
    <row r="599" ht="13"/>
    <row r="600" ht="13"/>
    <row r="601" ht="13"/>
    <row r="602" ht="13"/>
    <row r="603" ht="13"/>
    <row r="604" ht="13"/>
    <row r="605" ht="13"/>
    <row r="606" ht="13"/>
    <row r="607" ht="13"/>
    <row r="608" ht="13"/>
    <row r="609" ht="13"/>
    <row r="610" ht="13"/>
    <row r="611" ht="13"/>
    <row r="612" ht="13"/>
    <row r="613" ht="13"/>
    <row r="614" ht="13"/>
    <row r="615" ht="13"/>
    <row r="616" ht="13"/>
    <row r="617" ht="13"/>
    <row r="618" ht="13"/>
    <row r="619" ht="13"/>
    <row r="620" ht="13"/>
    <row r="621" ht="13"/>
    <row r="622" ht="13"/>
    <row r="623" ht="13"/>
    <row r="624" ht="13"/>
    <row r="625" ht="13"/>
    <row r="626" ht="13"/>
    <row r="627" ht="13"/>
    <row r="628" ht="13"/>
    <row r="629" ht="13"/>
    <row r="630" ht="13"/>
    <row r="631" ht="13"/>
    <row r="632" ht="13"/>
    <row r="633" ht="13"/>
    <row r="634" ht="13"/>
    <row r="635" ht="13"/>
    <row r="636" ht="13"/>
    <row r="637" ht="13"/>
    <row r="638" ht="13"/>
    <row r="639" ht="13"/>
    <row r="640" ht="13"/>
    <row r="641" ht="13"/>
    <row r="642" ht="13"/>
    <row r="643" ht="13"/>
    <row r="644" ht="13"/>
    <row r="645" ht="13"/>
    <row r="646" ht="13"/>
    <row r="647" ht="13"/>
    <row r="648" ht="13"/>
    <row r="649" ht="13"/>
    <row r="650" ht="13"/>
    <row r="651" ht="13"/>
    <row r="652" ht="13"/>
    <row r="653" ht="13"/>
    <row r="654" ht="13"/>
    <row r="655" ht="13"/>
    <row r="656" ht="13"/>
    <row r="657" ht="13"/>
    <row r="658" ht="13"/>
    <row r="659" ht="13"/>
    <row r="660" ht="13"/>
    <row r="661" ht="13"/>
    <row r="662" ht="13"/>
    <row r="663" ht="13"/>
    <row r="664" ht="13"/>
    <row r="665" ht="13"/>
    <row r="666" ht="13"/>
    <row r="667" ht="13"/>
    <row r="668" ht="13"/>
    <row r="669" ht="13"/>
    <row r="670" ht="13"/>
    <row r="671" ht="13"/>
    <row r="672" ht="13"/>
    <row r="673" ht="13"/>
    <row r="674" ht="13"/>
    <row r="675" ht="13"/>
    <row r="676" ht="13"/>
    <row r="677" ht="13"/>
    <row r="678" ht="13"/>
    <row r="679" ht="13"/>
    <row r="680" ht="13"/>
    <row r="681" ht="13"/>
    <row r="682" ht="13"/>
    <row r="683" ht="13"/>
    <row r="684" ht="13"/>
    <row r="685" ht="13"/>
    <row r="686" ht="13"/>
    <row r="687" ht="13"/>
    <row r="688" ht="13"/>
    <row r="689" ht="13"/>
    <row r="690" ht="13"/>
    <row r="691" ht="13"/>
    <row r="692" ht="13"/>
    <row r="693" ht="13"/>
    <row r="694" ht="13"/>
    <row r="695" ht="13"/>
    <row r="696" ht="13"/>
    <row r="697" ht="13"/>
    <row r="698" ht="13"/>
    <row r="699" ht="13"/>
    <row r="700" ht="13"/>
    <row r="701" ht="13"/>
    <row r="702" ht="13"/>
    <row r="703" ht="13"/>
    <row r="704" ht="13"/>
    <row r="705" ht="13"/>
    <row r="706" ht="13"/>
    <row r="707" ht="13"/>
    <row r="708" ht="13"/>
    <row r="709" ht="13"/>
    <row r="710" ht="13"/>
    <row r="711" ht="13"/>
    <row r="712" ht="13"/>
    <row r="713" ht="13"/>
    <row r="714" ht="13"/>
    <row r="715" ht="13"/>
    <row r="716" ht="13"/>
    <row r="717" ht="13"/>
    <row r="718" ht="13"/>
    <row r="719" ht="13"/>
    <row r="720" ht="13"/>
    <row r="721" ht="13"/>
    <row r="722" ht="13"/>
    <row r="723" ht="13"/>
    <row r="724" ht="13"/>
    <row r="725" ht="13"/>
    <row r="726" ht="13"/>
    <row r="727" ht="13"/>
    <row r="728" ht="13"/>
    <row r="729" ht="13"/>
    <row r="730" ht="13"/>
    <row r="731" ht="13"/>
    <row r="732" ht="13"/>
    <row r="733" ht="13"/>
    <row r="734" ht="13"/>
    <row r="735" ht="13"/>
    <row r="736" ht="13"/>
    <row r="737" ht="13"/>
    <row r="738" ht="13"/>
    <row r="739" ht="13"/>
    <row r="740" ht="13"/>
    <row r="741" ht="13"/>
    <row r="742" ht="13"/>
    <row r="743" ht="13"/>
    <row r="744" ht="13"/>
    <row r="745" ht="13"/>
    <row r="746" ht="13"/>
    <row r="747" ht="13"/>
    <row r="748" ht="13"/>
    <row r="749" ht="13"/>
    <row r="750" ht="13"/>
    <row r="751" ht="13"/>
    <row r="752" ht="13"/>
    <row r="753" ht="13"/>
    <row r="754" ht="13"/>
    <row r="755" ht="13"/>
    <row r="756" ht="13"/>
    <row r="757" ht="13"/>
    <row r="758" ht="13"/>
    <row r="759" ht="13"/>
    <row r="760" ht="13"/>
    <row r="761" ht="13"/>
    <row r="762" ht="13"/>
    <row r="763" ht="13"/>
    <row r="764" ht="13"/>
    <row r="765" ht="13"/>
    <row r="766" ht="13"/>
    <row r="767" ht="13"/>
    <row r="768" ht="13"/>
    <row r="769" ht="13"/>
    <row r="770" ht="13"/>
    <row r="771" ht="13"/>
    <row r="772" ht="13"/>
    <row r="773" ht="13"/>
    <row r="774" ht="13"/>
    <row r="775" ht="13"/>
    <row r="776" ht="13"/>
    <row r="777" ht="13"/>
    <row r="778" ht="13"/>
    <row r="779" ht="13"/>
    <row r="780" ht="13"/>
    <row r="781" ht="13"/>
    <row r="782" ht="13"/>
    <row r="783" ht="13"/>
    <row r="784" ht="13"/>
    <row r="785" ht="13"/>
    <row r="786" ht="13"/>
    <row r="787" ht="13"/>
    <row r="788" ht="13"/>
    <row r="789" ht="13"/>
    <row r="790" ht="13"/>
    <row r="791" ht="13"/>
    <row r="792" ht="13"/>
    <row r="793" ht="13"/>
    <row r="794" ht="13"/>
    <row r="795" ht="13"/>
    <row r="796" ht="13"/>
    <row r="797" ht="13"/>
    <row r="798" ht="13"/>
    <row r="799" ht="13"/>
    <row r="800" ht="13"/>
    <row r="801" ht="13"/>
    <row r="802" ht="13"/>
    <row r="803" ht="13"/>
    <row r="804" ht="13"/>
    <row r="805" ht="13"/>
    <row r="806" ht="13"/>
    <row r="807" ht="13"/>
    <row r="808" ht="13"/>
    <row r="809" ht="13"/>
    <row r="810" ht="13"/>
    <row r="811" ht="13"/>
    <row r="812" ht="13"/>
    <row r="813" ht="13"/>
    <row r="814" ht="13"/>
    <row r="815" ht="13"/>
    <row r="816" ht="13"/>
    <row r="817" ht="13"/>
    <row r="818" ht="13"/>
    <row r="819" ht="13"/>
    <row r="820" ht="13"/>
    <row r="821" ht="13"/>
    <row r="822" ht="13"/>
    <row r="823" ht="13"/>
    <row r="824" ht="13"/>
    <row r="825" ht="13"/>
    <row r="826" ht="13"/>
    <row r="827" ht="13"/>
    <row r="828" ht="13"/>
    <row r="829" ht="13"/>
    <row r="830" ht="13"/>
    <row r="831" ht="13"/>
    <row r="832" ht="13"/>
    <row r="833" ht="13"/>
    <row r="834" ht="13"/>
    <row r="835" ht="13"/>
    <row r="836" ht="13"/>
    <row r="837" ht="13"/>
    <row r="838" ht="13"/>
    <row r="839" ht="13"/>
    <row r="840" ht="13"/>
    <row r="841" ht="13"/>
    <row r="842" ht="13"/>
    <row r="843" ht="13"/>
    <row r="844" ht="13"/>
    <row r="845" ht="13"/>
    <row r="846" ht="13"/>
    <row r="847" ht="13"/>
    <row r="848" ht="13"/>
    <row r="849" ht="13"/>
    <row r="850" ht="13"/>
    <row r="851" ht="13"/>
    <row r="852" ht="13"/>
    <row r="853" ht="13"/>
    <row r="854" ht="13"/>
    <row r="855" ht="13"/>
    <row r="856" ht="13"/>
    <row r="857" ht="13"/>
    <row r="858" ht="13"/>
    <row r="859" ht="13"/>
    <row r="860" ht="13"/>
    <row r="861" ht="13"/>
    <row r="862" ht="13"/>
    <row r="863" ht="13"/>
    <row r="864" ht="13"/>
    <row r="865" ht="13"/>
    <row r="866" ht="13"/>
    <row r="867" ht="13"/>
    <row r="868" ht="13"/>
    <row r="869" ht="13"/>
    <row r="870" ht="13"/>
    <row r="871" ht="13"/>
    <row r="872" ht="13"/>
    <row r="873" ht="13"/>
    <row r="874" ht="13"/>
    <row r="875" ht="13"/>
    <row r="876" ht="13"/>
    <row r="877" ht="13"/>
    <row r="878" ht="13"/>
    <row r="879" ht="13"/>
    <row r="880" ht="13"/>
    <row r="881" ht="13"/>
    <row r="882" ht="13"/>
    <row r="883" ht="13"/>
    <row r="884" ht="13"/>
    <row r="885" ht="13"/>
    <row r="886" ht="13"/>
    <row r="887" ht="13"/>
    <row r="888" ht="13"/>
    <row r="889" ht="13"/>
    <row r="890" ht="13"/>
    <row r="891" ht="13"/>
    <row r="892" ht="13"/>
    <row r="893" ht="13"/>
    <row r="894" ht="13"/>
    <row r="895" ht="13"/>
    <row r="896" ht="13"/>
    <row r="897" ht="13"/>
    <row r="898" ht="13"/>
    <row r="899" ht="13"/>
    <row r="900" ht="13"/>
    <row r="901" ht="13"/>
    <row r="902" ht="13"/>
    <row r="903" ht="13"/>
    <row r="904" ht="13"/>
    <row r="905" ht="13"/>
    <row r="906" ht="13"/>
    <row r="907" ht="13"/>
    <row r="908" ht="13"/>
    <row r="909" ht="13"/>
    <row r="910" ht="13"/>
    <row r="911" ht="13"/>
    <row r="912" ht="13"/>
    <row r="913" ht="13"/>
    <row r="914" ht="13"/>
    <row r="915" ht="13"/>
    <row r="916" ht="13"/>
    <row r="917" ht="13"/>
    <row r="918" ht="13"/>
    <row r="919" ht="13"/>
    <row r="920" ht="13"/>
    <row r="921" ht="13"/>
    <row r="922" ht="13"/>
    <row r="923" ht="13"/>
    <row r="924" ht="13"/>
    <row r="925" ht="13"/>
    <row r="926" ht="13"/>
    <row r="927" ht="13"/>
    <row r="928" ht="13"/>
    <row r="929" ht="13"/>
    <row r="930" ht="13"/>
    <row r="931" ht="13"/>
    <row r="932" ht="13"/>
    <row r="933" ht="13"/>
    <row r="934" ht="13"/>
    <row r="935" ht="13"/>
    <row r="936" ht="13"/>
    <row r="937" ht="13"/>
    <row r="938" ht="13"/>
    <row r="939" ht="13"/>
    <row r="940" ht="13"/>
    <row r="941" ht="13"/>
    <row r="942" ht="13"/>
    <row r="943" ht="13"/>
    <row r="944" ht="13"/>
    <row r="945" ht="13"/>
    <row r="946" ht="13"/>
    <row r="947" ht="13"/>
    <row r="948" ht="13"/>
    <row r="949" ht="13"/>
    <row r="950" ht="13"/>
    <row r="951" ht="13"/>
    <row r="952" ht="13"/>
    <row r="953" ht="13"/>
    <row r="954" ht="13"/>
    <row r="955" ht="13"/>
    <row r="956" ht="13"/>
    <row r="957" ht="13"/>
    <row r="958" ht="13"/>
    <row r="959" ht="13"/>
    <row r="960" ht="13"/>
    <row r="961" ht="13"/>
    <row r="962" ht="13"/>
    <row r="963" ht="13"/>
    <row r="964" ht="13"/>
    <row r="965" ht="13"/>
    <row r="966" ht="13"/>
    <row r="967" ht="13"/>
    <row r="968" ht="13"/>
    <row r="969" ht="13"/>
    <row r="970" ht="13"/>
    <row r="971" ht="13"/>
    <row r="972" ht="13"/>
    <row r="973" ht="13"/>
    <row r="974" ht="13"/>
    <row r="975" ht="13"/>
    <row r="976" ht="13"/>
    <row r="977" ht="13"/>
    <row r="978" ht="13"/>
    <row r="979" ht="13"/>
    <row r="980" ht="13"/>
    <row r="981" ht="13"/>
    <row r="982" ht="13"/>
    <row r="983" ht="13"/>
    <row r="984" ht="13"/>
    <row r="985" ht="13"/>
    <row r="986" ht="13"/>
    <row r="987" ht="13"/>
    <row r="988" ht="13"/>
    <row r="989" ht="13"/>
    <row r="990" ht="13"/>
    <row r="991" ht="13"/>
    <row r="992" ht="13"/>
    <row r="993" ht="13"/>
    <row r="994" ht="13"/>
    <row r="995" ht="13"/>
    <row r="996" ht="13"/>
    <row r="997" ht="13"/>
    <row r="998" ht="13"/>
    <row r="999" ht="13"/>
    <row r="1000" ht="13"/>
  </sheetData>
  <phoneticPr fontId="85" type="noConversion"/>
  <hyperlinks>
    <hyperlink ref="C2" r:id="rId1" xr:uid="{00000000-0004-0000-0300-000000000000}"/>
  </hyperlinks>
  <pageMargins left="0.75" right="0.75" top="1" bottom="1"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Q8"/>
  <sheetViews>
    <sheetView workbookViewId="0"/>
  </sheetViews>
  <sheetFormatPr defaultColWidth="14.3984375" defaultRowHeight="15.75" customHeight="1"/>
  <cols>
    <col min="2" max="2" width="23.3984375" customWidth="1"/>
    <col min="4" max="4" width="15.8984375" customWidth="1"/>
    <col min="5" max="5" width="17.8984375" customWidth="1"/>
    <col min="6" max="6" width="28.3984375" customWidth="1"/>
    <col min="7" max="7" width="43" customWidth="1"/>
    <col min="8" max="8" width="38.3984375" customWidth="1"/>
    <col min="9" max="9" width="53.8984375" customWidth="1"/>
    <col min="10" max="10" width="22.09765625" customWidth="1"/>
    <col min="11" max="11" width="29.296875" customWidth="1"/>
    <col min="12" max="12" width="25.296875" customWidth="1"/>
    <col min="13" max="13" width="23.3984375" customWidth="1"/>
    <col min="14" max="14" width="26.8984375" customWidth="1"/>
    <col min="15" max="15" width="19.59765625" customWidth="1"/>
    <col min="16" max="16" width="20.3984375" customWidth="1"/>
    <col min="17" max="17" width="25.09765625" customWidth="1"/>
  </cols>
  <sheetData>
    <row r="1" spans="1:17" ht="15.75" customHeight="1">
      <c r="A1" s="1"/>
      <c r="B1" s="1"/>
      <c r="C1" s="22"/>
    </row>
    <row r="2" spans="1:17">
      <c r="A2" s="117" t="s">
        <v>31</v>
      </c>
      <c r="B2" s="4" t="s">
        <v>3</v>
      </c>
      <c r="C2" s="4" t="s">
        <v>19</v>
      </c>
      <c r="D2" s="4" t="s">
        <v>11</v>
      </c>
      <c r="E2" s="4" t="s">
        <v>10</v>
      </c>
      <c r="F2" s="4" t="s">
        <v>17</v>
      </c>
      <c r="G2" s="17" t="s">
        <v>35</v>
      </c>
      <c r="H2" s="17" t="s">
        <v>36</v>
      </c>
      <c r="I2" s="17" t="s">
        <v>37</v>
      </c>
      <c r="J2" s="18" t="s">
        <v>38</v>
      </c>
      <c r="K2" s="19" t="s">
        <v>39</v>
      </c>
      <c r="L2" s="19" t="s">
        <v>40</v>
      </c>
      <c r="M2" s="19" t="s">
        <v>41</v>
      </c>
      <c r="N2" s="19" t="s">
        <v>42</v>
      </c>
      <c r="O2" s="20" t="s">
        <v>43</v>
      </c>
      <c r="P2" s="20" t="s">
        <v>44</v>
      </c>
      <c r="Q2" s="21" t="s">
        <v>28</v>
      </c>
    </row>
    <row r="3" spans="1:17" ht="15.75" customHeight="1">
      <c r="A3" s="22" t="s">
        <v>73</v>
      </c>
      <c r="G3" s="25"/>
      <c r="H3" s="25"/>
      <c r="I3" s="22" t="s">
        <v>74</v>
      </c>
      <c r="J3" s="30"/>
      <c r="O3" s="25"/>
      <c r="P3" s="25"/>
    </row>
    <row r="8" spans="1:17" ht="15.75" customHeight="1">
      <c r="J8" s="30"/>
    </row>
  </sheetData>
  <phoneticPr fontId="85" type="noConversion"/>
  <dataValidations count="5">
    <dataValidation type="list" allowBlank="1" sqref="A3" xr:uid="{00000000-0002-0000-0400-000000000000}">
      <formula1>"Hepeng Wang,Da Xu,Lingyu Meng,Zhiang Shen,Zhiwen Wang,Wei Jin,Han Shen,Huajia Nie,Shuo Cheng,Nanshu Zhao"</formula1>
    </dataValidation>
    <dataValidation type="list" allowBlank="1" sqref="H3" xr:uid="{00000000-0002-0000-0400-000001000000}">
      <formula1>"avoided,mitigated,unchanged,exacerbated"</formula1>
    </dataValidation>
    <dataValidation type="list" allowBlank="1" sqref="O3:P3" xr:uid="{00000000-0002-0000-0400-000002000000}">
      <formula1>"High,Medium,Low"</formula1>
    </dataValidation>
    <dataValidation type="list" allowBlank="1" sqref="G3" xr:uid="{00000000-0002-0000-0400-000003000000}">
      <formula1>"prior,later,unchanged,unsure"</formula1>
    </dataValidation>
    <dataValidation type="list" allowBlank="1" sqref="J3" xr:uid="{00000000-0002-0000-0400-000004000000}">
      <formula1>"well covered,need improve,not covered"</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I12"/>
  <sheetViews>
    <sheetView workbookViewId="0"/>
  </sheetViews>
  <sheetFormatPr defaultColWidth="14.3984375" defaultRowHeight="15.75" customHeight="1"/>
  <cols>
    <col min="1" max="1" width="35.69921875" customWidth="1"/>
    <col min="2" max="2" width="57.59765625" customWidth="1"/>
    <col min="3" max="3" width="22.69921875" customWidth="1"/>
    <col min="5" max="5" width="23.69921875" customWidth="1"/>
    <col min="6" max="6" width="28.3984375" customWidth="1"/>
    <col min="8" max="8" width="42.3984375" customWidth="1"/>
    <col min="9" max="9" width="80.296875" customWidth="1"/>
  </cols>
  <sheetData>
    <row r="1" spans="1:9" ht="30" customHeight="1">
      <c r="A1" s="118" t="s">
        <v>2258</v>
      </c>
      <c r="B1" s="119" t="s">
        <v>2259</v>
      </c>
      <c r="C1" s="8"/>
      <c r="D1" s="8"/>
      <c r="E1" s="8"/>
      <c r="G1" s="8"/>
      <c r="H1" s="8"/>
    </row>
    <row r="2" spans="1:9" ht="13">
      <c r="A2" s="8" t="s">
        <v>2260</v>
      </c>
      <c r="B2" s="8" t="s">
        <v>2261</v>
      </c>
      <c r="C2" s="8" t="s">
        <v>2262</v>
      </c>
      <c r="D2" s="8" t="s">
        <v>2263</v>
      </c>
      <c r="E2" s="8" t="s">
        <v>2264</v>
      </c>
      <c r="F2" s="8" t="s">
        <v>31</v>
      </c>
      <c r="G2" s="8" t="s">
        <v>30</v>
      </c>
      <c r="H2" s="8" t="s">
        <v>2265</v>
      </c>
    </row>
    <row r="3" spans="1:9" ht="13">
      <c r="A3" s="22" t="s">
        <v>1187</v>
      </c>
      <c r="B3" s="22" t="s">
        <v>2266</v>
      </c>
      <c r="C3" s="25"/>
      <c r="D3" s="120">
        <v>44621</v>
      </c>
      <c r="E3" s="22" t="s">
        <v>70</v>
      </c>
      <c r="F3" s="22" t="s">
        <v>393</v>
      </c>
      <c r="G3" s="27" t="s">
        <v>71</v>
      </c>
      <c r="H3" s="22" t="s">
        <v>2267</v>
      </c>
    </row>
    <row r="4" spans="1:9" ht="13">
      <c r="A4" s="22" t="s">
        <v>258</v>
      </c>
      <c r="B4" s="22" t="s">
        <v>2266</v>
      </c>
      <c r="D4" s="120">
        <v>44621</v>
      </c>
      <c r="E4" s="22" t="s">
        <v>265</v>
      </c>
      <c r="F4" s="22" t="s">
        <v>328</v>
      </c>
      <c r="G4" s="27" t="s">
        <v>71</v>
      </c>
      <c r="H4" s="22" t="s">
        <v>2267</v>
      </c>
      <c r="I4" s="44" t="s">
        <v>2268</v>
      </c>
    </row>
    <row r="5" spans="1:9" ht="13">
      <c r="A5" s="22" t="s">
        <v>1844</v>
      </c>
      <c r="B5" s="22" t="s">
        <v>2266</v>
      </c>
      <c r="D5" s="120">
        <v>44621</v>
      </c>
      <c r="E5" s="22" t="s">
        <v>265</v>
      </c>
      <c r="F5" s="22" t="s">
        <v>70</v>
      </c>
      <c r="G5" s="27" t="s">
        <v>71</v>
      </c>
      <c r="H5" s="22" t="s">
        <v>2269</v>
      </c>
      <c r="I5" s="22" t="s">
        <v>2270</v>
      </c>
    </row>
    <row r="6" spans="1:9" ht="13">
      <c r="A6" s="22" t="s">
        <v>75</v>
      </c>
      <c r="B6" s="22" t="s">
        <v>2266</v>
      </c>
      <c r="D6" s="120">
        <v>44621</v>
      </c>
      <c r="E6" s="22" t="s">
        <v>70</v>
      </c>
      <c r="F6" s="22" t="s">
        <v>265</v>
      </c>
      <c r="G6" s="27" t="s">
        <v>71</v>
      </c>
      <c r="H6" s="22" t="s">
        <v>2267</v>
      </c>
    </row>
    <row r="7" spans="1:9" ht="13">
      <c r="A7" s="22" t="s">
        <v>1139</v>
      </c>
      <c r="B7" s="22" t="s">
        <v>2271</v>
      </c>
      <c r="C7" s="121" t="s">
        <v>859</v>
      </c>
      <c r="D7" s="120">
        <v>44641</v>
      </c>
      <c r="E7" s="22" t="s">
        <v>328</v>
      </c>
      <c r="F7" s="22" t="s">
        <v>475</v>
      </c>
      <c r="G7" s="27" t="s">
        <v>71</v>
      </c>
      <c r="H7" s="22" t="s">
        <v>2272</v>
      </c>
    </row>
    <row r="8" spans="1:9" ht="13">
      <c r="A8" s="22" t="s">
        <v>1690</v>
      </c>
      <c r="B8" s="22" t="s">
        <v>2273</v>
      </c>
      <c r="C8" s="121" t="s">
        <v>741</v>
      </c>
      <c r="D8" s="120">
        <v>44641</v>
      </c>
      <c r="E8" s="22" t="s">
        <v>70</v>
      </c>
      <c r="F8" s="22" t="s">
        <v>176</v>
      </c>
      <c r="G8" s="27" t="s">
        <v>71</v>
      </c>
      <c r="H8" s="22" t="s">
        <v>2274</v>
      </c>
    </row>
    <row r="9" spans="1:9" ht="13">
      <c r="A9" s="22" t="s">
        <v>872</v>
      </c>
      <c r="B9" s="22" t="s">
        <v>2275</v>
      </c>
      <c r="C9" s="121" t="s">
        <v>2276</v>
      </c>
      <c r="D9" s="120">
        <v>44642</v>
      </c>
      <c r="E9" s="22" t="s">
        <v>393</v>
      </c>
      <c r="F9" s="22" t="s">
        <v>328</v>
      </c>
      <c r="G9" s="27" t="s">
        <v>2277</v>
      </c>
      <c r="H9" s="22" t="s">
        <v>2278</v>
      </c>
    </row>
    <row r="10" spans="1:9" ht="13">
      <c r="A10" s="22" t="s">
        <v>615</v>
      </c>
      <c r="B10" s="22" t="s">
        <v>2279</v>
      </c>
      <c r="C10" s="121" t="s">
        <v>928</v>
      </c>
      <c r="D10" s="120">
        <v>44644</v>
      </c>
      <c r="E10" s="22" t="s">
        <v>265</v>
      </c>
      <c r="F10" s="22" t="s">
        <v>393</v>
      </c>
      <c r="G10" s="27" t="s">
        <v>71</v>
      </c>
      <c r="H10" s="22" t="s">
        <v>2280</v>
      </c>
    </row>
    <row r="11" spans="1:9" ht="13">
      <c r="A11" s="22" t="s">
        <v>179</v>
      </c>
      <c r="B11" s="22" t="s">
        <v>2266</v>
      </c>
      <c r="C11" s="121" t="s">
        <v>669</v>
      </c>
      <c r="D11" s="120">
        <v>44648</v>
      </c>
      <c r="E11" s="22" t="s">
        <v>176</v>
      </c>
      <c r="F11" s="22" t="s">
        <v>70</v>
      </c>
      <c r="H11" s="22" t="s">
        <v>2281</v>
      </c>
    </row>
    <row r="12" spans="1:9" ht="13">
      <c r="A12" s="22" t="s">
        <v>540</v>
      </c>
      <c r="B12" s="22" t="s">
        <v>2282</v>
      </c>
      <c r="C12" s="121" t="s">
        <v>928</v>
      </c>
      <c r="D12" s="120">
        <v>44648</v>
      </c>
      <c r="E12" s="22" t="s">
        <v>70</v>
      </c>
      <c r="F12" s="22" t="s">
        <v>265</v>
      </c>
      <c r="G12" s="27" t="s">
        <v>2283</v>
      </c>
    </row>
  </sheetData>
  <phoneticPr fontId="85" type="noConversion"/>
  <dataValidations count="2">
    <dataValidation type="list" allowBlank="1" sqref="E3:F12" xr:uid="{00000000-0002-0000-0500-000000000000}">
      <formula1>"Lingyu Meng 孟凌宇,Zhiwen Wang 王志文,Da Xu 徐达,Hepeng Wang 王贺鹏,Zhiang Shen 申志昂,Wei Jin 靳伟"</formula1>
    </dataValidation>
    <dataValidation type="list" allowBlank="1" sqref="G3:G10 G12" xr:uid="{00000000-0002-0000-0500-000001000000}">
      <formula1>"commited,reviewing,fixing,done,skip"</formula1>
    </dataValidation>
  </dataValidations>
  <hyperlinks>
    <hyperlink ref="C7" r:id="rId1" xr:uid="{00000000-0004-0000-0500-000000000000}"/>
    <hyperlink ref="C8" r:id="rId2" xr:uid="{00000000-0004-0000-0500-000001000000}"/>
    <hyperlink ref="C9" r:id="rId3" xr:uid="{00000000-0004-0000-0500-000002000000}"/>
    <hyperlink ref="C10" r:id="rId4" xr:uid="{00000000-0004-0000-0500-000003000000}"/>
    <hyperlink ref="C11" r:id="rId5" xr:uid="{00000000-0004-0000-0500-000004000000}"/>
    <hyperlink ref="C12" r:id="rId6" xr:uid="{00000000-0004-0000-0500-000005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J28"/>
  <sheetViews>
    <sheetView workbookViewId="0">
      <pane ySplit="2" topLeftCell="A3" activePane="bottomLeft" state="frozen"/>
      <selection pane="bottomLeft" activeCell="B4" sqref="B4"/>
    </sheetView>
  </sheetViews>
  <sheetFormatPr defaultColWidth="14.3984375" defaultRowHeight="15.75" customHeight="1"/>
  <cols>
    <col min="1" max="1" width="44.3984375" customWidth="1"/>
    <col min="2" max="2" width="116.8984375" customWidth="1"/>
    <col min="3" max="3" width="22.59765625" customWidth="1"/>
    <col min="4" max="4" width="34.3984375" customWidth="1"/>
    <col min="5" max="6" width="26.3984375" customWidth="1"/>
    <col min="7" max="8" width="18.8984375" customWidth="1"/>
  </cols>
  <sheetData>
    <row r="1" spans="1:10" ht="55.5" customHeight="1">
      <c r="A1" s="118" t="s">
        <v>2284</v>
      </c>
      <c r="B1" s="119" t="s">
        <v>2285</v>
      </c>
      <c r="C1" s="8"/>
      <c r="D1" s="8"/>
      <c r="E1" s="8"/>
      <c r="F1" s="8"/>
      <c r="G1" s="8"/>
      <c r="H1" s="8"/>
      <c r="I1" s="8"/>
      <c r="J1" s="8"/>
    </row>
    <row r="2" spans="1:10" ht="13">
      <c r="A2" s="8" t="s">
        <v>2260</v>
      </c>
      <c r="B2" s="8" t="s">
        <v>2286</v>
      </c>
      <c r="C2" s="8" t="s">
        <v>2287</v>
      </c>
      <c r="D2" s="8" t="s">
        <v>2264</v>
      </c>
      <c r="E2" s="8" t="s">
        <v>31</v>
      </c>
      <c r="F2" s="8" t="s">
        <v>2288</v>
      </c>
      <c r="G2" s="8" t="s">
        <v>2289</v>
      </c>
      <c r="H2" s="8" t="s">
        <v>2290</v>
      </c>
      <c r="I2" s="8" t="s">
        <v>30</v>
      </c>
      <c r="J2" s="8" t="s">
        <v>2265</v>
      </c>
    </row>
    <row r="3" spans="1:10" ht="13">
      <c r="A3" s="22" t="s">
        <v>2160</v>
      </c>
      <c r="B3" s="35" t="s">
        <v>2291</v>
      </c>
      <c r="C3" s="120">
        <v>44624</v>
      </c>
      <c r="D3" s="22" t="s">
        <v>176</v>
      </c>
      <c r="E3" s="22"/>
      <c r="F3" s="22" t="s">
        <v>2292</v>
      </c>
      <c r="G3" s="22" t="s">
        <v>2293</v>
      </c>
      <c r="H3" s="22" t="s">
        <v>2293</v>
      </c>
      <c r="I3" s="27" t="s">
        <v>2294</v>
      </c>
    </row>
    <row r="4" spans="1:10" ht="13">
      <c r="A4" s="22" t="s">
        <v>810</v>
      </c>
      <c r="B4" s="35" t="s">
        <v>2295</v>
      </c>
      <c r="C4" s="122">
        <v>44631</v>
      </c>
      <c r="D4" s="22" t="s">
        <v>328</v>
      </c>
      <c r="G4" s="22" t="s">
        <v>2293</v>
      </c>
      <c r="H4" s="22" t="s">
        <v>2293</v>
      </c>
      <c r="I4" s="27"/>
    </row>
    <row r="5" spans="1:10" ht="13">
      <c r="A5" s="22" t="s">
        <v>1048</v>
      </c>
      <c r="B5" s="26" t="s">
        <v>2295</v>
      </c>
      <c r="C5" s="122">
        <v>44631</v>
      </c>
      <c r="D5" s="22" t="s">
        <v>393</v>
      </c>
      <c r="F5" s="22" t="s">
        <v>2296</v>
      </c>
      <c r="G5" s="22" t="s">
        <v>2293</v>
      </c>
      <c r="H5" s="22" t="s">
        <v>2293</v>
      </c>
      <c r="I5" s="27" t="s">
        <v>2294</v>
      </c>
    </row>
    <row r="6" spans="1:10" ht="13">
      <c r="A6" s="22" t="s">
        <v>872</v>
      </c>
      <c r="B6" s="35" t="s">
        <v>2295</v>
      </c>
      <c r="C6" s="122">
        <v>44631</v>
      </c>
      <c r="D6" s="22" t="s">
        <v>393</v>
      </c>
      <c r="F6" s="22" t="s">
        <v>2297</v>
      </c>
      <c r="G6" s="22" t="s">
        <v>2293</v>
      </c>
      <c r="H6" s="22" t="s">
        <v>65</v>
      </c>
      <c r="I6" s="27" t="s">
        <v>2277</v>
      </c>
      <c r="J6" s="22" t="s">
        <v>2298</v>
      </c>
    </row>
    <row r="7" spans="1:10" ht="13">
      <c r="A7" s="22" t="s">
        <v>1698</v>
      </c>
      <c r="B7" s="35" t="s">
        <v>2295</v>
      </c>
      <c r="C7" s="122">
        <v>44631</v>
      </c>
      <c r="D7" s="22" t="s">
        <v>475</v>
      </c>
      <c r="F7" s="22" t="s">
        <v>2292</v>
      </c>
      <c r="G7" s="22" t="s">
        <v>2293</v>
      </c>
      <c r="H7" s="22" t="s">
        <v>2293</v>
      </c>
      <c r="I7" s="27"/>
    </row>
    <row r="8" spans="1:10" ht="13">
      <c r="A8" s="22" t="s">
        <v>621</v>
      </c>
      <c r="B8" s="35" t="s">
        <v>2299</v>
      </c>
      <c r="C8" s="123">
        <v>44645</v>
      </c>
      <c r="D8" s="22" t="s">
        <v>265</v>
      </c>
      <c r="F8" s="22" t="s">
        <v>2300</v>
      </c>
      <c r="G8" s="22" t="s">
        <v>2293</v>
      </c>
      <c r="H8" s="22" t="s">
        <v>2293</v>
      </c>
      <c r="I8" s="27" t="s">
        <v>2294</v>
      </c>
    </row>
    <row r="9" spans="1:10" ht="13">
      <c r="A9" s="22" t="s">
        <v>651</v>
      </c>
      <c r="B9" s="35" t="s">
        <v>2299</v>
      </c>
      <c r="C9" s="123">
        <v>44645</v>
      </c>
      <c r="D9" s="22" t="s">
        <v>176</v>
      </c>
      <c r="F9" s="22" t="s">
        <v>2296</v>
      </c>
      <c r="G9" s="22" t="s">
        <v>2293</v>
      </c>
      <c r="H9" s="22" t="s">
        <v>2293</v>
      </c>
      <c r="I9" s="27" t="s">
        <v>2294</v>
      </c>
    </row>
    <row r="10" spans="1:10" ht="13">
      <c r="A10" s="22" t="s">
        <v>418</v>
      </c>
      <c r="B10" s="35" t="s">
        <v>2299</v>
      </c>
      <c r="C10" s="123">
        <v>44645</v>
      </c>
      <c r="D10" s="22" t="s">
        <v>393</v>
      </c>
      <c r="F10" s="22" t="s">
        <v>2296</v>
      </c>
      <c r="G10" s="22" t="s">
        <v>2293</v>
      </c>
      <c r="H10" s="22" t="s">
        <v>2293</v>
      </c>
      <c r="I10" s="27"/>
    </row>
    <row r="11" spans="1:10" ht="13">
      <c r="A11" s="22" t="s">
        <v>540</v>
      </c>
      <c r="B11" s="35" t="s">
        <v>2299</v>
      </c>
      <c r="C11" s="123">
        <v>44645</v>
      </c>
      <c r="D11" s="22" t="s">
        <v>70</v>
      </c>
      <c r="F11" s="22" t="s">
        <v>2301</v>
      </c>
      <c r="G11" s="22" t="s">
        <v>2293</v>
      </c>
      <c r="H11" s="22" t="s">
        <v>2293</v>
      </c>
      <c r="I11" s="27" t="s">
        <v>2294</v>
      </c>
    </row>
    <row r="12" spans="1:10" ht="13">
      <c r="A12" s="22" t="s">
        <v>1779</v>
      </c>
      <c r="B12" s="35" t="s">
        <v>2299</v>
      </c>
      <c r="C12" s="123">
        <v>44645</v>
      </c>
      <c r="D12" s="22" t="s">
        <v>265</v>
      </c>
      <c r="F12" s="22" t="s">
        <v>2302</v>
      </c>
      <c r="G12" s="22" t="s">
        <v>2293</v>
      </c>
      <c r="H12" s="22" t="s">
        <v>2293</v>
      </c>
      <c r="I12" s="27" t="s">
        <v>2294</v>
      </c>
    </row>
    <row r="13" spans="1:10" ht="13">
      <c r="D13" s="25"/>
      <c r="G13" s="25"/>
      <c r="H13" s="25"/>
      <c r="I13" s="27"/>
    </row>
    <row r="14" spans="1:10" ht="13">
      <c r="D14" s="25"/>
      <c r="G14" s="25"/>
      <c r="H14" s="25"/>
      <c r="I14" s="27"/>
    </row>
    <row r="15" spans="1:10" ht="13">
      <c r="D15" s="25"/>
      <c r="G15" s="25"/>
      <c r="H15" s="25"/>
      <c r="I15" s="27"/>
    </row>
    <row r="16" spans="1:10" ht="13">
      <c r="D16" s="25"/>
      <c r="G16" s="25"/>
      <c r="H16" s="25"/>
      <c r="I16" s="27"/>
    </row>
    <row r="17" spans="1:9" ht="13">
      <c r="D17" s="25"/>
      <c r="G17" s="25"/>
      <c r="H17" s="25"/>
      <c r="I17" s="27"/>
    </row>
    <row r="18" spans="1:9" ht="13">
      <c r="B18" s="22" t="s">
        <v>1369</v>
      </c>
      <c r="D18" s="25"/>
      <c r="G18" s="25"/>
      <c r="H18" s="25"/>
      <c r="I18" s="27"/>
    </row>
    <row r="19" spans="1:9" ht="13">
      <c r="D19" s="25"/>
      <c r="G19" s="25"/>
      <c r="H19" s="25"/>
      <c r="I19" s="27"/>
    </row>
    <row r="20" spans="1:9" ht="13">
      <c r="D20" s="25"/>
      <c r="G20" s="25"/>
      <c r="H20" s="25"/>
      <c r="I20" s="27"/>
    </row>
    <row r="21" spans="1:9" ht="15.5">
      <c r="A21" s="124"/>
      <c r="D21" s="25"/>
      <c r="G21" s="25"/>
      <c r="H21" s="25"/>
      <c r="I21" s="27"/>
    </row>
    <row r="22" spans="1:9" ht="15.5">
      <c r="A22" s="125"/>
      <c r="D22" s="25"/>
      <c r="G22" s="25"/>
      <c r="H22" s="25"/>
      <c r="I22" s="27"/>
    </row>
    <row r="23" spans="1:9" ht="15.5">
      <c r="A23" s="124"/>
      <c r="D23" s="25"/>
      <c r="G23" s="25"/>
      <c r="H23" s="25"/>
      <c r="I23" s="27"/>
    </row>
    <row r="24" spans="1:9" ht="15.5">
      <c r="A24" s="125"/>
      <c r="D24" s="25"/>
      <c r="G24" s="25"/>
      <c r="H24" s="25"/>
      <c r="I24" s="27"/>
    </row>
    <row r="25" spans="1:9" ht="15.5">
      <c r="A25" s="124"/>
      <c r="D25" s="25"/>
      <c r="G25" s="25"/>
      <c r="H25" s="25"/>
      <c r="I25" s="27"/>
    </row>
    <row r="26" spans="1:9" ht="15.5">
      <c r="A26" s="125"/>
      <c r="D26" s="25"/>
      <c r="G26" s="25"/>
      <c r="H26" s="25"/>
      <c r="I26" s="27"/>
    </row>
    <row r="27" spans="1:9" ht="15.5">
      <c r="A27" s="124"/>
      <c r="D27" s="25"/>
      <c r="G27" s="25"/>
      <c r="H27" s="25"/>
      <c r="I27" s="27"/>
    </row>
    <row r="28" spans="1:9" ht="15.5">
      <c r="A28" s="125"/>
    </row>
  </sheetData>
  <phoneticPr fontId="85" type="noConversion"/>
  <dataValidations count="3">
    <dataValidation type="list" allowBlank="1" sqref="G3:H27" xr:uid="{00000000-0002-0000-0600-000000000000}">
      <formula1>"Yes,No"</formula1>
    </dataValidation>
    <dataValidation type="list" allowBlank="1" sqref="D3:D27" xr:uid="{00000000-0002-0000-0600-000001000000}">
      <formula1>"Lingyu Meng 孟凌宇,Zhiwen Wang 王志文,Da Xu 徐达,Hepeng Wang 王贺鹏,Zhiang Shen 申志昂,Wei Jin 靳伟"</formula1>
    </dataValidation>
    <dataValidation type="list" allowBlank="1" sqref="I3:I27" xr:uid="{00000000-0002-0000-0600-000002000000}">
      <formula1>"commited,reviewing,fixing,done,skip"</formula1>
    </dataValidation>
  </dataValidations>
  <hyperlinks>
    <hyperlink ref="B3" r:id="rId1" location="Scenario-611265033b77af5bf1e3bf35,-Module-Prediction-High" xr:uid="{00000000-0004-0000-0600-000000000000}"/>
    <hyperlink ref="B4" r:id="rId2" xr:uid="{00000000-0004-0000-0600-000001000000}"/>
    <hyperlink ref="B5" r:id="rId3" xr:uid="{00000000-0004-0000-0600-000002000000}"/>
    <hyperlink ref="B6" r:id="rId4" xr:uid="{00000000-0004-0000-0600-000003000000}"/>
    <hyperlink ref="B7" r:id="rId5" xr:uid="{00000000-0004-0000-0600-000004000000}"/>
    <hyperlink ref="B8" r:id="rId6" xr:uid="{00000000-0004-0000-0600-000005000000}"/>
    <hyperlink ref="B9" r:id="rId7" xr:uid="{00000000-0004-0000-0600-000006000000}"/>
    <hyperlink ref="B10" r:id="rId8" xr:uid="{00000000-0004-0000-0600-000007000000}"/>
    <hyperlink ref="B11" r:id="rId9" xr:uid="{00000000-0004-0000-0600-000008000000}"/>
    <hyperlink ref="B12" r:id="rId10" xr:uid="{00000000-0004-0000-0600-000009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L91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3984375" defaultRowHeight="15.75" customHeight="1"/>
  <cols>
    <col min="1" max="1" width="12.296875" customWidth="1"/>
    <col min="2" max="2" width="30" customWidth="1"/>
    <col min="3" max="3" width="55.59765625" customWidth="1"/>
    <col min="4" max="4" width="72.59765625" customWidth="1"/>
    <col min="5" max="5" width="16.8984375" customWidth="1"/>
    <col min="6" max="6" width="21" customWidth="1"/>
    <col min="7" max="7" width="24.296875" customWidth="1"/>
    <col min="8" max="8" width="24.09765625" customWidth="1"/>
    <col min="11" max="11" width="19.69921875" customWidth="1"/>
    <col min="12" max="12" width="22.296875" customWidth="1"/>
    <col min="14" max="14" width="18.59765625" customWidth="1"/>
    <col min="22" max="22" width="15.69921875" customWidth="1"/>
    <col min="23" max="23" width="16.69921875" customWidth="1"/>
    <col min="24" max="24" width="50" customWidth="1"/>
    <col min="25" max="27" width="8.3984375" customWidth="1"/>
    <col min="28" max="28" width="17" customWidth="1"/>
    <col min="29" max="29" width="15.3984375" customWidth="1"/>
    <col min="30" max="30" width="10.59765625" customWidth="1"/>
    <col min="31" max="31" width="15.3984375" customWidth="1"/>
    <col min="32" max="32" width="54.8984375" customWidth="1"/>
    <col min="33" max="33" width="60.59765625" customWidth="1"/>
    <col min="35" max="35" width="33.296875" customWidth="1"/>
  </cols>
  <sheetData>
    <row r="1" spans="1:36" ht="15.5">
      <c r="A1" s="1"/>
      <c r="B1" s="1"/>
      <c r="C1" s="2"/>
      <c r="D1" s="3"/>
      <c r="E1" s="4" t="s">
        <v>0</v>
      </c>
      <c r="F1" s="4"/>
      <c r="G1" s="4"/>
      <c r="H1" s="251" t="s">
        <v>1</v>
      </c>
      <c r="I1" s="252"/>
      <c r="J1" s="252"/>
      <c r="K1" s="252"/>
      <c r="L1" s="252"/>
      <c r="M1" s="252"/>
      <c r="N1" s="252"/>
      <c r="O1" s="252"/>
      <c r="P1" s="252"/>
      <c r="Q1" s="252"/>
      <c r="R1" s="252"/>
      <c r="S1" s="252"/>
      <c r="T1" s="252"/>
      <c r="U1" s="252"/>
      <c r="V1" s="252"/>
      <c r="W1" s="6"/>
      <c r="AB1" s="7"/>
      <c r="AC1" s="8"/>
      <c r="AD1" s="9"/>
      <c r="AE1" s="9"/>
      <c r="AF1" s="9"/>
      <c r="AG1" s="9"/>
    </row>
    <row r="2" spans="1:36" ht="15.5">
      <c r="A2" s="1" t="s">
        <v>2</v>
      </c>
      <c r="B2" s="1" t="s">
        <v>3</v>
      </c>
      <c r="C2" s="2" t="s">
        <v>4</v>
      </c>
      <c r="D2" s="3" t="s">
        <v>5</v>
      </c>
      <c r="E2" s="4" t="s">
        <v>6</v>
      </c>
      <c r="F2" s="4" t="s">
        <v>7</v>
      </c>
      <c r="G2" s="4" t="s">
        <v>8</v>
      </c>
      <c r="H2" s="10" t="s">
        <v>9</v>
      </c>
      <c r="I2" s="10" t="s">
        <v>10</v>
      </c>
      <c r="J2" s="10" t="s">
        <v>11</v>
      </c>
      <c r="K2" s="10" t="s">
        <v>12</v>
      </c>
      <c r="L2" s="10" t="s">
        <v>13</v>
      </c>
      <c r="M2" s="10" t="s">
        <v>14</v>
      </c>
      <c r="N2" s="10" t="s">
        <v>15</v>
      </c>
      <c r="O2" s="10" t="s">
        <v>16</v>
      </c>
      <c r="P2" s="10" t="s">
        <v>17</v>
      </c>
      <c r="Q2" s="11" t="s">
        <v>18</v>
      </c>
      <c r="R2" s="11" t="s">
        <v>18</v>
      </c>
      <c r="S2" s="10" t="s">
        <v>19</v>
      </c>
      <c r="T2" s="10" t="s">
        <v>20</v>
      </c>
      <c r="U2" s="126" t="s">
        <v>21</v>
      </c>
      <c r="V2" s="126" t="s">
        <v>22</v>
      </c>
      <c r="W2" s="13" t="s">
        <v>23</v>
      </c>
      <c r="X2" s="14" t="s">
        <v>24</v>
      </c>
      <c r="Y2" s="15" t="s">
        <v>25</v>
      </c>
      <c r="Z2" s="15" t="s">
        <v>26</v>
      </c>
      <c r="AA2" s="15" t="s">
        <v>27</v>
      </c>
      <c r="AB2" s="1" t="s">
        <v>28</v>
      </c>
      <c r="AC2" s="8" t="s">
        <v>29</v>
      </c>
      <c r="AD2" s="9" t="s">
        <v>30</v>
      </c>
      <c r="AE2" s="9" t="s">
        <v>31</v>
      </c>
      <c r="AF2" s="9" t="s">
        <v>32</v>
      </c>
      <c r="AG2" s="9" t="s">
        <v>33</v>
      </c>
    </row>
    <row r="3" spans="1:36" ht="31">
      <c r="A3" s="7" t="s">
        <v>45</v>
      </c>
      <c r="B3" s="7" t="s">
        <v>46</v>
      </c>
      <c r="C3" s="22" t="s">
        <v>47</v>
      </c>
      <c r="D3" s="23" t="s">
        <v>48</v>
      </c>
      <c r="E3" s="22" t="s">
        <v>49</v>
      </c>
      <c r="F3" s="22" t="s">
        <v>50</v>
      </c>
      <c r="G3" s="22" t="s">
        <v>49</v>
      </c>
      <c r="H3" s="22" t="s">
        <v>51</v>
      </c>
      <c r="I3" s="22" t="s">
        <v>52</v>
      </c>
      <c r="J3" s="22" t="s">
        <v>53</v>
      </c>
      <c r="K3" s="22" t="s">
        <v>54</v>
      </c>
      <c r="L3" s="22" t="s">
        <v>55</v>
      </c>
      <c r="M3" s="22" t="s">
        <v>56</v>
      </c>
      <c r="N3" s="24" t="s">
        <v>57</v>
      </c>
      <c r="O3" s="22" t="s">
        <v>58</v>
      </c>
      <c r="P3" s="22" t="s">
        <v>59</v>
      </c>
      <c r="Q3" s="22" t="s">
        <v>60</v>
      </c>
      <c r="R3" s="25"/>
      <c r="S3" s="24" t="s">
        <v>61</v>
      </c>
      <c r="T3" s="22" t="s">
        <v>62</v>
      </c>
      <c r="U3" s="22" t="s">
        <v>63</v>
      </c>
      <c r="V3" s="22" t="s">
        <v>64</v>
      </c>
      <c r="W3" s="22" t="s">
        <v>65</v>
      </c>
      <c r="X3" s="26" t="s">
        <v>66</v>
      </c>
      <c r="Y3" s="22" t="s">
        <v>67</v>
      </c>
      <c r="Z3" s="22" t="s">
        <v>68</v>
      </c>
      <c r="AA3" s="22" t="s">
        <v>69</v>
      </c>
      <c r="AC3" s="22" t="s">
        <v>70</v>
      </c>
      <c r="AD3" s="27" t="s">
        <v>71</v>
      </c>
      <c r="AE3" s="22" t="s">
        <v>72</v>
      </c>
      <c r="AF3" s="28"/>
      <c r="AG3" s="29"/>
      <c r="AI3" s="25" t="str">
        <f ca="1">IFERROR(__xludf.DUMMYFUNCTION("UNIQUE(B3:B911)"),"60bddf90cdbb584ec2d888ff")</f>
        <v>60bddf90cdbb584ec2d888ff</v>
      </c>
      <c r="AJ3" s="25">
        <f t="shared" ref="AJ3:AJ328" ca="1" si="0">COUNTIFS(B:B,AI3)</f>
        <v>1</v>
      </c>
    </row>
    <row r="4" spans="1:36" ht="31">
      <c r="A4" s="7" t="s">
        <v>45</v>
      </c>
      <c r="B4" s="7" t="s">
        <v>75</v>
      </c>
      <c r="C4" s="22" t="s">
        <v>76</v>
      </c>
      <c r="D4" s="23" t="s">
        <v>77</v>
      </c>
      <c r="E4" s="22" t="s">
        <v>49</v>
      </c>
      <c r="F4" s="22" t="s">
        <v>78</v>
      </c>
      <c r="G4" s="22" t="s">
        <v>79</v>
      </c>
      <c r="H4" s="22" t="s">
        <v>80</v>
      </c>
      <c r="I4" s="22" t="s">
        <v>81</v>
      </c>
      <c r="J4" s="22" t="s">
        <v>53</v>
      </c>
      <c r="K4" s="22" t="s">
        <v>82</v>
      </c>
      <c r="L4" s="22" t="s">
        <v>53</v>
      </c>
      <c r="M4" s="22" t="s">
        <v>83</v>
      </c>
      <c r="N4" s="22" t="s">
        <v>59</v>
      </c>
      <c r="O4" s="22" t="s">
        <v>84</v>
      </c>
      <c r="P4" s="22" t="s">
        <v>85</v>
      </c>
      <c r="Q4" s="22" t="s">
        <v>86</v>
      </c>
      <c r="R4" s="22" t="s">
        <v>60</v>
      </c>
      <c r="S4" s="22" t="s">
        <v>85</v>
      </c>
      <c r="T4" s="22" t="s">
        <v>62</v>
      </c>
      <c r="U4" s="22" t="s">
        <v>63</v>
      </c>
      <c r="V4" s="22" t="s">
        <v>87</v>
      </c>
      <c r="W4" s="22" t="s">
        <v>65</v>
      </c>
      <c r="X4" s="26" t="s">
        <v>88</v>
      </c>
      <c r="Y4" s="22" t="s">
        <v>89</v>
      </c>
      <c r="Z4" s="22" t="s">
        <v>90</v>
      </c>
      <c r="AA4" s="22" t="s">
        <v>91</v>
      </c>
      <c r="AC4" s="22" t="s">
        <v>70</v>
      </c>
      <c r="AD4" s="27" t="s">
        <v>71</v>
      </c>
      <c r="AE4" s="22" t="s">
        <v>72</v>
      </c>
      <c r="AF4" s="28"/>
      <c r="AG4" s="29"/>
      <c r="AI4" s="25" t="str">
        <f ca="1">IFERROR(__xludf.DUMMYFUNCTION("""COMPUTED_VALUE"""),"61138bbef2f0cc29ba1134fb")</f>
        <v>61138bbef2f0cc29ba1134fb</v>
      </c>
      <c r="AJ4" s="25">
        <f t="shared" ca="1" si="0"/>
        <v>1</v>
      </c>
    </row>
    <row r="5" spans="1:36" ht="46.5">
      <c r="A5" s="7" t="s">
        <v>45</v>
      </c>
      <c r="B5" s="7" t="s">
        <v>92</v>
      </c>
      <c r="C5" s="22" t="s">
        <v>93</v>
      </c>
      <c r="D5" s="23" t="s">
        <v>94</v>
      </c>
      <c r="E5" s="22" t="s">
        <v>49</v>
      </c>
      <c r="F5" s="22" t="s">
        <v>95</v>
      </c>
      <c r="G5" s="22" t="s">
        <v>79</v>
      </c>
      <c r="H5" s="22" t="s">
        <v>51</v>
      </c>
      <c r="I5" s="22" t="s">
        <v>52</v>
      </c>
      <c r="J5" s="22" t="s">
        <v>53</v>
      </c>
      <c r="K5" s="22" t="s">
        <v>96</v>
      </c>
      <c r="L5" s="22" t="s">
        <v>55</v>
      </c>
      <c r="M5" s="22" t="s">
        <v>83</v>
      </c>
      <c r="N5" s="22" t="s">
        <v>59</v>
      </c>
      <c r="O5" s="22" t="s">
        <v>97</v>
      </c>
      <c r="P5" s="22" t="s">
        <v>59</v>
      </c>
      <c r="Q5" s="22" t="s">
        <v>98</v>
      </c>
      <c r="R5" s="25"/>
      <c r="S5" s="22" t="s">
        <v>61</v>
      </c>
      <c r="T5" s="22" t="s">
        <v>62</v>
      </c>
      <c r="U5" s="22" t="s">
        <v>63</v>
      </c>
      <c r="V5" s="22" t="s">
        <v>64</v>
      </c>
      <c r="W5" s="22" t="s">
        <v>65</v>
      </c>
      <c r="X5" s="35" t="s">
        <v>88</v>
      </c>
      <c r="Y5" s="22" t="s">
        <v>99</v>
      </c>
      <c r="Z5" s="22" t="s">
        <v>100</v>
      </c>
      <c r="AA5" s="22" t="s">
        <v>101</v>
      </c>
      <c r="AC5" s="22" t="s">
        <v>70</v>
      </c>
      <c r="AD5" s="27" t="s">
        <v>71</v>
      </c>
      <c r="AE5" s="22" t="s">
        <v>72</v>
      </c>
      <c r="AF5" s="32" t="s">
        <v>102</v>
      </c>
      <c r="AG5" s="33" t="s">
        <v>103</v>
      </c>
      <c r="AI5" s="25" t="str">
        <f ca="1">IFERROR(__xludf.DUMMYFUNCTION("""COMPUTED_VALUE"""),"611484cfb83ba061256e4efc")</f>
        <v>611484cfb83ba061256e4efc</v>
      </c>
      <c r="AJ5" s="25">
        <f t="shared" ca="1" si="0"/>
        <v>1</v>
      </c>
    </row>
    <row r="6" spans="1:36" ht="31">
      <c r="A6" s="7" t="s">
        <v>45</v>
      </c>
      <c r="B6" s="7" t="s">
        <v>104</v>
      </c>
      <c r="C6" s="22" t="s">
        <v>105</v>
      </c>
      <c r="D6" s="23" t="s">
        <v>106</v>
      </c>
      <c r="E6" s="22" t="s">
        <v>49</v>
      </c>
      <c r="F6" s="22" t="s">
        <v>50</v>
      </c>
      <c r="G6" s="22" t="s">
        <v>49</v>
      </c>
      <c r="H6" s="22" t="s">
        <v>51</v>
      </c>
      <c r="I6" s="22" t="s">
        <v>81</v>
      </c>
      <c r="J6" s="22" t="s">
        <v>107</v>
      </c>
      <c r="K6" s="22" t="s">
        <v>82</v>
      </c>
      <c r="L6" s="22" t="s">
        <v>53</v>
      </c>
      <c r="M6" s="22" t="s">
        <v>83</v>
      </c>
      <c r="N6" s="22" t="s">
        <v>108</v>
      </c>
      <c r="O6" s="22" t="s">
        <v>84</v>
      </c>
      <c r="P6" s="22" t="s">
        <v>59</v>
      </c>
      <c r="Q6" s="22" t="s">
        <v>63</v>
      </c>
      <c r="R6" s="25"/>
      <c r="S6" s="22" t="s">
        <v>109</v>
      </c>
      <c r="T6" s="22" t="s">
        <v>62</v>
      </c>
      <c r="U6" s="22" t="s">
        <v>63</v>
      </c>
      <c r="V6" s="22" t="s">
        <v>64</v>
      </c>
      <c r="W6" s="22" t="s">
        <v>65</v>
      </c>
      <c r="X6" s="35" t="s">
        <v>110</v>
      </c>
      <c r="Y6" s="22" t="s">
        <v>111</v>
      </c>
      <c r="Z6" s="22" t="s">
        <v>112</v>
      </c>
      <c r="AA6" s="22" t="s">
        <v>113</v>
      </c>
      <c r="AB6" s="22" t="s">
        <v>114</v>
      </c>
      <c r="AC6" s="22" t="s">
        <v>70</v>
      </c>
      <c r="AD6" s="27" t="s">
        <v>71</v>
      </c>
      <c r="AE6" s="22" t="s">
        <v>72</v>
      </c>
      <c r="AF6" s="34"/>
      <c r="AG6" s="34"/>
      <c r="AI6" s="25" t="str">
        <f ca="1">IFERROR(__xludf.DUMMYFUNCTION("""COMPUTED_VALUE"""),"61148aecb83ba061256e516c")</f>
        <v>61148aecb83ba061256e516c</v>
      </c>
      <c r="AJ6" s="25">
        <f t="shared" ca="1" si="0"/>
        <v>1</v>
      </c>
    </row>
    <row r="7" spans="1:36" ht="31">
      <c r="A7" s="7" t="s">
        <v>45</v>
      </c>
      <c r="B7" s="7" t="s">
        <v>115</v>
      </c>
      <c r="C7" s="22" t="s">
        <v>116</v>
      </c>
      <c r="D7" s="23" t="s">
        <v>117</v>
      </c>
      <c r="E7" s="22" t="s">
        <v>49</v>
      </c>
      <c r="F7" s="22" t="s">
        <v>78</v>
      </c>
      <c r="G7" s="22" t="s">
        <v>49</v>
      </c>
      <c r="H7" s="22" t="s">
        <v>51</v>
      </c>
      <c r="I7" s="22" t="s">
        <v>52</v>
      </c>
      <c r="J7" s="22" t="s">
        <v>53</v>
      </c>
      <c r="K7" s="22" t="s">
        <v>96</v>
      </c>
      <c r="L7" s="22" t="s">
        <v>55</v>
      </c>
      <c r="M7" s="22" t="s">
        <v>56</v>
      </c>
      <c r="N7" s="22" t="s">
        <v>59</v>
      </c>
      <c r="O7" s="22" t="s">
        <v>58</v>
      </c>
      <c r="P7" s="22" t="s">
        <v>59</v>
      </c>
      <c r="Q7" s="22" t="s">
        <v>98</v>
      </c>
      <c r="R7" s="25"/>
      <c r="S7" s="22" t="s">
        <v>61</v>
      </c>
      <c r="T7" s="22" t="s">
        <v>62</v>
      </c>
      <c r="U7" s="22" t="s">
        <v>63</v>
      </c>
      <c r="V7" s="22" t="s">
        <v>118</v>
      </c>
      <c r="W7" s="22" t="s">
        <v>65</v>
      </c>
      <c r="X7" s="26" t="s">
        <v>119</v>
      </c>
      <c r="Y7" s="22" t="s">
        <v>120</v>
      </c>
      <c r="Z7" s="22" t="s">
        <v>121</v>
      </c>
      <c r="AA7" s="22" t="s">
        <v>122</v>
      </c>
      <c r="AC7" s="22" t="s">
        <v>70</v>
      </c>
      <c r="AD7" s="27" t="s">
        <v>71</v>
      </c>
      <c r="AE7" s="22" t="s">
        <v>72</v>
      </c>
      <c r="AF7" s="28"/>
      <c r="AG7" s="29"/>
      <c r="AI7" s="25" t="str">
        <f ca="1">IFERROR(__xludf.DUMMYFUNCTION("""COMPUTED_VALUE"""),"6082ae75762aff4c9b471d0c")</f>
        <v>6082ae75762aff4c9b471d0c</v>
      </c>
      <c r="AJ7" s="25">
        <f t="shared" ca="1" si="0"/>
        <v>1</v>
      </c>
    </row>
    <row r="8" spans="1:36" ht="46.5">
      <c r="A8" s="7" t="s">
        <v>45</v>
      </c>
      <c r="B8" s="7" t="s">
        <v>123</v>
      </c>
      <c r="C8" s="22" t="s">
        <v>124</v>
      </c>
      <c r="D8" s="23" t="s">
        <v>125</v>
      </c>
      <c r="E8" s="22" t="s">
        <v>49</v>
      </c>
      <c r="F8" s="22" t="s">
        <v>95</v>
      </c>
      <c r="G8" s="22" t="s">
        <v>49</v>
      </c>
      <c r="H8" s="22" t="s">
        <v>126</v>
      </c>
      <c r="I8" s="22" t="s">
        <v>81</v>
      </c>
      <c r="J8" s="22" t="s">
        <v>127</v>
      </c>
      <c r="K8" s="22" t="s">
        <v>128</v>
      </c>
      <c r="L8" s="22" t="s">
        <v>53</v>
      </c>
      <c r="M8" s="22" t="s">
        <v>129</v>
      </c>
      <c r="N8" s="22" t="s">
        <v>59</v>
      </c>
      <c r="O8" s="22" t="s">
        <v>84</v>
      </c>
      <c r="P8" s="22" t="s">
        <v>109</v>
      </c>
      <c r="Q8" s="22" t="s">
        <v>130</v>
      </c>
      <c r="R8" s="25"/>
      <c r="S8" s="22" t="s">
        <v>109</v>
      </c>
      <c r="T8" s="22" t="s">
        <v>62</v>
      </c>
      <c r="U8" s="22" t="s">
        <v>63</v>
      </c>
      <c r="V8" s="22" t="s">
        <v>64</v>
      </c>
      <c r="W8" s="25"/>
      <c r="X8" s="35" t="s">
        <v>119</v>
      </c>
      <c r="Y8" s="22" t="s">
        <v>131</v>
      </c>
      <c r="Z8" s="22" t="s">
        <v>132</v>
      </c>
      <c r="AA8" s="22" t="s">
        <v>133</v>
      </c>
      <c r="AC8" s="22" t="s">
        <v>70</v>
      </c>
      <c r="AD8" s="27" t="s">
        <v>71</v>
      </c>
      <c r="AE8" s="22" t="s">
        <v>72</v>
      </c>
      <c r="AF8" s="36"/>
      <c r="AG8" s="34"/>
      <c r="AI8" s="25" t="str">
        <f ca="1">IFERROR(__xludf.DUMMYFUNCTION("""COMPUTED_VALUE"""),"6082aec4762aff4c9b471d21")</f>
        <v>6082aec4762aff4c9b471d21</v>
      </c>
      <c r="AJ8" s="25">
        <f t="shared" ca="1" si="0"/>
        <v>1</v>
      </c>
    </row>
    <row r="9" spans="1:36" ht="31">
      <c r="A9" s="7" t="s">
        <v>45</v>
      </c>
      <c r="B9" s="7" t="s">
        <v>134</v>
      </c>
      <c r="C9" s="22" t="s">
        <v>135</v>
      </c>
      <c r="D9" s="23" t="s">
        <v>136</v>
      </c>
      <c r="E9" s="22" t="s">
        <v>49</v>
      </c>
      <c r="F9" s="22" t="s">
        <v>78</v>
      </c>
      <c r="G9" s="22" t="s">
        <v>79</v>
      </c>
      <c r="H9" s="22" t="s">
        <v>51</v>
      </c>
      <c r="I9" s="22" t="s">
        <v>81</v>
      </c>
      <c r="J9" s="22" t="s">
        <v>53</v>
      </c>
      <c r="K9" s="22" t="s">
        <v>54</v>
      </c>
      <c r="L9" s="22" t="s">
        <v>53</v>
      </c>
      <c r="M9" s="22" t="s">
        <v>83</v>
      </c>
      <c r="N9" s="22" t="s">
        <v>59</v>
      </c>
      <c r="O9" s="22" t="s">
        <v>84</v>
      </c>
      <c r="P9" s="22" t="s">
        <v>137</v>
      </c>
      <c r="Q9" s="22" t="s">
        <v>60</v>
      </c>
      <c r="R9" s="25"/>
      <c r="S9" s="22" t="s">
        <v>85</v>
      </c>
      <c r="T9" s="22" t="s">
        <v>62</v>
      </c>
      <c r="U9" s="22" t="s">
        <v>63</v>
      </c>
      <c r="V9" s="22" t="s">
        <v>64</v>
      </c>
      <c r="W9" s="37"/>
      <c r="X9" s="26" t="s">
        <v>88</v>
      </c>
      <c r="Y9" s="22" t="s">
        <v>120</v>
      </c>
      <c r="Z9" s="22" t="s">
        <v>138</v>
      </c>
      <c r="AA9" s="22" t="s">
        <v>139</v>
      </c>
      <c r="AB9" s="37"/>
      <c r="AC9" s="22" t="s">
        <v>70</v>
      </c>
      <c r="AD9" s="27" t="s">
        <v>71</v>
      </c>
      <c r="AE9" s="22" t="s">
        <v>72</v>
      </c>
      <c r="AF9" s="33" t="s">
        <v>140</v>
      </c>
      <c r="AG9" s="33" t="s">
        <v>103</v>
      </c>
      <c r="AI9" s="25" t="str">
        <f ca="1">IFERROR(__xludf.DUMMYFUNCTION("""COMPUTED_VALUE"""),"61137acef2f0cc29ba112d39")</f>
        <v>61137acef2f0cc29ba112d39</v>
      </c>
      <c r="AJ9" s="25">
        <f t="shared" ca="1" si="0"/>
        <v>1</v>
      </c>
    </row>
    <row r="10" spans="1:36" ht="46.5">
      <c r="A10" s="7" t="s">
        <v>45</v>
      </c>
      <c r="B10" s="7" t="s">
        <v>141</v>
      </c>
      <c r="C10" s="22" t="s">
        <v>142</v>
      </c>
      <c r="D10" s="23" t="s">
        <v>143</v>
      </c>
      <c r="E10" s="22" t="s">
        <v>49</v>
      </c>
      <c r="F10" s="22" t="s">
        <v>78</v>
      </c>
      <c r="G10" s="22" t="s">
        <v>79</v>
      </c>
      <c r="H10" s="22" t="s">
        <v>126</v>
      </c>
      <c r="I10" s="22" t="s">
        <v>52</v>
      </c>
      <c r="J10" s="22" t="s">
        <v>53</v>
      </c>
      <c r="K10" s="22" t="s">
        <v>144</v>
      </c>
      <c r="L10" s="22" t="s">
        <v>53</v>
      </c>
      <c r="M10" s="22" t="s">
        <v>83</v>
      </c>
      <c r="N10" s="22" t="s">
        <v>59</v>
      </c>
      <c r="O10" s="22" t="s">
        <v>84</v>
      </c>
      <c r="P10" s="22" t="s">
        <v>108</v>
      </c>
      <c r="Q10" s="22" t="s">
        <v>60</v>
      </c>
      <c r="R10" s="25"/>
      <c r="S10" s="22" t="s">
        <v>61</v>
      </c>
      <c r="T10" s="22" t="s">
        <v>62</v>
      </c>
      <c r="U10" s="22" t="s">
        <v>63</v>
      </c>
      <c r="V10" s="22" t="s">
        <v>64</v>
      </c>
      <c r="W10" s="22"/>
      <c r="X10" s="26" t="s">
        <v>145</v>
      </c>
      <c r="Y10" s="22" t="s">
        <v>146</v>
      </c>
      <c r="Z10" s="22" t="s">
        <v>147</v>
      </c>
      <c r="AA10" s="22" t="s">
        <v>148</v>
      </c>
      <c r="AC10" s="22" t="s">
        <v>70</v>
      </c>
      <c r="AD10" s="27" t="s">
        <v>71</v>
      </c>
      <c r="AE10" s="22" t="s">
        <v>72</v>
      </c>
      <c r="AF10" s="34"/>
      <c r="AG10" s="34"/>
      <c r="AI10" s="25" t="str">
        <f ca="1">IFERROR(__xludf.DUMMYFUNCTION("""COMPUTED_VALUE"""),"6082a657762aff4c9b471bd7")</f>
        <v>6082a657762aff4c9b471bd7</v>
      </c>
      <c r="AJ10" s="25">
        <f t="shared" ca="1" si="0"/>
        <v>1</v>
      </c>
    </row>
    <row r="11" spans="1:36" ht="46.5">
      <c r="A11" s="7" t="s">
        <v>45</v>
      </c>
      <c r="B11" s="7" t="s">
        <v>149</v>
      </c>
      <c r="C11" s="22" t="s">
        <v>150</v>
      </c>
      <c r="D11" s="23" t="s">
        <v>151</v>
      </c>
      <c r="E11" s="22" t="s">
        <v>49</v>
      </c>
      <c r="F11" s="22" t="s">
        <v>95</v>
      </c>
      <c r="G11" s="22" t="s">
        <v>79</v>
      </c>
      <c r="H11" s="22" t="s">
        <v>126</v>
      </c>
      <c r="I11" s="22" t="s">
        <v>81</v>
      </c>
      <c r="J11" s="22" t="s">
        <v>53</v>
      </c>
      <c r="K11" s="22" t="s">
        <v>128</v>
      </c>
      <c r="L11" s="22" t="s">
        <v>53</v>
      </c>
      <c r="M11" s="22" t="s">
        <v>83</v>
      </c>
      <c r="N11" s="22" t="s">
        <v>152</v>
      </c>
      <c r="O11" s="22" t="s">
        <v>84</v>
      </c>
      <c r="P11" s="22" t="s">
        <v>59</v>
      </c>
      <c r="Q11" s="22" t="s">
        <v>153</v>
      </c>
      <c r="R11" s="25"/>
      <c r="S11" s="22" t="s">
        <v>152</v>
      </c>
      <c r="T11" s="22" t="s">
        <v>62</v>
      </c>
      <c r="U11" s="22" t="s">
        <v>63</v>
      </c>
      <c r="V11" s="22" t="s">
        <v>118</v>
      </c>
      <c r="W11" s="22"/>
      <c r="X11" s="26" t="s">
        <v>154</v>
      </c>
      <c r="Y11" s="22" t="s">
        <v>89</v>
      </c>
      <c r="Z11" s="22" t="s">
        <v>155</v>
      </c>
      <c r="AA11" s="22" t="s">
        <v>156</v>
      </c>
      <c r="AB11" s="22" t="s">
        <v>157</v>
      </c>
      <c r="AC11" s="22" t="s">
        <v>70</v>
      </c>
      <c r="AD11" s="27" t="s">
        <v>71</v>
      </c>
      <c r="AE11" s="22" t="s">
        <v>72</v>
      </c>
      <c r="AF11" s="34"/>
      <c r="AG11" s="34"/>
      <c r="AI11" s="25" t="str">
        <f ca="1">IFERROR(__xludf.DUMMYFUNCTION("""COMPUTED_VALUE"""),"610b5febac1aa81391efd7b9")</f>
        <v>610b5febac1aa81391efd7b9</v>
      </c>
      <c r="AJ11" s="25">
        <f t="shared" ca="1" si="0"/>
        <v>1</v>
      </c>
    </row>
    <row r="12" spans="1:36" ht="31">
      <c r="A12" s="7" t="s">
        <v>45</v>
      </c>
      <c r="B12" s="7" t="s">
        <v>158</v>
      </c>
      <c r="C12" s="22" t="s">
        <v>159</v>
      </c>
      <c r="D12" s="23" t="s">
        <v>160</v>
      </c>
      <c r="E12" s="22" t="s">
        <v>49</v>
      </c>
      <c r="F12" s="22" t="s">
        <v>95</v>
      </c>
      <c r="G12" s="22" t="s">
        <v>49</v>
      </c>
      <c r="H12" s="22" t="s">
        <v>51</v>
      </c>
      <c r="I12" s="22" t="s">
        <v>52</v>
      </c>
      <c r="J12" s="22" t="s">
        <v>127</v>
      </c>
      <c r="K12" s="22" t="s">
        <v>54</v>
      </c>
      <c r="L12" s="22" t="s">
        <v>55</v>
      </c>
      <c r="M12" s="22" t="s">
        <v>83</v>
      </c>
      <c r="N12" s="22" t="s">
        <v>59</v>
      </c>
      <c r="O12" s="22" t="s">
        <v>84</v>
      </c>
      <c r="P12" s="22" t="s">
        <v>85</v>
      </c>
      <c r="Q12" s="22" t="s">
        <v>60</v>
      </c>
      <c r="R12" s="25"/>
      <c r="S12" s="22" t="s">
        <v>85</v>
      </c>
      <c r="T12" s="22" t="s">
        <v>62</v>
      </c>
      <c r="U12" s="22" t="s">
        <v>63</v>
      </c>
      <c r="V12" s="22" t="s">
        <v>64</v>
      </c>
      <c r="W12" s="37"/>
      <c r="X12" s="26" t="s">
        <v>161</v>
      </c>
      <c r="Y12" s="22" t="s">
        <v>162</v>
      </c>
      <c r="Z12" s="22" t="s">
        <v>163</v>
      </c>
      <c r="AA12" s="22" t="s">
        <v>164</v>
      </c>
      <c r="AB12" s="37"/>
      <c r="AC12" s="22" t="s">
        <v>70</v>
      </c>
      <c r="AD12" s="27" t="s">
        <v>71</v>
      </c>
      <c r="AE12" s="22" t="s">
        <v>72</v>
      </c>
      <c r="AF12" s="33" t="s">
        <v>165</v>
      </c>
      <c r="AG12" s="33" t="s">
        <v>103</v>
      </c>
      <c r="AI12" s="25" t="str">
        <f ca="1">IFERROR(__xludf.DUMMYFUNCTION("""COMPUTED_VALUE"""),"61075f24ff136d618e32a870")</f>
        <v>61075f24ff136d618e32a870</v>
      </c>
      <c r="AJ12" s="25">
        <f t="shared" ca="1" si="0"/>
        <v>1</v>
      </c>
    </row>
    <row r="13" spans="1:36" ht="46.5">
      <c r="A13" s="7" t="s">
        <v>45</v>
      </c>
      <c r="B13" s="7" t="s">
        <v>166</v>
      </c>
      <c r="C13" s="22" t="s">
        <v>167</v>
      </c>
      <c r="D13" s="23" t="s">
        <v>168</v>
      </c>
      <c r="E13" s="22" t="s">
        <v>49</v>
      </c>
      <c r="F13" s="22" t="s">
        <v>50</v>
      </c>
      <c r="G13" s="22" t="s">
        <v>49</v>
      </c>
      <c r="H13" s="22" t="s">
        <v>169</v>
      </c>
      <c r="I13" s="22" t="s">
        <v>52</v>
      </c>
      <c r="J13" s="22" t="s">
        <v>53</v>
      </c>
      <c r="K13" s="22" t="s">
        <v>170</v>
      </c>
      <c r="L13" s="22" t="s">
        <v>53</v>
      </c>
      <c r="M13" s="22" t="s">
        <v>171</v>
      </c>
      <c r="N13" s="22" t="s">
        <v>59</v>
      </c>
      <c r="O13" s="22" t="s">
        <v>84</v>
      </c>
      <c r="P13" s="22" t="s">
        <v>57</v>
      </c>
      <c r="Q13" s="22" t="s">
        <v>60</v>
      </c>
      <c r="R13" s="25"/>
      <c r="S13" s="22" t="s">
        <v>61</v>
      </c>
      <c r="T13" s="22" t="s">
        <v>62</v>
      </c>
      <c r="U13" s="22" t="s">
        <v>63</v>
      </c>
      <c r="V13" s="22" t="s">
        <v>172</v>
      </c>
      <c r="W13" s="22" t="s">
        <v>65</v>
      </c>
      <c r="X13" s="35" t="s">
        <v>173</v>
      </c>
      <c r="Y13" s="22" t="s">
        <v>89</v>
      </c>
      <c r="Z13" s="22" t="s">
        <v>174</v>
      </c>
      <c r="AA13" s="22" t="s">
        <v>175</v>
      </c>
      <c r="AC13" s="22" t="s">
        <v>176</v>
      </c>
      <c r="AD13" s="27" t="s">
        <v>71</v>
      </c>
      <c r="AE13" s="22" t="s">
        <v>72</v>
      </c>
      <c r="AF13" s="33" t="s">
        <v>177</v>
      </c>
      <c r="AG13" s="33" t="s">
        <v>178</v>
      </c>
      <c r="AI13" s="25" t="str">
        <f ca="1">IFERROR(__xludf.DUMMYFUNCTION("""COMPUTED_VALUE"""),"60ee98367ef735732c5e975e")</f>
        <v>60ee98367ef735732c5e975e</v>
      </c>
      <c r="AJ13" s="25">
        <f t="shared" ca="1" si="0"/>
        <v>1</v>
      </c>
    </row>
    <row r="14" spans="1:36" ht="46.5">
      <c r="A14" s="7" t="s">
        <v>45</v>
      </c>
      <c r="B14" s="38" t="s">
        <v>179</v>
      </c>
      <c r="C14" s="22" t="s">
        <v>180</v>
      </c>
      <c r="D14" s="23" t="s">
        <v>181</v>
      </c>
      <c r="E14" s="22" t="s">
        <v>49</v>
      </c>
      <c r="F14" s="22" t="s">
        <v>50</v>
      </c>
      <c r="G14" s="22" t="s">
        <v>49</v>
      </c>
      <c r="H14" s="22" t="s">
        <v>51</v>
      </c>
      <c r="I14" s="22" t="s">
        <v>81</v>
      </c>
      <c r="J14" s="22" t="s">
        <v>53</v>
      </c>
      <c r="K14" s="22" t="s">
        <v>182</v>
      </c>
      <c r="L14" s="22" t="s">
        <v>53</v>
      </c>
      <c r="M14" s="22" t="s">
        <v>83</v>
      </c>
      <c r="N14" s="22" t="s">
        <v>59</v>
      </c>
      <c r="O14" s="22" t="s">
        <v>84</v>
      </c>
      <c r="P14" s="22" t="s">
        <v>108</v>
      </c>
      <c r="Q14" s="22" t="s">
        <v>183</v>
      </c>
      <c r="R14" s="22" t="s">
        <v>86</v>
      </c>
      <c r="S14" s="22" t="s">
        <v>85</v>
      </c>
      <c r="T14" s="22" t="s">
        <v>62</v>
      </c>
      <c r="U14" s="22" t="s">
        <v>63</v>
      </c>
      <c r="V14" s="22" t="s">
        <v>118</v>
      </c>
      <c r="W14" s="22" t="s">
        <v>65</v>
      </c>
      <c r="X14" s="35" t="s">
        <v>173</v>
      </c>
      <c r="Y14" s="22" t="s">
        <v>184</v>
      </c>
      <c r="Z14" s="22" t="s">
        <v>185</v>
      </c>
      <c r="AA14" s="22" t="s">
        <v>186</v>
      </c>
      <c r="AC14" s="22" t="s">
        <v>176</v>
      </c>
      <c r="AD14" s="27" t="s">
        <v>71</v>
      </c>
      <c r="AE14" s="22" t="s">
        <v>72</v>
      </c>
      <c r="AF14" s="33" t="s">
        <v>187</v>
      </c>
      <c r="AG14" s="33" t="s">
        <v>188</v>
      </c>
      <c r="AI14" s="25" t="str">
        <f ca="1">IFERROR(__xludf.DUMMYFUNCTION("""COMPUTED_VALUE"""),"60eea13f7ef735732c5e9bae")</f>
        <v>60eea13f7ef735732c5e9bae</v>
      </c>
      <c r="AJ14" s="25">
        <f t="shared" ca="1" si="0"/>
        <v>1</v>
      </c>
    </row>
    <row r="15" spans="1:36" ht="46.5">
      <c r="A15" s="7" t="s">
        <v>45</v>
      </c>
      <c r="B15" s="39" t="s">
        <v>189</v>
      </c>
      <c r="C15" s="22" t="s">
        <v>190</v>
      </c>
      <c r="D15" s="23" t="s">
        <v>191</v>
      </c>
      <c r="E15" s="22" t="s">
        <v>49</v>
      </c>
      <c r="F15" s="22" t="s">
        <v>50</v>
      </c>
      <c r="G15" s="22" t="s">
        <v>49</v>
      </c>
      <c r="H15" s="22" t="s">
        <v>192</v>
      </c>
      <c r="I15" s="22" t="s">
        <v>81</v>
      </c>
      <c r="J15" s="22" t="s">
        <v>53</v>
      </c>
      <c r="K15" s="22" t="s">
        <v>182</v>
      </c>
      <c r="L15" s="22" t="s">
        <v>53</v>
      </c>
      <c r="M15" s="22" t="s">
        <v>83</v>
      </c>
      <c r="N15" s="22" t="s">
        <v>59</v>
      </c>
      <c r="O15" s="22" t="s">
        <v>193</v>
      </c>
      <c r="P15" s="22" t="s">
        <v>194</v>
      </c>
      <c r="Q15" s="22" t="s">
        <v>63</v>
      </c>
      <c r="R15" s="25"/>
      <c r="S15" s="22" t="s">
        <v>85</v>
      </c>
      <c r="T15" s="22" t="s">
        <v>62</v>
      </c>
      <c r="U15" s="22" t="s">
        <v>63</v>
      </c>
      <c r="V15" s="22" t="s">
        <v>64</v>
      </c>
      <c r="W15" s="22" t="s">
        <v>65</v>
      </c>
      <c r="X15" s="35" t="s">
        <v>173</v>
      </c>
      <c r="Y15" s="40" t="s">
        <v>195</v>
      </c>
      <c r="Z15" s="22" t="s">
        <v>101</v>
      </c>
      <c r="AA15" s="22" t="s">
        <v>196</v>
      </c>
      <c r="AB15" s="22" t="s">
        <v>197</v>
      </c>
      <c r="AC15" s="22" t="s">
        <v>176</v>
      </c>
      <c r="AD15" s="27" t="s">
        <v>71</v>
      </c>
      <c r="AE15" s="22" t="s">
        <v>72</v>
      </c>
      <c r="AF15" s="33" t="s">
        <v>198</v>
      </c>
      <c r="AG15" s="33" t="s">
        <v>199</v>
      </c>
      <c r="AI15" s="25" t="str">
        <f ca="1">IFERROR(__xludf.DUMMYFUNCTION("""COMPUTED_VALUE"""),"60eea9297ef735732c5ea066")</f>
        <v>60eea9297ef735732c5ea066</v>
      </c>
      <c r="AJ15" s="25">
        <f t="shared" ca="1" si="0"/>
        <v>1</v>
      </c>
    </row>
    <row r="16" spans="1:36" ht="31">
      <c r="A16" s="7" t="s">
        <v>45</v>
      </c>
      <c r="B16" s="39" t="s">
        <v>200</v>
      </c>
      <c r="C16" s="22" t="s">
        <v>201</v>
      </c>
      <c r="D16" s="23" t="s">
        <v>202</v>
      </c>
      <c r="E16" s="22" t="s">
        <v>49</v>
      </c>
      <c r="F16" s="22" t="s">
        <v>50</v>
      </c>
      <c r="G16" s="22" t="s">
        <v>49</v>
      </c>
      <c r="H16" s="22" t="s">
        <v>51</v>
      </c>
      <c r="I16" s="22" t="s">
        <v>81</v>
      </c>
      <c r="J16" s="22" t="s">
        <v>109</v>
      </c>
      <c r="K16" s="22" t="s">
        <v>182</v>
      </c>
      <c r="L16" s="22" t="s">
        <v>53</v>
      </c>
      <c r="M16" s="22" t="s">
        <v>83</v>
      </c>
      <c r="N16" s="22" t="s">
        <v>59</v>
      </c>
      <c r="O16" s="22" t="s">
        <v>84</v>
      </c>
      <c r="P16" s="22" t="s">
        <v>109</v>
      </c>
      <c r="Q16" s="22" t="s">
        <v>203</v>
      </c>
      <c r="R16" s="25"/>
      <c r="S16" s="22" t="s">
        <v>85</v>
      </c>
      <c r="T16" s="22" t="s">
        <v>62</v>
      </c>
      <c r="U16" s="22" t="s">
        <v>63</v>
      </c>
      <c r="V16" s="22" t="s">
        <v>64</v>
      </c>
      <c r="W16" s="22" t="s">
        <v>65</v>
      </c>
      <c r="X16" s="35" t="s">
        <v>173</v>
      </c>
      <c r="Y16" s="40" t="s">
        <v>204</v>
      </c>
      <c r="Z16" s="22" t="s">
        <v>205</v>
      </c>
      <c r="AA16" s="22" t="s">
        <v>206</v>
      </c>
      <c r="AB16" s="22" t="s">
        <v>207</v>
      </c>
      <c r="AC16" s="22" t="s">
        <v>176</v>
      </c>
      <c r="AD16" s="27" t="s">
        <v>71</v>
      </c>
      <c r="AE16" s="22" t="s">
        <v>72</v>
      </c>
      <c r="AF16" s="33" t="s">
        <v>208</v>
      </c>
      <c r="AG16" s="33" t="s">
        <v>209</v>
      </c>
      <c r="AI16" s="25" t="str">
        <f ca="1">IFERROR(__xludf.DUMMYFUNCTION("""COMPUTED_VALUE"""),"60eeb50a7ef735732c5ea6e6")</f>
        <v>60eeb50a7ef735732c5ea6e6</v>
      </c>
      <c r="AJ16" s="25">
        <f t="shared" ca="1" si="0"/>
        <v>1</v>
      </c>
    </row>
    <row r="17" spans="1:36" ht="46.5">
      <c r="A17" s="7" t="s">
        <v>45</v>
      </c>
      <c r="B17" s="39" t="s">
        <v>210</v>
      </c>
      <c r="C17" s="22" t="s">
        <v>211</v>
      </c>
      <c r="D17" s="23" t="s">
        <v>212</v>
      </c>
      <c r="E17" s="22" t="s">
        <v>49</v>
      </c>
      <c r="F17" s="22" t="s">
        <v>50</v>
      </c>
      <c r="G17" s="22" t="s">
        <v>49</v>
      </c>
      <c r="H17" s="22" t="s">
        <v>80</v>
      </c>
      <c r="I17" s="22" t="s">
        <v>81</v>
      </c>
      <c r="J17" s="22" t="s">
        <v>53</v>
      </c>
      <c r="K17" s="22" t="s">
        <v>96</v>
      </c>
      <c r="L17" s="22" t="s">
        <v>53</v>
      </c>
      <c r="M17" s="22" t="s">
        <v>83</v>
      </c>
      <c r="N17" s="22" t="s">
        <v>59</v>
      </c>
      <c r="O17" s="22" t="s">
        <v>84</v>
      </c>
      <c r="P17" s="22" t="s">
        <v>194</v>
      </c>
      <c r="Q17" s="22" t="s">
        <v>86</v>
      </c>
      <c r="R17" s="25"/>
      <c r="S17" s="22" t="s">
        <v>85</v>
      </c>
      <c r="T17" s="22" t="s">
        <v>62</v>
      </c>
      <c r="U17" s="22" t="s">
        <v>63</v>
      </c>
      <c r="V17" s="22" t="s">
        <v>64</v>
      </c>
      <c r="W17" s="22" t="s">
        <v>65</v>
      </c>
      <c r="X17" s="35" t="s">
        <v>173</v>
      </c>
      <c r="Y17" s="40" t="s">
        <v>213</v>
      </c>
      <c r="Z17" s="22" t="s">
        <v>214</v>
      </c>
      <c r="AA17" s="22" t="s">
        <v>215</v>
      </c>
      <c r="AB17" s="22"/>
      <c r="AC17" s="22" t="s">
        <v>176</v>
      </c>
      <c r="AD17" s="27" t="s">
        <v>71</v>
      </c>
      <c r="AE17" s="22" t="s">
        <v>72</v>
      </c>
      <c r="AF17" s="33" t="s">
        <v>216</v>
      </c>
      <c r="AG17" s="33" t="s">
        <v>217</v>
      </c>
      <c r="AI17" s="25" t="str">
        <f ca="1">IFERROR(__xludf.DUMMYFUNCTION("""COMPUTED_VALUE"""),"60efb2657ef735732c5eb41b")</f>
        <v>60efb2657ef735732c5eb41b</v>
      </c>
      <c r="AJ17" s="25">
        <f t="shared" ca="1" si="0"/>
        <v>1</v>
      </c>
    </row>
    <row r="18" spans="1:36" ht="46.5">
      <c r="A18" s="7" t="s">
        <v>45</v>
      </c>
      <c r="B18" s="38" t="s">
        <v>218</v>
      </c>
      <c r="C18" s="22" t="s">
        <v>219</v>
      </c>
      <c r="D18" s="23" t="s">
        <v>220</v>
      </c>
      <c r="E18" s="22" t="s">
        <v>49</v>
      </c>
      <c r="F18" s="22" t="s">
        <v>95</v>
      </c>
      <c r="G18" s="22" t="s">
        <v>49</v>
      </c>
      <c r="H18" s="22" t="s">
        <v>126</v>
      </c>
      <c r="I18" s="22" t="s">
        <v>221</v>
      </c>
      <c r="J18" s="22" t="s">
        <v>107</v>
      </c>
      <c r="K18" s="22" t="s">
        <v>144</v>
      </c>
      <c r="L18" s="22" t="s">
        <v>53</v>
      </c>
      <c r="M18" s="22" t="s">
        <v>83</v>
      </c>
      <c r="N18" s="22" t="s">
        <v>59</v>
      </c>
      <c r="O18" s="22" t="s">
        <v>84</v>
      </c>
      <c r="P18" s="22" t="s">
        <v>108</v>
      </c>
      <c r="Q18" s="22" t="s">
        <v>130</v>
      </c>
      <c r="R18" s="25"/>
      <c r="S18" s="22" t="s">
        <v>85</v>
      </c>
      <c r="T18" s="22" t="s">
        <v>62</v>
      </c>
      <c r="U18" s="22" t="s">
        <v>63</v>
      </c>
      <c r="V18" s="22" t="s">
        <v>64</v>
      </c>
      <c r="W18" s="22" t="s">
        <v>65</v>
      </c>
      <c r="X18" s="35" t="s">
        <v>173</v>
      </c>
      <c r="Y18" s="22" t="s">
        <v>222</v>
      </c>
      <c r="Z18" s="22" t="s">
        <v>223</v>
      </c>
      <c r="AA18" s="22" t="s">
        <v>224</v>
      </c>
      <c r="AB18" s="22" t="s">
        <v>225</v>
      </c>
      <c r="AC18" s="22" t="s">
        <v>176</v>
      </c>
      <c r="AD18" s="27" t="s">
        <v>71</v>
      </c>
      <c r="AE18" s="22" t="s">
        <v>72</v>
      </c>
      <c r="AF18" s="34"/>
      <c r="AG18" s="34"/>
      <c r="AI18" s="25" t="str">
        <f ca="1">IFERROR(__xludf.DUMMYFUNCTION("""COMPUTED_VALUE"""),"61b8552958af30712a131fd2")</f>
        <v>61b8552958af30712a131fd2</v>
      </c>
      <c r="AJ18" s="25">
        <f t="shared" ca="1" si="0"/>
        <v>1</v>
      </c>
    </row>
    <row r="19" spans="1:36" ht="46.5">
      <c r="A19" s="7" t="s">
        <v>45</v>
      </c>
      <c r="B19" s="38" t="s">
        <v>226</v>
      </c>
      <c r="C19" s="22" t="s">
        <v>135</v>
      </c>
      <c r="D19" s="23" t="s">
        <v>227</v>
      </c>
      <c r="E19" s="22" t="s">
        <v>49</v>
      </c>
      <c r="F19" s="22" t="s">
        <v>228</v>
      </c>
      <c r="G19" s="22" t="s">
        <v>49</v>
      </c>
      <c r="H19" s="22" t="s">
        <v>126</v>
      </c>
      <c r="I19" s="22" t="s">
        <v>81</v>
      </c>
      <c r="J19" s="22" t="s">
        <v>53</v>
      </c>
      <c r="K19" s="22" t="s">
        <v>229</v>
      </c>
      <c r="L19" s="22" t="s">
        <v>55</v>
      </c>
      <c r="M19" s="22" t="s">
        <v>83</v>
      </c>
      <c r="N19" s="22" t="s">
        <v>59</v>
      </c>
      <c r="O19" s="22" t="s">
        <v>84</v>
      </c>
      <c r="P19" s="22" t="s">
        <v>137</v>
      </c>
      <c r="Q19" s="22" t="s">
        <v>60</v>
      </c>
      <c r="R19" s="25"/>
      <c r="S19" s="22" t="s">
        <v>61</v>
      </c>
      <c r="T19" s="22" t="s">
        <v>62</v>
      </c>
      <c r="U19" s="22" t="s">
        <v>63</v>
      </c>
      <c r="V19" s="22" t="s">
        <v>64</v>
      </c>
      <c r="W19" s="22" t="s">
        <v>65</v>
      </c>
      <c r="X19" s="35" t="s">
        <v>230</v>
      </c>
      <c r="Y19" s="22" t="s">
        <v>231</v>
      </c>
      <c r="Z19" s="22" t="s">
        <v>232</v>
      </c>
      <c r="AA19" s="22" t="s">
        <v>233</v>
      </c>
      <c r="AC19" s="22" t="s">
        <v>176</v>
      </c>
      <c r="AD19" s="27" t="s">
        <v>71</v>
      </c>
      <c r="AE19" s="22" t="s">
        <v>72</v>
      </c>
      <c r="AF19" s="34"/>
      <c r="AG19" s="34"/>
      <c r="AI19" s="25" t="str">
        <f ca="1">IFERROR(__xludf.DUMMYFUNCTION("""COMPUTED_VALUE"""),"60efdde07ef735732c5ebbe3")</f>
        <v>60efdde07ef735732c5ebbe3</v>
      </c>
      <c r="AJ19" s="25">
        <f t="shared" ca="1" si="0"/>
        <v>1</v>
      </c>
    </row>
    <row r="20" spans="1:36" ht="46.5">
      <c r="A20" s="7" t="s">
        <v>45</v>
      </c>
      <c r="B20" s="38" t="s">
        <v>234</v>
      </c>
      <c r="C20" s="22" t="s">
        <v>235</v>
      </c>
      <c r="D20" s="23" t="s">
        <v>236</v>
      </c>
      <c r="E20" s="22" t="s">
        <v>49</v>
      </c>
      <c r="F20" s="22" t="s">
        <v>95</v>
      </c>
      <c r="G20" s="22" t="s">
        <v>49</v>
      </c>
      <c r="H20" s="22" t="s">
        <v>237</v>
      </c>
      <c r="I20" s="22" t="s">
        <v>52</v>
      </c>
      <c r="J20" s="22" t="s">
        <v>53</v>
      </c>
      <c r="K20" s="22" t="s">
        <v>182</v>
      </c>
      <c r="L20" s="22" t="s">
        <v>53</v>
      </c>
      <c r="M20" s="22" t="s">
        <v>83</v>
      </c>
      <c r="N20" s="22" t="s">
        <v>59</v>
      </c>
      <c r="O20" s="22" t="s">
        <v>84</v>
      </c>
      <c r="P20" s="22" t="s">
        <v>59</v>
      </c>
      <c r="Q20" s="22" t="s">
        <v>238</v>
      </c>
      <c r="R20" s="25"/>
      <c r="S20" s="22" t="s">
        <v>61</v>
      </c>
      <c r="T20" s="22" t="s">
        <v>62</v>
      </c>
      <c r="U20" s="22" t="s">
        <v>63</v>
      </c>
      <c r="V20" s="22" t="s">
        <v>64</v>
      </c>
      <c r="W20" s="22" t="s">
        <v>65</v>
      </c>
      <c r="X20" s="35" t="s">
        <v>239</v>
      </c>
      <c r="Y20" s="22" t="s">
        <v>240</v>
      </c>
      <c r="Z20" s="22" t="s">
        <v>241</v>
      </c>
      <c r="AA20" s="22" t="s">
        <v>242</v>
      </c>
      <c r="AB20" s="22" t="s">
        <v>243</v>
      </c>
      <c r="AC20" s="22" t="s">
        <v>176</v>
      </c>
      <c r="AD20" s="27" t="s">
        <v>71</v>
      </c>
      <c r="AE20" s="22" t="s">
        <v>244</v>
      </c>
      <c r="AF20" s="28"/>
      <c r="AG20" s="34"/>
      <c r="AI20" s="25" t="str">
        <f ca="1">IFERROR(__xludf.DUMMYFUNCTION("""COMPUTED_VALUE"""),"60ffca4fdf3a195d8e1e07a4")</f>
        <v>60ffca4fdf3a195d8e1e07a4</v>
      </c>
      <c r="AJ20" s="25">
        <f t="shared" ca="1" si="0"/>
        <v>1</v>
      </c>
    </row>
    <row r="21" spans="1:36" ht="31">
      <c r="A21" s="7" t="s">
        <v>45</v>
      </c>
      <c r="B21" s="38" t="s">
        <v>245</v>
      </c>
      <c r="C21" s="22" t="s">
        <v>246</v>
      </c>
      <c r="D21" s="23" t="s">
        <v>247</v>
      </c>
      <c r="E21" s="22" t="s">
        <v>49</v>
      </c>
      <c r="F21" s="22" t="s">
        <v>95</v>
      </c>
      <c r="G21" s="22" t="s">
        <v>49</v>
      </c>
      <c r="H21" s="22" t="s">
        <v>51</v>
      </c>
      <c r="I21" s="22" t="s">
        <v>81</v>
      </c>
      <c r="J21" s="22" t="s">
        <v>53</v>
      </c>
      <c r="K21" s="22" t="s">
        <v>182</v>
      </c>
      <c r="L21" s="22" t="s">
        <v>53</v>
      </c>
      <c r="M21" s="22" t="s">
        <v>129</v>
      </c>
      <c r="N21" s="22" t="s">
        <v>59</v>
      </c>
      <c r="O21" s="22" t="s">
        <v>84</v>
      </c>
      <c r="P21" s="22" t="s">
        <v>194</v>
      </c>
      <c r="Q21" s="22" t="s">
        <v>86</v>
      </c>
      <c r="R21" s="25"/>
      <c r="S21" s="22" t="s">
        <v>85</v>
      </c>
      <c r="T21" s="22" t="s">
        <v>62</v>
      </c>
      <c r="U21" s="22" t="s">
        <v>63</v>
      </c>
      <c r="V21" s="22" t="s">
        <v>118</v>
      </c>
      <c r="W21" s="22" t="s">
        <v>65</v>
      </c>
      <c r="X21" s="35" t="s">
        <v>239</v>
      </c>
      <c r="Y21" s="22" t="s">
        <v>248</v>
      </c>
      <c r="Z21" s="22" t="s">
        <v>249</v>
      </c>
      <c r="AA21" s="22" t="s">
        <v>250</v>
      </c>
      <c r="AC21" s="22" t="s">
        <v>176</v>
      </c>
      <c r="AD21" s="27" t="s">
        <v>71</v>
      </c>
      <c r="AE21" s="22" t="s">
        <v>244</v>
      </c>
      <c r="AF21" s="34"/>
      <c r="AG21" s="34"/>
      <c r="AI21" s="25" t="str">
        <f ca="1">IFERROR(__xludf.DUMMYFUNCTION("""COMPUTED_VALUE"""),"60ffd36ddf3a195d8e1e0c10")</f>
        <v>60ffd36ddf3a195d8e1e0c10</v>
      </c>
      <c r="AJ21" s="25">
        <f t="shared" ca="1" si="0"/>
        <v>1</v>
      </c>
    </row>
    <row r="22" spans="1:36" ht="46.5">
      <c r="A22" s="7" t="s">
        <v>45</v>
      </c>
      <c r="B22" s="38" t="s">
        <v>251</v>
      </c>
      <c r="C22" s="7" t="s">
        <v>252</v>
      </c>
      <c r="D22" s="23" t="s">
        <v>253</v>
      </c>
      <c r="E22" s="22" t="s">
        <v>49</v>
      </c>
      <c r="F22" s="22" t="s">
        <v>50</v>
      </c>
      <c r="G22" s="22" t="s">
        <v>49</v>
      </c>
      <c r="H22" s="22" t="s">
        <v>169</v>
      </c>
      <c r="I22" s="22" t="s">
        <v>52</v>
      </c>
      <c r="J22" s="22" t="s">
        <v>53</v>
      </c>
      <c r="K22" s="22" t="s">
        <v>170</v>
      </c>
      <c r="L22" s="22" t="s">
        <v>55</v>
      </c>
      <c r="M22" s="22" t="s">
        <v>129</v>
      </c>
      <c r="N22" s="22" t="s">
        <v>59</v>
      </c>
      <c r="O22" s="22" t="s">
        <v>84</v>
      </c>
      <c r="P22" s="22" t="s">
        <v>194</v>
      </c>
      <c r="Q22" s="22" t="s">
        <v>60</v>
      </c>
      <c r="R22" s="25"/>
      <c r="S22" s="22" t="s">
        <v>85</v>
      </c>
      <c r="T22" s="22" t="s">
        <v>62</v>
      </c>
      <c r="U22" s="22" t="s">
        <v>63</v>
      </c>
      <c r="V22" s="22" t="s">
        <v>64</v>
      </c>
      <c r="W22" s="22" t="s">
        <v>65</v>
      </c>
      <c r="X22" s="35" t="s">
        <v>239</v>
      </c>
      <c r="Y22" s="40" t="s">
        <v>254</v>
      </c>
      <c r="Z22" s="22" t="s">
        <v>255</v>
      </c>
      <c r="AA22" s="22" t="s">
        <v>256</v>
      </c>
      <c r="AB22" s="22" t="s">
        <v>257</v>
      </c>
      <c r="AC22" s="22" t="s">
        <v>176</v>
      </c>
      <c r="AD22" s="27" t="s">
        <v>71</v>
      </c>
      <c r="AE22" s="22" t="s">
        <v>244</v>
      </c>
      <c r="AF22" s="28"/>
      <c r="AG22" s="34"/>
      <c r="AI22" s="25" t="str">
        <f ca="1">IFERROR(__xludf.DUMMYFUNCTION("""COMPUTED_VALUE"""),"60ffeadbdf3a195d8e1e1456")</f>
        <v>60ffeadbdf3a195d8e1e1456</v>
      </c>
      <c r="AJ22" s="25">
        <f t="shared" ca="1" si="0"/>
        <v>1</v>
      </c>
    </row>
    <row r="23" spans="1:36" ht="31">
      <c r="A23" s="7" t="s">
        <v>45</v>
      </c>
      <c r="B23" s="38" t="s">
        <v>258</v>
      </c>
      <c r="C23" s="41" t="s">
        <v>259</v>
      </c>
      <c r="D23" s="42" t="s">
        <v>260</v>
      </c>
      <c r="E23" s="22" t="s">
        <v>49</v>
      </c>
      <c r="F23" s="22" t="s">
        <v>50</v>
      </c>
      <c r="G23" s="22" t="s">
        <v>49</v>
      </c>
      <c r="H23" s="22" t="s">
        <v>192</v>
      </c>
      <c r="I23" s="43" t="s">
        <v>81</v>
      </c>
      <c r="J23" s="22" t="s">
        <v>109</v>
      </c>
      <c r="K23" s="22" t="s">
        <v>144</v>
      </c>
      <c r="L23" s="22" t="s">
        <v>53</v>
      </c>
      <c r="M23" s="22" t="s">
        <v>129</v>
      </c>
      <c r="N23" s="22" t="s">
        <v>59</v>
      </c>
      <c r="O23" s="22" t="s">
        <v>84</v>
      </c>
      <c r="P23" s="22" t="s">
        <v>109</v>
      </c>
      <c r="Q23" s="43" t="s">
        <v>60</v>
      </c>
      <c r="R23" s="25"/>
      <c r="S23" s="22" t="s">
        <v>109</v>
      </c>
      <c r="T23" s="22" t="s">
        <v>62</v>
      </c>
      <c r="U23" s="22" t="s">
        <v>63</v>
      </c>
      <c r="V23" s="22" t="s">
        <v>64</v>
      </c>
      <c r="W23" s="44"/>
      <c r="X23" s="35" t="s">
        <v>261</v>
      </c>
      <c r="Y23" s="22" t="s">
        <v>262</v>
      </c>
      <c r="Z23" s="22" t="s">
        <v>263</v>
      </c>
      <c r="AA23" s="22" t="s">
        <v>264</v>
      </c>
      <c r="AB23" s="44"/>
      <c r="AC23" s="22" t="s">
        <v>265</v>
      </c>
      <c r="AD23" s="27" t="s">
        <v>71</v>
      </c>
      <c r="AE23" s="22" t="s">
        <v>244</v>
      </c>
      <c r="AF23" s="34"/>
      <c r="AG23" s="34"/>
      <c r="AI23" s="25" t="str">
        <f ca="1">IFERROR(__xludf.DUMMYFUNCTION("""COMPUTED_VALUE"""),"60e53aa47c361a3884916067")</f>
        <v>60e53aa47c361a3884916067</v>
      </c>
      <c r="AJ23" s="25">
        <f t="shared" ca="1" si="0"/>
        <v>1</v>
      </c>
    </row>
    <row r="24" spans="1:36" ht="31">
      <c r="A24" s="7" t="s">
        <v>45</v>
      </c>
      <c r="B24" s="38" t="s">
        <v>266</v>
      </c>
      <c r="C24" s="41" t="s">
        <v>267</v>
      </c>
      <c r="D24" s="42" t="s">
        <v>268</v>
      </c>
      <c r="E24" s="22" t="s">
        <v>53</v>
      </c>
      <c r="F24" s="22" t="s">
        <v>269</v>
      </c>
      <c r="G24" s="22" t="s">
        <v>49</v>
      </c>
      <c r="H24" s="22" t="s">
        <v>80</v>
      </c>
      <c r="I24" s="22" t="s">
        <v>81</v>
      </c>
      <c r="J24" s="22" t="s">
        <v>53</v>
      </c>
      <c r="K24" s="22" t="s">
        <v>182</v>
      </c>
      <c r="L24" s="22" t="s">
        <v>53</v>
      </c>
      <c r="M24" s="22" t="s">
        <v>129</v>
      </c>
      <c r="N24" s="22" t="s">
        <v>59</v>
      </c>
      <c r="O24" s="22" t="s">
        <v>84</v>
      </c>
      <c r="P24" s="7" t="s">
        <v>194</v>
      </c>
      <c r="Q24" s="7" t="s">
        <v>60</v>
      </c>
      <c r="R24" s="45"/>
      <c r="S24" s="7" t="s">
        <v>85</v>
      </c>
      <c r="T24" s="22" t="s">
        <v>62</v>
      </c>
      <c r="U24" s="22" t="s">
        <v>63</v>
      </c>
      <c r="V24" s="22" t="s">
        <v>64</v>
      </c>
      <c r="W24" s="44"/>
      <c r="X24" s="35" t="s">
        <v>270</v>
      </c>
      <c r="Y24" s="22" t="s">
        <v>271</v>
      </c>
      <c r="Z24" s="22" t="s">
        <v>215</v>
      </c>
      <c r="AA24" s="22" t="s">
        <v>272</v>
      </c>
      <c r="AB24" s="44"/>
      <c r="AC24" s="22" t="s">
        <v>265</v>
      </c>
      <c r="AD24" s="27" t="s">
        <v>71</v>
      </c>
      <c r="AE24" s="22" t="s">
        <v>244</v>
      </c>
      <c r="AF24" s="34"/>
      <c r="AG24" s="34"/>
      <c r="AI24" s="25" t="str">
        <f ca="1">IFERROR(__xludf.DUMMYFUNCTION("""COMPUTED_VALUE"""),"60e3d1f87f92312855390267")</f>
        <v>60e3d1f87f92312855390267</v>
      </c>
      <c r="AJ24" s="25">
        <f t="shared" ca="1" si="0"/>
        <v>1</v>
      </c>
    </row>
    <row r="25" spans="1:36" ht="31">
      <c r="A25" s="7" t="s">
        <v>45</v>
      </c>
      <c r="B25" s="38" t="s">
        <v>273</v>
      </c>
      <c r="C25" s="41" t="s">
        <v>274</v>
      </c>
      <c r="D25" s="42" t="s">
        <v>275</v>
      </c>
      <c r="E25" s="22" t="s">
        <v>49</v>
      </c>
      <c r="F25" s="22" t="s">
        <v>50</v>
      </c>
      <c r="G25" s="22" t="s">
        <v>49</v>
      </c>
      <c r="H25" s="22" t="s">
        <v>126</v>
      </c>
      <c r="I25" s="22" t="s">
        <v>81</v>
      </c>
      <c r="J25" s="22" t="s">
        <v>53</v>
      </c>
      <c r="K25" s="22" t="s">
        <v>170</v>
      </c>
      <c r="L25" s="22" t="s">
        <v>53</v>
      </c>
      <c r="M25" s="22" t="s">
        <v>129</v>
      </c>
      <c r="N25" s="22" t="s">
        <v>59</v>
      </c>
      <c r="O25" s="22" t="s">
        <v>84</v>
      </c>
      <c r="P25" s="7" t="s">
        <v>108</v>
      </c>
      <c r="Q25" s="22" t="s">
        <v>130</v>
      </c>
      <c r="R25" s="25"/>
      <c r="S25" s="22" t="s">
        <v>85</v>
      </c>
      <c r="T25" s="22" t="s">
        <v>62</v>
      </c>
      <c r="U25" s="22" t="s">
        <v>63</v>
      </c>
      <c r="V25" s="22" t="s">
        <v>64</v>
      </c>
      <c r="W25" s="22"/>
      <c r="X25" s="26" t="s">
        <v>276</v>
      </c>
      <c r="Y25" s="22" t="s">
        <v>277</v>
      </c>
      <c r="Z25" s="22" t="s">
        <v>278</v>
      </c>
      <c r="AA25" s="22" t="s">
        <v>279</v>
      </c>
      <c r="AC25" s="22" t="s">
        <v>265</v>
      </c>
      <c r="AD25" s="27" t="s">
        <v>71</v>
      </c>
      <c r="AE25" s="22" t="s">
        <v>244</v>
      </c>
      <c r="AF25" s="34"/>
      <c r="AG25" s="34"/>
      <c r="AI25" s="25" t="str">
        <f ca="1">IFERROR(__xludf.DUMMYFUNCTION("""COMPUTED_VALUE"""),"60e4511ab6df5340a90948ad")</f>
        <v>60e4511ab6df5340a90948ad</v>
      </c>
      <c r="AJ25" s="25">
        <f t="shared" ca="1" si="0"/>
        <v>1</v>
      </c>
    </row>
    <row r="26" spans="1:36" ht="46.5">
      <c r="A26" s="7" t="s">
        <v>45</v>
      </c>
      <c r="B26" s="38" t="s">
        <v>280</v>
      </c>
      <c r="C26" s="41" t="s">
        <v>281</v>
      </c>
      <c r="D26" s="42" t="s">
        <v>282</v>
      </c>
      <c r="E26" s="22" t="s">
        <v>49</v>
      </c>
      <c r="F26" s="22" t="s">
        <v>50</v>
      </c>
      <c r="G26" s="22" t="s">
        <v>49</v>
      </c>
      <c r="H26" s="22" t="s">
        <v>51</v>
      </c>
      <c r="I26" s="22" t="s">
        <v>81</v>
      </c>
      <c r="J26" s="22" t="s">
        <v>53</v>
      </c>
      <c r="K26" s="22" t="s">
        <v>182</v>
      </c>
      <c r="L26" s="22" t="s">
        <v>53</v>
      </c>
      <c r="M26" s="22" t="s">
        <v>129</v>
      </c>
      <c r="N26" s="22" t="s">
        <v>59</v>
      </c>
      <c r="O26" s="22" t="s">
        <v>84</v>
      </c>
      <c r="P26" s="43" t="s">
        <v>137</v>
      </c>
      <c r="Q26" s="22" t="s">
        <v>63</v>
      </c>
      <c r="R26" s="25"/>
      <c r="S26" s="22" t="s">
        <v>85</v>
      </c>
      <c r="T26" s="22" t="s">
        <v>62</v>
      </c>
      <c r="U26" s="22" t="s">
        <v>63</v>
      </c>
      <c r="V26" s="22" t="s">
        <v>64</v>
      </c>
      <c r="W26" s="25"/>
      <c r="X26" s="35" t="s">
        <v>276</v>
      </c>
      <c r="Y26" s="22" t="s">
        <v>184</v>
      </c>
      <c r="Z26" s="22" t="s">
        <v>283</v>
      </c>
      <c r="AA26" s="22" t="s">
        <v>284</v>
      </c>
      <c r="AC26" s="22" t="s">
        <v>265</v>
      </c>
      <c r="AD26" s="27" t="s">
        <v>71</v>
      </c>
      <c r="AE26" s="22" t="s">
        <v>244</v>
      </c>
      <c r="AF26" s="34"/>
      <c r="AG26" s="34"/>
      <c r="AI26" s="25" t="str">
        <f ca="1">IFERROR(__xludf.DUMMYFUNCTION("""COMPUTED_VALUE"""),"60e410dab6df5340a909299e")</f>
        <v>60e410dab6df5340a909299e</v>
      </c>
      <c r="AJ26" s="25">
        <f t="shared" ca="1" si="0"/>
        <v>1</v>
      </c>
    </row>
    <row r="27" spans="1:36" ht="46.5">
      <c r="A27" s="7" t="s">
        <v>45</v>
      </c>
      <c r="B27" s="38" t="s">
        <v>285</v>
      </c>
      <c r="C27" s="41" t="s">
        <v>286</v>
      </c>
      <c r="D27" s="42" t="s">
        <v>287</v>
      </c>
      <c r="E27" s="22" t="s">
        <v>49</v>
      </c>
      <c r="F27" s="22" t="s">
        <v>50</v>
      </c>
      <c r="G27" s="22" t="s">
        <v>79</v>
      </c>
      <c r="H27" s="22" t="s">
        <v>126</v>
      </c>
      <c r="I27" s="22" t="s">
        <v>81</v>
      </c>
      <c r="J27" s="22" t="s">
        <v>53</v>
      </c>
      <c r="K27" s="22" t="s">
        <v>144</v>
      </c>
      <c r="L27" s="22" t="s">
        <v>53</v>
      </c>
      <c r="M27" s="40" t="s">
        <v>129</v>
      </c>
      <c r="N27" s="22" t="s">
        <v>59</v>
      </c>
      <c r="O27" s="22" t="s">
        <v>84</v>
      </c>
      <c r="P27" s="43" t="s">
        <v>85</v>
      </c>
      <c r="Q27" s="43" t="s">
        <v>60</v>
      </c>
      <c r="R27" s="25"/>
      <c r="S27" s="22" t="s">
        <v>85</v>
      </c>
      <c r="T27" s="22" t="s">
        <v>62</v>
      </c>
      <c r="U27" s="22" t="s">
        <v>63</v>
      </c>
      <c r="V27" s="22" t="s">
        <v>64</v>
      </c>
      <c r="W27" s="44"/>
      <c r="X27" s="26" t="s">
        <v>276</v>
      </c>
      <c r="Y27" s="22" t="s">
        <v>288</v>
      </c>
      <c r="Z27" s="22" t="s">
        <v>289</v>
      </c>
      <c r="AA27" s="22" t="s">
        <v>163</v>
      </c>
      <c r="AB27" s="44"/>
      <c r="AC27" s="22" t="s">
        <v>265</v>
      </c>
      <c r="AD27" s="27" t="s">
        <v>71</v>
      </c>
      <c r="AE27" s="22" t="s">
        <v>244</v>
      </c>
      <c r="AF27" s="34"/>
      <c r="AG27" s="34"/>
      <c r="AI27" s="25" t="str">
        <f ca="1">IFERROR(__xludf.DUMMYFUNCTION("""COMPUTED_VALUE"""),"60e456dbb6df5340a9094a34")</f>
        <v>60e456dbb6df5340a9094a34</v>
      </c>
      <c r="AJ27" s="25">
        <f t="shared" ca="1" si="0"/>
        <v>1</v>
      </c>
    </row>
    <row r="28" spans="1:36" ht="46.5">
      <c r="A28" s="7" t="s">
        <v>45</v>
      </c>
      <c r="B28" s="38" t="s">
        <v>290</v>
      </c>
      <c r="C28" s="41" t="s">
        <v>291</v>
      </c>
      <c r="D28" s="42" t="s">
        <v>292</v>
      </c>
      <c r="E28" s="22" t="s">
        <v>53</v>
      </c>
      <c r="F28" s="22" t="s">
        <v>269</v>
      </c>
      <c r="G28" s="22" t="s">
        <v>49</v>
      </c>
      <c r="H28" s="22" t="s">
        <v>51</v>
      </c>
      <c r="I28" s="22" t="s">
        <v>81</v>
      </c>
      <c r="J28" s="22" t="s">
        <v>53</v>
      </c>
      <c r="K28" s="22" t="s">
        <v>144</v>
      </c>
      <c r="L28" s="22" t="s">
        <v>53</v>
      </c>
      <c r="M28" s="22" t="s">
        <v>129</v>
      </c>
      <c r="N28" s="22" t="s">
        <v>59</v>
      </c>
      <c r="O28" s="22" t="s">
        <v>84</v>
      </c>
      <c r="P28" s="22" t="s">
        <v>293</v>
      </c>
      <c r="Q28" s="43" t="s">
        <v>153</v>
      </c>
      <c r="R28" s="46"/>
      <c r="S28" s="43" t="s">
        <v>294</v>
      </c>
      <c r="T28" s="22" t="s">
        <v>62</v>
      </c>
      <c r="U28" s="22" t="s">
        <v>63</v>
      </c>
      <c r="V28" s="22" t="s">
        <v>64</v>
      </c>
      <c r="W28" s="25"/>
      <c r="X28" s="26" t="s">
        <v>276</v>
      </c>
      <c r="Z28" s="22" t="s">
        <v>295</v>
      </c>
      <c r="AA28" s="22" t="s">
        <v>296</v>
      </c>
      <c r="AB28" s="22" t="s">
        <v>297</v>
      </c>
      <c r="AC28" s="22" t="s">
        <v>265</v>
      </c>
      <c r="AD28" s="27" t="s">
        <v>71</v>
      </c>
      <c r="AE28" s="22" t="s">
        <v>244</v>
      </c>
      <c r="AF28" s="34"/>
      <c r="AG28" s="34"/>
      <c r="AI28" s="25" t="str">
        <f ca="1">IFERROR(__xludf.DUMMYFUNCTION("""COMPUTED_VALUE"""),"60e54be47c361a38849164f4")</f>
        <v>60e54be47c361a38849164f4</v>
      </c>
      <c r="AJ28" s="25">
        <f t="shared" ca="1" si="0"/>
        <v>1</v>
      </c>
    </row>
    <row r="29" spans="1:36" ht="46.5">
      <c r="A29" s="7" t="s">
        <v>45</v>
      </c>
      <c r="B29" s="38" t="s">
        <v>298</v>
      </c>
      <c r="C29" s="41" t="s">
        <v>299</v>
      </c>
      <c r="D29" s="42" t="s">
        <v>300</v>
      </c>
      <c r="E29" s="22" t="s">
        <v>49</v>
      </c>
      <c r="F29" s="22" t="s">
        <v>95</v>
      </c>
      <c r="G29" s="22" t="s">
        <v>49</v>
      </c>
      <c r="H29" s="22" t="s">
        <v>192</v>
      </c>
      <c r="I29" s="22" t="s">
        <v>81</v>
      </c>
      <c r="J29" s="22" t="s">
        <v>53</v>
      </c>
      <c r="K29" s="22" t="s">
        <v>182</v>
      </c>
      <c r="L29" s="22" t="s">
        <v>53</v>
      </c>
      <c r="M29" s="22" t="s">
        <v>83</v>
      </c>
      <c r="N29" s="22" t="s">
        <v>194</v>
      </c>
      <c r="O29" s="22" t="s">
        <v>84</v>
      </c>
      <c r="P29" s="43" t="s">
        <v>194</v>
      </c>
      <c r="Q29" s="43" t="s">
        <v>60</v>
      </c>
      <c r="R29" s="25"/>
      <c r="S29" s="22" t="s">
        <v>85</v>
      </c>
      <c r="T29" s="22" t="s">
        <v>62</v>
      </c>
      <c r="U29" s="22" t="s">
        <v>63</v>
      </c>
      <c r="V29" s="22" t="s">
        <v>64</v>
      </c>
      <c r="W29" s="22"/>
      <c r="X29" s="35" t="s">
        <v>301</v>
      </c>
      <c r="Y29" s="22" t="s">
        <v>302</v>
      </c>
      <c r="Z29" s="22" t="s">
        <v>263</v>
      </c>
      <c r="AA29" s="22" t="s">
        <v>303</v>
      </c>
      <c r="AC29" s="22" t="s">
        <v>265</v>
      </c>
      <c r="AD29" s="27" t="s">
        <v>71</v>
      </c>
      <c r="AE29" s="22" t="s">
        <v>244</v>
      </c>
      <c r="AF29" s="34"/>
      <c r="AG29" s="34"/>
      <c r="AI29" s="25" t="str">
        <f ca="1">IFERROR(__xludf.DUMMYFUNCTION("""COMPUTED_VALUE"""),"61c4134ec6f7dccb516dcf12")</f>
        <v>61c4134ec6f7dccb516dcf12</v>
      </c>
      <c r="AJ29" s="25">
        <f t="shared" ca="1" si="0"/>
        <v>1</v>
      </c>
    </row>
    <row r="30" spans="1:36" ht="46.5">
      <c r="A30" s="7" t="s">
        <v>45</v>
      </c>
      <c r="B30" s="38" t="s">
        <v>304</v>
      </c>
      <c r="C30" s="41" t="s">
        <v>305</v>
      </c>
      <c r="D30" s="42" t="s">
        <v>306</v>
      </c>
      <c r="E30" s="22" t="s">
        <v>49</v>
      </c>
      <c r="F30" s="22" t="s">
        <v>228</v>
      </c>
      <c r="G30" s="22" t="s">
        <v>49</v>
      </c>
      <c r="H30" s="22" t="s">
        <v>126</v>
      </c>
      <c r="I30" s="22" t="s">
        <v>307</v>
      </c>
      <c r="J30" s="22" t="s">
        <v>53</v>
      </c>
      <c r="K30" s="22" t="s">
        <v>182</v>
      </c>
      <c r="L30" s="22" t="s">
        <v>53</v>
      </c>
      <c r="M30" s="22" t="s">
        <v>129</v>
      </c>
      <c r="N30" s="22" t="s">
        <v>59</v>
      </c>
      <c r="O30" s="22" t="s">
        <v>84</v>
      </c>
      <c r="P30" s="22" t="s">
        <v>52</v>
      </c>
      <c r="Q30" s="43" t="s">
        <v>63</v>
      </c>
      <c r="R30" s="46"/>
      <c r="S30" s="43" t="s">
        <v>61</v>
      </c>
      <c r="T30" s="22" t="s">
        <v>62</v>
      </c>
      <c r="U30" s="22" t="s">
        <v>63</v>
      </c>
      <c r="V30" s="22" t="s">
        <v>64</v>
      </c>
      <c r="W30" s="25"/>
      <c r="X30" s="35" t="s">
        <v>301</v>
      </c>
      <c r="Y30" s="22" t="s">
        <v>271</v>
      </c>
      <c r="Z30" s="22" t="s">
        <v>308</v>
      </c>
      <c r="AA30" s="22" t="s">
        <v>215</v>
      </c>
      <c r="AC30" s="22" t="s">
        <v>265</v>
      </c>
      <c r="AD30" s="27" t="s">
        <v>71</v>
      </c>
      <c r="AE30" s="22" t="s">
        <v>244</v>
      </c>
      <c r="AF30" s="28"/>
      <c r="AG30" s="34"/>
      <c r="AI30" s="25" t="str">
        <f ca="1">IFERROR(__xludf.DUMMYFUNCTION("""COMPUTED_VALUE"""),"60e6676a7c361a3884917c71")</f>
        <v>60e6676a7c361a3884917c71</v>
      </c>
      <c r="AJ30" s="25">
        <f t="shared" ca="1" si="0"/>
        <v>1</v>
      </c>
    </row>
    <row r="31" spans="1:36" ht="46.5">
      <c r="A31" s="7" t="s">
        <v>45</v>
      </c>
      <c r="B31" s="38" t="s">
        <v>309</v>
      </c>
      <c r="C31" s="41" t="s">
        <v>310</v>
      </c>
      <c r="D31" s="42" t="s">
        <v>311</v>
      </c>
      <c r="E31" s="22" t="s">
        <v>49</v>
      </c>
      <c r="F31" s="22" t="s">
        <v>50</v>
      </c>
      <c r="G31" s="22" t="s">
        <v>49</v>
      </c>
      <c r="H31" s="22" t="s">
        <v>51</v>
      </c>
      <c r="I31" s="22" t="s">
        <v>81</v>
      </c>
      <c r="J31" s="22" t="s">
        <v>53</v>
      </c>
      <c r="K31" s="22" t="s">
        <v>96</v>
      </c>
      <c r="L31" s="22" t="s">
        <v>55</v>
      </c>
      <c r="M31" s="22" t="s">
        <v>83</v>
      </c>
      <c r="N31" s="22" t="s">
        <v>312</v>
      </c>
      <c r="O31" s="22" t="s">
        <v>84</v>
      </c>
      <c r="P31" s="22" t="s">
        <v>85</v>
      </c>
      <c r="Q31" s="43" t="s">
        <v>60</v>
      </c>
      <c r="R31" s="25"/>
      <c r="S31" s="22" t="s">
        <v>85</v>
      </c>
      <c r="T31" s="22" t="s">
        <v>62</v>
      </c>
      <c r="U31" s="22" t="s">
        <v>63</v>
      </c>
      <c r="V31" s="22" t="s">
        <v>64</v>
      </c>
      <c r="W31" s="25"/>
      <c r="X31" s="35" t="s">
        <v>313</v>
      </c>
      <c r="Z31" s="22" t="s">
        <v>314</v>
      </c>
      <c r="AA31" s="22" t="s">
        <v>315</v>
      </c>
      <c r="AC31" s="22" t="s">
        <v>265</v>
      </c>
      <c r="AD31" s="27" t="s">
        <v>71</v>
      </c>
      <c r="AE31" s="22" t="s">
        <v>244</v>
      </c>
      <c r="AF31" s="34"/>
      <c r="AG31" s="34"/>
      <c r="AI31" s="25" t="str">
        <f ca="1">IFERROR(__xludf.DUMMYFUNCTION("""COMPUTED_VALUE"""),"611d060fdb826f2d8ee08ff4")</f>
        <v>611d060fdb826f2d8ee08ff4</v>
      </c>
      <c r="AJ31" s="25">
        <f t="shared" ca="1" si="0"/>
        <v>1</v>
      </c>
    </row>
    <row r="32" spans="1:36" ht="46.5">
      <c r="A32" s="7" t="s">
        <v>45</v>
      </c>
      <c r="B32" s="38" t="s">
        <v>316</v>
      </c>
      <c r="C32" s="44" t="s">
        <v>317</v>
      </c>
      <c r="D32" s="23" t="s">
        <v>318</v>
      </c>
      <c r="E32" s="22" t="s">
        <v>49</v>
      </c>
      <c r="F32" s="22" t="s">
        <v>95</v>
      </c>
      <c r="G32" s="22" t="s">
        <v>49</v>
      </c>
      <c r="H32" s="22" t="s">
        <v>51</v>
      </c>
      <c r="I32" s="22" t="s">
        <v>307</v>
      </c>
      <c r="J32" s="22" t="s">
        <v>53</v>
      </c>
      <c r="K32" s="22" t="s">
        <v>182</v>
      </c>
      <c r="L32" s="22" t="s">
        <v>53</v>
      </c>
      <c r="M32" s="22" t="s">
        <v>83</v>
      </c>
      <c r="N32" s="22" t="s">
        <v>59</v>
      </c>
      <c r="O32" s="22" t="s">
        <v>84</v>
      </c>
      <c r="P32" s="22" t="s">
        <v>52</v>
      </c>
      <c r="Q32" s="43" t="s">
        <v>60</v>
      </c>
      <c r="R32" s="46"/>
      <c r="S32" s="43" t="s">
        <v>85</v>
      </c>
      <c r="T32" s="22" t="s">
        <v>62</v>
      </c>
      <c r="U32" s="22" t="s">
        <v>63</v>
      </c>
      <c r="V32" s="22" t="s">
        <v>64</v>
      </c>
      <c r="W32" s="25"/>
      <c r="X32" s="35" t="s">
        <v>313</v>
      </c>
      <c r="Z32" s="22" t="s">
        <v>319</v>
      </c>
      <c r="AA32" s="22" t="s">
        <v>320</v>
      </c>
      <c r="AC32" s="22" t="s">
        <v>265</v>
      </c>
      <c r="AD32" s="27" t="s">
        <v>71</v>
      </c>
      <c r="AE32" s="22" t="s">
        <v>244</v>
      </c>
      <c r="AF32" s="28"/>
      <c r="AG32" s="34"/>
      <c r="AI32" s="25" t="str">
        <f ca="1">IFERROR(__xludf.DUMMYFUNCTION("""COMPUTED_VALUE"""),"611e3446daa420459fb222f5")</f>
        <v>611e3446daa420459fb222f5</v>
      </c>
      <c r="AJ32" s="25">
        <f t="shared" ca="1" si="0"/>
        <v>1</v>
      </c>
    </row>
    <row r="33" spans="1:36" ht="62">
      <c r="A33" s="7" t="s">
        <v>45</v>
      </c>
      <c r="B33" s="38" t="s">
        <v>321</v>
      </c>
      <c r="C33" s="22" t="s">
        <v>322</v>
      </c>
      <c r="D33" s="23" t="s">
        <v>323</v>
      </c>
      <c r="E33" s="22" t="s">
        <v>53</v>
      </c>
      <c r="F33" s="22" t="s">
        <v>95</v>
      </c>
      <c r="G33" s="22" t="s">
        <v>49</v>
      </c>
      <c r="H33" s="22" t="s">
        <v>2303</v>
      </c>
      <c r="I33" s="22" t="s">
        <v>52</v>
      </c>
      <c r="J33" s="22" t="s">
        <v>127</v>
      </c>
      <c r="K33" s="22" t="s">
        <v>82</v>
      </c>
      <c r="L33" s="22" t="s">
        <v>55</v>
      </c>
      <c r="M33" s="22" t="s">
        <v>83</v>
      </c>
      <c r="N33" s="22" t="s">
        <v>59</v>
      </c>
      <c r="O33" s="22" t="s">
        <v>84</v>
      </c>
      <c r="P33" s="22" t="s">
        <v>194</v>
      </c>
      <c r="Q33" s="22" t="s">
        <v>183</v>
      </c>
      <c r="R33" s="25"/>
      <c r="S33" s="22" t="s">
        <v>85</v>
      </c>
      <c r="T33" s="22" t="s">
        <v>62</v>
      </c>
      <c r="U33" s="22" t="s">
        <v>63</v>
      </c>
      <c r="V33" s="22" t="s">
        <v>64</v>
      </c>
      <c r="W33" s="25"/>
      <c r="X33" s="26" t="s">
        <v>324</v>
      </c>
      <c r="Y33" s="22" t="s">
        <v>325</v>
      </c>
      <c r="Z33" s="22" t="s">
        <v>326</v>
      </c>
      <c r="AA33" s="22" t="s">
        <v>327</v>
      </c>
      <c r="AC33" s="22" t="s">
        <v>328</v>
      </c>
      <c r="AD33" s="27" t="s">
        <v>71</v>
      </c>
      <c r="AE33" s="22" t="s">
        <v>244</v>
      </c>
      <c r="AF33" s="28"/>
      <c r="AG33" s="34"/>
      <c r="AI33" s="25" t="str">
        <f ca="1">IFERROR(__xludf.DUMMYFUNCTION("""COMPUTED_VALUE"""),"60f7dbc5d0ab4e15c152b8fd")</f>
        <v>60f7dbc5d0ab4e15c152b8fd</v>
      </c>
      <c r="AJ33" s="25">
        <f t="shared" ca="1" si="0"/>
        <v>1</v>
      </c>
    </row>
    <row r="34" spans="1:36" ht="46.5">
      <c r="A34" s="7" t="s">
        <v>45</v>
      </c>
      <c r="B34" s="38" t="s">
        <v>329</v>
      </c>
      <c r="C34" s="22" t="s">
        <v>330</v>
      </c>
      <c r="D34" s="23" t="s">
        <v>331</v>
      </c>
      <c r="E34" s="22" t="s">
        <v>49</v>
      </c>
      <c r="F34" s="22" t="s">
        <v>78</v>
      </c>
      <c r="G34" s="22" t="s">
        <v>49</v>
      </c>
      <c r="H34" s="22" t="s">
        <v>2303</v>
      </c>
      <c r="I34" s="22" t="s">
        <v>52</v>
      </c>
      <c r="J34" s="25"/>
      <c r="K34" s="22" t="s">
        <v>144</v>
      </c>
      <c r="L34" s="22" t="s">
        <v>53</v>
      </c>
      <c r="M34" s="22" t="s">
        <v>83</v>
      </c>
      <c r="N34" s="22" t="s">
        <v>59</v>
      </c>
      <c r="O34" s="22" t="s">
        <v>84</v>
      </c>
      <c r="P34" s="22" t="s">
        <v>59</v>
      </c>
      <c r="Q34" s="22" t="s">
        <v>153</v>
      </c>
      <c r="R34" s="25"/>
      <c r="S34" s="22" t="s">
        <v>61</v>
      </c>
      <c r="T34" s="22" t="s">
        <v>62</v>
      </c>
      <c r="U34" s="22" t="s">
        <v>63</v>
      </c>
      <c r="V34" s="22" t="s">
        <v>64</v>
      </c>
      <c r="W34" s="22"/>
      <c r="X34" s="35" t="s">
        <v>332</v>
      </c>
      <c r="Y34" s="22" t="s">
        <v>120</v>
      </c>
      <c r="Z34" s="22" t="s">
        <v>333</v>
      </c>
      <c r="AA34" s="22" t="s">
        <v>334</v>
      </c>
      <c r="AC34" s="22" t="s">
        <v>328</v>
      </c>
      <c r="AD34" s="27" t="s">
        <v>71</v>
      </c>
      <c r="AE34" s="22" t="s">
        <v>244</v>
      </c>
      <c r="AF34" s="34"/>
      <c r="AG34" s="34"/>
      <c r="AI34" s="25" t="str">
        <f ca="1">IFERROR(__xludf.DUMMYFUNCTION("""COMPUTED_VALUE"""),"60f80431d0ab4e15c152c1d1")</f>
        <v>60f80431d0ab4e15c152c1d1</v>
      </c>
      <c r="AJ34" s="25">
        <f t="shared" ca="1" si="0"/>
        <v>1</v>
      </c>
    </row>
    <row r="35" spans="1:36" ht="46.5">
      <c r="A35" s="7" t="s">
        <v>45</v>
      </c>
      <c r="B35" s="38" t="s">
        <v>335</v>
      </c>
      <c r="C35" s="22" t="s">
        <v>135</v>
      </c>
      <c r="D35" s="42" t="s">
        <v>336</v>
      </c>
      <c r="E35" s="22" t="s">
        <v>49</v>
      </c>
      <c r="F35" s="22" t="s">
        <v>95</v>
      </c>
      <c r="G35" s="22" t="s">
        <v>49</v>
      </c>
      <c r="H35" s="22" t="s">
        <v>2303</v>
      </c>
      <c r="I35" s="22" t="s">
        <v>307</v>
      </c>
      <c r="J35" s="25"/>
      <c r="K35" s="22" t="s">
        <v>54</v>
      </c>
      <c r="L35" s="22" t="s">
        <v>53</v>
      </c>
      <c r="M35" s="22" t="s">
        <v>83</v>
      </c>
      <c r="N35" s="22" t="s">
        <v>59</v>
      </c>
      <c r="O35" s="22" t="s">
        <v>84</v>
      </c>
      <c r="P35" s="22" t="s">
        <v>194</v>
      </c>
      <c r="Q35" s="22" t="s">
        <v>60</v>
      </c>
      <c r="R35" s="25"/>
      <c r="S35" s="22" t="s">
        <v>85</v>
      </c>
      <c r="T35" s="22" t="s">
        <v>62</v>
      </c>
      <c r="U35" s="22" t="s">
        <v>63</v>
      </c>
      <c r="V35" s="22" t="s">
        <v>64</v>
      </c>
      <c r="W35" s="25"/>
      <c r="X35" s="35" t="s">
        <v>332</v>
      </c>
      <c r="Y35" s="22" t="s">
        <v>184</v>
      </c>
      <c r="Z35" s="22" t="s">
        <v>337</v>
      </c>
      <c r="AA35" s="22" t="s">
        <v>338</v>
      </c>
      <c r="AC35" s="22" t="s">
        <v>328</v>
      </c>
      <c r="AD35" s="27" t="s">
        <v>71</v>
      </c>
      <c r="AE35" s="22" t="s">
        <v>244</v>
      </c>
      <c r="AF35" s="28"/>
      <c r="AG35" s="34"/>
      <c r="AI35" s="25" t="str">
        <f ca="1">IFERROR(__xludf.DUMMYFUNCTION("""COMPUTED_VALUE"""),"60f80989d0ab4e15c152c343")</f>
        <v>60f80989d0ab4e15c152c343</v>
      </c>
      <c r="AJ35" s="25">
        <f t="shared" ca="1" si="0"/>
        <v>1</v>
      </c>
    </row>
    <row r="36" spans="1:36" ht="46.5">
      <c r="A36" s="7" t="s">
        <v>45</v>
      </c>
      <c r="B36" s="38" t="s">
        <v>339</v>
      </c>
      <c r="C36" s="22" t="s">
        <v>340</v>
      </c>
      <c r="D36" s="23" t="s">
        <v>341</v>
      </c>
      <c r="E36" s="22" t="s">
        <v>49</v>
      </c>
      <c r="F36" s="22" t="s">
        <v>95</v>
      </c>
      <c r="G36" s="22" t="s">
        <v>49</v>
      </c>
      <c r="H36" s="22" t="s">
        <v>2303</v>
      </c>
      <c r="I36" s="22" t="s">
        <v>52</v>
      </c>
      <c r="J36" s="22" t="s">
        <v>127</v>
      </c>
      <c r="K36" s="22" t="s">
        <v>170</v>
      </c>
      <c r="L36" s="22" t="s">
        <v>53</v>
      </c>
      <c r="M36" s="22" t="s">
        <v>83</v>
      </c>
      <c r="N36" s="22" t="s">
        <v>59</v>
      </c>
      <c r="O36" s="22" t="s">
        <v>84</v>
      </c>
      <c r="P36" s="22" t="s">
        <v>108</v>
      </c>
      <c r="Q36" s="22" t="s">
        <v>183</v>
      </c>
      <c r="R36" s="25"/>
      <c r="S36" s="22" t="s">
        <v>61</v>
      </c>
      <c r="T36" s="22" t="s">
        <v>62</v>
      </c>
      <c r="U36" s="22" t="s">
        <v>63</v>
      </c>
      <c r="V36" s="22" t="s">
        <v>118</v>
      </c>
      <c r="W36" s="25"/>
      <c r="X36" s="35" t="s">
        <v>332</v>
      </c>
      <c r="Y36" s="22" t="s">
        <v>342</v>
      </c>
      <c r="Z36" s="22" t="s">
        <v>343</v>
      </c>
      <c r="AA36" s="22" t="s">
        <v>344</v>
      </c>
      <c r="AC36" s="22" t="s">
        <v>328</v>
      </c>
      <c r="AD36" s="27" t="s">
        <v>71</v>
      </c>
      <c r="AE36" s="22" t="s">
        <v>244</v>
      </c>
      <c r="AF36" s="34"/>
      <c r="AG36" s="34"/>
      <c r="AI36" s="25" t="str">
        <f ca="1">IFERROR(__xludf.DUMMYFUNCTION("""COMPUTED_VALUE"""),"60f81624d0ab4e15c152ca83")</f>
        <v>60f81624d0ab4e15c152ca83</v>
      </c>
      <c r="AJ36" s="25">
        <f t="shared" ca="1" si="0"/>
        <v>1</v>
      </c>
    </row>
    <row r="37" spans="1:36" ht="46.5">
      <c r="A37" s="7" t="s">
        <v>45</v>
      </c>
      <c r="B37" s="38" t="s">
        <v>345</v>
      </c>
      <c r="C37" s="22" t="s">
        <v>346</v>
      </c>
      <c r="D37" s="23" t="s">
        <v>347</v>
      </c>
      <c r="E37" s="22" t="s">
        <v>49</v>
      </c>
      <c r="F37" s="22" t="s">
        <v>95</v>
      </c>
      <c r="G37" s="22" t="s">
        <v>49</v>
      </c>
      <c r="H37" s="22" t="s">
        <v>2303</v>
      </c>
      <c r="I37" s="22" t="s">
        <v>52</v>
      </c>
      <c r="J37" s="25"/>
      <c r="K37" s="22" t="s">
        <v>182</v>
      </c>
      <c r="L37" s="22" t="s">
        <v>55</v>
      </c>
      <c r="M37" s="22" t="s">
        <v>83</v>
      </c>
      <c r="N37" s="22" t="s">
        <v>59</v>
      </c>
      <c r="O37" s="22" t="s">
        <v>84</v>
      </c>
      <c r="P37" s="22" t="s">
        <v>348</v>
      </c>
      <c r="Q37" s="22" t="s">
        <v>98</v>
      </c>
      <c r="R37" s="25"/>
      <c r="S37" s="22" t="s">
        <v>61</v>
      </c>
      <c r="T37" s="22" t="s">
        <v>62</v>
      </c>
      <c r="U37" s="22" t="s">
        <v>63</v>
      </c>
      <c r="V37" s="22" t="s">
        <v>64</v>
      </c>
      <c r="W37" s="22"/>
      <c r="X37" s="35" t="s">
        <v>332</v>
      </c>
      <c r="Y37" s="22" t="s">
        <v>240</v>
      </c>
      <c r="Z37" s="22" t="s">
        <v>344</v>
      </c>
      <c r="AA37" s="22" t="s">
        <v>349</v>
      </c>
      <c r="AB37" s="22"/>
      <c r="AC37" s="22" t="s">
        <v>328</v>
      </c>
      <c r="AD37" s="27" t="s">
        <v>71</v>
      </c>
      <c r="AE37" s="22" t="s">
        <v>350</v>
      </c>
      <c r="AF37" s="33" t="s">
        <v>351</v>
      </c>
      <c r="AG37" s="33" t="s">
        <v>352</v>
      </c>
      <c r="AI37" s="25" t="str">
        <f ca="1">IFERROR(__xludf.DUMMYFUNCTION("""COMPUTED_VALUE"""),"60f81e2ad0ab4e15c152cd47")</f>
        <v>60f81e2ad0ab4e15c152cd47</v>
      </c>
      <c r="AJ37" s="25">
        <f t="shared" ca="1" si="0"/>
        <v>1</v>
      </c>
    </row>
    <row r="38" spans="1:36" ht="62">
      <c r="A38" s="7" t="s">
        <v>45</v>
      </c>
      <c r="B38" s="38" t="s">
        <v>353</v>
      </c>
      <c r="C38" s="22" t="s">
        <v>354</v>
      </c>
      <c r="D38" s="23" t="s">
        <v>355</v>
      </c>
      <c r="E38" s="22" t="s">
        <v>49</v>
      </c>
      <c r="F38" s="22" t="s">
        <v>50</v>
      </c>
      <c r="G38" s="22" t="s">
        <v>49</v>
      </c>
      <c r="H38" s="22" t="s">
        <v>2303</v>
      </c>
      <c r="I38" s="22" t="s">
        <v>81</v>
      </c>
      <c r="J38" s="25"/>
      <c r="K38" s="22" t="s">
        <v>356</v>
      </c>
      <c r="L38" s="22" t="s">
        <v>53</v>
      </c>
      <c r="M38" s="22" t="s">
        <v>83</v>
      </c>
      <c r="N38" s="22" t="s">
        <v>59</v>
      </c>
      <c r="O38" s="22" t="s">
        <v>84</v>
      </c>
      <c r="P38" s="22" t="s">
        <v>194</v>
      </c>
      <c r="Q38" s="22" t="s">
        <v>60</v>
      </c>
      <c r="R38" s="25"/>
      <c r="S38" s="22" t="s">
        <v>85</v>
      </c>
      <c r="T38" s="22" t="s">
        <v>62</v>
      </c>
      <c r="U38" s="22" t="s">
        <v>63</v>
      </c>
      <c r="V38" s="22" t="s">
        <v>64</v>
      </c>
      <c r="W38" s="22"/>
      <c r="X38" s="35" t="s">
        <v>332</v>
      </c>
      <c r="Y38" s="22" t="s">
        <v>357</v>
      </c>
      <c r="Z38" s="22" t="s">
        <v>349</v>
      </c>
      <c r="AA38" s="22" t="s">
        <v>358</v>
      </c>
      <c r="AC38" s="22" t="s">
        <v>328</v>
      </c>
      <c r="AD38" s="27" t="s">
        <v>71</v>
      </c>
      <c r="AE38" s="22" t="s">
        <v>350</v>
      </c>
      <c r="AF38" s="33" t="s">
        <v>359</v>
      </c>
      <c r="AG38" s="33" t="s">
        <v>352</v>
      </c>
      <c r="AI38" s="25" t="str">
        <f ca="1">IFERROR(__xludf.DUMMYFUNCTION("""COMPUTED_VALUE"""),"60f8d302aa09fe54566eec0e")</f>
        <v>60f8d302aa09fe54566eec0e</v>
      </c>
      <c r="AJ38" s="25">
        <f t="shared" ca="1" si="0"/>
        <v>1</v>
      </c>
    </row>
    <row r="39" spans="1:36" ht="46.5">
      <c r="A39" s="7" t="s">
        <v>45</v>
      </c>
      <c r="B39" s="38" t="s">
        <v>360</v>
      </c>
      <c r="C39" s="22" t="s">
        <v>361</v>
      </c>
      <c r="D39" s="23" t="s">
        <v>362</v>
      </c>
      <c r="E39" s="22" t="s">
        <v>49</v>
      </c>
      <c r="F39" s="22" t="s">
        <v>50</v>
      </c>
      <c r="G39" s="22" t="s">
        <v>49</v>
      </c>
      <c r="H39" s="22" t="s">
        <v>2303</v>
      </c>
      <c r="I39" s="22" t="s">
        <v>81</v>
      </c>
      <c r="J39" s="25"/>
      <c r="K39" s="22" t="s">
        <v>82</v>
      </c>
      <c r="L39" s="22" t="s">
        <v>53</v>
      </c>
      <c r="M39" s="22" t="s">
        <v>83</v>
      </c>
      <c r="N39" s="22" t="s">
        <v>294</v>
      </c>
      <c r="O39" s="22" t="s">
        <v>84</v>
      </c>
      <c r="P39" s="22" t="s">
        <v>194</v>
      </c>
      <c r="Q39" s="22" t="s">
        <v>60</v>
      </c>
      <c r="R39" s="25"/>
      <c r="S39" s="22" t="s">
        <v>294</v>
      </c>
      <c r="T39" s="22" t="s">
        <v>62</v>
      </c>
      <c r="U39" s="22" t="s">
        <v>63</v>
      </c>
      <c r="V39" s="22" t="s">
        <v>64</v>
      </c>
      <c r="W39" s="25"/>
      <c r="X39" s="35" t="s">
        <v>332</v>
      </c>
      <c r="Y39" s="22" t="s">
        <v>363</v>
      </c>
      <c r="Z39" s="22" t="s">
        <v>364</v>
      </c>
      <c r="AA39" s="22" t="s">
        <v>365</v>
      </c>
      <c r="AC39" s="22" t="s">
        <v>328</v>
      </c>
      <c r="AD39" s="27" t="s">
        <v>71</v>
      </c>
      <c r="AE39" s="22" t="s">
        <v>350</v>
      </c>
      <c r="AF39" s="33" t="s">
        <v>366</v>
      </c>
      <c r="AG39" s="33" t="s">
        <v>352</v>
      </c>
      <c r="AI39" s="25" t="str">
        <f ca="1">IFERROR(__xludf.DUMMYFUNCTION("""COMPUTED_VALUE"""),"60f8f5b32e39434c0520b3f3")</f>
        <v>60f8f5b32e39434c0520b3f3</v>
      </c>
      <c r="AJ39" s="25">
        <f t="shared" ca="1" si="0"/>
        <v>1</v>
      </c>
    </row>
    <row r="40" spans="1:36" ht="31">
      <c r="A40" s="7" t="s">
        <v>45</v>
      </c>
      <c r="B40" s="38" t="s">
        <v>367</v>
      </c>
      <c r="C40" s="22" t="s">
        <v>368</v>
      </c>
      <c r="D40" s="23" t="s">
        <v>369</v>
      </c>
      <c r="E40" s="22" t="s">
        <v>49</v>
      </c>
      <c r="F40" s="22" t="s">
        <v>95</v>
      </c>
      <c r="G40" s="22" t="s">
        <v>49</v>
      </c>
      <c r="H40" s="22" t="s">
        <v>2303</v>
      </c>
      <c r="I40" s="22" t="s">
        <v>52</v>
      </c>
      <c r="J40" s="25"/>
      <c r="K40" s="22" t="s">
        <v>54</v>
      </c>
      <c r="L40" s="22" t="s">
        <v>55</v>
      </c>
      <c r="M40" s="22" t="s">
        <v>56</v>
      </c>
      <c r="N40" s="22" t="s">
        <v>57</v>
      </c>
      <c r="O40" s="22" t="s">
        <v>84</v>
      </c>
      <c r="P40" s="22" t="s">
        <v>57</v>
      </c>
      <c r="Q40" s="22" t="s">
        <v>60</v>
      </c>
      <c r="R40" s="25"/>
      <c r="S40" s="22" t="s">
        <v>85</v>
      </c>
      <c r="T40" s="22" t="s">
        <v>62</v>
      </c>
      <c r="U40" s="22" t="s">
        <v>63</v>
      </c>
      <c r="V40" s="22" t="s">
        <v>64</v>
      </c>
      <c r="W40" s="25"/>
      <c r="X40" s="35" t="s">
        <v>332</v>
      </c>
      <c r="Y40" s="22" t="s">
        <v>288</v>
      </c>
      <c r="Z40" s="22" t="s">
        <v>206</v>
      </c>
      <c r="AA40" s="22" t="s">
        <v>370</v>
      </c>
      <c r="AC40" s="22" t="s">
        <v>328</v>
      </c>
      <c r="AD40" s="27" t="s">
        <v>71</v>
      </c>
      <c r="AE40" s="22" t="s">
        <v>350</v>
      </c>
      <c r="AF40" s="40" t="s">
        <v>371</v>
      </c>
      <c r="AG40" s="33" t="s">
        <v>352</v>
      </c>
      <c r="AI40" s="25" t="str">
        <f ca="1">IFERROR(__xludf.DUMMYFUNCTION("""COMPUTED_VALUE"""),"60f96174c751762520d66192")</f>
        <v>60f96174c751762520d66192</v>
      </c>
      <c r="AJ40" s="25">
        <f t="shared" ca="1" si="0"/>
        <v>1</v>
      </c>
    </row>
    <row r="41" spans="1:36" ht="46.5">
      <c r="A41" s="7" t="s">
        <v>45</v>
      </c>
      <c r="B41" s="38" t="s">
        <v>372</v>
      </c>
      <c r="C41" s="22" t="s">
        <v>373</v>
      </c>
      <c r="D41" s="23" t="s">
        <v>374</v>
      </c>
      <c r="E41" s="22" t="s">
        <v>49</v>
      </c>
      <c r="F41" s="22" t="s">
        <v>95</v>
      </c>
      <c r="G41" s="22" t="s">
        <v>49</v>
      </c>
      <c r="H41" s="22" t="s">
        <v>2303</v>
      </c>
      <c r="I41" s="22" t="s">
        <v>375</v>
      </c>
      <c r="J41" s="25"/>
      <c r="K41" s="22" t="s">
        <v>54</v>
      </c>
      <c r="L41" s="22" t="s">
        <v>53</v>
      </c>
      <c r="M41" s="22" t="s">
        <v>83</v>
      </c>
      <c r="N41" s="22" t="s">
        <v>57</v>
      </c>
      <c r="O41" s="22" t="s">
        <v>84</v>
      </c>
      <c r="P41" s="22" t="s">
        <v>57</v>
      </c>
      <c r="Q41" s="22" t="s">
        <v>60</v>
      </c>
      <c r="R41" s="25"/>
      <c r="S41" s="22" t="s">
        <v>85</v>
      </c>
      <c r="T41" s="22" t="s">
        <v>62</v>
      </c>
      <c r="U41" s="22" t="s">
        <v>63</v>
      </c>
      <c r="V41" s="22" t="s">
        <v>172</v>
      </c>
      <c r="W41" s="22"/>
      <c r="X41" s="35" t="s">
        <v>332</v>
      </c>
      <c r="Y41" s="22" t="s">
        <v>376</v>
      </c>
      <c r="Z41" s="22" t="s">
        <v>308</v>
      </c>
      <c r="AA41" s="22" t="s">
        <v>377</v>
      </c>
      <c r="AC41" s="22" t="s">
        <v>328</v>
      </c>
      <c r="AD41" s="27" t="s">
        <v>71</v>
      </c>
      <c r="AE41" s="22" t="s">
        <v>350</v>
      </c>
      <c r="AF41" s="40" t="s">
        <v>378</v>
      </c>
      <c r="AG41" s="33" t="s">
        <v>352</v>
      </c>
      <c r="AI41" s="25" t="str">
        <f ca="1">IFERROR(__xludf.DUMMYFUNCTION("""COMPUTED_VALUE"""),"60f96994c751762520d66512")</f>
        <v>60f96994c751762520d66512</v>
      </c>
      <c r="AJ41" s="25">
        <f t="shared" ca="1" si="0"/>
        <v>1</v>
      </c>
    </row>
    <row r="42" spans="1:36" ht="46.5">
      <c r="A42" s="7" t="s">
        <v>45</v>
      </c>
      <c r="B42" s="38" t="s">
        <v>379</v>
      </c>
      <c r="C42" s="22" t="s">
        <v>373</v>
      </c>
      <c r="D42" s="23" t="s">
        <v>380</v>
      </c>
      <c r="E42" s="22" t="s">
        <v>53</v>
      </c>
      <c r="F42" s="22" t="s">
        <v>50</v>
      </c>
      <c r="G42" s="22" t="s">
        <v>79</v>
      </c>
      <c r="H42" s="22" t="s">
        <v>2303</v>
      </c>
      <c r="I42" s="22" t="s">
        <v>81</v>
      </c>
      <c r="J42" s="25"/>
      <c r="K42" s="22" t="s">
        <v>182</v>
      </c>
      <c r="L42" s="22" t="s">
        <v>53</v>
      </c>
      <c r="M42" s="22" t="s">
        <v>56</v>
      </c>
      <c r="N42" s="22" t="s">
        <v>59</v>
      </c>
      <c r="O42" s="22" t="s">
        <v>193</v>
      </c>
      <c r="P42" s="22" t="s">
        <v>109</v>
      </c>
      <c r="Q42" s="22" t="s">
        <v>60</v>
      </c>
      <c r="R42" s="25"/>
      <c r="S42" s="22" t="s">
        <v>85</v>
      </c>
      <c r="T42" s="22" t="s">
        <v>62</v>
      </c>
      <c r="U42" s="22" t="s">
        <v>63</v>
      </c>
      <c r="V42" s="22" t="s">
        <v>64</v>
      </c>
      <c r="W42" s="25"/>
      <c r="X42" s="35" t="s">
        <v>332</v>
      </c>
      <c r="Y42" s="22" t="s">
        <v>381</v>
      </c>
      <c r="Z42" s="22" t="s">
        <v>382</v>
      </c>
      <c r="AA42" s="22" t="s">
        <v>383</v>
      </c>
      <c r="AC42" s="22" t="s">
        <v>328</v>
      </c>
      <c r="AD42" s="27" t="s">
        <v>71</v>
      </c>
      <c r="AE42" s="22" t="s">
        <v>350</v>
      </c>
      <c r="AF42" s="40" t="s">
        <v>371</v>
      </c>
      <c r="AG42" s="33" t="s">
        <v>384</v>
      </c>
      <c r="AI42" s="25" t="str">
        <f ca="1">IFERROR(__xludf.DUMMYFUNCTION("""COMPUTED_VALUE"""),"60f96e3fc751762520d66744")</f>
        <v>60f96e3fc751762520d66744</v>
      </c>
      <c r="AJ42" s="25">
        <f t="shared" ca="1" si="0"/>
        <v>1</v>
      </c>
    </row>
    <row r="43" spans="1:36" ht="62">
      <c r="A43" s="7" t="s">
        <v>45</v>
      </c>
      <c r="B43" s="38" t="s">
        <v>385</v>
      </c>
      <c r="C43" s="22" t="s">
        <v>386</v>
      </c>
      <c r="D43" s="23" t="s">
        <v>387</v>
      </c>
      <c r="E43" s="22" t="s">
        <v>49</v>
      </c>
      <c r="F43" s="22" t="s">
        <v>50</v>
      </c>
      <c r="G43" s="22" t="s">
        <v>79</v>
      </c>
      <c r="H43" s="22" t="s">
        <v>51</v>
      </c>
      <c r="I43" s="22" t="s">
        <v>52</v>
      </c>
      <c r="J43" s="25"/>
      <c r="K43" s="22" t="s">
        <v>54</v>
      </c>
      <c r="L43" s="22" t="s">
        <v>55</v>
      </c>
      <c r="M43" s="22" t="s">
        <v>129</v>
      </c>
      <c r="N43" s="22" t="s">
        <v>59</v>
      </c>
      <c r="O43" s="22" t="s">
        <v>84</v>
      </c>
      <c r="P43" s="22" t="s">
        <v>294</v>
      </c>
      <c r="Q43" s="22" t="s">
        <v>86</v>
      </c>
      <c r="R43" s="25"/>
      <c r="S43" s="22" t="s">
        <v>388</v>
      </c>
      <c r="T43" s="22" t="s">
        <v>62</v>
      </c>
      <c r="U43" s="22" t="s">
        <v>63</v>
      </c>
      <c r="V43" s="22" t="s">
        <v>64</v>
      </c>
      <c r="W43" s="22" t="s">
        <v>65</v>
      </c>
      <c r="X43" s="35" t="s">
        <v>389</v>
      </c>
      <c r="Y43" s="22" t="s">
        <v>390</v>
      </c>
      <c r="Z43" s="22" t="s">
        <v>391</v>
      </c>
      <c r="AA43" s="22" t="s">
        <v>138</v>
      </c>
      <c r="AB43" s="22" t="s">
        <v>392</v>
      </c>
      <c r="AC43" s="22" t="s">
        <v>393</v>
      </c>
      <c r="AD43" s="27" t="s">
        <v>71</v>
      </c>
      <c r="AE43" s="22" t="s">
        <v>350</v>
      </c>
      <c r="AF43" s="32" t="s">
        <v>394</v>
      </c>
      <c r="AG43" s="33" t="s">
        <v>352</v>
      </c>
      <c r="AI43" s="25" t="str">
        <f ca="1">IFERROR(__xludf.DUMMYFUNCTION("""COMPUTED_VALUE"""),"60e7c51f9745102151c5d975")</f>
        <v>60e7c51f9745102151c5d975</v>
      </c>
      <c r="AJ43" s="25">
        <f t="shared" ca="1" si="0"/>
        <v>1</v>
      </c>
    </row>
    <row r="44" spans="1:36" ht="46.5">
      <c r="A44" s="7" t="s">
        <v>45</v>
      </c>
      <c r="B44" s="38" t="s">
        <v>395</v>
      </c>
      <c r="C44" s="22" t="s">
        <v>396</v>
      </c>
      <c r="D44" s="23" t="s">
        <v>397</v>
      </c>
      <c r="E44" s="22" t="s">
        <v>49</v>
      </c>
      <c r="F44" s="22" t="s">
        <v>78</v>
      </c>
      <c r="G44" s="22" t="s">
        <v>49</v>
      </c>
      <c r="H44" s="22" t="s">
        <v>126</v>
      </c>
      <c r="I44" s="22" t="s">
        <v>52</v>
      </c>
      <c r="J44" s="25"/>
      <c r="K44" s="22" t="s">
        <v>128</v>
      </c>
      <c r="L44" s="22" t="s">
        <v>53</v>
      </c>
      <c r="M44" s="22" t="s">
        <v>398</v>
      </c>
      <c r="N44" s="22" t="s">
        <v>59</v>
      </c>
      <c r="O44" s="22" t="s">
        <v>84</v>
      </c>
      <c r="P44" s="22" t="s">
        <v>52</v>
      </c>
      <c r="Q44" s="22" t="s">
        <v>60</v>
      </c>
      <c r="R44" s="25"/>
      <c r="S44" s="22" t="s">
        <v>61</v>
      </c>
      <c r="T44" s="22" t="s">
        <v>62</v>
      </c>
      <c r="U44" s="22" t="s">
        <v>63</v>
      </c>
      <c r="V44" s="22" t="s">
        <v>64</v>
      </c>
      <c r="W44" s="22" t="s">
        <v>65</v>
      </c>
      <c r="X44" s="26" t="s">
        <v>389</v>
      </c>
      <c r="Y44" s="22" t="s">
        <v>399</v>
      </c>
      <c r="Z44" s="22" t="s">
        <v>400</v>
      </c>
      <c r="AA44" s="22" t="s">
        <v>401</v>
      </c>
      <c r="AB44" s="22" t="s">
        <v>402</v>
      </c>
      <c r="AC44" s="22" t="s">
        <v>393</v>
      </c>
      <c r="AD44" s="27" t="s">
        <v>71</v>
      </c>
      <c r="AE44" s="22" t="s">
        <v>350</v>
      </c>
      <c r="AF44" s="33"/>
      <c r="AG44" s="34"/>
      <c r="AI44" s="25" t="str">
        <f ca="1">IFERROR(__xludf.DUMMYFUNCTION("""COMPUTED_VALUE"""),"60e7dd229745102151c5e3bd")</f>
        <v>60e7dd229745102151c5e3bd</v>
      </c>
      <c r="AJ44" s="25">
        <f t="shared" ca="1" si="0"/>
        <v>1</v>
      </c>
    </row>
    <row r="45" spans="1:36" ht="46.5">
      <c r="A45" s="7" t="s">
        <v>45</v>
      </c>
      <c r="B45" s="38" t="s">
        <v>403</v>
      </c>
      <c r="C45" s="22" t="s">
        <v>404</v>
      </c>
      <c r="D45" s="23" t="s">
        <v>405</v>
      </c>
      <c r="E45" s="22" t="s">
        <v>49</v>
      </c>
      <c r="F45" s="22" t="s">
        <v>50</v>
      </c>
      <c r="G45" s="22" t="s">
        <v>79</v>
      </c>
      <c r="H45" s="22" t="s">
        <v>51</v>
      </c>
      <c r="I45" s="22" t="s">
        <v>52</v>
      </c>
      <c r="J45" s="25"/>
      <c r="K45" s="22" t="s">
        <v>128</v>
      </c>
      <c r="L45" s="22" t="s">
        <v>55</v>
      </c>
      <c r="M45" s="22" t="s">
        <v>129</v>
      </c>
      <c r="N45" s="22" t="s">
        <v>59</v>
      </c>
      <c r="O45" s="22" t="s">
        <v>84</v>
      </c>
      <c r="P45" s="22" t="s">
        <v>59</v>
      </c>
      <c r="Q45" s="22" t="s">
        <v>86</v>
      </c>
      <c r="R45" s="25"/>
      <c r="S45" s="22" t="s">
        <v>388</v>
      </c>
      <c r="T45" s="22" t="s">
        <v>62</v>
      </c>
      <c r="U45" s="22" t="s">
        <v>63</v>
      </c>
      <c r="V45" s="22" t="s">
        <v>64</v>
      </c>
      <c r="W45" s="22" t="s">
        <v>65</v>
      </c>
      <c r="X45" s="26" t="s">
        <v>389</v>
      </c>
      <c r="Y45" s="22" t="s">
        <v>406</v>
      </c>
      <c r="Z45" s="22" t="s">
        <v>401</v>
      </c>
      <c r="AA45" s="22" t="s">
        <v>407</v>
      </c>
      <c r="AB45" s="22" t="s">
        <v>408</v>
      </c>
      <c r="AC45" s="22" t="s">
        <v>393</v>
      </c>
      <c r="AD45" s="27" t="s">
        <v>71</v>
      </c>
      <c r="AE45" s="22" t="s">
        <v>350</v>
      </c>
      <c r="AF45" s="33" t="s">
        <v>409</v>
      </c>
      <c r="AG45" s="33" t="s">
        <v>410</v>
      </c>
      <c r="AI45" s="25" t="str">
        <f ca="1">IFERROR(__xludf.DUMMYFUNCTION("""COMPUTED_VALUE"""),"60e7ec819745102151c5e7b7")</f>
        <v>60e7ec819745102151c5e7b7</v>
      </c>
      <c r="AJ45" s="25">
        <f t="shared" ca="1" si="0"/>
        <v>1</v>
      </c>
    </row>
    <row r="46" spans="1:36" ht="31">
      <c r="A46" s="7" t="s">
        <v>45</v>
      </c>
      <c r="B46" s="38" t="s">
        <v>411</v>
      </c>
      <c r="C46" s="22" t="s">
        <v>412</v>
      </c>
      <c r="D46" s="23" t="s">
        <v>413</v>
      </c>
      <c r="E46" s="22" t="s">
        <v>49</v>
      </c>
      <c r="F46" s="22" t="s">
        <v>50</v>
      </c>
      <c r="G46" s="22" t="s">
        <v>79</v>
      </c>
      <c r="H46" s="22" t="s">
        <v>51</v>
      </c>
      <c r="I46" s="22" t="s">
        <v>307</v>
      </c>
      <c r="J46" s="25"/>
      <c r="K46" s="22"/>
      <c r="L46" s="22" t="s">
        <v>53</v>
      </c>
      <c r="M46" s="22" t="s">
        <v>56</v>
      </c>
      <c r="N46" s="22" t="s">
        <v>59</v>
      </c>
      <c r="O46" s="22" t="s">
        <v>84</v>
      </c>
      <c r="P46" s="22" t="s">
        <v>109</v>
      </c>
      <c r="Q46" s="22" t="s">
        <v>130</v>
      </c>
      <c r="R46" s="25"/>
      <c r="S46" s="22" t="s">
        <v>294</v>
      </c>
      <c r="T46" s="22" t="s">
        <v>62</v>
      </c>
      <c r="U46" s="22" t="s">
        <v>63</v>
      </c>
      <c r="V46" s="22" t="s">
        <v>64</v>
      </c>
      <c r="W46" s="22" t="s">
        <v>65</v>
      </c>
      <c r="X46" s="26" t="s">
        <v>389</v>
      </c>
      <c r="Y46" s="22" t="s">
        <v>414</v>
      </c>
      <c r="Z46" s="22" t="s">
        <v>415</v>
      </c>
      <c r="AA46" s="22" t="s">
        <v>416</v>
      </c>
      <c r="AB46" s="22" t="s">
        <v>417</v>
      </c>
      <c r="AC46" s="22" t="s">
        <v>393</v>
      </c>
      <c r="AD46" s="27" t="s">
        <v>71</v>
      </c>
      <c r="AE46" s="22" t="s">
        <v>350</v>
      </c>
      <c r="AF46" s="34"/>
      <c r="AG46" s="34"/>
      <c r="AI46" s="25" t="str">
        <f ca="1">IFERROR(__xludf.DUMMYFUNCTION("""COMPUTED_VALUE"""),"60e7fe4a9745102151c5f20b")</f>
        <v>60e7fe4a9745102151c5f20b</v>
      </c>
      <c r="AJ46" s="25">
        <f t="shared" ca="1" si="0"/>
        <v>1</v>
      </c>
    </row>
    <row r="47" spans="1:36" ht="62">
      <c r="A47" s="7" t="s">
        <v>45</v>
      </c>
      <c r="B47" s="38" t="s">
        <v>418</v>
      </c>
      <c r="C47" s="22" t="s">
        <v>419</v>
      </c>
      <c r="D47" s="23" t="s">
        <v>420</v>
      </c>
      <c r="E47" s="22" t="s">
        <v>53</v>
      </c>
      <c r="F47" s="22" t="s">
        <v>95</v>
      </c>
      <c r="G47" s="22" t="s">
        <v>49</v>
      </c>
      <c r="H47" s="22" t="s">
        <v>421</v>
      </c>
      <c r="I47" s="22" t="s">
        <v>81</v>
      </c>
      <c r="J47" s="25"/>
      <c r="K47" s="22" t="s">
        <v>128</v>
      </c>
      <c r="L47" s="22" t="s">
        <v>53</v>
      </c>
      <c r="M47" s="22" t="s">
        <v>56</v>
      </c>
      <c r="N47" s="22" t="s">
        <v>59</v>
      </c>
      <c r="O47" s="22" t="s">
        <v>84</v>
      </c>
      <c r="P47" s="22" t="s">
        <v>422</v>
      </c>
      <c r="Q47" s="22" t="s">
        <v>423</v>
      </c>
      <c r="R47" s="25"/>
      <c r="S47" s="22" t="s">
        <v>388</v>
      </c>
      <c r="T47" s="22" t="s">
        <v>62</v>
      </c>
      <c r="U47" s="22" t="s">
        <v>63</v>
      </c>
      <c r="V47" s="22" t="s">
        <v>64</v>
      </c>
      <c r="W47" s="22" t="s">
        <v>65</v>
      </c>
      <c r="X47" s="26" t="s">
        <v>389</v>
      </c>
      <c r="Y47" s="22" t="s">
        <v>424</v>
      </c>
      <c r="Z47" s="22" t="s">
        <v>416</v>
      </c>
      <c r="AA47" s="22" t="s">
        <v>425</v>
      </c>
      <c r="AB47" s="22" t="s">
        <v>426</v>
      </c>
      <c r="AC47" s="22" t="s">
        <v>393</v>
      </c>
      <c r="AD47" s="27" t="s">
        <v>71</v>
      </c>
      <c r="AE47" s="22" t="s">
        <v>350</v>
      </c>
      <c r="AF47" s="33" t="s">
        <v>427</v>
      </c>
      <c r="AG47" s="33" t="s">
        <v>352</v>
      </c>
      <c r="AI47" s="25" t="str">
        <f ca="1">IFERROR(__xludf.DUMMYFUNCTION("""COMPUTED_VALUE"""),"60e801ca9745102151c5f36a")</f>
        <v>60e801ca9745102151c5f36a</v>
      </c>
      <c r="AJ47" s="25">
        <f t="shared" ca="1" si="0"/>
        <v>1</v>
      </c>
    </row>
    <row r="48" spans="1:36" ht="46.5">
      <c r="A48" s="7" t="s">
        <v>45</v>
      </c>
      <c r="B48" s="38" t="s">
        <v>428</v>
      </c>
      <c r="C48" s="22" t="s">
        <v>429</v>
      </c>
      <c r="D48" s="23" t="s">
        <v>430</v>
      </c>
      <c r="E48" s="22" t="s">
        <v>53</v>
      </c>
      <c r="F48" s="22" t="s">
        <v>95</v>
      </c>
      <c r="G48" s="22" t="s">
        <v>49</v>
      </c>
      <c r="H48" s="22" t="s">
        <v>51</v>
      </c>
      <c r="I48" s="22" t="s">
        <v>81</v>
      </c>
      <c r="J48" s="25"/>
      <c r="K48" s="22" t="s">
        <v>144</v>
      </c>
      <c r="L48" s="22" t="s">
        <v>55</v>
      </c>
      <c r="M48" s="22" t="s">
        <v>56</v>
      </c>
      <c r="N48" s="22" t="s">
        <v>59</v>
      </c>
      <c r="O48" s="22" t="s">
        <v>84</v>
      </c>
      <c r="P48" s="22" t="s">
        <v>194</v>
      </c>
      <c r="Q48" s="22" t="s">
        <v>183</v>
      </c>
      <c r="R48" s="25"/>
      <c r="S48" s="22" t="s">
        <v>294</v>
      </c>
      <c r="T48" s="22" t="s">
        <v>62</v>
      </c>
      <c r="U48" s="22" t="s">
        <v>63</v>
      </c>
      <c r="V48" s="22" t="s">
        <v>64</v>
      </c>
      <c r="W48" s="22" t="s">
        <v>65</v>
      </c>
      <c r="X48" s="26" t="s">
        <v>431</v>
      </c>
      <c r="Y48" s="22" t="s">
        <v>432</v>
      </c>
      <c r="Z48" s="22" t="s">
        <v>433</v>
      </c>
      <c r="AA48" s="22" t="s">
        <v>434</v>
      </c>
      <c r="AB48" s="22" t="s">
        <v>435</v>
      </c>
      <c r="AC48" s="22" t="s">
        <v>393</v>
      </c>
      <c r="AD48" s="27" t="s">
        <v>71</v>
      </c>
      <c r="AE48" s="22" t="s">
        <v>350</v>
      </c>
      <c r="AF48" s="33" t="s">
        <v>436</v>
      </c>
      <c r="AG48" s="33" t="s">
        <v>352</v>
      </c>
      <c r="AI48" s="25" t="str">
        <f ca="1">IFERROR(__xludf.DUMMYFUNCTION("""COMPUTED_VALUE"""),"60e811a29745102151c5f885")</f>
        <v>60e811a29745102151c5f885</v>
      </c>
      <c r="AJ48" s="25">
        <f t="shared" ca="1" si="0"/>
        <v>1</v>
      </c>
    </row>
    <row r="49" spans="1:36" ht="46.5">
      <c r="A49" s="7" t="s">
        <v>45</v>
      </c>
      <c r="B49" s="36" t="s">
        <v>437</v>
      </c>
      <c r="C49" s="22" t="s">
        <v>438</v>
      </c>
      <c r="D49" s="23" t="s">
        <v>439</v>
      </c>
      <c r="E49" s="22" t="s">
        <v>49</v>
      </c>
      <c r="F49" s="22" t="s">
        <v>50</v>
      </c>
      <c r="G49" s="22" t="s">
        <v>49</v>
      </c>
      <c r="H49" s="22" t="s">
        <v>126</v>
      </c>
      <c r="I49" s="22" t="s">
        <v>52</v>
      </c>
      <c r="J49" s="25"/>
      <c r="K49" s="22" t="s">
        <v>182</v>
      </c>
      <c r="L49" s="22" t="s">
        <v>55</v>
      </c>
      <c r="M49" s="22" t="s">
        <v>56</v>
      </c>
      <c r="N49" s="22" t="s">
        <v>59</v>
      </c>
      <c r="O49" s="22" t="s">
        <v>84</v>
      </c>
      <c r="P49" s="22" t="s">
        <v>108</v>
      </c>
      <c r="Q49" s="22" t="s">
        <v>60</v>
      </c>
      <c r="R49" s="25"/>
      <c r="S49" s="22" t="s">
        <v>85</v>
      </c>
      <c r="T49" s="22" t="s">
        <v>62</v>
      </c>
      <c r="U49" s="22" t="s">
        <v>63</v>
      </c>
      <c r="V49" s="22" t="s">
        <v>64</v>
      </c>
      <c r="W49" s="22" t="s">
        <v>65</v>
      </c>
      <c r="X49" s="26" t="s">
        <v>431</v>
      </c>
      <c r="Y49" s="22" t="s">
        <v>440</v>
      </c>
      <c r="Z49" s="22" t="s">
        <v>441</v>
      </c>
      <c r="AA49" s="22" t="s">
        <v>442</v>
      </c>
      <c r="AB49" s="22" t="s">
        <v>443</v>
      </c>
      <c r="AC49" s="22" t="s">
        <v>393</v>
      </c>
      <c r="AD49" s="27" t="s">
        <v>71</v>
      </c>
      <c r="AE49" s="22" t="s">
        <v>350</v>
      </c>
      <c r="AF49" s="32" t="s">
        <v>444</v>
      </c>
      <c r="AG49" s="33" t="s">
        <v>352</v>
      </c>
      <c r="AI49" s="25" t="str">
        <f ca="1">IFERROR(__xludf.DUMMYFUNCTION("""COMPUTED_VALUE"""),"60e81bb59745102151c5fb31")</f>
        <v>60e81bb59745102151c5fb31</v>
      </c>
      <c r="AJ49" s="25">
        <f t="shared" ca="1" si="0"/>
        <v>1</v>
      </c>
    </row>
    <row r="50" spans="1:36" ht="46.5">
      <c r="A50" s="7" t="s">
        <v>45</v>
      </c>
      <c r="B50" s="38" t="s">
        <v>445</v>
      </c>
      <c r="C50" s="22" t="s">
        <v>446</v>
      </c>
      <c r="D50" s="23" t="s">
        <v>447</v>
      </c>
      <c r="E50" s="22" t="s">
        <v>49</v>
      </c>
      <c r="F50" s="22" t="s">
        <v>95</v>
      </c>
      <c r="G50" s="22" t="s">
        <v>49</v>
      </c>
      <c r="H50" s="22" t="s">
        <v>126</v>
      </c>
      <c r="I50" s="22" t="s">
        <v>81</v>
      </c>
      <c r="J50" s="25"/>
      <c r="K50" s="22" t="s">
        <v>144</v>
      </c>
      <c r="L50" s="22" t="s">
        <v>53</v>
      </c>
      <c r="M50" s="22" t="s">
        <v>56</v>
      </c>
      <c r="N50" s="22" t="s">
        <v>59</v>
      </c>
      <c r="O50" s="22" t="s">
        <v>84</v>
      </c>
      <c r="P50" s="22" t="s">
        <v>137</v>
      </c>
      <c r="Q50" s="22" t="s">
        <v>60</v>
      </c>
      <c r="R50" s="25"/>
      <c r="S50" s="22" t="s">
        <v>85</v>
      </c>
      <c r="T50" s="22" t="s">
        <v>62</v>
      </c>
      <c r="U50" s="22" t="s">
        <v>63</v>
      </c>
      <c r="V50" s="22" t="s">
        <v>64</v>
      </c>
      <c r="W50" s="22" t="s">
        <v>65</v>
      </c>
      <c r="X50" s="26" t="s">
        <v>431</v>
      </c>
      <c r="Y50" s="22" t="s">
        <v>448</v>
      </c>
      <c r="Z50" s="22" t="s">
        <v>442</v>
      </c>
      <c r="AA50" s="22" t="s">
        <v>449</v>
      </c>
      <c r="AB50" s="22" t="s">
        <v>450</v>
      </c>
      <c r="AC50" s="22" t="s">
        <v>393</v>
      </c>
      <c r="AD50" s="27" t="s">
        <v>71</v>
      </c>
      <c r="AE50" s="22" t="s">
        <v>350</v>
      </c>
      <c r="AF50" s="33" t="s">
        <v>451</v>
      </c>
      <c r="AG50" s="33" t="s">
        <v>352</v>
      </c>
      <c r="AI50" s="25" t="str">
        <f ca="1">IFERROR(__xludf.DUMMYFUNCTION("""COMPUTED_VALUE"""),"60ebaf9af0f7eb451f79c1af")</f>
        <v>60ebaf9af0f7eb451f79c1af</v>
      </c>
      <c r="AJ50" s="25">
        <f t="shared" ca="1" si="0"/>
        <v>1</v>
      </c>
    </row>
    <row r="51" spans="1:36" ht="46.5">
      <c r="A51" s="7" t="s">
        <v>45</v>
      </c>
      <c r="B51" s="38" t="s">
        <v>452</v>
      </c>
      <c r="C51" s="22" t="s">
        <v>453</v>
      </c>
      <c r="D51" s="23" t="s">
        <v>454</v>
      </c>
      <c r="E51" s="25" t="s">
        <v>455</v>
      </c>
      <c r="F51" s="22" t="s">
        <v>78</v>
      </c>
      <c r="G51" s="25" t="s">
        <v>455</v>
      </c>
      <c r="H51" s="22" t="s">
        <v>80</v>
      </c>
      <c r="I51" s="22" t="s">
        <v>81</v>
      </c>
      <c r="J51" s="22" t="s">
        <v>456</v>
      </c>
      <c r="K51" s="22" t="s">
        <v>128</v>
      </c>
      <c r="L51" s="22" t="s">
        <v>53</v>
      </c>
      <c r="M51" s="22" t="s">
        <v>56</v>
      </c>
      <c r="N51" s="22" t="s">
        <v>59</v>
      </c>
      <c r="O51" s="22" t="s">
        <v>457</v>
      </c>
      <c r="P51" s="22" t="s">
        <v>59</v>
      </c>
      <c r="Q51" s="47" t="s">
        <v>458</v>
      </c>
      <c r="R51" s="25"/>
      <c r="S51" s="47" t="s">
        <v>109</v>
      </c>
      <c r="T51" s="22" t="s">
        <v>62</v>
      </c>
      <c r="U51" s="22" t="s">
        <v>63</v>
      </c>
      <c r="V51" s="22" t="s">
        <v>64</v>
      </c>
      <c r="W51" s="22" t="s">
        <v>65</v>
      </c>
      <c r="X51" s="26" t="s">
        <v>431</v>
      </c>
      <c r="Y51" s="22" t="s">
        <v>459</v>
      </c>
      <c r="Z51" s="22" t="s">
        <v>460</v>
      </c>
      <c r="AA51" s="22" t="s">
        <v>461</v>
      </c>
      <c r="AB51" s="22" t="s">
        <v>462</v>
      </c>
      <c r="AC51" s="22" t="s">
        <v>393</v>
      </c>
      <c r="AD51" s="27" t="s">
        <v>71</v>
      </c>
      <c r="AE51" s="22" t="s">
        <v>350</v>
      </c>
      <c r="AF51" s="32" t="s">
        <v>463</v>
      </c>
      <c r="AG51" s="33" t="s">
        <v>352</v>
      </c>
      <c r="AI51" s="25" t="str">
        <f ca="1">IFERROR(__xludf.DUMMYFUNCTION("""COMPUTED_VALUE"""),"60ebb649f0f7eb451f79c41f")</f>
        <v>60ebb649f0f7eb451f79c41f</v>
      </c>
      <c r="AJ51" s="25">
        <f t="shared" ca="1" si="0"/>
        <v>1</v>
      </c>
    </row>
    <row r="52" spans="1:36" ht="62">
      <c r="A52" s="7" t="s">
        <v>45</v>
      </c>
      <c r="B52" s="38" t="s">
        <v>464</v>
      </c>
      <c r="C52" s="22" t="s">
        <v>465</v>
      </c>
      <c r="D52" s="23" t="s">
        <v>466</v>
      </c>
      <c r="E52" s="22" t="s">
        <v>49</v>
      </c>
      <c r="F52" s="22" t="s">
        <v>78</v>
      </c>
      <c r="G52" s="22" t="s">
        <v>49</v>
      </c>
      <c r="H52" s="22" t="s">
        <v>51</v>
      </c>
      <c r="I52" s="22" t="s">
        <v>81</v>
      </c>
      <c r="J52" s="25"/>
      <c r="K52" s="22" t="s">
        <v>54</v>
      </c>
      <c r="L52" s="22" t="s">
        <v>53</v>
      </c>
      <c r="M52" s="22" t="s">
        <v>56</v>
      </c>
      <c r="N52" s="22" t="s">
        <v>59</v>
      </c>
      <c r="O52" s="22" t="s">
        <v>84</v>
      </c>
      <c r="P52" s="22" t="s">
        <v>194</v>
      </c>
      <c r="Q52" s="22" t="s">
        <v>86</v>
      </c>
      <c r="R52" s="25"/>
      <c r="S52" s="22" t="s">
        <v>467</v>
      </c>
      <c r="T52" s="22" t="s">
        <v>62</v>
      </c>
      <c r="U52" s="22" t="s">
        <v>63</v>
      </c>
      <c r="V52" s="22" t="s">
        <v>118</v>
      </c>
      <c r="W52" s="22" t="s">
        <v>65</v>
      </c>
      <c r="X52" s="26" t="s">
        <v>431</v>
      </c>
      <c r="Y52" s="22" t="s">
        <v>406</v>
      </c>
      <c r="Z52" s="22" t="s">
        <v>468</v>
      </c>
      <c r="AA52" s="22" t="s">
        <v>250</v>
      </c>
      <c r="AB52" s="22" t="s">
        <v>469</v>
      </c>
      <c r="AC52" s="22" t="s">
        <v>393</v>
      </c>
      <c r="AD52" s="27" t="s">
        <v>71</v>
      </c>
      <c r="AE52" s="22" t="s">
        <v>350</v>
      </c>
      <c r="AF52" s="32" t="s">
        <v>470</v>
      </c>
      <c r="AG52" s="33" t="s">
        <v>352</v>
      </c>
      <c r="AI52" s="25" t="str">
        <f ca="1">IFERROR(__xludf.DUMMYFUNCTION("""COMPUTED_VALUE"""),"60ebbd0ef0f7eb451f79c7c7")</f>
        <v>60ebbd0ef0f7eb451f79c7c7</v>
      </c>
      <c r="AJ52" s="25">
        <f t="shared" ca="1" si="0"/>
        <v>1</v>
      </c>
    </row>
    <row r="53" spans="1:36" ht="15.5">
      <c r="A53" s="7" t="s">
        <v>45</v>
      </c>
      <c r="B53" s="48" t="s">
        <v>2304</v>
      </c>
      <c r="C53" s="33"/>
      <c r="D53" s="49"/>
      <c r="E53" s="22"/>
      <c r="F53" s="22"/>
      <c r="G53" s="22"/>
      <c r="H53" s="22"/>
      <c r="I53" s="22"/>
      <c r="J53" s="22"/>
      <c r="K53" s="22"/>
      <c r="L53" s="22"/>
      <c r="M53" s="22"/>
      <c r="N53" s="22"/>
      <c r="O53" s="22"/>
      <c r="P53" s="22"/>
      <c r="Q53" s="22"/>
      <c r="R53" s="25"/>
      <c r="S53" s="7"/>
      <c r="T53" s="22"/>
      <c r="U53" s="22"/>
      <c r="V53" s="22"/>
      <c r="W53" s="22"/>
      <c r="X53" s="22"/>
      <c r="Y53" s="22"/>
      <c r="Z53" s="22"/>
      <c r="AA53" s="22"/>
      <c r="AC53" s="22"/>
      <c r="AD53" s="27" t="s">
        <v>2305</v>
      </c>
      <c r="AE53" s="22"/>
      <c r="AF53" s="32"/>
      <c r="AG53" s="34"/>
      <c r="AI53" s="25" t="str">
        <f ca="1">IFERROR(__xludf.DUMMYFUNCTION("""COMPUTED_VALUE"""),"6082a8e3762aff4c9b471c21")</f>
        <v>6082a8e3762aff4c9b471c21</v>
      </c>
      <c r="AJ53" s="25">
        <f t="shared" ca="1" si="0"/>
        <v>1</v>
      </c>
    </row>
    <row r="54" spans="1:36" ht="46.5">
      <c r="A54" s="7" t="s">
        <v>45</v>
      </c>
      <c r="B54" s="48" t="s">
        <v>471</v>
      </c>
      <c r="C54" s="33" t="s">
        <v>472</v>
      </c>
      <c r="D54" s="49" t="s">
        <v>473</v>
      </c>
      <c r="E54" s="22" t="s">
        <v>49</v>
      </c>
      <c r="F54" s="22" t="s">
        <v>50</v>
      </c>
      <c r="G54" s="22" t="s">
        <v>79</v>
      </c>
      <c r="H54" s="22" t="s">
        <v>51</v>
      </c>
      <c r="I54" s="22" t="s">
        <v>81</v>
      </c>
      <c r="J54" s="22" t="s">
        <v>107</v>
      </c>
      <c r="K54" s="22" t="s">
        <v>144</v>
      </c>
      <c r="L54" s="22" t="s">
        <v>53</v>
      </c>
      <c r="M54" s="22" t="s">
        <v>83</v>
      </c>
      <c r="N54" s="22" t="s">
        <v>59</v>
      </c>
      <c r="O54" s="22" t="s">
        <v>84</v>
      </c>
      <c r="P54" s="22" t="s">
        <v>85</v>
      </c>
      <c r="Q54" s="22" t="s">
        <v>60</v>
      </c>
      <c r="R54" s="25"/>
      <c r="S54" s="7" t="s">
        <v>85</v>
      </c>
      <c r="T54" s="22" t="s">
        <v>62</v>
      </c>
      <c r="U54" s="22" t="s">
        <v>63</v>
      </c>
      <c r="V54" s="22" t="s">
        <v>64</v>
      </c>
      <c r="W54" s="22" t="s">
        <v>65</v>
      </c>
      <c r="X54" s="35" t="s">
        <v>474</v>
      </c>
      <c r="Y54" s="22" t="s">
        <v>195</v>
      </c>
      <c r="Z54" s="22">
        <v>144</v>
      </c>
      <c r="AA54" s="22">
        <v>160</v>
      </c>
      <c r="AC54" s="22" t="s">
        <v>475</v>
      </c>
      <c r="AD54" s="27" t="s">
        <v>71</v>
      </c>
      <c r="AE54" s="22" t="s">
        <v>350</v>
      </c>
      <c r="AF54" s="32" t="s">
        <v>476</v>
      </c>
      <c r="AG54" s="34"/>
      <c r="AI54" s="25" t="str">
        <f ca="1">IFERROR(__xludf.DUMMYFUNCTION("""COMPUTED_VALUE"""),"61029c3d5487713eb51af733")</f>
        <v>61029c3d5487713eb51af733</v>
      </c>
      <c r="AJ54" s="25">
        <f t="shared" ca="1" si="0"/>
        <v>1</v>
      </c>
    </row>
    <row r="55" spans="1:36" ht="46.5">
      <c r="A55" s="7" t="s">
        <v>45</v>
      </c>
      <c r="B55" s="48" t="s">
        <v>477</v>
      </c>
      <c r="C55" s="33" t="s">
        <v>472</v>
      </c>
      <c r="D55" s="49" t="s">
        <v>473</v>
      </c>
      <c r="E55" s="22" t="s">
        <v>49</v>
      </c>
      <c r="F55" s="22" t="s">
        <v>50</v>
      </c>
      <c r="G55" s="22" t="s">
        <v>79</v>
      </c>
      <c r="H55" s="22" t="s">
        <v>51</v>
      </c>
      <c r="I55" s="22" t="s">
        <v>81</v>
      </c>
      <c r="J55" s="22" t="s">
        <v>107</v>
      </c>
      <c r="K55" s="22" t="s">
        <v>144</v>
      </c>
      <c r="L55" s="22" t="s">
        <v>53</v>
      </c>
      <c r="M55" s="22" t="s">
        <v>83</v>
      </c>
      <c r="N55" s="22" t="s">
        <v>59</v>
      </c>
      <c r="O55" s="22" t="s">
        <v>84</v>
      </c>
      <c r="P55" s="22" t="s">
        <v>85</v>
      </c>
      <c r="Q55" s="22" t="s">
        <v>60</v>
      </c>
      <c r="R55" s="25"/>
      <c r="S55" s="7" t="s">
        <v>85</v>
      </c>
      <c r="T55" s="22" t="s">
        <v>62</v>
      </c>
      <c r="U55" s="22" t="s">
        <v>63</v>
      </c>
      <c r="V55" s="22" t="s">
        <v>64</v>
      </c>
      <c r="W55" s="22" t="s">
        <v>65</v>
      </c>
      <c r="X55" s="35" t="s">
        <v>474</v>
      </c>
      <c r="Y55" s="22" t="s">
        <v>195</v>
      </c>
      <c r="Z55" s="22">
        <v>144</v>
      </c>
      <c r="AA55" s="22">
        <v>160</v>
      </c>
      <c r="AC55" s="22" t="s">
        <v>475</v>
      </c>
      <c r="AD55" s="27" t="s">
        <v>71</v>
      </c>
      <c r="AE55" s="22" t="s">
        <v>478</v>
      </c>
      <c r="AF55" s="28"/>
      <c r="AG55" s="34"/>
      <c r="AI55" s="25" t="str">
        <f ca="1">IFERROR(__xludf.DUMMYFUNCTION("""COMPUTED_VALUE"""),"60e2bc307f9231285538feaa")</f>
        <v>60e2bc307f9231285538feaa</v>
      </c>
      <c r="AJ55" s="25">
        <f t="shared" ca="1" si="0"/>
        <v>1</v>
      </c>
    </row>
    <row r="56" spans="1:36" ht="46.5">
      <c r="A56" s="7" t="s">
        <v>45</v>
      </c>
      <c r="B56" s="36" t="s">
        <v>479</v>
      </c>
      <c r="C56" s="33" t="s">
        <v>480</v>
      </c>
      <c r="D56" s="49" t="s">
        <v>481</v>
      </c>
      <c r="E56" s="22" t="s">
        <v>49</v>
      </c>
      <c r="F56" s="22" t="s">
        <v>50</v>
      </c>
      <c r="G56" s="22" t="s">
        <v>49</v>
      </c>
      <c r="H56" s="22" t="s">
        <v>51</v>
      </c>
      <c r="I56" s="22" t="s">
        <v>81</v>
      </c>
      <c r="J56" s="22" t="s">
        <v>107</v>
      </c>
      <c r="K56" s="22" t="s">
        <v>54</v>
      </c>
      <c r="L56" s="22" t="s">
        <v>53</v>
      </c>
      <c r="M56" s="22" t="s">
        <v>83</v>
      </c>
      <c r="N56" s="22" t="s">
        <v>59</v>
      </c>
      <c r="O56" s="22" t="s">
        <v>84</v>
      </c>
      <c r="P56" s="22" t="s">
        <v>108</v>
      </c>
      <c r="Q56" s="22" t="s">
        <v>183</v>
      </c>
      <c r="R56" s="25"/>
      <c r="S56" s="7" t="s">
        <v>61</v>
      </c>
      <c r="T56" s="22" t="s">
        <v>62</v>
      </c>
      <c r="U56" s="22" t="s">
        <v>63</v>
      </c>
      <c r="V56" s="22" t="s">
        <v>64</v>
      </c>
      <c r="W56" s="22" t="s">
        <v>65</v>
      </c>
      <c r="X56" s="26" t="s">
        <v>482</v>
      </c>
      <c r="Y56" s="22" t="s">
        <v>131</v>
      </c>
      <c r="Z56" s="22">
        <v>187</v>
      </c>
      <c r="AA56" s="22">
        <v>199</v>
      </c>
      <c r="AC56" s="22" t="s">
        <v>475</v>
      </c>
      <c r="AD56" s="27" t="s">
        <v>71</v>
      </c>
      <c r="AE56" s="22" t="s">
        <v>478</v>
      </c>
      <c r="AF56" s="28"/>
      <c r="AG56" s="29"/>
      <c r="AI56" s="25" t="str">
        <f ca="1">IFERROR(__xludf.DUMMYFUNCTION("""COMPUTED_VALUE"""),"6103652269d91b4f11bb4a50")</f>
        <v>6103652269d91b4f11bb4a50</v>
      </c>
      <c r="AJ56" s="25">
        <f t="shared" ca="1" si="0"/>
        <v>1</v>
      </c>
    </row>
    <row r="57" spans="1:36" ht="46.5">
      <c r="A57" s="7" t="s">
        <v>45</v>
      </c>
      <c r="B57" s="36" t="s">
        <v>483</v>
      </c>
      <c r="C57" s="33" t="s">
        <v>484</v>
      </c>
      <c r="D57" s="49" t="s">
        <v>485</v>
      </c>
      <c r="E57" s="22" t="s">
        <v>49</v>
      </c>
      <c r="F57" s="22" t="s">
        <v>50</v>
      </c>
      <c r="G57" s="22" t="s">
        <v>49</v>
      </c>
      <c r="H57" s="22" t="s">
        <v>51</v>
      </c>
      <c r="I57" s="22" t="s">
        <v>307</v>
      </c>
      <c r="J57" s="22" t="s">
        <v>53</v>
      </c>
      <c r="K57" s="22" t="s">
        <v>82</v>
      </c>
      <c r="L57" s="22" t="s">
        <v>53</v>
      </c>
      <c r="M57" s="22" t="s">
        <v>83</v>
      </c>
      <c r="N57" s="22" t="s">
        <v>59</v>
      </c>
      <c r="O57" s="22" t="s">
        <v>84</v>
      </c>
      <c r="P57" s="22" t="s">
        <v>137</v>
      </c>
      <c r="Q57" s="22" t="s">
        <v>60</v>
      </c>
      <c r="R57" s="25"/>
      <c r="S57" s="22" t="s">
        <v>85</v>
      </c>
      <c r="T57" s="22" t="s">
        <v>62</v>
      </c>
      <c r="U57" s="22" t="s">
        <v>63</v>
      </c>
      <c r="V57" s="22" t="s">
        <v>64</v>
      </c>
      <c r="W57" s="22" t="s">
        <v>65</v>
      </c>
      <c r="X57" s="35" t="s">
        <v>486</v>
      </c>
      <c r="Y57" s="22" t="s">
        <v>342</v>
      </c>
      <c r="Z57" s="22">
        <v>199</v>
      </c>
      <c r="AA57" s="22">
        <v>211</v>
      </c>
      <c r="AC57" s="22" t="s">
        <v>475</v>
      </c>
      <c r="AD57" s="27" t="s">
        <v>71</v>
      </c>
      <c r="AE57" s="22" t="s">
        <v>478</v>
      </c>
      <c r="AF57" s="28"/>
      <c r="AG57" s="34"/>
      <c r="AI57" s="25" t="str">
        <f ca="1">IFERROR(__xludf.DUMMYFUNCTION("""COMPUTED_VALUE"""),"6103785d69d91b4f11bb5276")</f>
        <v>6103785d69d91b4f11bb5276</v>
      </c>
      <c r="AJ57" s="25">
        <f t="shared" ca="1" si="0"/>
        <v>1</v>
      </c>
    </row>
    <row r="58" spans="1:36" ht="46.5">
      <c r="A58" s="7" t="s">
        <v>45</v>
      </c>
      <c r="B58" s="36" t="s">
        <v>487</v>
      </c>
      <c r="C58" s="33" t="s">
        <v>488</v>
      </c>
      <c r="D58" s="49" t="s">
        <v>489</v>
      </c>
      <c r="E58" s="22" t="s">
        <v>49</v>
      </c>
      <c r="F58" s="22" t="s">
        <v>95</v>
      </c>
      <c r="G58" s="22" t="s">
        <v>79</v>
      </c>
      <c r="H58" s="22" t="s">
        <v>51</v>
      </c>
      <c r="I58" s="22" t="s">
        <v>81</v>
      </c>
      <c r="J58" s="22" t="s">
        <v>53</v>
      </c>
      <c r="K58" s="22" t="s">
        <v>54</v>
      </c>
      <c r="L58" s="22" t="s">
        <v>53</v>
      </c>
      <c r="M58" s="22" t="s">
        <v>83</v>
      </c>
      <c r="N58" s="22" t="s">
        <v>59</v>
      </c>
      <c r="O58" s="22" t="s">
        <v>490</v>
      </c>
      <c r="P58" s="22" t="s">
        <v>85</v>
      </c>
      <c r="Q58" s="22" t="s">
        <v>60</v>
      </c>
      <c r="R58" s="25"/>
      <c r="S58" s="22" t="s">
        <v>85</v>
      </c>
      <c r="T58" s="22" t="s">
        <v>62</v>
      </c>
      <c r="U58" s="22" t="s">
        <v>63</v>
      </c>
      <c r="V58" s="22" t="s">
        <v>64</v>
      </c>
      <c r="W58" s="22" t="s">
        <v>65</v>
      </c>
      <c r="X58" s="26" t="s">
        <v>491</v>
      </c>
      <c r="Y58" s="22" t="s">
        <v>357</v>
      </c>
      <c r="Z58" s="22">
        <v>223</v>
      </c>
      <c r="AA58" s="22">
        <v>238</v>
      </c>
      <c r="AC58" s="22" t="s">
        <v>475</v>
      </c>
      <c r="AD58" s="27" t="s">
        <v>71</v>
      </c>
      <c r="AE58" s="22" t="s">
        <v>478</v>
      </c>
      <c r="AF58" s="28"/>
      <c r="AG58" s="34"/>
      <c r="AI58" s="25" t="str">
        <f ca="1">IFERROR(__xludf.DUMMYFUNCTION("""COMPUTED_VALUE"""),"6103966269d91b4f11bb56b0")</f>
        <v>6103966269d91b4f11bb56b0</v>
      </c>
      <c r="AJ58" s="25">
        <f t="shared" ca="1" si="0"/>
        <v>1</v>
      </c>
    </row>
    <row r="59" spans="1:36" ht="62">
      <c r="A59" s="7" t="s">
        <v>45</v>
      </c>
      <c r="B59" s="36" t="s">
        <v>492</v>
      </c>
      <c r="C59" s="33" t="s">
        <v>493</v>
      </c>
      <c r="D59" s="49" t="s">
        <v>494</v>
      </c>
      <c r="E59" s="22" t="s">
        <v>49</v>
      </c>
      <c r="F59" s="22" t="s">
        <v>50</v>
      </c>
      <c r="G59" s="22" t="s">
        <v>79</v>
      </c>
      <c r="H59" s="22" t="s">
        <v>126</v>
      </c>
      <c r="I59" s="22" t="s">
        <v>307</v>
      </c>
      <c r="J59" s="22" t="s">
        <v>107</v>
      </c>
      <c r="K59" s="22" t="s">
        <v>144</v>
      </c>
      <c r="L59" s="22" t="s">
        <v>53</v>
      </c>
      <c r="M59" s="22" t="s">
        <v>83</v>
      </c>
      <c r="N59" s="22" t="s">
        <v>59</v>
      </c>
      <c r="O59" s="22" t="s">
        <v>84</v>
      </c>
      <c r="P59" s="22" t="s">
        <v>108</v>
      </c>
      <c r="Q59" s="22" t="s">
        <v>60</v>
      </c>
      <c r="R59" s="25"/>
      <c r="S59" s="22" t="s">
        <v>61</v>
      </c>
      <c r="T59" s="22" t="s">
        <v>62</v>
      </c>
      <c r="U59" s="22" t="s">
        <v>63</v>
      </c>
      <c r="V59" s="22" t="s">
        <v>64</v>
      </c>
      <c r="W59" s="22" t="s">
        <v>65</v>
      </c>
      <c r="X59" s="26" t="s">
        <v>495</v>
      </c>
      <c r="Y59" s="22" t="s">
        <v>496</v>
      </c>
      <c r="Z59" s="22">
        <v>303</v>
      </c>
      <c r="AA59" s="22">
        <v>314</v>
      </c>
      <c r="AB59" s="22" t="s">
        <v>497</v>
      </c>
      <c r="AC59" s="22" t="s">
        <v>475</v>
      </c>
      <c r="AD59" s="27" t="s">
        <v>71</v>
      </c>
      <c r="AE59" s="22" t="s">
        <v>478</v>
      </c>
      <c r="AF59" s="34"/>
      <c r="AG59" s="34"/>
      <c r="AI59" s="25" t="str">
        <f ca="1">IFERROR(__xludf.DUMMYFUNCTION("""COMPUTED_VALUE"""),"6103c20b69d91b4f11bb5f86")</f>
        <v>6103c20b69d91b4f11bb5f86</v>
      </c>
      <c r="AJ59" s="25">
        <f t="shared" ca="1" si="0"/>
        <v>1</v>
      </c>
    </row>
    <row r="60" spans="1:36" ht="46.5">
      <c r="A60" s="7" t="s">
        <v>45</v>
      </c>
      <c r="B60" s="36" t="s">
        <v>498</v>
      </c>
      <c r="C60" s="33" t="s">
        <v>499</v>
      </c>
      <c r="D60" s="49" t="s">
        <v>500</v>
      </c>
      <c r="E60" s="22" t="s">
        <v>49</v>
      </c>
      <c r="F60" s="22" t="s">
        <v>95</v>
      </c>
      <c r="G60" s="22" t="s">
        <v>49</v>
      </c>
      <c r="H60" s="22" t="s">
        <v>80</v>
      </c>
      <c r="I60" s="22" t="s">
        <v>81</v>
      </c>
      <c r="J60" s="22" t="s">
        <v>501</v>
      </c>
      <c r="K60" s="22" t="s">
        <v>54</v>
      </c>
      <c r="L60" s="22" t="s">
        <v>53</v>
      </c>
      <c r="M60" s="22" t="s">
        <v>83</v>
      </c>
      <c r="N60" s="22" t="s">
        <v>59</v>
      </c>
      <c r="O60" s="22" t="s">
        <v>84</v>
      </c>
      <c r="P60" s="22" t="s">
        <v>137</v>
      </c>
      <c r="Q60" s="22" t="s">
        <v>60</v>
      </c>
      <c r="R60" s="25"/>
      <c r="S60" s="22" t="s">
        <v>85</v>
      </c>
      <c r="T60" s="22" t="s">
        <v>62</v>
      </c>
      <c r="U60" s="22" t="s">
        <v>63</v>
      </c>
      <c r="V60" s="22" t="s">
        <v>64</v>
      </c>
      <c r="W60" s="22" t="s">
        <v>65</v>
      </c>
      <c r="X60" s="35" t="s">
        <v>502</v>
      </c>
      <c r="Y60" s="22" t="s">
        <v>503</v>
      </c>
      <c r="Z60" s="22">
        <v>28</v>
      </c>
      <c r="AA60" s="22">
        <v>41</v>
      </c>
      <c r="AC60" s="22" t="s">
        <v>475</v>
      </c>
      <c r="AD60" s="27" t="s">
        <v>71</v>
      </c>
      <c r="AE60" s="22" t="s">
        <v>478</v>
      </c>
      <c r="AF60" s="34"/>
      <c r="AG60" s="34"/>
      <c r="AI60" s="25" t="str">
        <f ca="1">IFERROR(__xludf.DUMMYFUNCTION("""COMPUTED_VALUE"""),"610793b6ff136d618e32adb4")</f>
        <v>610793b6ff136d618e32adb4</v>
      </c>
      <c r="AJ60" s="25">
        <f t="shared" ca="1" si="0"/>
        <v>1</v>
      </c>
    </row>
    <row r="61" spans="1:36" ht="31">
      <c r="A61" s="7" t="s">
        <v>45</v>
      </c>
      <c r="B61" s="36" t="s">
        <v>504</v>
      </c>
      <c r="C61" s="22" t="s">
        <v>505</v>
      </c>
      <c r="D61" s="49" t="s">
        <v>506</v>
      </c>
      <c r="E61" s="22" t="s">
        <v>49</v>
      </c>
      <c r="F61" s="22" t="s">
        <v>50</v>
      </c>
      <c r="G61" s="22" t="s">
        <v>49</v>
      </c>
      <c r="H61" s="22" t="s">
        <v>51</v>
      </c>
      <c r="I61" s="22" t="s">
        <v>81</v>
      </c>
      <c r="J61" s="22" t="s">
        <v>109</v>
      </c>
      <c r="K61" s="22" t="s">
        <v>182</v>
      </c>
      <c r="L61" s="22" t="s">
        <v>53</v>
      </c>
      <c r="M61" s="22" t="s">
        <v>83</v>
      </c>
      <c r="N61" s="22" t="s">
        <v>59</v>
      </c>
      <c r="O61" s="22" t="s">
        <v>84</v>
      </c>
      <c r="P61" s="22" t="s">
        <v>137</v>
      </c>
      <c r="Q61" s="22" t="s">
        <v>183</v>
      </c>
      <c r="R61" s="25"/>
      <c r="S61" s="22" t="s">
        <v>85</v>
      </c>
      <c r="T61" s="22" t="s">
        <v>62</v>
      </c>
      <c r="U61" s="22" t="s">
        <v>63</v>
      </c>
      <c r="V61" s="22" t="s">
        <v>64</v>
      </c>
      <c r="W61" s="22" t="s">
        <v>65</v>
      </c>
      <c r="X61" s="26" t="s">
        <v>507</v>
      </c>
      <c r="Y61" s="22" t="s">
        <v>120</v>
      </c>
      <c r="Z61" s="22">
        <v>73</v>
      </c>
      <c r="AA61" s="22">
        <v>83</v>
      </c>
      <c r="AC61" s="22" t="s">
        <v>475</v>
      </c>
      <c r="AD61" s="27" t="s">
        <v>71</v>
      </c>
      <c r="AE61" s="22" t="s">
        <v>478</v>
      </c>
      <c r="AF61" s="34"/>
      <c r="AG61" s="34"/>
      <c r="AI61" s="25" t="str">
        <f ca="1">IFERROR(__xludf.DUMMYFUNCTION("""COMPUTED_VALUE"""),"6107a4baff136d618e32b212")</f>
        <v>6107a4baff136d618e32b212</v>
      </c>
      <c r="AJ61" s="25">
        <f t="shared" ca="1" si="0"/>
        <v>1</v>
      </c>
    </row>
    <row r="62" spans="1:36" ht="31">
      <c r="A62" s="7" t="s">
        <v>45</v>
      </c>
      <c r="B62" s="36" t="s">
        <v>508</v>
      </c>
      <c r="C62" s="22" t="s">
        <v>509</v>
      </c>
      <c r="D62" s="49" t="s">
        <v>510</v>
      </c>
      <c r="E62" s="22" t="s">
        <v>49</v>
      </c>
      <c r="F62" s="22" t="s">
        <v>95</v>
      </c>
      <c r="G62" s="22" t="s">
        <v>79</v>
      </c>
      <c r="H62" s="22" t="s">
        <v>126</v>
      </c>
      <c r="I62" s="22" t="s">
        <v>81</v>
      </c>
      <c r="J62" s="22" t="s">
        <v>53</v>
      </c>
      <c r="K62" s="22" t="s">
        <v>144</v>
      </c>
      <c r="L62" s="22" t="s">
        <v>53</v>
      </c>
      <c r="M62" s="22" t="s">
        <v>83</v>
      </c>
      <c r="N62" s="22" t="s">
        <v>59</v>
      </c>
      <c r="O62" s="22" t="s">
        <v>84</v>
      </c>
      <c r="P62" s="22" t="s">
        <v>85</v>
      </c>
      <c r="Q62" s="22" t="s">
        <v>60</v>
      </c>
      <c r="R62" s="25"/>
      <c r="S62" s="22" t="s">
        <v>85</v>
      </c>
      <c r="T62" s="22" t="s">
        <v>62</v>
      </c>
      <c r="U62" s="22" t="s">
        <v>63</v>
      </c>
      <c r="V62" s="22" t="s">
        <v>64</v>
      </c>
      <c r="W62" s="22" t="s">
        <v>65</v>
      </c>
      <c r="X62" s="35" t="s">
        <v>511</v>
      </c>
      <c r="Y62" s="22" t="s">
        <v>89</v>
      </c>
      <c r="Z62" s="22">
        <v>98</v>
      </c>
      <c r="AA62" s="22">
        <v>109</v>
      </c>
      <c r="AC62" s="22" t="s">
        <v>475</v>
      </c>
      <c r="AD62" s="27" t="s">
        <v>71</v>
      </c>
      <c r="AE62" s="22" t="s">
        <v>478</v>
      </c>
      <c r="AF62" s="34"/>
      <c r="AG62" s="34"/>
      <c r="AI62" s="25" t="str">
        <f ca="1">IFERROR(__xludf.DUMMYFUNCTION("""COMPUTED_VALUE"""),"6107ada9ff136d618e32b70a")</f>
        <v>6107ada9ff136d618e32b70a</v>
      </c>
      <c r="AJ62" s="25">
        <f t="shared" ca="1" si="0"/>
        <v>1</v>
      </c>
    </row>
    <row r="63" spans="1:36" ht="31">
      <c r="A63" s="7" t="s">
        <v>45</v>
      </c>
      <c r="B63" s="36" t="s">
        <v>512</v>
      </c>
      <c r="C63" s="22" t="s">
        <v>513</v>
      </c>
      <c r="D63" s="49" t="s">
        <v>514</v>
      </c>
      <c r="E63" s="22" t="s">
        <v>49</v>
      </c>
      <c r="F63" s="22" t="s">
        <v>95</v>
      </c>
      <c r="G63" s="22" t="s">
        <v>79</v>
      </c>
      <c r="H63" s="22" t="s">
        <v>126</v>
      </c>
      <c r="I63" s="22" t="s">
        <v>307</v>
      </c>
      <c r="J63" s="22" t="s">
        <v>53</v>
      </c>
      <c r="K63" s="22" t="s">
        <v>144</v>
      </c>
      <c r="L63" s="22" t="s">
        <v>53</v>
      </c>
      <c r="M63" s="22" t="s">
        <v>83</v>
      </c>
      <c r="N63" s="22" t="s">
        <v>57</v>
      </c>
      <c r="O63" s="22" t="s">
        <v>84</v>
      </c>
      <c r="P63" s="22" t="s">
        <v>85</v>
      </c>
      <c r="Q63" s="22" t="s">
        <v>60</v>
      </c>
      <c r="R63" s="25"/>
      <c r="S63" s="22" t="s">
        <v>61</v>
      </c>
      <c r="T63" s="22" t="s">
        <v>62</v>
      </c>
      <c r="U63" s="22" t="s">
        <v>515</v>
      </c>
      <c r="V63" s="22" t="s">
        <v>118</v>
      </c>
      <c r="W63" s="22" t="s">
        <v>65</v>
      </c>
      <c r="X63" s="26" t="s">
        <v>516</v>
      </c>
      <c r="Y63" s="22" t="s">
        <v>357</v>
      </c>
      <c r="Z63" s="22">
        <v>213</v>
      </c>
      <c r="AA63" s="22">
        <v>227</v>
      </c>
      <c r="AB63" s="22" t="s">
        <v>517</v>
      </c>
      <c r="AC63" s="22" t="s">
        <v>475</v>
      </c>
      <c r="AD63" s="27" t="s">
        <v>71</v>
      </c>
      <c r="AE63" s="22" t="s">
        <v>478</v>
      </c>
      <c r="AF63" s="34"/>
      <c r="AG63" s="34"/>
      <c r="AI63" s="25" t="str">
        <f ca="1">IFERROR(__xludf.DUMMYFUNCTION("""COMPUTED_VALUE"""),"6107cc16ff136d618e32c5ca")</f>
        <v>6107cc16ff136d618e32c5ca</v>
      </c>
      <c r="AJ63" s="25">
        <f t="shared" ca="1" si="0"/>
        <v>1</v>
      </c>
    </row>
    <row r="64" spans="1:36" ht="31">
      <c r="A64" s="7" t="s">
        <v>45</v>
      </c>
      <c r="B64" s="36" t="s">
        <v>518</v>
      </c>
      <c r="C64" s="50" t="s">
        <v>519</v>
      </c>
      <c r="D64" s="49" t="s">
        <v>520</v>
      </c>
      <c r="E64" s="22" t="s">
        <v>49</v>
      </c>
      <c r="F64" s="22" t="s">
        <v>50</v>
      </c>
      <c r="G64" s="22" t="s">
        <v>49</v>
      </c>
      <c r="H64" s="22" t="s">
        <v>126</v>
      </c>
      <c r="I64" s="22" t="s">
        <v>307</v>
      </c>
      <c r="J64" s="22" t="s">
        <v>53</v>
      </c>
      <c r="K64" s="22" t="s">
        <v>144</v>
      </c>
      <c r="L64" s="22" t="s">
        <v>53</v>
      </c>
      <c r="M64" s="22" t="s">
        <v>83</v>
      </c>
      <c r="N64" s="22" t="s">
        <v>348</v>
      </c>
      <c r="O64" s="22" t="s">
        <v>84</v>
      </c>
      <c r="P64" s="22" t="s">
        <v>59</v>
      </c>
      <c r="Q64" s="22" t="s">
        <v>60</v>
      </c>
      <c r="R64" s="25"/>
      <c r="S64" s="22" t="s">
        <v>61</v>
      </c>
      <c r="T64" s="22" t="s">
        <v>62</v>
      </c>
      <c r="U64" s="22" t="s">
        <v>63</v>
      </c>
      <c r="V64" s="22" t="s">
        <v>64</v>
      </c>
      <c r="W64" s="22" t="s">
        <v>65</v>
      </c>
      <c r="X64" s="35" t="s">
        <v>521</v>
      </c>
      <c r="Y64" s="22" t="s">
        <v>67</v>
      </c>
      <c r="Z64" s="22">
        <v>252</v>
      </c>
      <c r="AA64" s="22">
        <v>263</v>
      </c>
      <c r="AC64" s="22" t="s">
        <v>475</v>
      </c>
      <c r="AD64" s="27" t="s">
        <v>71</v>
      </c>
      <c r="AE64" s="22" t="s">
        <v>478</v>
      </c>
      <c r="AF64" s="34"/>
      <c r="AG64" s="34"/>
      <c r="AI64" s="25" t="str">
        <f ca="1">IFERROR(__xludf.DUMMYFUNCTION("""COMPUTED_VALUE"""),"610a2fc713be3a564d6fe3f5")</f>
        <v>610a2fc713be3a564d6fe3f5</v>
      </c>
      <c r="AJ64" s="25">
        <f t="shared" ca="1" si="0"/>
        <v>1</v>
      </c>
    </row>
    <row r="65" spans="1:36" ht="46.5">
      <c r="A65" s="7" t="s">
        <v>45</v>
      </c>
      <c r="B65" s="51" t="s">
        <v>522</v>
      </c>
      <c r="C65" s="22" t="s">
        <v>93</v>
      </c>
      <c r="D65" s="23" t="s">
        <v>523</v>
      </c>
      <c r="E65" s="22" t="s">
        <v>49</v>
      </c>
      <c r="F65" s="22" t="s">
        <v>95</v>
      </c>
      <c r="G65" s="22" t="s">
        <v>79</v>
      </c>
      <c r="H65" s="22" t="s">
        <v>126</v>
      </c>
      <c r="I65" s="22" t="s">
        <v>52</v>
      </c>
      <c r="J65" s="22" t="s">
        <v>53</v>
      </c>
      <c r="K65" s="22" t="s">
        <v>144</v>
      </c>
      <c r="L65" s="22" t="s">
        <v>55</v>
      </c>
      <c r="M65" s="22" t="s">
        <v>83</v>
      </c>
      <c r="N65" s="22" t="s">
        <v>59</v>
      </c>
      <c r="O65" s="22" t="s">
        <v>97</v>
      </c>
      <c r="P65" s="22" t="s">
        <v>59</v>
      </c>
      <c r="Q65" s="22" t="s">
        <v>98</v>
      </c>
      <c r="R65" s="25"/>
      <c r="S65" s="22" t="s">
        <v>61</v>
      </c>
      <c r="T65" s="22" t="s">
        <v>62</v>
      </c>
      <c r="U65" s="22" t="s">
        <v>63</v>
      </c>
      <c r="V65" s="22" t="s">
        <v>64</v>
      </c>
      <c r="W65" s="25"/>
      <c r="X65" s="26" t="s">
        <v>524</v>
      </c>
      <c r="Y65" s="22" t="s">
        <v>525</v>
      </c>
      <c r="Z65" s="22" t="s">
        <v>526</v>
      </c>
      <c r="AA65" s="22" t="s">
        <v>527</v>
      </c>
      <c r="AC65" s="22" t="s">
        <v>70</v>
      </c>
      <c r="AD65" s="27" t="s">
        <v>71</v>
      </c>
      <c r="AE65" s="22" t="s">
        <v>478</v>
      </c>
      <c r="AF65" s="34"/>
      <c r="AG65" s="33" t="s">
        <v>528</v>
      </c>
      <c r="AI65" s="25" t="str">
        <f ca="1">IFERROR(__xludf.DUMMYFUNCTION("""COMPUTED_VALUE"""),"606f185ee490261c63fe020b")</f>
        <v>606f185ee490261c63fe020b</v>
      </c>
      <c r="AJ65" s="25">
        <f t="shared" ca="1" si="0"/>
        <v>1</v>
      </c>
    </row>
    <row r="66" spans="1:36" ht="46.5">
      <c r="A66" s="7" t="s">
        <v>45</v>
      </c>
      <c r="B66" s="51" t="s">
        <v>529</v>
      </c>
      <c r="C66" s="22" t="s">
        <v>530</v>
      </c>
      <c r="D66" s="23" t="s">
        <v>531</v>
      </c>
      <c r="E66" s="22" t="s">
        <v>49</v>
      </c>
      <c r="F66" s="22" t="s">
        <v>78</v>
      </c>
      <c r="G66" s="22" t="s">
        <v>49</v>
      </c>
      <c r="H66" s="22" t="s">
        <v>51</v>
      </c>
      <c r="I66" s="22" t="s">
        <v>81</v>
      </c>
      <c r="J66" s="22" t="s">
        <v>127</v>
      </c>
      <c r="K66" s="22" t="s">
        <v>356</v>
      </c>
      <c r="L66" s="22" t="s">
        <v>53</v>
      </c>
      <c r="M66" s="22" t="s">
        <v>83</v>
      </c>
      <c r="N66" s="22" t="s">
        <v>59</v>
      </c>
      <c r="O66" s="22" t="s">
        <v>84</v>
      </c>
      <c r="P66" s="22" t="s">
        <v>137</v>
      </c>
      <c r="Q66" s="22" t="s">
        <v>60</v>
      </c>
      <c r="R66" s="25"/>
      <c r="S66" s="22" t="s">
        <v>85</v>
      </c>
      <c r="T66" s="22" t="s">
        <v>62</v>
      </c>
      <c r="U66" s="22" t="s">
        <v>63</v>
      </c>
      <c r="V66" s="22" t="s">
        <v>64</v>
      </c>
      <c r="W66" s="25"/>
      <c r="X66" s="26" t="s">
        <v>524</v>
      </c>
      <c r="Y66" s="22" t="s">
        <v>184</v>
      </c>
      <c r="Z66" s="22" t="s">
        <v>532</v>
      </c>
      <c r="AA66" s="22" t="s">
        <v>533</v>
      </c>
      <c r="AC66" s="22" t="s">
        <v>70</v>
      </c>
      <c r="AD66" s="27" t="s">
        <v>71</v>
      </c>
      <c r="AE66" s="22" t="s">
        <v>478</v>
      </c>
      <c r="AF66" s="34"/>
      <c r="AG66" s="33" t="s">
        <v>103</v>
      </c>
      <c r="AI66" s="25" t="str">
        <f ca="1">IFERROR(__xludf.DUMMYFUNCTION("""COMPUTED_VALUE"""),"60701b1de490261c63fe0231")</f>
        <v>60701b1de490261c63fe0231</v>
      </c>
      <c r="AJ66" s="25">
        <f t="shared" ca="1" si="0"/>
        <v>1</v>
      </c>
    </row>
    <row r="67" spans="1:36" ht="46.5">
      <c r="A67" s="7" t="s">
        <v>45</v>
      </c>
      <c r="B67" s="51" t="s">
        <v>534</v>
      </c>
      <c r="C67" s="22" t="s">
        <v>535</v>
      </c>
      <c r="D67" s="23" t="s">
        <v>536</v>
      </c>
      <c r="E67" s="22" t="s">
        <v>49</v>
      </c>
      <c r="F67" s="22" t="s">
        <v>95</v>
      </c>
      <c r="G67" s="22" t="s">
        <v>79</v>
      </c>
      <c r="H67" s="22" t="s">
        <v>51</v>
      </c>
      <c r="I67" s="22" t="s">
        <v>81</v>
      </c>
      <c r="J67" s="22" t="s">
        <v>53</v>
      </c>
      <c r="K67" s="22" t="s">
        <v>82</v>
      </c>
      <c r="L67" s="22" t="s">
        <v>53</v>
      </c>
      <c r="M67" s="22" t="s">
        <v>83</v>
      </c>
      <c r="N67" s="22" t="s">
        <v>59</v>
      </c>
      <c r="O67" s="22" t="s">
        <v>84</v>
      </c>
      <c r="P67" s="22" t="s">
        <v>537</v>
      </c>
      <c r="Q67" s="22" t="s">
        <v>153</v>
      </c>
      <c r="R67" s="25"/>
      <c r="S67" s="22" t="s">
        <v>85</v>
      </c>
      <c r="T67" s="22" t="s">
        <v>62</v>
      </c>
      <c r="U67" s="22" t="s">
        <v>515</v>
      </c>
      <c r="V67" s="22" t="s">
        <v>64</v>
      </c>
      <c r="W67" s="25"/>
      <c r="X67" s="26" t="s">
        <v>524</v>
      </c>
      <c r="Y67" s="40" t="s">
        <v>99</v>
      </c>
      <c r="Z67" s="22" t="s">
        <v>538</v>
      </c>
      <c r="AA67" s="22" t="s">
        <v>539</v>
      </c>
      <c r="AC67" s="22" t="s">
        <v>70</v>
      </c>
      <c r="AD67" s="27" t="s">
        <v>71</v>
      </c>
      <c r="AE67" s="22" t="s">
        <v>478</v>
      </c>
      <c r="AF67" s="34"/>
      <c r="AG67" s="33" t="s">
        <v>103</v>
      </c>
      <c r="AI67" s="25" t="str">
        <f ca="1">IFERROR(__xludf.DUMMYFUNCTION("""COMPUTED_VALUE"""),"60702d8d6df48f1d80d422cf")</f>
        <v>60702d8d6df48f1d80d422cf</v>
      </c>
      <c r="AJ67" s="25">
        <f t="shared" ca="1" si="0"/>
        <v>1</v>
      </c>
    </row>
    <row r="68" spans="1:36" ht="46.5">
      <c r="A68" s="7" t="s">
        <v>45</v>
      </c>
      <c r="B68" s="51" t="s">
        <v>540</v>
      </c>
      <c r="C68" s="22" t="s">
        <v>541</v>
      </c>
      <c r="D68" s="23" t="s">
        <v>542</v>
      </c>
      <c r="E68" s="22" t="s">
        <v>49</v>
      </c>
      <c r="F68" s="22" t="s">
        <v>78</v>
      </c>
      <c r="G68" s="22" t="s">
        <v>49</v>
      </c>
      <c r="H68" s="22" t="s">
        <v>126</v>
      </c>
      <c r="I68" s="22" t="s">
        <v>307</v>
      </c>
      <c r="J68" s="22" t="s">
        <v>53</v>
      </c>
      <c r="K68" s="22" t="s">
        <v>144</v>
      </c>
      <c r="L68" s="22" t="s">
        <v>53</v>
      </c>
      <c r="M68" s="22" t="s">
        <v>83</v>
      </c>
      <c r="N68" s="22" t="s">
        <v>59</v>
      </c>
      <c r="O68" s="22" t="s">
        <v>84</v>
      </c>
      <c r="P68" s="22" t="s">
        <v>348</v>
      </c>
      <c r="Q68" s="22" t="s">
        <v>60</v>
      </c>
      <c r="R68" s="25"/>
      <c r="S68" s="22" t="s">
        <v>85</v>
      </c>
      <c r="T68" s="22" t="s">
        <v>62</v>
      </c>
      <c r="U68" s="22" t="s">
        <v>63</v>
      </c>
      <c r="V68" s="22" t="s">
        <v>118</v>
      </c>
      <c r="W68" s="25"/>
      <c r="X68" s="26" t="s">
        <v>543</v>
      </c>
      <c r="Y68" s="22" t="s">
        <v>381</v>
      </c>
      <c r="Z68" s="22" t="s">
        <v>544</v>
      </c>
      <c r="AA68" s="22" t="s">
        <v>545</v>
      </c>
      <c r="AC68" s="22" t="s">
        <v>70</v>
      </c>
      <c r="AD68" s="27" t="s">
        <v>71</v>
      </c>
      <c r="AE68" s="22" t="s">
        <v>478</v>
      </c>
      <c r="AF68" s="52"/>
      <c r="AG68" s="32" t="s">
        <v>546</v>
      </c>
      <c r="AI68" s="25" t="str">
        <f ca="1">IFERROR(__xludf.DUMMYFUNCTION("""COMPUTED_VALUE"""),"6074269a1cf4de2efa614440")</f>
        <v>6074269a1cf4de2efa614440</v>
      </c>
      <c r="AJ68" s="25">
        <f t="shared" ca="1" si="0"/>
        <v>1</v>
      </c>
    </row>
    <row r="69" spans="1:36" ht="31">
      <c r="A69" s="7" t="s">
        <v>45</v>
      </c>
      <c r="B69" s="51" t="s">
        <v>547</v>
      </c>
      <c r="C69" s="22" t="s">
        <v>548</v>
      </c>
      <c r="D69" s="23" t="s">
        <v>549</v>
      </c>
      <c r="E69" s="22" t="s">
        <v>49</v>
      </c>
      <c r="F69" s="22" t="s">
        <v>95</v>
      </c>
      <c r="G69" s="22" t="s">
        <v>49</v>
      </c>
      <c r="H69" s="22" t="s">
        <v>51</v>
      </c>
      <c r="I69" s="22" t="s">
        <v>81</v>
      </c>
      <c r="J69" s="22" t="s">
        <v>53</v>
      </c>
      <c r="K69" s="22" t="s">
        <v>229</v>
      </c>
      <c r="L69" s="22" t="s">
        <v>53</v>
      </c>
      <c r="M69" s="22" t="s">
        <v>56</v>
      </c>
      <c r="N69" s="22" t="s">
        <v>59</v>
      </c>
      <c r="O69" s="22" t="s">
        <v>84</v>
      </c>
      <c r="P69" s="22" t="s">
        <v>85</v>
      </c>
      <c r="Q69" s="22" t="s">
        <v>60</v>
      </c>
      <c r="R69" s="25"/>
      <c r="S69" s="22" t="s">
        <v>85</v>
      </c>
      <c r="T69" s="22" t="s">
        <v>62</v>
      </c>
      <c r="U69" s="22" t="s">
        <v>63</v>
      </c>
      <c r="V69" s="22" t="s">
        <v>64</v>
      </c>
      <c r="W69" s="25"/>
      <c r="X69" s="26" t="s">
        <v>543</v>
      </c>
      <c r="Y69" s="22" t="s">
        <v>550</v>
      </c>
      <c r="Z69" s="22" t="s">
        <v>551</v>
      </c>
      <c r="AA69" s="22" t="s">
        <v>544</v>
      </c>
      <c r="AC69" s="22" t="s">
        <v>393</v>
      </c>
      <c r="AD69" s="27" t="s">
        <v>71</v>
      </c>
      <c r="AE69" s="22" t="s">
        <v>478</v>
      </c>
      <c r="AF69" s="34"/>
      <c r="AG69" s="34"/>
      <c r="AI69" s="25" t="str">
        <f ca="1">IFERROR(__xludf.DUMMYFUNCTION("""COMPUTED_VALUE"""),"60743837e490261c63fe027c")</f>
        <v>60743837e490261c63fe027c</v>
      </c>
      <c r="AJ69" s="25">
        <f t="shared" ca="1" si="0"/>
        <v>1</v>
      </c>
    </row>
    <row r="70" spans="1:36" ht="31">
      <c r="A70" s="7" t="s">
        <v>45</v>
      </c>
      <c r="B70" s="51" t="s">
        <v>872</v>
      </c>
      <c r="C70" s="22" t="s">
        <v>2306</v>
      </c>
      <c r="D70" s="23" t="s">
        <v>2307</v>
      </c>
      <c r="E70" s="22" t="s">
        <v>49</v>
      </c>
      <c r="F70" s="22" t="s">
        <v>50</v>
      </c>
      <c r="G70" s="22" t="s">
        <v>49</v>
      </c>
      <c r="H70" s="22" t="s">
        <v>51</v>
      </c>
      <c r="I70" s="22" t="s">
        <v>81</v>
      </c>
      <c r="J70" s="22" t="s">
        <v>107</v>
      </c>
      <c r="K70" s="22" t="s">
        <v>54</v>
      </c>
      <c r="L70" s="22" t="s">
        <v>53</v>
      </c>
      <c r="M70" s="22" t="s">
        <v>56</v>
      </c>
      <c r="N70" s="22" t="s">
        <v>59</v>
      </c>
      <c r="O70" s="22" t="s">
        <v>84</v>
      </c>
      <c r="P70" s="22" t="s">
        <v>108</v>
      </c>
      <c r="Q70" s="22" t="s">
        <v>60</v>
      </c>
      <c r="R70" s="22" t="s">
        <v>130</v>
      </c>
      <c r="S70" s="22" t="s">
        <v>388</v>
      </c>
      <c r="T70" s="22" t="s">
        <v>62</v>
      </c>
      <c r="U70" s="22" t="s">
        <v>63</v>
      </c>
      <c r="V70" s="22" t="s">
        <v>64</v>
      </c>
      <c r="W70" s="25"/>
      <c r="X70" s="26" t="s">
        <v>543</v>
      </c>
      <c r="Y70" s="22" t="s">
        <v>969</v>
      </c>
      <c r="Z70" s="22" t="s">
        <v>545</v>
      </c>
      <c r="AA70" s="22" t="s">
        <v>2308</v>
      </c>
      <c r="AB70" s="22" t="s">
        <v>2309</v>
      </c>
      <c r="AC70" s="22" t="s">
        <v>393</v>
      </c>
      <c r="AD70" s="27" t="s">
        <v>2305</v>
      </c>
      <c r="AE70" s="22" t="s">
        <v>478</v>
      </c>
      <c r="AF70" s="34"/>
      <c r="AG70" s="34"/>
      <c r="AI70" s="25" t="str">
        <f ca="1">IFERROR(__xludf.DUMMYFUNCTION("""COMPUTED_VALUE"""),"607592461cf4de2efa6144c5")</f>
        <v>607592461cf4de2efa6144c5</v>
      </c>
      <c r="AJ70" s="25">
        <f t="shared" ca="1" si="0"/>
        <v>2</v>
      </c>
    </row>
    <row r="71" spans="1:36" ht="31">
      <c r="A71" s="7" t="s">
        <v>45</v>
      </c>
      <c r="B71" s="51" t="s">
        <v>552</v>
      </c>
      <c r="C71" s="22" t="s">
        <v>553</v>
      </c>
      <c r="D71" s="23" t="s">
        <v>554</v>
      </c>
      <c r="E71" s="22" t="s">
        <v>49</v>
      </c>
      <c r="F71" s="22" t="s">
        <v>50</v>
      </c>
      <c r="G71" s="22" t="s">
        <v>49</v>
      </c>
      <c r="H71" s="22" t="s">
        <v>51</v>
      </c>
      <c r="I71" s="22" t="s">
        <v>52</v>
      </c>
      <c r="J71" s="22" t="s">
        <v>107</v>
      </c>
      <c r="K71" s="22" t="s">
        <v>54</v>
      </c>
      <c r="L71" s="22" t="s">
        <v>53</v>
      </c>
      <c r="M71" s="22" t="s">
        <v>56</v>
      </c>
      <c r="N71" s="22" t="s">
        <v>59</v>
      </c>
      <c r="O71" s="22" t="s">
        <v>84</v>
      </c>
      <c r="P71" s="22" t="s">
        <v>52</v>
      </c>
      <c r="Q71" s="22" t="s">
        <v>60</v>
      </c>
      <c r="R71" s="22" t="s">
        <v>183</v>
      </c>
      <c r="S71" s="22" t="s">
        <v>61</v>
      </c>
      <c r="T71" s="22" t="s">
        <v>62</v>
      </c>
      <c r="U71" s="22" t="s">
        <v>63</v>
      </c>
      <c r="V71" s="22" t="s">
        <v>64</v>
      </c>
      <c r="W71" s="25"/>
      <c r="X71" s="26" t="s">
        <v>555</v>
      </c>
      <c r="Y71" s="22" t="s">
        <v>146</v>
      </c>
      <c r="Z71" s="22" t="s">
        <v>556</v>
      </c>
      <c r="AA71" s="22" t="s">
        <v>434</v>
      </c>
      <c r="AC71" s="22" t="s">
        <v>393</v>
      </c>
      <c r="AD71" s="27" t="s">
        <v>71</v>
      </c>
      <c r="AE71" s="22" t="s">
        <v>478</v>
      </c>
      <c r="AF71" s="34"/>
      <c r="AG71" s="34"/>
      <c r="AI71" s="25" t="str">
        <f ca="1">IFERROR(__xludf.DUMMYFUNCTION("""COMPUTED_VALUE"""),"607655cae490261c63fe0327")</f>
        <v>607655cae490261c63fe0327</v>
      </c>
      <c r="AJ71" s="25">
        <f t="shared" ca="1" si="0"/>
        <v>1</v>
      </c>
    </row>
    <row r="72" spans="1:36" ht="46.5">
      <c r="A72" s="7" t="s">
        <v>45</v>
      </c>
      <c r="B72" s="51" t="s">
        <v>557</v>
      </c>
      <c r="C72" s="22" t="s">
        <v>558</v>
      </c>
      <c r="D72" s="23" t="s">
        <v>559</v>
      </c>
      <c r="E72" s="22" t="s">
        <v>49</v>
      </c>
      <c r="F72" s="22" t="s">
        <v>78</v>
      </c>
      <c r="G72" s="22" t="s">
        <v>79</v>
      </c>
      <c r="H72" s="22" t="s">
        <v>51</v>
      </c>
      <c r="I72" s="22" t="s">
        <v>52</v>
      </c>
      <c r="J72" s="22" t="s">
        <v>53</v>
      </c>
      <c r="K72" s="22" t="s">
        <v>54</v>
      </c>
      <c r="L72" s="22" t="s">
        <v>55</v>
      </c>
      <c r="M72" s="22" t="s">
        <v>83</v>
      </c>
      <c r="N72" s="22" t="s">
        <v>312</v>
      </c>
      <c r="O72" s="22" t="s">
        <v>84</v>
      </c>
      <c r="P72" s="22" t="s">
        <v>59</v>
      </c>
      <c r="Q72" s="22" t="s">
        <v>60</v>
      </c>
      <c r="R72" s="22" t="s">
        <v>98</v>
      </c>
      <c r="S72" s="22" t="s">
        <v>61</v>
      </c>
      <c r="T72" s="22" t="s">
        <v>62</v>
      </c>
      <c r="U72" s="22" t="s">
        <v>63</v>
      </c>
      <c r="V72" s="22" t="s">
        <v>118</v>
      </c>
      <c r="W72" s="25"/>
      <c r="X72" s="26" t="s">
        <v>560</v>
      </c>
      <c r="Y72" s="22" t="s">
        <v>376</v>
      </c>
      <c r="Z72" s="22" t="s">
        <v>561</v>
      </c>
      <c r="AA72" s="22" t="s">
        <v>562</v>
      </c>
      <c r="AC72" s="22" t="s">
        <v>393</v>
      </c>
      <c r="AD72" s="27" t="s">
        <v>71</v>
      </c>
      <c r="AE72" s="22" t="s">
        <v>73</v>
      </c>
      <c r="AF72" s="33" t="s">
        <v>563</v>
      </c>
      <c r="AG72" s="33" t="s">
        <v>564</v>
      </c>
      <c r="AI72" s="25" t="str">
        <f ca="1">IFERROR(__xludf.DUMMYFUNCTION("""COMPUTED_VALUE"""),"6076cac288a8ea7d7adc95d0")</f>
        <v>6076cac288a8ea7d7adc95d0</v>
      </c>
      <c r="AJ72" s="25">
        <f t="shared" ca="1" si="0"/>
        <v>1</v>
      </c>
    </row>
    <row r="73" spans="1:36" ht="31">
      <c r="A73" s="7" t="s">
        <v>45</v>
      </c>
      <c r="B73" s="51" t="s">
        <v>565</v>
      </c>
      <c r="C73" s="22" t="s">
        <v>566</v>
      </c>
      <c r="D73" s="23" t="s">
        <v>567</v>
      </c>
      <c r="E73" s="22" t="s">
        <v>49</v>
      </c>
      <c r="F73" s="22" t="s">
        <v>50</v>
      </c>
      <c r="G73" s="22" t="s">
        <v>49</v>
      </c>
      <c r="H73" s="22" t="s">
        <v>2303</v>
      </c>
      <c r="I73" s="22" t="s">
        <v>307</v>
      </c>
      <c r="J73" s="22" t="s">
        <v>501</v>
      </c>
      <c r="K73" s="22" t="s">
        <v>144</v>
      </c>
      <c r="L73" s="22" t="s">
        <v>53</v>
      </c>
      <c r="M73" s="22" t="s">
        <v>83</v>
      </c>
      <c r="N73" s="22" t="s">
        <v>59</v>
      </c>
      <c r="O73" s="22" t="s">
        <v>84</v>
      </c>
      <c r="P73" s="22" t="s">
        <v>57</v>
      </c>
      <c r="Q73" s="22" t="s">
        <v>60</v>
      </c>
      <c r="R73" s="25"/>
      <c r="S73" s="22" t="s">
        <v>61</v>
      </c>
      <c r="T73" s="22" t="s">
        <v>62</v>
      </c>
      <c r="U73" s="22" t="s">
        <v>63</v>
      </c>
      <c r="V73" s="22" t="s">
        <v>64</v>
      </c>
      <c r="W73" s="25"/>
      <c r="X73" s="26" t="s">
        <v>568</v>
      </c>
      <c r="Y73" s="22" t="s">
        <v>569</v>
      </c>
      <c r="Z73" s="22" t="s">
        <v>570</v>
      </c>
      <c r="AA73" s="22" t="s">
        <v>571</v>
      </c>
      <c r="AC73" s="22" t="s">
        <v>328</v>
      </c>
      <c r="AD73" s="27" t="s">
        <v>71</v>
      </c>
      <c r="AE73" s="22" t="s">
        <v>73</v>
      </c>
      <c r="AF73" s="34"/>
      <c r="AG73" s="34"/>
      <c r="AI73" s="25" t="str">
        <f ca="1">IFERROR(__xludf.DUMMYFUNCTION("""COMPUTED_VALUE"""),"607d2e053f24f81dd11e60f8")</f>
        <v>607d2e053f24f81dd11e60f8</v>
      </c>
      <c r="AJ73" s="25">
        <f t="shared" ca="1" si="0"/>
        <v>1</v>
      </c>
    </row>
    <row r="74" spans="1:36" ht="31">
      <c r="A74" s="7" t="s">
        <v>45</v>
      </c>
      <c r="B74" s="51" t="s">
        <v>572</v>
      </c>
      <c r="C74" s="22" t="s">
        <v>573</v>
      </c>
      <c r="D74" s="23" t="s">
        <v>574</v>
      </c>
      <c r="E74" s="22" t="s">
        <v>49</v>
      </c>
      <c r="F74" s="22" t="s">
        <v>95</v>
      </c>
      <c r="G74" s="22" t="s">
        <v>49</v>
      </c>
      <c r="H74" s="22" t="s">
        <v>421</v>
      </c>
      <c r="I74" s="22" t="s">
        <v>307</v>
      </c>
      <c r="J74" s="22" t="s">
        <v>53</v>
      </c>
      <c r="K74" s="22" t="s">
        <v>170</v>
      </c>
      <c r="L74" s="22" t="s">
        <v>53</v>
      </c>
      <c r="M74" s="22" t="s">
        <v>83</v>
      </c>
      <c r="N74" s="22" t="s">
        <v>59</v>
      </c>
      <c r="O74" s="22" t="s">
        <v>84</v>
      </c>
      <c r="P74" s="22" t="s">
        <v>348</v>
      </c>
      <c r="Q74" s="22" t="s">
        <v>60</v>
      </c>
      <c r="R74" s="25"/>
      <c r="S74" s="22" t="s">
        <v>61</v>
      </c>
      <c r="T74" s="22" t="s">
        <v>62</v>
      </c>
      <c r="U74" s="22" t="s">
        <v>63</v>
      </c>
      <c r="V74" s="22" t="s">
        <v>64</v>
      </c>
      <c r="W74" s="25"/>
      <c r="X74" s="26" t="s">
        <v>560</v>
      </c>
      <c r="Y74" s="22" t="s">
        <v>213</v>
      </c>
      <c r="Z74" s="22" t="s">
        <v>575</v>
      </c>
      <c r="AA74" s="22" t="s">
        <v>576</v>
      </c>
      <c r="AC74" s="22" t="s">
        <v>328</v>
      </c>
      <c r="AD74" s="27" t="s">
        <v>71</v>
      </c>
      <c r="AE74" s="22" t="s">
        <v>73</v>
      </c>
      <c r="AF74" s="32" t="s">
        <v>577</v>
      </c>
      <c r="AG74" s="33" t="s">
        <v>578</v>
      </c>
      <c r="AI74" s="25" t="str">
        <f ca="1">IFERROR(__xludf.DUMMYFUNCTION("""COMPUTED_VALUE"""),"607d786cc10514568f8fd35d")</f>
        <v>607d786cc10514568f8fd35d</v>
      </c>
      <c r="AJ74" s="25">
        <f t="shared" ca="1" si="0"/>
        <v>1</v>
      </c>
    </row>
    <row r="75" spans="1:36" ht="31">
      <c r="A75" s="7" t="s">
        <v>45</v>
      </c>
      <c r="B75" s="51" t="s">
        <v>579</v>
      </c>
      <c r="C75" s="22" t="s">
        <v>580</v>
      </c>
      <c r="D75" s="23" t="s">
        <v>581</v>
      </c>
      <c r="E75" s="22" t="s">
        <v>49</v>
      </c>
      <c r="F75" s="22" t="s">
        <v>95</v>
      </c>
      <c r="G75" s="22" t="s">
        <v>49</v>
      </c>
      <c r="H75" s="22" t="s">
        <v>421</v>
      </c>
      <c r="I75" s="22" t="s">
        <v>81</v>
      </c>
      <c r="J75" s="22" t="s">
        <v>53</v>
      </c>
      <c r="K75" s="22" t="s">
        <v>170</v>
      </c>
      <c r="L75" s="22" t="s">
        <v>53</v>
      </c>
      <c r="M75" s="22" t="s">
        <v>83</v>
      </c>
      <c r="N75" s="22" t="s">
        <v>59</v>
      </c>
      <c r="O75" s="22" t="s">
        <v>84</v>
      </c>
      <c r="P75" s="22" t="s">
        <v>422</v>
      </c>
      <c r="Q75" s="22" t="s">
        <v>60</v>
      </c>
      <c r="R75" s="25"/>
      <c r="S75" s="22" t="s">
        <v>388</v>
      </c>
      <c r="T75" s="22" t="s">
        <v>62</v>
      </c>
      <c r="U75" s="22" t="s">
        <v>63</v>
      </c>
      <c r="V75" s="22" t="s">
        <v>87</v>
      </c>
      <c r="W75" s="25"/>
      <c r="X75" s="26" t="s">
        <v>543</v>
      </c>
      <c r="Y75" s="22" t="s">
        <v>569</v>
      </c>
      <c r="Z75" s="22" t="s">
        <v>582</v>
      </c>
      <c r="AA75" s="22" t="s">
        <v>583</v>
      </c>
      <c r="AC75" s="22" t="s">
        <v>328</v>
      </c>
      <c r="AD75" s="27" t="s">
        <v>71</v>
      </c>
      <c r="AE75" s="22" t="s">
        <v>73</v>
      </c>
      <c r="AF75" s="33" t="s">
        <v>584</v>
      </c>
      <c r="AG75" s="33" t="s">
        <v>585</v>
      </c>
      <c r="AI75" s="25" t="str">
        <f ca="1">IFERROR(__xludf.DUMMYFUNCTION("""COMPUTED_VALUE"""),"607d7b65c10514568f8fd361")</f>
        <v>607d7b65c10514568f8fd361</v>
      </c>
      <c r="AJ75" s="25">
        <f t="shared" ca="1" si="0"/>
        <v>1</v>
      </c>
    </row>
    <row r="76" spans="1:36" ht="31">
      <c r="A76" s="7" t="s">
        <v>45</v>
      </c>
      <c r="B76" s="51" t="s">
        <v>586</v>
      </c>
      <c r="C76" s="22" t="s">
        <v>587</v>
      </c>
      <c r="D76" s="23" t="s">
        <v>588</v>
      </c>
      <c r="E76" s="22" t="s">
        <v>49</v>
      </c>
      <c r="F76" s="22" t="s">
        <v>589</v>
      </c>
      <c r="G76" s="22" t="s">
        <v>49</v>
      </c>
      <c r="H76" s="22" t="s">
        <v>2303</v>
      </c>
      <c r="I76" s="22" t="s">
        <v>307</v>
      </c>
      <c r="J76" s="22" t="s">
        <v>501</v>
      </c>
      <c r="K76" s="22" t="s">
        <v>144</v>
      </c>
      <c r="L76" s="22" t="s">
        <v>55</v>
      </c>
      <c r="M76" s="22" t="s">
        <v>83</v>
      </c>
      <c r="N76" s="22" t="s">
        <v>59</v>
      </c>
      <c r="O76" s="22" t="s">
        <v>84</v>
      </c>
      <c r="P76" s="22" t="s">
        <v>59</v>
      </c>
      <c r="Q76" s="22" t="s">
        <v>86</v>
      </c>
      <c r="R76" s="22" t="s">
        <v>60</v>
      </c>
      <c r="S76" s="22" t="s">
        <v>61</v>
      </c>
      <c r="T76" s="22" t="s">
        <v>62</v>
      </c>
      <c r="U76" s="22" t="s">
        <v>63</v>
      </c>
      <c r="V76" s="22" t="s">
        <v>64</v>
      </c>
      <c r="W76" s="25"/>
      <c r="X76" s="26" t="s">
        <v>543</v>
      </c>
      <c r="Y76" s="22" t="s">
        <v>590</v>
      </c>
      <c r="Z76" s="22" t="s">
        <v>425</v>
      </c>
      <c r="AA76" s="22" t="s">
        <v>591</v>
      </c>
      <c r="AC76" s="22" t="s">
        <v>328</v>
      </c>
      <c r="AD76" s="27" t="s">
        <v>71</v>
      </c>
      <c r="AE76" s="22" t="s">
        <v>73</v>
      </c>
      <c r="AF76" s="33" t="s">
        <v>592</v>
      </c>
      <c r="AG76" s="33" t="s">
        <v>593</v>
      </c>
      <c r="AI76" s="25" t="str">
        <f ca="1">IFERROR(__xludf.DUMMYFUNCTION("""COMPUTED_VALUE"""),"607d8d73c10514568f8fd368")</f>
        <v>607d8d73c10514568f8fd368</v>
      </c>
      <c r="AJ76" s="25">
        <f t="shared" ca="1" si="0"/>
        <v>1</v>
      </c>
    </row>
    <row r="77" spans="1:36" ht="46.5">
      <c r="A77" s="7" t="s">
        <v>45</v>
      </c>
      <c r="B77" s="51" t="s">
        <v>594</v>
      </c>
      <c r="C77" s="22" t="s">
        <v>595</v>
      </c>
      <c r="D77" s="49" t="s">
        <v>596</v>
      </c>
      <c r="E77" s="22" t="s">
        <v>49</v>
      </c>
      <c r="F77" s="22" t="s">
        <v>95</v>
      </c>
      <c r="G77" s="22" t="s">
        <v>49</v>
      </c>
      <c r="H77" s="22" t="s">
        <v>51</v>
      </c>
      <c r="I77" s="22" t="s">
        <v>52</v>
      </c>
      <c r="J77" s="22" t="s">
        <v>127</v>
      </c>
      <c r="K77" s="22" t="s">
        <v>82</v>
      </c>
      <c r="L77" s="22" t="s">
        <v>55</v>
      </c>
      <c r="M77" s="22" t="s">
        <v>83</v>
      </c>
      <c r="N77" s="22" t="s">
        <v>312</v>
      </c>
      <c r="O77" s="22" t="s">
        <v>84</v>
      </c>
      <c r="P77" s="22" t="s">
        <v>85</v>
      </c>
      <c r="Q77" s="22" t="s">
        <v>60</v>
      </c>
      <c r="R77" s="25"/>
      <c r="S77" s="22" t="s">
        <v>85</v>
      </c>
      <c r="T77" s="22" t="s">
        <v>62</v>
      </c>
      <c r="U77" s="22" t="s">
        <v>63</v>
      </c>
      <c r="V77" s="22" t="s">
        <v>64</v>
      </c>
      <c r="W77" s="22" t="s">
        <v>65</v>
      </c>
      <c r="X77" s="26" t="s">
        <v>560</v>
      </c>
      <c r="Y77" s="22" t="s">
        <v>195</v>
      </c>
      <c r="Z77" s="22" t="s">
        <v>597</v>
      </c>
      <c r="AA77" s="22" t="s">
        <v>539</v>
      </c>
      <c r="AC77" s="22" t="s">
        <v>475</v>
      </c>
      <c r="AD77" s="27" t="s">
        <v>71</v>
      </c>
      <c r="AE77" s="22" t="s">
        <v>73</v>
      </c>
      <c r="AF77" s="33" t="s">
        <v>598</v>
      </c>
      <c r="AG77" s="34"/>
      <c r="AI77" s="25" t="str">
        <f ca="1">IFERROR(__xludf.DUMMYFUNCTION("""COMPUTED_VALUE"""),"607e3e8de5a2d4278a2f7634")</f>
        <v>607e3e8de5a2d4278a2f7634</v>
      </c>
      <c r="AJ77" s="25">
        <f t="shared" ca="1" si="0"/>
        <v>1</v>
      </c>
    </row>
    <row r="78" spans="1:36" ht="31">
      <c r="A78" s="7" t="s">
        <v>45</v>
      </c>
      <c r="B78" s="51" t="s">
        <v>599</v>
      </c>
      <c r="C78" s="22" t="s">
        <v>600</v>
      </c>
      <c r="D78" s="49" t="s">
        <v>601</v>
      </c>
      <c r="E78" s="22" t="s">
        <v>49</v>
      </c>
      <c r="F78" s="22" t="s">
        <v>95</v>
      </c>
      <c r="G78" s="22" t="s">
        <v>49</v>
      </c>
      <c r="H78" s="22" t="s">
        <v>51</v>
      </c>
      <c r="I78" s="22" t="s">
        <v>307</v>
      </c>
      <c r="J78" s="22" t="s">
        <v>53</v>
      </c>
      <c r="K78" s="22" t="s">
        <v>82</v>
      </c>
      <c r="L78" s="22" t="s">
        <v>53</v>
      </c>
      <c r="M78" s="22" t="s">
        <v>83</v>
      </c>
      <c r="N78" s="22" t="s">
        <v>59</v>
      </c>
      <c r="O78" s="22" t="s">
        <v>84</v>
      </c>
      <c r="P78" s="22" t="s">
        <v>57</v>
      </c>
      <c r="Q78" s="22" t="s">
        <v>60</v>
      </c>
      <c r="R78" s="25"/>
      <c r="S78" s="22" t="s">
        <v>61</v>
      </c>
      <c r="T78" s="22" t="s">
        <v>62</v>
      </c>
      <c r="U78" s="22" t="s">
        <v>63</v>
      </c>
      <c r="V78" s="22" t="s">
        <v>64</v>
      </c>
      <c r="W78" s="22" t="s">
        <v>65</v>
      </c>
      <c r="X78" s="26" t="s">
        <v>543</v>
      </c>
      <c r="Y78" s="22" t="s">
        <v>503</v>
      </c>
      <c r="Z78" s="22" t="s">
        <v>602</v>
      </c>
      <c r="AA78" s="22" t="s">
        <v>603</v>
      </c>
      <c r="AC78" s="22" t="s">
        <v>475</v>
      </c>
      <c r="AD78" s="27" t="s">
        <v>71</v>
      </c>
      <c r="AE78" s="22" t="s">
        <v>73</v>
      </c>
      <c r="AF78" s="28"/>
      <c r="AG78" s="34"/>
      <c r="AI78" s="25" t="str">
        <f ca="1">IFERROR(__xludf.DUMMYFUNCTION("""COMPUTED_VALUE"""),"607938ea5c28653137d3a8e5")</f>
        <v>607938ea5c28653137d3a8e5</v>
      </c>
      <c r="AJ78" s="25">
        <f t="shared" ca="1" si="0"/>
        <v>1</v>
      </c>
    </row>
    <row r="79" spans="1:36" ht="31">
      <c r="A79" s="7" t="s">
        <v>45</v>
      </c>
      <c r="B79" s="51" t="s">
        <v>604</v>
      </c>
      <c r="C79" s="22" t="s">
        <v>605</v>
      </c>
      <c r="D79" s="49" t="s">
        <v>606</v>
      </c>
      <c r="E79" s="22" t="s">
        <v>49</v>
      </c>
      <c r="F79" s="22" t="s">
        <v>50</v>
      </c>
      <c r="G79" s="22" t="s">
        <v>49</v>
      </c>
      <c r="H79" s="22" t="s">
        <v>51</v>
      </c>
      <c r="I79" s="22" t="s">
        <v>307</v>
      </c>
      <c r="J79" s="22" t="s">
        <v>53</v>
      </c>
      <c r="K79" s="22" t="s">
        <v>82</v>
      </c>
      <c r="L79" s="22" t="s">
        <v>53</v>
      </c>
      <c r="M79" s="22" t="s">
        <v>83</v>
      </c>
      <c r="N79" s="22" t="s">
        <v>59</v>
      </c>
      <c r="O79" s="22" t="s">
        <v>490</v>
      </c>
      <c r="P79" s="22" t="s">
        <v>109</v>
      </c>
      <c r="Q79" s="22" t="s">
        <v>60</v>
      </c>
      <c r="R79" s="25"/>
      <c r="S79" s="22" t="s">
        <v>61</v>
      </c>
      <c r="T79" s="22" t="s">
        <v>62</v>
      </c>
      <c r="U79" s="22" t="s">
        <v>63</v>
      </c>
      <c r="V79" s="22" t="s">
        <v>64</v>
      </c>
      <c r="W79" s="22" t="s">
        <v>65</v>
      </c>
      <c r="X79" s="26" t="s">
        <v>543</v>
      </c>
      <c r="Y79" s="22" t="s">
        <v>288</v>
      </c>
      <c r="Z79" s="22" t="s">
        <v>607</v>
      </c>
      <c r="AA79" s="22" t="s">
        <v>249</v>
      </c>
      <c r="AC79" s="22" t="s">
        <v>475</v>
      </c>
      <c r="AD79" s="27" t="s">
        <v>71</v>
      </c>
      <c r="AE79" s="22" t="s">
        <v>73</v>
      </c>
      <c r="AF79" s="32" t="s">
        <v>608</v>
      </c>
      <c r="AG79" s="34"/>
      <c r="AI79" s="25" t="str">
        <f ca="1">IFERROR(__xludf.DUMMYFUNCTION("""COMPUTED_VALUE"""),"607d4afa652f3f66f4fbd992")</f>
        <v>607d4afa652f3f66f4fbd992</v>
      </c>
      <c r="AJ79" s="25">
        <f t="shared" ca="1" si="0"/>
        <v>1</v>
      </c>
    </row>
    <row r="80" spans="1:36" ht="31">
      <c r="A80" s="7" t="s">
        <v>45</v>
      </c>
      <c r="B80" s="51" t="s">
        <v>609</v>
      </c>
      <c r="C80" s="22" t="s">
        <v>610</v>
      </c>
      <c r="D80" s="49" t="s">
        <v>611</v>
      </c>
      <c r="E80" s="22" t="s">
        <v>49</v>
      </c>
      <c r="F80" s="22" t="s">
        <v>50</v>
      </c>
      <c r="G80" s="22" t="s">
        <v>49</v>
      </c>
      <c r="H80" s="22" t="s">
        <v>126</v>
      </c>
      <c r="I80" s="22" t="s">
        <v>307</v>
      </c>
      <c r="J80" s="22" t="s">
        <v>53</v>
      </c>
      <c r="K80" s="22" t="s">
        <v>144</v>
      </c>
      <c r="L80" s="22" t="s">
        <v>53</v>
      </c>
      <c r="M80" s="22" t="s">
        <v>83</v>
      </c>
      <c r="N80" s="22" t="s">
        <v>348</v>
      </c>
      <c r="O80" s="22" t="s">
        <v>84</v>
      </c>
      <c r="P80" s="22" t="s">
        <v>59</v>
      </c>
      <c r="Q80" s="22" t="s">
        <v>63</v>
      </c>
      <c r="R80" s="25"/>
      <c r="S80" s="22" t="s">
        <v>61</v>
      </c>
      <c r="T80" s="22" t="s">
        <v>62</v>
      </c>
      <c r="U80" s="22" t="s">
        <v>63</v>
      </c>
      <c r="V80" s="22" t="s">
        <v>64</v>
      </c>
      <c r="W80" s="22" t="s">
        <v>65</v>
      </c>
      <c r="X80" s="26" t="s">
        <v>543</v>
      </c>
      <c r="Y80" s="22" t="s">
        <v>271</v>
      </c>
      <c r="Z80" s="22" t="s">
        <v>612</v>
      </c>
      <c r="AA80" s="22" t="s">
        <v>613</v>
      </c>
      <c r="AC80" s="22" t="s">
        <v>475</v>
      </c>
      <c r="AD80" s="27" t="s">
        <v>71</v>
      </c>
      <c r="AE80" s="22" t="s">
        <v>73</v>
      </c>
      <c r="AF80" s="32" t="s">
        <v>614</v>
      </c>
      <c r="AG80" s="34"/>
      <c r="AI80" s="25" t="str">
        <f ca="1">IFERROR(__xludf.DUMMYFUNCTION("""COMPUTED_VALUE"""),"607d75d6652f3f66f4fbe287")</f>
        <v>607d75d6652f3f66f4fbe287</v>
      </c>
      <c r="AJ80" s="25">
        <f t="shared" ca="1" si="0"/>
        <v>1</v>
      </c>
    </row>
    <row r="81" spans="1:36" ht="46.5">
      <c r="A81" s="7" t="s">
        <v>45</v>
      </c>
      <c r="B81" s="51" t="s">
        <v>615</v>
      </c>
      <c r="C81" s="22" t="s">
        <v>616</v>
      </c>
      <c r="D81" s="23" t="s">
        <v>617</v>
      </c>
      <c r="E81" s="22" t="s">
        <v>49</v>
      </c>
      <c r="F81" s="22" t="s">
        <v>618</v>
      </c>
      <c r="G81" s="22" t="s">
        <v>49</v>
      </c>
      <c r="H81" s="22" t="s">
        <v>126</v>
      </c>
      <c r="I81" s="22" t="s">
        <v>307</v>
      </c>
      <c r="J81" s="22" t="s">
        <v>53</v>
      </c>
      <c r="K81" s="22" t="s">
        <v>144</v>
      </c>
      <c r="L81" s="22" t="s">
        <v>53</v>
      </c>
      <c r="M81" s="22" t="s">
        <v>83</v>
      </c>
      <c r="N81" s="22" t="s">
        <v>59</v>
      </c>
      <c r="O81" s="22" t="s">
        <v>84</v>
      </c>
      <c r="P81" s="22" t="s">
        <v>348</v>
      </c>
      <c r="Q81" s="22" t="s">
        <v>153</v>
      </c>
      <c r="R81" s="25"/>
      <c r="S81" s="22" t="s">
        <v>61</v>
      </c>
      <c r="T81" s="22" t="s">
        <v>62</v>
      </c>
      <c r="U81" s="22" t="s">
        <v>63</v>
      </c>
      <c r="V81" s="22" t="s">
        <v>64</v>
      </c>
      <c r="W81" s="25"/>
      <c r="X81" s="26" t="s">
        <v>543</v>
      </c>
      <c r="Y81" s="22" t="s">
        <v>271</v>
      </c>
      <c r="Z81" s="22" t="s">
        <v>619</v>
      </c>
      <c r="AA81" s="22" t="s">
        <v>613</v>
      </c>
      <c r="AC81" s="22" t="s">
        <v>265</v>
      </c>
      <c r="AD81" s="27" t="s">
        <v>71</v>
      </c>
      <c r="AE81" s="22" t="s">
        <v>73</v>
      </c>
      <c r="AF81" s="32" t="s">
        <v>620</v>
      </c>
      <c r="AG81" s="34"/>
      <c r="AI81" s="25" t="str">
        <f ca="1">IFERROR(__xludf.DUMMYFUNCTION("""COMPUTED_VALUE"""),"607e4426652f3f66f4fbe62c")</f>
        <v>607e4426652f3f66f4fbe62c</v>
      </c>
      <c r="AJ81" s="25">
        <f t="shared" ca="1" si="0"/>
        <v>1</v>
      </c>
    </row>
    <row r="82" spans="1:36" ht="46.5">
      <c r="A82" s="7" t="s">
        <v>45</v>
      </c>
      <c r="B82" s="51" t="s">
        <v>621</v>
      </c>
      <c r="C82" s="22" t="s">
        <v>622</v>
      </c>
      <c r="D82" s="23" t="s">
        <v>623</v>
      </c>
      <c r="E82" s="22" t="s">
        <v>49</v>
      </c>
      <c r="F82" s="22" t="s">
        <v>78</v>
      </c>
      <c r="G82" s="22" t="s">
        <v>49</v>
      </c>
      <c r="H82" s="22" t="s">
        <v>126</v>
      </c>
      <c r="I82" s="22" t="s">
        <v>52</v>
      </c>
      <c r="J82" s="7" t="s">
        <v>127</v>
      </c>
      <c r="K82" s="22" t="s">
        <v>144</v>
      </c>
      <c r="L82" s="22" t="s">
        <v>53</v>
      </c>
      <c r="M82" s="22" t="s">
        <v>83</v>
      </c>
      <c r="N82" s="22" t="s">
        <v>59</v>
      </c>
      <c r="O82" s="22" t="s">
        <v>84</v>
      </c>
      <c r="P82" s="22" t="s">
        <v>624</v>
      </c>
      <c r="Q82" s="22" t="s">
        <v>86</v>
      </c>
      <c r="R82" s="25"/>
      <c r="S82" s="22" t="s">
        <v>625</v>
      </c>
      <c r="T82" s="22" t="s">
        <v>62</v>
      </c>
      <c r="U82" s="22" t="s">
        <v>515</v>
      </c>
      <c r="V82" s="22" t="s">
        <v>64</v>
      </c>
      <c r="W82" s="25"/>
      <c r="X82" s="26" t="s">
        <v>543</v>
      </c>
      <c r="Y82" s="22" t="s">
        <v>525</v>
      </c>
      <c r="Z82" s="22" t="s">
        <v>626</v>
      </c>
      <c r="AA82" s="22" t="s">
        <v>627</v>
      </c>
      <c r="AC82" s="22" t="s">
        <v>265</v>
      </c>
      <c r="AD82" s="27" t="s">
        <v>71</v>
      </c>
      <c r="AE82" s="22" t="s">
        <v>73</v>
      </c>
      <c r="AF82" s="33" t="s">
        <v>628</v>
      </c>
      <c r="AG82" s="34"/>
      <c r="AI82" s="25" t="str">
        <f ca="1">IFERROR(__xludf.DUMMYFUNCTION("""COMPUTED_VALUE"""),"607e67a73f24f81dd11e6132")</f>
        <v>607e67a73f24f81dd11e6132</v>
      </c>
      <c r="AJ82" s="25">
        <f t="shared" ca="1" si="0"/>
        <v>1</v>
      </c>
    </row>
    <row r="83" spans="1:36" ht="46.5">
      <c r="A83" s="7" t="s">
        <v>45</v>
      </c>
      <c r="B83" s="51" t="s">
        <v>629</v>
      </c>
      <c r="C83" s="22" t="s">
        <v>630</v>
      </c>
      <c r="D83" s="23" t="s">
        <v>631</v>
      </c>
      <c r="E83" s="22" t="s">
        <v>49</v>
      </c>
      <c r="F83" s="22" t="s">
        <v>228</v>
      </c>
      <c r="G83" s="22" t="s">
        <v>49</v>
      </c>
      <c r="H83" s="22" t="s">
        <v>126</v>
      </c>
      <c r="I83" s="22" t="s">
        <v>52</v>
      </c>
      <c r="J83" s="22" t="s">
        <v>53</v>
      </c>
      <c r="K83" s="22" t="s">
        <v>144</v>
      </c>
      <c r="L83" s="22" t="s">
        <v>55</v>
      </c>
      <c r="M83" s="22" t="s">
        <v>56</v>
      </c>
      <c r="N83" s="22" t="s">
        <v>108</v>
      </c>
      <c r="O83" s="22" t="s">
        <v>84</v>
      </c>
      <c r="P83" s="22" t="s">
        <v>59</v>
      </c>
      <c r="Q83" s="22" t="s">
        <v>153</v>
      </c>
      <c r="R83" s="25"/>
      <c r="S83" s="22" t="s">
        <v>61</v>
      </c>
      <c r="T83" s="22" t="s">
        <v>62</v>
      </c>
      <c r="U83" s="22" t="s">
        <v>63</v>
      </c>
      <c r="V83" s="22" t="s">
        <v>64</v>
      </c>
      <c r="W83" s="25"/>
      <c r="X83" s="26" t="s">
        <v>560</v>
      </c>
      <c r="Y83" s="22" t="s">
        <v>222</v>
      </c>
      <c r="Z83" s="22" t="s">
        <v>632</v>
      </c>
      <c r="AA83" s="22" t="s">
        <v>633</v>
      </c>
      <c r="AC83" s="22" t="s">
        <v>265</v>
      </c>
      <c r="AD83" s="27" t="s">
        <v>71</v>
      </c>
      <c r="AE83" s="22" t="s">
        <v>73</v>
      </c>
      <c r="AF83" s="33" t="s">
        <v>634</v>
      </c>
      <c r="AG83" s="34"/>
      <c r="AI83" s="25" t="str">
        <f ca="1">IFERROR(__xludf.DUMMYFUNCTION("""COMPUTED_VALUE"""),"607fbc7bc10514568f8fd3c8")</f>
        <v>607fbc7bc10514568f8fd3c8</v>
      </c>
      <c r="AJ83" s="25">
        <f t="shared" ca="1" si="0"/>
        <v>1</v>
      </c>
    </row>
    <row r="84" spans="1:36" ht="31">
      <c r="A84" s="7" t="s">
        <v>45</v>
      </c>
      <c r="B84" s="51" t="s">
        <v>635</v>
      </c>
      <c r="C84" s="22" t="s">
        <v>636</v>
      </c>
      <c r="D84" s="23" t="s">
        <v>637</v>
      </c>
      <c r="E84" s="22" t="s">
        <v>49</v>
      </c>
      <c r="F84" s="22" t="s">
        <v>78</v>
      </c>
      <c r="G84" s="22" t="s">
        <v>49</v>
      </c>
      <c r="H84" s="22" t="s">
        <v>126</v>
      </c>
      <c r="I84" s="22" t="s">
        <v>81</v>
      </c>
      <c r="J84" s="7" t="s">
        <v>107</v>
      </c>
      <c r="K84" s="22" t="s">
        <v>170</v>
      </c>
      <c r="L84" s="22" t="s">
        <v>53</v>
      </c>
      <c r="M84" s="22" t="s">
        <v>83</v>
      </c>
      <c r="N84" s="22" t="s">
        <v>59</v>
      </c>
      <c r="O84" s="22" t="s">
        <v>84</v>
      </c>
      <c r="P84" s="7" t="s">
        <v>52</v>
      </c>
      <c r="Q84" s="22" t="s">
        <v>63</v>
      </c>
      <c r="R84" s="25"/>
      <c r="S84" s="22" t="s">
        <v>61</v>
      </c>
      <c r="T84" s="22" t="s">
        <v>62</v>
      </c>
      <c r="U84" s="22" t="s">
        <v>515</v>
      </c>
      <c r="V84" s="22" t="s">
        <v>64</v>
      </c>
      <c r="W84" s="25"/>
      <c r="X84" s="26" t="s">
        <v>543</v>
      </c>
      <c r="Y84" s="22" t="s">
        <v>240</v>
      </c>
      <c r="Z84" s="22" t="s">
        <v>638</v>
      </c>
      <c r="AA84" s="22" t="s">
        <v>639</v>
      </c>
      <c r="AC84" s="22" t="s">
        <v>265</v>
      </c>
      <c r="AD84" s="27" t="s">
        <v>71</v>
      </c>
      <c r="AE84" s="22" t="s">
        <v>73</v>
      </c>
      <c r="AF84" s="33" t="s">
        <v>640</v>
      </c>
      <c r="AG84" s="34"/>
      <c r="AI84" s="25" t="str">
        <f ca="1">IFERROR(__xludf.DUMMYFUNCTION("""COMPUTED_VALUE"""),"6086b41ec10514568f8fd42c")</f>
        <v>6086b41ec10514568f8fd42c</v>
      </c>
      <c r="AJ84" s="25">
        <f t="shared" ca="1" si="0"/>
        <v>1</v>
      </c>
    </row>
    <row r="85" spans="1:36" ht="31">
      <c r="A85" s="7" t="s">
        <v>45</v>
      </c>
      <c r="B85" s="51" t="s">
        <v>641</v>
      </c>
      <c r="C85" s="22" t="s">
        <v>642</v>
      </c>
      <c r="D85" s="23" t="s">
        <v>643</v>
      </c>
      <c r="E85" s="22" t="s">
        <v>49</v>
      </c>
      <c r="F85" s="22" t="s">
        <v>78</v>
      </c>
      <c r="G85" s="22" t="s">
        <v>49</v>
      </c>
      <c r="H85" s="22" t="s">
        <v>51</v>
      </c>
      <c r="I85" s="22" t="s">
        <v>52</v>
      </c>
      <c r="J85" s="22" t="s">
        <v>53</v>
      </c>
      <c r="K85" s="22" t="s">
        <v>144</v>
      </c>
      <c r="L85" s="22" t="s">
        <v>55</v>
      </c>
      <c r="M85" s="22" t="s">
        <v>83</v>
      </c>
      <c r="N85" s="22" t="s">
        <v>59</v>
      </c>
      <c r="O85" s="22" t="s">
        <v>84</v>
      </c>
      <c r="P85" s="22" t="s">
        <v>108</v>
      </c>
      <c r="Q85" s="22" t="s">
        <v>203</v>
      </c>
      <c r="R85" s="22" t="s">
        <v>130</v>
      </c>
      <c r="S85" s="22" t="s">
        <v>61</v>
      </c>
      <c r="T85" s="22" t="s">
        <v>62</v>
      </c>
      <c r="U85" s="22" t="s">
        <v>63</v>
      </c>
      <c r="V85" s="22" t="s">
        <v>64</v>
      </c>
      <c r="W85" s="22" t="s">
        <v>65</v>
      </c>
      <c r="X85" s="26" t="s">
        <v>560</v>
      </c>
      <c r="Y85" s="22" t="s">
        <v>222</v>
      </c>
      <c r="Z85" s="22" t="s">
        <v>632</v>
      </c>
      <c r="AA85" s="22" t="s">
        <v>633</v>
      </c>
      <c r="AC85" s="22" t="s">
        <v>176</v>
      </c>
      <c r="AD85" s="27" t="s">
        <v>71</v>
      </c>
      <c r="AE85" s="22" t="s">
        <v>73</v>
      </c>
      <c r="AF85" s="33" t="s">
        <v>644</v>
      </c>
      <c r="AG85" s="33" t="s">
        <v>217</v>
      </c>
      <c r="AI85" s="25" t="str">
        <f ca="1">IFERROR(__xludf.DUMMYFUNCTION("""COMPUTED_VALUE"""),"6087b1c8c10514568f8fd453")</f>
        <v>6087b1c8c10514568f8fd453</v>
      </c>
      <c r="AJ85" s="25">
        <f t="shared" ca="1" si="0"/>
        <v>1</v>
      </c>
    </row>
    <row r="86" spans="1:36" ht="46.5">
      <c r="A86" s="7" t="s">
        <v>45</v>
      </c>
      <c r="B86" s="51" t="s">
        <v>645</v>
      </c>
      <c r="C86" s="22" t="s">
        <v>646</v>
      </c>
      <c r="D86" s="23" t="s">
        <v>647</v>
      </c>
      <c r="E86" s="22" t="s">
        <v>49</v>
      </c>
      <c r="F86" s="22" t="s">
        <v>50</v>
      </c>
      <c r="G86" s="22" t="s">
        <v>49</v>
      </c>
      <c r="H86" s="22" t="s">
        <v>51</v>
      </c>
      <c r="I86" s="22" t="s">
        <v>81</v>
      </c>
      <c r="J86" s="22" t="s">
        <v>107</v>
      </c>
      <c r="K86" s="22" t="s">
        <v>96</v>
      </c>
      <c r="L86" s="22" t="s">
        <v>53</v>
      </c>
      <c r="M86" s="22" t="s">
        <v>83</v>
      </c>
      <c r="N86" s="22" t="s">
        <v>59</v>
      </c>
      <c r="O86" s="22" t="s">
        <v>490</v>
      </c>
      <c r="P86" s="22" t="s">
        <v>108</v>
      </c>
      <c r="Q86" s="22" t="s">
        <v>203</v>
      </c>
      <c r="R86" s="22" t="s">
        <v>183</v>
      </c>
      <c r="S86" s="22" t="s">
        <v>85</v>
      </c>
      <c r="T86" s="22" t="s">
        <v>62</v>
      </c>
      <c r="U86" s="22" t="s">
        <v>63</v>
      </c>
      <c r="V86" s="22" t="s">
        <v>64</v>
      </c>
      <c r="W86" s="22" t="s">
        <v>65</v>
      </c>
      <c r="X86" s="26" t="s">
        <v>560</v>
      </c>
      <c r="Y86" s="22" t="s">
        <v>342</v>
      </c>
      <c r="Z86" s="22" t="s">
        <v>648</v>
      </c>
      <c r="AA86" s="22" t="s">
        <v>639</v>
      </c>
      <c r="AC86" s="22" t="s">
        <v>176</v>
      </c>
      <c r="AD86" s="27" t="s">
        <v>71</v>
      </c>
      <c r="AE86" s="22" t="s">
        <v>73</v>
      </c>
      <c r="AF86" s="33" t="s">
        <v>649</v>
      </c>
      <c r="AG86" s="33" t="s">
        <v>650</v>
      </c>
      <c r="AI86" s="25" t="str">
        <f ca="1">IFERROR(__xludf.DUMMYFUNCTION("""COMPUTED_VALUE"""),"60893d993f24f81dd11e6243")</f>
        <v>60893d993f24f81dd11e6243</v>
      </c>
      <c r="AJ86" s="25">
        <f t="shared" ca="1" si="0"/>
        <v>1</v>
      </c>
    </row>
    <row r="87" spans="1:36" ht="46.5">
      <c r="A87" s="7" t="s">
        <v>45</v>
      </c>
      <c r="B87" s="51" t="s">
        <v>651</v>
      </c>
      <c r="C87" s="22" t="s">
        <v>652</v>
      </c>
      <c r="D87" s="23" t="s">
        <v>653</v>
      </c>
      <c r="E87" s="22" t="s">
        <v>49</v>
      </c>
      <c r="F87" s="22" t="s">
        <v>95</v>
      </c>
      <c r="G87" s="22" t="s">
        <v>49</v>
      </c>
      <c r="H87" s="22" t="s">
        <v>51</v>
      </c>
      <c r="I87" s="22" t="s">
        <v>81</v>
      </c>
      <c r="J87" s="22" t="s">
        <v>107</v>
      </c>
      <c r="K87" s="22" t="s">
        <v>144</v>
      </c>
      <c r="L87" s="22" t="s">
        <v>53</v>
      </c>
      <c r="M87" s="22" t="s">
        <v>83</v>
      </c>
      <c r="N87" s="22" t="s">
        <v>294</v>
      </c>
      <c r="O87" s="22" t="s">
        <v>84</v>
      </c>
      <c r="P87" s="22" t="s">
        <v>108</v>
      </c>
      <c r="Q87" s="22" t="s">
        <v>153</v>
      </c>
      <c r="R87" s="22" t="s">
        <v>130</v>
      </c>
      <c r="S87" s="22" t="s">
        <v>294</v>
      </c>
      <c r="T87" s="22" t="s">
        <v>62</v>
      </c>
      <c r="U87" s="22" t="s">
        <v>63</v>
      </c>
      <c r="V87" s="22" t="s">
        <v>64</v>
      </c>
      <c r="W87" s="22" t="s">
        <v>65</v>
      </c>
      <c r="X87" s="26" t="s">
        <v>654</v>
      </c>
      <c r="Y87" s="22" t="s">
        <v>342</v>
      </c>
      <c r="Z87" s="22" t="s">
        <v>655</v>
      </c>
      <c r="AA87" s="22" t="s">
        <v>278</v>
      </c>
      <c r="AC87" s="22" t="s">
        <v>176</v>
      </c>
      <c r="AD87" s="27" t="s">
        <v>71</v>
      </c>
      <c r="AE87" s="22" t="s">
        <v>73</v>
      </c>
      <c r="AF87" s="33" t="s">
        <v>656</v>
      </c>
      <c r="AG87" s="33"/>
      <c r="AI87" s="25" t="str">
        <f ca="1">IFERROR(__xludf.DUMMYFUNCTION("""COMPUTED_VALUE"""),"608a8fc63f24f81dd11e6273")</f>
        <v>608a8fc63f24f81dd11e6273</v>
      </c>
      <c r="AJ87" s="25">
        <f t="shared" ca="1" si="0"/>
        <v>1</v>
      </c>
    </row>
    <row r="88" spans="1:36" ht="74.25" customHeight="1">
      <c r="A88" s="7" t="s">
        <v>45</v>
      </c>
      <c r="B88" s="51" t="s">
        <v>657</v>
      </c>
      <c r="C88" s="22" t="s">
        <v>658</v>
      </c>
      <c r="D88" s="23" t="s">
        <v>659</v>
      </c>
      <c r="E88" s="22" t="s">
        <v>49</v>
      </c>
      <c r="F88" s="22" t="s">
        <v>78</v>
      </c>
      <c r="G88" s="22" t="s">
        <v>49</v>
      </c>
      <c r="H88" s="22" t="s">
        <v>192</v>
      </c>
      <c r="I88" s="22" t="s">
        <v>81</v>
      </c>
      <c r="J88" s="22" t="s">
        <v>53</v>
      </c>
      <c r="K88" s="22" t="s">
        <v>96</v>
      </c>
      <c r="L88" s="22" t="s">
        <v>53</v>
      </c>
      <c r="M88" s="22" t="s">
        <v>83</v>
      </c>
      <c r="N88" s="22" t="s">
        <v>59</v>
      </c>
      <c r="O88" s="22" t="s">
        <v>84</v>
      </c>
      <c r="P88" s="22" t="s">
        <v>294</v>
      </c>
      <c r="Q88" s="22" t="s">
        <v>86</v>
      </c>
      <c r="R88" s="25"/>
      <c r="S88" s="22" t="s">
        <v>388</v>
      </c>
      <c r="T88" s="22" t="s">
        <v>62</v>
      </c>
      <c r="U88" s="22" t="s">
        <v>63</v>
      </c>
      <c r="V88" s="22" t="s">
        <v>64</v>
      </c>
      <c r="W88" s="22" t="s">
        <v>65</v>
      </c>
      <c r="X88" s="26" t="s">
        <v>654</v>
      </c>
      <c r="Y88" s="22" t="s">
        <v>120</v>
      </c>
      <c r="Z88" s="22" t="s">
        <v>660</v>
      </c>
      <c r="AA88" s="22" t="s">
        <v>661</v>
      </c>
      <c r="AC88" s="22" t="s">
        <v>176</v>
      </c>
      <c r="AD88" s="27" t="s">
        <v>71</v>
      </c>
      <c r="AE88" s="22" t="s">
        <v>73</v>
      </c>
      <c r="AF88" s="33" t="s">
        <v>662</v>
      </c>
      <c r="AG88" s="33" t="s">
        <v>663</v>
      </c>
      <c r="AI88" s="25" t="str">
        <f ca="1">IFERROR(__xludf.DUMMYFUNCTION("""COMPUTED_VALUE"""),"6098cf76c10514568f8fd592")</f>
        <v>6098cf76c10514568f8fd592</v>
      </c>
      <c r="AJ88" s="25">
        <f t="shared" ca="1" si="0"/>
        <v>1</v>
      </c>
    </row>
    <row r="89" spans="1:36" ht="31">
      <c r="A89" s="51" t="s">
        <v>664</v>
      </c>
      <c r="B89" s="51" t="s">
        <v>665</v>
      </c>
      <c r="C89" s="22" t="s">
        <v>666</v>
      </c>
      <c r="D89" s="23" t="s">
        <v>667</v>
      </c>
      <c r="E89" s="22" t="s">
        <v>49</v>
      </c>
      <c r="F89" s="22" t="s">
        <v>50</v>
      </c>
      <c r="G89" s="22" t="s">
        <v>49</v>
      </c>
      <c r="H89" s="22" t="s">
        <v>51</v>
      </c>
      <c r="I89" s="22" t="s">
        <v>81</v>
      </c>
      <c r="J89" s="22" t="s">
        <v>107</v>
      </c>
      <c r="K89" s="22" t="s">
        <v>182</v>
      </c>
      <c r="L89" s="22" t="s">
        <v>53</v>
      </c>
      <c r="M89" s="22" t="s">
        <v>83</v>
      </c>
      <c r="N89" s="22" t="s">
        <v>59</v>
      </c>
      <c r="O89" s="22" t="s">
        <v>84</v>
      </c>
      <c r="P89" s="22" t="s">
        <v>108</v>
      </c>
      <c r="Q89" s="22" t="s">
        <v>86</v>
      </c>
      <c r="R89" s="22" t="s">
        <v>183</v>
      </c>
      <c r="S89" s="22" t="s">
        <v>85</v>
      </c>
      <c r="T89" s="22" t="s">
        <v>62</v>
      </c>
      <c r="U89" s="22" t="s">
        <v>63</v>
      </c>
      <c r="V89" s="22" t="s">
        <v>118</v>
      </c>
      <c r="W89" s="25"/>
      <c r="X89" s="53" t="s">
        <v>568</v>
      </c>
      <c r="Y89" s="22" t="s">
        <v>496</v>
      </c>
      <c r="Z89" s="22" t="s">
        <v>668</v>
      </c>
      <c r="AA89" s="22" t="s">
        <v>319</v>
      </c>
      <c r="AC89" s="22" t="s">
        <v>70</v>
      </c>
      <c r="AD89" s="27" t="s">
        <v>71</v>
      </c>
      <c r="AE89" s="22" t="s">
        <v>669</v>
      </c>
      <c r="AF89" s="48" t="s">
        <v>670</v>
      </c>
      <c r="AG89" s="33" t="s">
        <v>103</v>
      </c>
      <c r="AI89" s="25" t="str">
        <f ca="1">IFERROR(__xludf.DUMMYFUNCTION("""COMPUTED_VALUE"""),"609a2f6ac10514568f8fd60b")</f>
        <v>609a2f6ac10514568f8fd60b</v>
      </c>
      <c r="AJ89" s="25">
        <f t="shared" ca="1" si="0"/>
        <v>1</v>
      </c>
    </row>
    <row r="90" spans="1:36" ht="31">
      <c r="A90" s="51" t="s">
        <v>664</v>
      </c>
      <c r="B90" s="51" t="s">
        <v>671</v>
      </c>
      <c r="C90" s="22" t="s">
        <v>672</v>
      </c>
      <c r="D90" s="23" t="s">
        <v>673</v>
      </c>
      <c r="E90" s="22" t="s">
        <v>49</v>
      </c>
      <c r="F90" s="22" t="s">
        <v>78</v>
      </c>
      <c r="G90" s="22" t="s">
        <v>49</v>
      </c>
      <c r="H90" s="22" t="s">
        <v>126</v>
      </c>
      <c r="I90" s="22" t="s">
        <v>52</v>
      </c>
      <c r="J90" s="22" t="s">
        <v>53</v>
      </c>
      <c r="K90" s="22" t="s">
        <v>170</v>
      </c>
      <c r="L90" s="22" t="s">
        <v>53</v>
      </c>
      <c r="M90" s="22" t="s">
        <v>83</v>
      </c>
      <c r="N90" s="22" t="s">
        <v>59</v>
      </c>
      <c r="O90" s="22" t="s">
        <v>84</v>
      </c>
      <c r="P90" s="22" t="s">
        <v>59</v>
      </c>
      <c r="Q90" s="22" t="s">
        <v>153</v>
      </c>
      <c r="R90" s="25"/>
      <c r="S90" s="22" t="s">
        <v>61</v>
      </c>
      <c r="T90" s="22" t="s">
        <v>62</v>
      </c>
      <c r="U90" s="22" t="s">
        <v>63</v>
      </c>
      <c r="V90" s="22" t="s">
        <v>64</v>
      </c>
      <c r="W90" s="25"/>
      <c r="X90" s="53" t="s">
        <v>674</v>
      </c>
      <c r="Y90" s="22" t="s">
        <v>525</v>
      </c>
      <c r="Z90" s="22" t="s">
        <v>675</v>
      </c>
      <c r="AA90" s="22" t="s">
        <v>676</v>
      </c>
      <c r="AC90" s="22" t="s">
        <v>70</v>
      </c>
      <c r="AD90" s="27" t="s">
        <v>71</v>
      </c>
      <c r="AE90" s="22" t="s">
        <v>669</v>
      </c>
      <c r="AF90" s="33" t="s">
        <v>677</v>
      </c>
      <c r="AG90" s="33" t="s">
        <v>678</v>
      </c>
      <c r="AI90" s="25" t="str">
        <f ca="1">IFERROR(__xludf.DUMMYFUNCTION("""COMPUTED_VALUE"""),"609a3ad0c10514568f8fd61a")</f>
        <v>609a3ad0c10514568f8fd61a</v>
      </c>
      <c r="AJ90" s="25">
        <f t="shared" ca="1" si="0"/>
        <v>1</v>
      </c>
    </row>
    <row r="91" spans="1:36" ht="46.5">
      <c r="A91" s="51" t="s">
        <v>664</v>
      </c>
      <c r="B91" s="51" t="s">
        <v>679</v>
      </c>
      <c r="C91" s="22" t="s">
        <v>680</v>
      </c>
      <c r="D91" s="23" t="s">
        <v>681</v>
      </c>
      <c r="E91" s="22" t="s">
        <v>49</v>
      </c>
      <c r="F91" s="22" t="s">
        <v>78</v>
      </c>
      <c r="G91" s="22" t="s">
        <v>49</v>
      </c>
      <c r="H91" s="22" t="s">
        <v>51</v>
      </c>
      <c r="I91" s="22" t="s">
        <v>81</v>
      </c>
      <c r="J91" s="22" t="s">
        <v>107</v>
      </c>
      <c r="K91" s="22" t="s">
        <v>96</v>
      </c>
      <c r="L91" s="22" t="s">
        <v>53</v>
      </c>
      <c r="M91" s="22" t="s">
        <v>56</v>
      </c>
      <c r="N91" s="22" t="s">
        <v>59</v>
      </c>
      <c r="O91" s="22" t="s">
        <v>84</v>
      </c>
      <c r="P91" s="22" t="s">
        <v>108</v>
      </c>
      <c r="Q91" s="22" t="s">
        <v>60</v>
      </c>
      <c r="R91" s="25"/>
      <c r="S91" s="22" t="s">
        <v>109</v>
      </c>
      <c r="T91" s="22" t="s">
        <v>62</v>
      </c>
      <c r="U91" s="22" t="s">
        <v>63</v>
      </c>
      <c r="V91" s="22" t="s">
        <v>64</v>
      </c>
      <c r="W91" s="25"/>
      <c r="X91" s="54" t="s">
        <v>145</v>
      </c>
      <c r="Y91" s="22" t="s">
        <v>231</v>
      </c>
      <c r="Z91" s="22" t="s">
        <v>232</v>
      </c>
      <c r="AA91" s="22" t="s">
        <v>682</v>
      </c>
      <c r="AC91" s="22" t="s">
        <v>70</v>
      </c>
      <c r="AD91" s="27" t="s">
        <v>71</v>
      </c>
      <c r="AE91" s="22" t="s">
        <v>669</v>
      </c>
      <c r="AF91" s="33" t="s">
        <v>683</v>
      </c>
      <c r="AG91" s="33" t="s">
        <v>684</v>
      </c>
      <c r="AI91" s="25" t="str">
        <f ca="1">IFERROR(__xludf.DUMMYFUNCTION("""COMPUTED_VALUE"""),"6082a40d762aff4c9b471bb2")</f>
        <v>6082a40d762aff4c9b471bb2</v>
      </c>
      <c r="AJ91" s="25">
        <f t="shared" ca="1" si="0"/>
        <v>1</v>
      </c>
    </row>
    <row r="92" spans="1:36" ht="46.5">
      <c r="A92" s="51" t="s">
        <v>664</v>
      </c>
      <c r="B92" s="51" t="s">
        <v>685</v>
      </c>
      <c r="C92" s="22" t="s">
        <v>686</v>
      </c>
      <c r="D92" s="23" t="s">
        <v>687</v>
      </c>
      <c r="E92" s="22" t="s">
        <v>49</v>
      </c>
      <c r="F92" s="22" t="s">
        <v>95</v>
      </c>
      <c r="G92" s="22" t="s">
        <v>49</v>
      </c>
      <c r="H92" s="22" t="s">
        <v>51</v>
      </c>
      <c r="I92" s="22" t="s">
        <v>52</v>
      </c>
      <c r="J92" s="22" t="s">
        <v>127</v>
      </c>
      <c r="K92" s="22" t="s">
        <v>688</v>
      </c>
      <c r="L92" s="22" t="s">
        <v>53</v>
      </c>
      <c r="M92" s="22" t="s">
        <v>83</v>
      </c>
      <c r="N92" s="22" t="s">
        <v>59</v>
      </c>
      <c r="O92" s="22" t="s">
        <v>84</v>
      </c>
      <c r="P92" s="22" t="s">
        <v>137</v>
      </c>
      <c r="Q92" s="22" t="s">
        <v>60</v>
      </c>
      <c r="R92" s="25"/>
      <c r="S92" s="22" t="s">
        <v>85</v>
      </c>
      <c r="T92" s="22" t="s">
        <v>62</v>
      </c>
      <c r="U92" s="22" t="s">
        <v>63</v>
      </c>
      <c r="V92" s="22" t="s">
        <v>64</v>
      </c>
      <c r="W92" s="25"/>
      <c r="X92" s="54" t="s">
        <v>543</v>
      </c>
      <c r="Y92" s="22" t="s">
        <v>342</v>
      </c>
      <c r="Z92" s="22" t="s">
        <v>689</v>
      </c>
      <c r="AA92" s="22" t="s">
        <v>638</v>
      </c>
      <c r="AC92" s="22" t="s">
        <v>70</v>
      </c>
      <c r="AD92" s="27" t="s">
        <v>71</v>
      </c>
      <c r="AE92" s="22" t="s">
        <v>669</v>
      </c>
      <c r="AF92" s="48" t="s">
        <v>690</v>
      </c>
      <c r="AG92" s="33" t="s">
        <v>691</v>
      </c>
      <c r="AI92" s="25" t="str">
        <f ca="1">IFERROR(__xludf.DUMMYFUNCTION("""COMPUTED_VALUE"""),"60ab50e7addd52296e9f7c41")</f>
        <v>60ab50e7addd52296e9f7c41</v>
      </c>
      <c r="AJ92" s="25">
        <f t="shared" ca="1" si="0"/>
        <v>1</v>
      </c>
    </row>
    <row r="93" spans="1:36" ht="31">
      <c r="A93" s="51" t="s">
        <v>664</v>
      </c>
      <c r="B93" s="51" t="s">
        <v>692</v>
      </c>
      <c r="C93" s="22" t="s">
        <v>693</v>
      </c>
      <c r="D93" s="23" t="s">
        <v>694</v>
      </c>
      <c r="E93" s="22" t="s">
        <v>49</v>
      </c>
      <c r="F93" s="22" t="s">
        <v>269</v>
      </c>
      <c r="G93" s="22" t="s">
        <v>49</v>
      </c>
      <c r="H93" s="22" t="s">
        <v>51</v>
      </c>
      <c r="I93" s="22" t="s">
        <v>81</v>
      </c>
      <c r="J93" s="22" t="s">
        <v>53</v>
      </c>
      <c r="K93" s="22" t="s">
        <v>182</v>
      </c>
      <c r="L93" s="22" t="s">
        <v>53</v>
      </c>
      <c r="M93" s="22" t="s">
        <v>83</v>
      </c>
      <c r="N93" s="22" t="s">
        <v>59</v>
      </c>
      <c r="O93" s="22" t="s">
        <v>490</v>
      </c>
      <c r="P93" s="22" t="s">
        <v>85</v>
      </c>
      <c r="Q93" s="22" t="s">
        <v>60</v>
      </c>
      <c r="R93" s="25"/>
      <c r="S93" s="22" t="s">
        <v>85</v>
      </c>
      <c r="T93" s="22" t="s">
        <v>62</v>
      </c>
      <c r="U93" s="22" t="s">
        <v>63</v>
      </c>
      <c r="V93" s="22" t="s">
        <v>64</v>
      </c>
      <c r="W93" s="25"/>
      <c r="X93" s="53" t="s">
        <v>695</v>
      </c>
      <c r="Y93" s="22" t="s">
        <v>162</v>
      </c>
      <c r="Z93" s="22" t="s">
        <v>696</v>
      </c>
      <c r="AA93" s="22" t="s">
        <v>570</v>
      </c>
      <c r="AC93" s="22" t="s">
        <v>70</v>
      </c>
      <c r="AD93" s="27" t="s">
        <v>71</v>
      </c>
      <c r="AE93" s="22" t="s">
        <v>669</v>
      </c>
      <c r="AF93" s="33" t="s">
        <v>697</v>
      </c>
      <c r="AG93" s="33" t="s">
        <v>103</v>
      </c>
      <c r="AI93" s="25" t="str">
        <f ca="1">IFERROR(__xludf.DUMMYFUNCTION("""COMPUTED_VALUE"""),"60ab5d4aaddd52296e9f7c4a")</f>
        <v>60ab5d4aaddd52296e9f7c4a</v>
      </c>
      <c r="AJ93" s="25">
        <f t="shared" ca="1" si="0"/>
        <v>1</v>
      </c>
    </row>
    <row r="94" spans="1:36" ht="46.5">
      <c r="A94" s="51" t="s">
        <v>664</v>
      </c>
      <c r="B94" s="51" t="s">
        <v>698</v>
      </c>
      <c r="C94" s="22" t="s">
        <v>699</v>
      </c>
      <c r="D94" s="23" t="s">
        <v>700</v>
      </c>
      <c r="E94" s="22" t="s">
        <v>49</v>
      </c>
      <c r="F94" s="22" t="s">
        <v>95</v>
      </c>
      <c r="G94" s="22" t="s">
        <v>49</v>
      </c>
      <c r="H94" s="22" t="s">
        <v>126</v>
      </c>
      <c r="I94" s="22" t="s">
        <v>221</v>
      </c>
      <c r="J94" s="22" t="s">
        <v>53</v>
      </c>
      <c r="K94" s="22" t="s">
        <v>170</v>
      </c>
      <c r="L94" s="22" t="s">
        <v>53</v>
      </c>
      <c r="M94" s="22" t="s">
        <v>83</v>
      </c>
      <c r="N94" s="22" t="s">
        <v>59</v>
      </c>
      <c r="O94" s="22" t="s">
        <v>490</v>
      </c>
      <c r="P94" s="22" t="s">
        <v>422</v>
      </c>
      <c r="Q94" s="22" t="s">
        <v>423</v>
      </c>
      <c r="R94" s="25"/>
      <c r="S94" s="22" t="s">
        <v>294</v>
      </c>
      <c r="T94" s="22" t="s">
        <v>62</v>
      </c>
      <c r="U94" s="22" t="s">
        <v>63</v>
      </c>
      <c r="V94" s="22" t="s">
        <v>87</v>
      </c>
      <c r="W94" s="25"/>
      <c r="X94" s="54" t="s">
        <v>701</v>
      </c>
      <c r="Y94" s="22" t="s">
        <v>240</v>
      </c>
      <c r="Z94" s="22" t="s">
        <v>460</v>
      </c>
      <c r="AA94" s="22" t="s">
        <v>702</v>
      </c>
      <c r="AC94" s="22" t="s">
        <v>70</v>
      </c>
      <c r="AD94" s="27" t="s">
        <v>71</v>
      </c>
      <c r="AE94" s="22" t="s">
        <v>669</v>
      </c>
      <c r="AF94" s="33" t="s">
        <v>703</v>
      </c>
      <c r="AG94" s="55" t="s">
        <v>704</v>
      </c>
      <c r="AI94" s="25" t="str">
        <f ca="1">IFERROR(__xludf.DUMMYFUNCTION("""COMPUTED_VALUE"""),"60ab63f17a6de41ad5b6f1eb")</f>
        <v>60ab63f17a6de41ad5b6f1eb</v>
      </c>
      <c r="AJ94" s="25">
        <f t="shared" ca="1" si="0"/>
        <v>1</v>
      </c>
    </row>
    <row r="95" spans="1:36" ht="31">
      <c r="A95" s="51" t="s">
        <v>664</v>
      </c>
      <c r="B95" s="51" t="s">
        <v>705</v>
      </c>
      <c r="C95" s="22" t="s">
        <v>706</v>
      </c>
      <c r="D95" s="23" t="s">
        <v>707</v>
      </c>
      <c r="E95" s="22" t="s">
        <v>49</v>
      </c>
      <c r="F95" s="22" t="s">
        <v>95</v>
      </c>
      <c r="G95" s="22" t="s">
        <v>49</v>
      </c>
      <c r="H95" s="22" t="s">
        <v>51</v>
      </c>
      <c r="I95" s="22" t="s">
        <v>52</v>
      </c>
      <c r="J95" s="22" t="s">
        <v>53</v>
      </c>
      <c r="K95" s="22" t="s">
        <v>182</v>
      </c>
      <c r="L95" s="22" t="s">
        <v>55</v>
      </c>
      <c r="M95" s="22" t="s">
        <v>83</v>
      </c>
      <c r="N95" s="22" t="s">
        <v>57</v>
      </c>
      <c r="O95" s="22" t="s">
        <v>490</v>
      </c>
      <c r="P95" s="22" t="s">
        <v>59</v>
      </c>
      <c r="Q95" s="22" t="s">
        <v>153</v>
      </c>
      <c r="R95" s="25"/>
      <c r="S95" s="22" t="s">
        <v>109</v>
      </c>
      <c r="T95" s="22" t="s">
        <v>62</v>
      </c>
      <c r="U95" s="22" t="s">
        <v>63</v>
      </c>
      <c r="V95" s="22" t="s">
        <v>64</v>
      </c>
      <c r="W95" s="25"/>
      <c r="X95" s="53" t="s">
        <v>674</v>
      </c>
      <c r="Y95" s="22" t="s">
        <v>184</v>
      </c>
      <c r="Z95" s="22" t="s">
        <v>708</v>
      </c>
      <c r="AA95" s="22" t="s">
        <v>709</v>
      </c>
      <c r="AC95" s="22" t="s">
        <v>70</v>
      </c>
      <c r="AD95" s="27" t="s">
        <v>71</v>
      </c>
      <c r="AE95" s="22" t="s">
        <v>669</v>
      </c>
      <c r="AF95" s="33" t="s">
        <v>710</v>
      </c>
      <c r="AG95" s="32" t="s">
        <v>103</v>
      </c>
      <c r="AI95" s="25" t="str">
        <f ca="1">IFERROR(__xludf.DUMMYFUNCTION("""COMPUTED_VALUE"""),"60ab6b02addd52296e9f7c51")</f>
        <v>60ab6b02addd52296e9f7c51</v>
      </c>
      <c r="AJ95" s="25">
        <f t="shared" ca="1" si="0"/>
        <v>1</v>
      </c>
    </row>
    <row r="96" spans="1:36" ht="31">
      <c r="A96" s="51" t="s">
        <v>664</v>
      </c>
      <c r="B96" s="51" t="s">
        <v>711</v>
      </c>
      <c r="C96" s="22" t="s">
        <v>712</v>
      </c>
      <c r="D96" s="23" t="s">
        <v>713</v>
      </c>
      <c r="E96" s="22" t="s">
        <v>49</v>
      </c>
      <c r="F96" s="22" t="s">
        <v>95</v>
      </c>
      <c r="G96" s="22" t="s">
        <v>49</v>
      </c>
      <c r="H96" s="22" t="s">
        <v>126</v>
      </c>
      <c r="I96" s="22" t="s">
        <v>307</v>
      </c>
      <c r="J96" s="22" t="s">
        <v>53</v>
      </c>
      <c r="K96" s="22" t="s">
        <v>170</v>
      </c>
      <c r="L96" s="22" t="s">
        <v>53</v>
      </c>
      <c r="M96" s="22" t="s">
        <v>83</v>
      </c>
      <c r="N96" s="22" t="s">
        <v>59</v>
      </c>
      <c r="O96" s="22" t="s">
        <v>84</v>
      </c>
      <c r="P96" s="22" t="s">
        <v>57</v>
      </c>
      <c r="Q96" s="22" t="s">
        <v>153</v>
      </c>
      <c r="R96" s="25"/>
      <c r="S96" s="22" t="s">
        <v>61</v>
      </c>
      <c r="T96" s="22" t="s">
        <v>62</v>
      </c>
      <c r="U96" s="22" t="s">
        <v>63</v>
      </c>
      <c r="V96" s="22" t="s">
        <v>64</v>
      </c>
      <c r="W96" s="25"/>
      <c r="X96" s="54" t="s">
        <v>654</v>
      </c>
      <c r="Y96" s="22" t="s">
        <v>131</v>
      </c>
      <c r="Z96" s="22" t="s">
        <v>186</v>
      </c>
      <c r="AA96" s="22" t="s">
        <v>714</v>
      </c>
      <c r="AC96" s="22" t="s">
        <v>70</v>
      </c>
      <c r="AD96" s="27" t="s">
        <v>71</v>
      </c>
      <c r="AE96" s="22" t="s">
        <v>669</v>
      </c>
      <c r="AF96" s="33"/>
      <c r="AG96" s="28"/>
      <c r="AI96" s="25" t="str">
        <f ca="1">IFERROR(__xludf.DUMMYFUNCTION("""COMPUTED_VALUE"""),"60ac60ccaddd52296e9f7c5e")</f>
        <v>60ac60ccaddd52296e9f7c5e</v>
      </c>
      <c r="AJ96" s="25">
        <f t="shared" ca="1" si="0"/>
        <v>1</v>
      </c>
    </row>
    <row r="97" spans="1:38" ht="31">
      <c r="A97" s="51" t="s">
        <v>664</v>
      </c>
      <c r="B97" s="51" t="s">
        <v>715</v>
      </c>
      <c r="C97" s="22" t="s">
        <v>716</v>
      </c>
      <c r="D97" s="23" t="s">
        <v>717</v>
      </c>
      <c r="E97" s="22" t="s">
        <v>49</v>
      </c>
      <c r="F97" s="22" t="s">
        <v>78</v>
      </c>
      <c r="G97" s="22" t="s">
        <v>79</v>
      </c>
      <c r="H97" s="22" t="s">
        <v>126</v>
      </c>
      <c r="I97" s="22" t="s">
        <v>307</v>
      </c>
      <c r="J97" s="22" t="s">
        <v>53</v>
      </c>
      <c r="K97" s="22" t="s">
        <v>170</v>
      </c>
      <c r="L97" s="22" t="s">
        <v>53</v>
      </c>
      <c r="M97" s="22" t="s">
        <v>83</v>
      </c>
      <c r="N97" s="22" t="s">
        <v>59</v>
      </c>
      <c r="O97" s="22" t="s">
        <v>84</v>
      </c>
      <c r="P97" s="22" t="s">
        <v>59</v>
      </c>
      <c r="Q97" s="22" t="s">
        <v>86</v>
      </c>
      <c r="R97" s="22" t="s">
        <v>60</v>
      </c>
      <c r="S97" s="22" t="s">
        <v>61</v>
      </c>
      <c r="T97" s="22" t="s">
        <v>62</v>
      </c>
      <c r="U97" s="22" t="s">
        <v>63</v>
      </c>
      <c r="V97" s="22" t="s">
        <v>64</v>
      </c>
      <c r="W97" s="25"/>
      <c r="X97" s="53" t="s">
        <v>718</v>
      </c>
      <c r="Y97" s="22" t="s">
        <v>162</v>
      </c>
      <c r="Z97" s="22" t="s">
        <v>719</v>
      </c>
      <c r="AA97" s="22" t="s">
        <v>720</v>
      </c>
      <c r="AC97" s="22" t="s">
        <v>70</v>
      </c>
      <c r="AD97" s="27" t="s">
        <v>71</v>
      </c>
      <c r="AE97" s="22" t="s">
        <v>669</v>
      </c>
      <c r="AF97" s="33"/>
      <c r="AG97" s="28"/>
      <c r="AI97" s="25" t="str">
        <f ca="1">IFERROR(__xludf.DUMMYFUNCTION("""COMPUTED_VALUE"""),"60ac69967a6de41ad5b6f201")</f>
        <v>60ac69967a6de41ad5b6f201</v>
      </c>
      <c r="AJ97" s="25">
        <f t="shared" ca="1" si="0"/>
        <v>1</v>
      </c>
    </row>
    <row r="98" spans="1:38" ht="31">
      <c r="A98" s="51" t="s">
        <v>664</v>
      </c>
      <c r="B98" s="51" t="s">
        <v>721</v>
      </c>
      <c r="C98" s="22" t="s">
        <v>722</v>
      </c>
      <c r="D98" s="23" t="s">
        <v>723</v>
      </c>
      <c r="E98" s="22" t="s">
        <v>49</v>
      </c>
      <c r="F98" s="22" t="s">
        <v>78</v>
      </c>
      <c r="G98" s="22" t="s">
        <v>49</v>
      </c>
      <c r="H98" s="22" t="s">
        <v>126</v>
      </c>
      <c r="I98" s="22" t="s">
        <v>221</v>
      </c>
      <c r="J98" s="22" t="s">
        <v>107</v>
      </c>
      <c r="K98" s="22" t="s">
        <v>170</v>
      </c>
      <c r="L98" s="22" t="s">
        <v>53</v>
      </c>
      <c r="M98" s="22" t="s">
        <v>83</v>
      </c>
      <c r="N98" s="22" t="s">
        <v>59</v>
      </c>
      <c r="O98" s="22" t="s">
        <v>84</v>
      </c>
      <c r="P98" s="22" t="s">
        <v>422</v>
      </c>
      <c r="Q98" s="22" t="s">
        <v>60</v>
      </c>
      <c r="R98" s="25"/>
      <c r="S98" s="22" t="s">
        <v>388</v>
      </c>
      <c r="T98" s="22" t="s">
        <v>62</v>
      </c>
      <c r="U98" s="22" t="s">
        <v>63</v>
      </c>
      <c r="V98" s="22" t="s">
        <v>64</v>
      </c>
      <c r="W98" s="25"/>
      <c r="X98" s="53" t="s">
        <v>695</v>
      </c>
      <c r="Y98" s="22" t="s">
        <v>262</v>
      </c>
      <c r="Z98" s="22" t="s">
        <v>724</v>
      </c>
      <c r="AA98" s="22" t="s">
        <v>725</v>
      </c>
      <c r="AC98" s="22" t="s">
        <v>70</v>
      </c>
      <c r="AD98" s="27" t="s">
        <v>71</v>
      </c>
      <c r="AE98" s="22" t="s">
        <v>669</v>
      </c>
      <c r="AF98" s="34"/>
      <c r="AG98" s="28"/>
      <c r="AI98" s="25" t="str">
        <f ca="1">IFERROR(__xludf.DUMMYFUNCTION("""COMPUTED_VALUE"""),"60ac87627a6de41ad5b6f20a")</f>
        <v>60ac87627a6de41ad5b6f20a</v>
      </c>
      <c r="AJ98" s="25">
        <f t="shared" ca="1" si="0"/>
        <v>1</v>
      </c>
    </row>
    <row r="99" spans="1:38" ht="31">
      <c r="A99" s="51" t="s">
        <v>664</v>
      </c>
      <c r="B99" s="51" t="s">
        <v>726</v>
      </c>
      <c r="C99" s="22" t="s">
        <v>727</v>
      </c>
      <c r="D99" s="23" t="s">
        <v>728</v>
      </c>
      <c r="E99" s="22" t="s">
        <v>49</v>
      </c>
      <c r="F99" s="22" t="s">
        <v>50</v>
      </c>
      <c r="G99" s="22" t="s">
        <v>49</v>
      </c>
      <c r="H99" s="22" t="s">
        <v>126</v>
      </c>
      <c r="I99" s="22" t="s">
        <v>52</v>
      </c>
      <c r="J99" s="22" t="s">
        <v>127</v>
      </c>
      <c r="K99" s="22" t="s">
        <v>128</v>
      </c>
      <c r="L99" s="22" t="s">
        <v>55</v>
      </c>
      <c r="M99" s="22" t="s">
        <v>398</v>
      </c>
      <c r="N99" s="22" t="s">
        <v>59</v>
      </c>
      <c r="O99" s="22" t="s">
        <v>84</v>
      </c>
      <c r="P99" s="22" t="s">
        <v>85</v>
      </c>
      <c r="Q99" s="22" t="s">
        <v>60</v>
      </c>
      <c r="R99" s="22" t="s">
        <v>183</v>
      </c>
      <c r="S99" s="22" t="s">
        <v>85</v>
      </c>
      <c r="T99" s="22" t="s">
        <v>62</v>
      </c>
      <c r="U99" s="22" t="s">
        <v>63</v>
      </c>
      <c r="V99" s="22" t="s">
        <v>64</v>
      </c>
      <c r="W99" s="25"/>
      <c r="X99" s="26" t="s">
        <v>654</v>
      </c>
      <c r="Y99" s="22" t="s">
        <v>231</v>
      </c>
      <c r="Z99" s="22" t="s">
        <v>232</v>
      </c>
      <c r="AA99" s="22" t="s">
        <v>682</v>
      </c>
      <c r="AC99" s="22" t="s">
        <v>393</v>
      </c>
      <c r="AD99" s="27" t="s">
        <v>71</v>
      </c>
      <c r="AE99" s="22" t="s">
        <v>669</v>
      </c>
      <c r="AF99" s="33" t="s">
        <v>729</v>
      </c>
      <c r="AG99" s="34"/>
      <c r="AI99" s="25" t="str">
        <f ca="1">IFERROR(__xludf.DUMMYFUNCTION("""COMPUTED_VALUE"""),"60ac928aaddd52296e9f7c6e")</f>
        <v>60ac928aaddd52296e9f7c6e</v>
      </c>
      <c r="AJ99" s="25">
        <f t="shared" ca="1" si="0"/>
        <v>1</v>
      </c>
    </row>
    <row r="100" spans="1:38" ht="46.5">
      <c r="A100" s="51" t="s">
        <v>664</v>
      </c>
      <c r="B100" s="51" t="s">
        <v>730</v>
      </c>
      <c r="C100" s="22" t="s">
        <v>731</v>
      </c>
      <c r="D100" s="23" t="s">
        <v>732</v>
      </c>
      <c r="E100" s="22" t="s">
        <v>49</v>
      </c>
      <c r="F100" s="22" t="s">
        <v>78</v>
      </c>
      <c r="G100" s="22" t="s">
        <v>49</v>
      </c>
      <c r="H100" s="22" t="s">
        <v>51</v>
      </c>
      <c r="I100" s="22" t="s">
        <v>81</v>
      </c>
      <c r="J100" s="22" t="s">
        <v>127</v>
      </c>
      <c r="K100" s="22" t="s">
        <v>54</v>
      </c>
      <c r="L100" s="22" t="s">
        <v>55</v>
      </c>
      <c r="M100" s="22" t="s">
        <v>398</v>
      </c>
      <c r="N100" s="22" t="s">
        <v>59</v>
      </c>
      <c r="O100" s="22" t="s">
        <v>84</v>
      </c>
      <c r="P100" s="22" t="s">
        <v>137</v>
      </c>
      <c r="Q100" s="22" t="s">
        <v>183</v>
      </c>
      <c r="R100" s="25"/>
      <c r="S100" s="22" t="s">
        <v>61</v>
      </c>
      <c r="T100" s="22" t="s">
        <v>62</v>
      </c>
      <c r="U100" s="22" t="s">
        <v>63</v>
      </c>
      <c r="V100" s="22" t="s">
        <v>64</v>
      </c>
      <c r="W100" s="25"/>
      <c r="X100" s="26" t="s">
        <v>145</v>
      </c>
      <c r="Y100" s="22" t="s">
        <v>120</v>
      </c>
      <c r="Z100" s="22" t="s">
        <v>733</v>
      </c>
      <c r="AA100" s="22" t="s">
        <v>734</v>
      </c>
      <c r="AC100" s="22" t="s">
        <v>393</v>
      </c>
      <c r="AD100" s="27" t="s">
        <v>71</v>
      </c>
      <c r="AE100" s="22" t="s">
        <v>669</v>
      </c>
      <c r="AF100" s="33" t="s">
        <v>735</v>
      </c>
      <c r="AG100" s="33" t="s">
        <v>217</v>
      </c>
      <c r="AI100" s="25" t="str">
        <f ca="1">IFERROR(__xludf.DUMMYFUNCTION("""COMPUTED_VALUE"""),"6082a8a5762aff4c9b471c08")</f>
        <v>6082a8a5762aff4c9b471c08</v>
      </c>
      <c r="AJ100" s="25">
        <f t="shared" ca="1" si="0"/>
        <v>1</v>
      </c>
    </row>
    <row r="101" spans="1:38" ht="46.5">
      <c r="A101" s="51" t="s">
        <v>664</v>
      </c>
      <c r="B101" s="51" t="s">
        <v>736</v>
      </c>
      <c r="C101" s="7" t="s">
        <v>737</v>
      </c>
      <c r="D101" s="42" t="s">
        <v>738</v>
      </c>
      <c r="E101" s="22" t="s">
        <v>49</v>
      </c>
      <c r="F101" s="22" t="s">
        <v>618</v>
      </c>
      <c r="G101" s="22" t="s">
        <v>49</v>
      </c>
      <c r="H101" s="22" t="s">
        <v>51</v>
      </c>
      <c r="I101" s="22" t="s">
        <v>52</v>
      </c>
      <c r="J101" s="22" t="s">
        <v>127</v>
      </c>
      <c r="K101" s="22" t="s">
        <v>54</v>
      </c>
      <c r="L101" s="22" t="s">
        <v>55</v>
      </c>
      <c r="M101" s="22" t="s">
        <v>129</v>
      </c>
      <c r="N101" s="22" t="s">
        <v>194</v>
      </c>
      <c r="O101" s="22" t="s">
        <v>490</v>
      </c>
      <c r="P101" s="22" t="s">
        <v>59</v>
      </c>
      <c r="Q101" s="22" t="s">
        <v>63</v>
      </c>
      <c r="R101" s="22" t="s">
        <v>458</v>
      </c>
      <c r="S101" s="22" t="s">
        <v>61</v>
      </c>
      <c r="T101" s="22" t="s">
        <v>62</v>
      </c>
      <c r="U101" s="22" t="s">
        <v>63</v>
      </c>
      <c r="V101" s="22" t="s">
        <v>64</v>
      </c>
      <c r="W101" s="25"/>
      <c r="X101" s="35" t="s">
        <v>145</v>
      </c>
      <c r="Y101" s="22" t="s">
        <v>99</v>
      </c>
      <c r="Z101" s="22" t="s">
        <v>739</v>
      </c>
      <c r="AA101" s="22" t="s">
        <v>740</v>
      </c>
      <c r="AC101" s="22" t="s">
        <v>393</v>
      </c>
      <c r="AD101" s="27" t="s">
        <v>71</v>
      </c>
      <c r="AE101" s="22" t="s">
        <v>741</v>
      </c>
      <c r="AF101" s="34"/>
      <c r="AG101" s="34"/>
      <c r="AI101" s="25" t="str">
        <f ca="1">IFERROR(__xludf.DUMMYFUNCTION("""COMPUTED_VALUE"""),"6082a980762aff4c9b471c3e")</f>
        <v>6082a980762aff4c9b471c3e</v>
      </c>
      <c r="AJ101" s="25">
        <f t="shared" ca="1" si="0"/>
        <v>1</v>
      </c>
    </row>
    <row r="102" spans="1:38" ht="46.5">
      <c r="A102" s="51" t="s">
        <v>664</v>
      </c>
      <c r="B102" s="51" t="s">
        <v>742</v>
      </c>
      <c r="C102" s="7" t="s">
        <v>743</v>
      </c>
      <c r="D102" s="42" t="s">
        <v>744</v>
      </c>
      <c r="E102" s="22" t="s">
        <v>49</v>
      </c>
      <c r="F102" s="22" t="s">
        <v>228</v>
      </c>
      <c r="G102" s="22" t="s">
        <v>49</v>
      </c>
      <c r="H102" s="22" t="s">
        <v>51</v>
      </c>
      <c r="I102" s="22" t="s">
        <v>52</v>
      </c>
      <c r="J102" s="22" t="s">
        <v>127</v>
      </c>
      <c r="K102" s="22" t="s">
        <v>82</v>
      </c>
      <c r="L102" s="22" t="s">
        <v>55</v>
      </c>
      <c r="M102" s="22" t="s">
        <v>56</v>
      </c>
      <c r="N102" s="22" t="s">
        <v>59</v>
      </c>
      <c r="O102" s="22" t="s">
        <v>84</v>
      </c>
      <c r="P102" s="22" t="s">
        <v>85</v>
      </c>
      <c r="Q102" s="22" t="s">
        <v>60</v>
      </c>
      <c r="R102" s="22" t="s">
        <v>183</v>
      </c>
      <c r="S102" s="22" t="s">
        <v>85</v>
      </c>
      <c r="T102" s="22" t="s">
        <v>62</v>
      </c>
      <c r="U102" s="22" t="s">
        <v>63</v>
      </c>
      <c r="V102" s="22" t="s">
        <v>64</v>
      </c>
      <c r="W102" s="25"/>
      <c r="X102" s="35" t="s">
        <v>145</v>
      </c>
      <c r="Y102" s="22" t="s">
        <v>131</v>
      </c>
      <c r="Z102" s="22" t="s">
        <v>745</v>
      </c>
      <c r="AA102" s="22" t="s">
        <v>746</v>
      </c>
      <c r="AC102" s="22" t="s">
        <v>393</v>
      </c>
      <c r="AD102" s="27" t="s">
        <v>71</v>
      </c>
      <c r="AE102" s="22" t="s">
        <v>741</v>
      </c>
      <c r="AF102" s="34"/>
      <c r="AG102" s="34"/>
      <c r="AI102" s="25" t="str">
        <f ca="1">IFERROR(__xludf.DUMMYFUNCTION("""COMPUTED_VALUE"""),"6082aa47762aff4c9b471c5b")</f>
        <v>6082aa47762aff4c9b471c5b</v>
      </c>
      <c r="AJ102" s="25">
        <f t="shared" ca="1" si="0"/>
        <v>1</v>
      </c>
    </row>
    <row r="103" spans="1:38" ht="31">
      <c r="A103" s="51" t="s">
        <v>664</v>
      </c>
      <c r="B103" s="51" t="s">
        <v>747</v>
      </c>
      <c r="C103" s="22" t="s">
        <v>748</v>
      </c>
      <c r="D103" s="23" t="s">
        <v>749</v>
      </c>
      <c r="E103" s="22" t="s">
        <v>49</v>
      </c>
      <c r="F103" s="22" t="s">
        <v>50</v>
      </c>
      <c r="G103" s="22" t="s">
        <v>49</v>
      </c>
      <c r="H103" s="22" t="s">
        <v>126</v>
      </c>
      <c r="I103" s="22" t="s">
        <v>307</v>
      </c>
      <c r="J103" s="22" t="s">
        <v>53</v>
      </c>
      <c r="K103" s="22" t="s">
        <v>128</v>
      </c>
      <c r="L103" s="22" t="s">
        <v>53</v>
      </c>
      <c r="M103" s="22" t="s">
        <v>56</v>
      </c>
      <c r="N103" s="22" t="s">
        <v>59</v>
      </c>
      <c r="O103" s="22" t="s">
        <v>84</v>
      </c>
      <c r="P103" s="22" t="s">
        <v>108</v>
      </c>
      <c r="Q103" s="22" t="s">
        <v>60</v>
      </c>
      <c r="R103" s="25"/>
      <c r="S103" s="22" t="s">
        <v>61</v>
      </c>
      <c r="T103" s="22" t="s">
        <v>62</v>
      </c>
      <c r="U103" s="22" t="s">
        <v>515</v>
      </c>
      <c r="V103" s="22" t="s">
        <v>64</v>
      </c>
      <c r="W103" s="25"/>
      <c r="X103" s="35" t="s">
        <v>145</v>
      </c>
      <c r="Y103" s="22" t="s">
        <v>240</v>
      </c>
      <c r="Z103" s="22" t="s">
        <v>750</v>
      </c>
      <c r="AA103" s="22" t="s">
        <v>751</v>
      </c>
      <c r="AC103" s="22" t="s">
        <v>393</v>
      </c>
      <c r="AD103" s="27" t="s">
        <v>71</v>
      </c>
      <c r="AE103" s="22" t="s">
        <v>741</v>
      </c>
      <c r="AF103" s="34"/>
      <c r="AG103" s="34"/>
      <c r="AI103" s="25" t="str">
        <f ca="1">IFERROR(__xludf.DUMMYFUNCTION("""COMPUTED_VALUE"""),"6082ab38762aff4c9b471c64")</f>
        <v>6082ab38762aff4c9b471c64</v>
      </c>
      <c r="AJ103" s="25">
        <f t="shared" ca="1" si="0"/>
        <v>1</v>
      </c>
    </row>
    <row r="104" spans="1:38" ht="31">
      <c r="A104" s="51" t="s">
        <v>664</v>
      </c>
      <c r="B104" s="51" t="s">
        <v>752</v>
      </c>
      <c r="C104" s="22" t="s">
        <v>753</v>
      </c>
      <c r="D104" s="23" t="s">
        <v>754</v>
      </c>
      <c r="E104" s="22" t="s">
        <v>49</v>
      </c>
      <c r="F104" s="22" t="s">
        <v>95</v>
      </c>
      <c r="G104" s="22" t="s">
        <v>49</v>
      </c>
      <c r="H104" s="22" t="s">
        <v>51</v>
      </c>
      <c r="I104" s="22" t="s">
        <v>81</v>
      </c>
      <c r="J104" s="22" t="s">
        <v>107</v>
      </c>
      <c r="K104" s="22" t="s">
        <v>82</v>
      </c>
      <c r="L104" s="22" t="s">
        <v>53</v>
      </c>
      <c r="M104" s="22" t="s">
        <v>755</v>
      </c>
      <c r="N104" s="22" t="s">
        <v>59</v>
      </c>
      <c r="O104" s="22" t="s">
        <v>84</v>
      </c>
      <c r="P104" s="22" t="s">
        <v>109</v>
      </c>
      <c r="Q104" s="22" t="s">
        <v>60</v>
      </c>
      <c r="R104" s="25"/>
      <c r="S104" s="22" t="s">
        <v>388</v>
      </c>
      <c r="T104" s="22" t="s">
        <v>62</v>
      </c>
      <c r="U104" s="22" t="s">
        <v>63</v>
      </c>
      <c r="V104" s="22" t="s">
        <v>64</v>
      </c>
      <c r="W104" s="25"/>
      <c r="X104" s="35" t="s">
        <v>145</v>
      </c>
      <c r="Y104" s="22" t="s">
        <v>363</v>
      </c>
      <c r="Z104" s="22" t="s">
        <v>756</v>
      </c>
      <c r="AA104" s="22" t="s">
        <v>205</v>
      </c>
      <c r="AC104" s="22" t="s">
        <v>393</v>
      </c>
      <c r="AD104" s="27" t="s">
        <v>71</v>
      </c>
      <c r="AE104" s="22" t="s">
        <v>741</v>
      </c>
      <c r="AF104" s="34"/>
      <c r="AG104" s="34"/>
      <c r="AI104" s="25" t="str">
        <f ca="1">IFERROR(__xludf.DUMMYFUNCTION("""COMPUTED_VALUE"""),"6082ab9b762aff4c9b471c8d")</f>
        <v>6082ab9b762aff4c9b471c8d</v>
      </c>
      <c r="AJ104" s="25">
        <f t="shared" ca="1" si="0"/>
        <v>1</v>
      </c>
    </row>
    <row r="105" spans="1:38" ht="46.5">
      <c r="A105" s="51" t="s">
        <v>664</v>
      </c>
      <c r="B105" s="51" t="s">
        <v>757</v>
      </c>
      <c r="C105" s="22" t="s">
        <v>758</v>
      </c>
      <c r="D105" s="42" t="s">
        <v>759</v>
      </c>
      <c r="E105" s="22" t="s">
        <v>49</v>
      </c>
      <c r="F105" s="22" t="s">
        <v>95</v>
      </c>
      <c r="G105" s="22" t="s">
        <v>79</v>
      </c>
      <c r="H105" s="22" t="s">
        <v>126</v>
      </c>
      <c r="I105" s="22" t="s">
        <v>307</v>
      </c>
      <c r="J105" s="22" t="s">
        <v>53</v>
      </c>
      <c r="K105" s="22" t="s">
        <v>144</v>
      </c>
      <c r="L105" s="22" t="s">
        <v>53</v>
      </c>
      <c r="M105" s="22" t="s">
        <v>129</v>
      </c>
      <c r="N105" s="22" t="s">
        <v>59</v>
      </c>
      <c r="O105" s="22" t="s">
        <v>84</v>
      </c>
      <c r="P105" s="22" t="s">
        <v>109</v>
      </c>
      <c r="Q105" s="22" t="s">
        <v>60</v>
      </c>
      <c r="R105" s="22" t="s">
        <v>130</v>
      </c>
      <c r="S105" s="22" t="s">
        <v>61</v>
      </c>
      <c r="T105" s="22" t="s">
        <v>62</v>
      </c>
      <c r="U105" s="22" t="s">
        <v>63</v>
      </c>
      <c r="V105" s="22" t="s">
        <v>64</v>
      </c>
      <c r="W105" s="25"/>
      <c r="X105" s="35" t="s">
        <v>119</v>
      </c>
      <c r="Y105" s="22" t="s">
        <v>204</v>
      </c>
      <c r="Z105" s="22" t="s">
        <v>760</v>
      </c>
      <c r="AA105" s="22" t="s">
        <v>761</v>
      </c>
      <c r="AC105" s="22" t="s">
        <v>393</v>
      </c>
      <c r="AD105" s="27" t="s">
        <v>71</v>
      </c>
      <c r="AE105" s="22" t="s">
        <v>741</v>
      </c>
      <c r="AF105" s="34"/>
      <c r="AG105" s="34"/>
      <c r="AI105" s="25" t="str">
        <f ca="1">IFERROR(__xludf.DUMMYFUNCTION("""COMPUTED_VALUE"""),"60ab615f37759734be1f5077")</f>
        <v>60ab615f37759734be1f5077</v>
      </c>
      <c r="AJ105" s="25">
        <f t="shared" ca="1" si="0"/>
        <v>1</v>
      </c>
    </row>
    <row r="106" spans="1:38" ht="46.5">
      <c r="A106" s="51" t="s">
        <v>664</v>
      </c>
      <c r="B106" s="51" t="s">
        <v>762</v>
      </c>
      <c r="C106" s="22" t="s">
        <v>763</v>
      </c>
      <c r="D106" s="23" t="s">
        <v>764</v>
      </c>
      <c r="E106" s="22" t="s">
        <v>49</v>
      </c>
      <c r="F106" s="22" t="s">
        <v>50</v>
      </c>
      <c r="G106" s="22" t="s">
        <v>49</v>
      </c>
      <c r="H106" s="22" t="s">
        <v>80</v>
      </c>
      <c r="I106" s="22" t="s">
        <v>81</v>
      </c>
      <c r="J106" s="22" t="s">
        <v>53</v>
      </c>
      <c r="K106" s="22" t="s">
        <v>54</v>
      </c>
      <c r="L106" s="22" t="s">
        <v>53</v>
      </c>
      <c r="M106" s="22" t="s">
        <v>83</v>
      </c>
      <c r="N106" s="22" t="s">
        <v>59</v>
      </c>
      <c r="O106" s="22" t="s">
        <v>84</v>
      </c>
      <c r="P106" s="22" t="s">
        <v>85</v>
      </c>
      <c r="Q106" s="22" t="s">
        <v>153</v>
      </c>
      <c r="R106" s="22" t="s">
        <v>238</v>
      </c>
      <c r="S106" s="22" t="s">
        <v>85</v>
      </c>
      <c r="T106" s="22" t="s">
        <v>62</v>
      </c>
      <c r="U106" s="22" t="s">
        <v>515</v>
      </c>
      <c r="V106" s="22" t="s">
        <v>64</v>
      </c>
      <c r="W106" s="25"/>
      <c r="X106" s="35" t="s">
        <v>119</v>
      </c>
      <c r="Y106" s="22" t="s">
        <v>262</v>
      </c>
      <c r="Z106" s="22" t="s">
        <v>765</v>
      </c>
      <c r="AA106" s="22" t="s">
        <v>766</v>
      </c>
      <c r="AC106" s="22" t="s">
        <v>393</v>
      </c>
      <c r="AD106" s="27" t="s">
        <v>71</v>
      </c>
      <c r="AE106" s="22" t="s">
        <v>741</v>
      </c>
      <c r="AF106" s="34"/>
      <c r="AG106" s="34"/>
      <c r="AI106" s="25" t="str">
        <f ca="1">IFERROR(__xludf.DUMMYFUNCTION("""COMPUTED_VALUE"""),"60adf8014b2f8337f4d3d97f")</f>
        <v>60adf8014b2f8337f4d3d97f</v>
      </c>
      <c r="AJ106" s="25">
        <f t="shared" ca="1" si="0"/>
        <v>1</v>
      </c>
    </row>
    <row r="107" spans="1:38" ht="46.5">
      <c r="A107" s="51" t="s">
        <v>664</v>
      </c>
      <c r="B107" s="51" t="s">
        <v>767</v>
      </c>
      <c r="C107" s="22" t="s">
        <v>768</v>
      </c>
      <c r="D107" s="23" t="s">
        <v>769</v>
      </c>
      <c r="E107" s="22" t="s">
        <v>49</v>
      </c>
      <c r="F107" s="22" t="s">
        <v>95</v>
      </c>
      <c r="G107" s="22" t="s">
        <v>49</v>
      </c>
      <c r="H107" s="22" t="s">
        <v>51</v>
      </c>
      <c r="I107" s="22" t="s">
        <v>81</v>
      </c>
      <c r="J107" s="22" t="s">
        <v>109</v>
      </c>
      <c r="K107" s="22" t="s">
        <v>54</v>
      </c>
      <c r="L107" s="22" t="s">
        <v>53</v>
      </c>
      <c r="M107" s="22" t="s">
        <v>129</v>
      </c>
      <c r="N107" s="22" t="s">
        <v>59</v>
      </c>
      <c r="O107" s="22" t="s">
        <v>490</v>
      </c>
      <c r="P107" s="22" t="s">
        <v>85</v>
      </c>
      <c r="Q107" s="22" t="s">
        <v>203</v>
      </c>
      <c r="R107" s="25"/>
      <c r="S107" s="22" t="s">
        <v>85</v>
      </c>
      <c r="T107" s="22" t="s">
        <v>62</v>
      </c>
      <c r="U107" s="22" t="s">
        <v>63</v>
      </c>
      <c r="V107" s="22" t="s">
        <v>64</v>
      </c>
      <c r="W107" s="25"/>
      <c r="X107" s="35" t="s">
        <v>119</v>
      </c>
      <c r="Y107" s="22" t="s">
        <v>770</v>
      </c>
      <c r="Z107" s="22" t="s">
        <v>771</v>
      </c>
      <c r="AA107" s="22" t="s">
        <v>772</v>
      </c>
      <c r="AC107" s="22" t="s">
        <v>393</v>
      </c>
      <c r="AD107" s="27" t="s">
        <v>71</v>
      </c>
      <c r="AE107" s="22" t="s">
        <v>741</v>
      </c>
      <c r="AF107" s="34"/>
      <c r="AG107" s="34"/>
      <c r="AI107" s="25" t="str">
        <f ca="1">IFERROR(__xludf.DUMMYFUNCTION("""COMPUTED_VALUE"""),"60ae01534b2f8337f4d3dae4")</f>
        <v>60ae01534b2f8337f4d3dae4</v>
      </c>
      <c r="AJ107" s="25">
        <f t="shared" ca="1" si="0"/>
        <v>1</v>
      </c>
    </row>
    <row r="108" spans="1:38" ht="46.5">
      <c r="A108" s="51" t="s">
        <v>664</v>
      </c>
      <c r="B108" s="51" t="s">
        <v>773</v>
      </c>
      <c r="C108" s="22" t="s">
        <v>774</v>
      </c>
      <c r="D108" s="23" t="s">
        <v>775</v>
      </c>
      <c r="E108" s="22" t="s">
        <v>49</v>
      </c>
      <c r="F108" s="22" t="s">
        <v>50</v>
      </c>
      <c r="G108" s="22" t="s">
        <v>49</v>
      </c>
      <c r="H108" s="22" t="s">
        <v>2303</v>
      </c>
      <c r="I108" s="22" t="s">
        <v>307</v>
      </c>
      <c r="J108" s="22" t="s">
        <v>127</v>
      </c>
      <c r="K108" s="22" t="s">
        <v>82</v>
      </c>
      <c r="L108" s="22" t="s">
        <v>53</v>
      </c>
      <c r="M108" s="22" t="s">
        <v>56</v>
      </c>
      <c r="N108" s="22" t="s">
        <v>348</v>
      </c>
      <c r="O108" s="22" t="s">
        <v>84</v>
      </c>
      <c r="P108" s="22" t="s">
        <v>85</v>
      </c>
      <c r="Q108" s="22" t="s">
        <v>60</v>
      </c>
      <c r="R108" s="25"/>
      <c r="S108" s="22" t="s">
        <v>61</v>
      </c>
      <c r="T108" s="22" t="s">
        <v>62</v>
      </c>
      <c r="U108" s="22" t="s">
        <v>63</v>
      </c>
      <c r="V108" s="22" t="s">
        <v>64</v>
      </c>
      <c r="W108" s="25"/>
      <c r="X108" s="26" t="s">
        <v>776</v>
      </c>
      <c r="Y108" s="22" t="s">
        <v>777</v>
      </c>
      <c r="Z108" s="22" t="s">
        <v>778</v>
      </c>
      <c r="AA108" s="22" t="s">
        <v>779</v>
      </c>
      <c r="AC108" s="22" t="s">
        <v>328</v>
      </c>
      <c r="AD108" s="27" t="s">
        <v>71</v>
      </c>
      <c r="AE108" s="22" t="s">
        <v>741</v>
      </c>
      <c r="AF108" s="34"/>
      <c r="AG108" s="34"/>
      <c r="AI108" s="25" t="str">
        <f ca="1">IFERROR(__xludf.DUMMYFUNCTION("""COMPUTED_VALUE"""),"60af467295b6e259f5f7e5fa")</f>
        <v>60af467295b6e259f5f7e5fa</v>
      </c>
      <c r="AJ108" s="25">
        <f t="shared" ca="1" si="0"/>
        <v>1</v>
      </c>
    </row>
    <row r="109" spans="1:38" ht="31">
      <c r="A109" s="51" t="s">
        <v>664</v>
      </c>
      <c r="B109" s="51" t="s">
        <v>780</v>
      </c>
      <c r="C109" s="56" t="s">
        <v>781</v>
      </c>
      <c r="D109" s="57" t="s">
        <v>782</v>
      </c>
      <c r="E109" s="56" t="s">
        <v>49</v>
      </c>
      <c r="F109" s="56" t="s">
        <v>78</v>
      </c>
      <c r="G109" s="56" t="s">
        <v>49</v>
      </c>
      <c r="H109" s="56" t="s">
        <v>421</v>
      </c>
      <c r="I109" s="56" t="s">
        <v>307</v>
      </c>
      <c r="J109" s="56" t="s">
        <v>127</v>
      </c>
      <c r="K109" s="56" t="s">
        <v>54</v>
      </c>
      <c r="L109" s="56" t="s">
        <v>53</v>
      </c>
      <c r="M109" s="56" t="s">
        <v>83</v>
      </c>
      <c r="N109" s="56" t="s">
        <v>59</v>
      </c>
      <c r="O109" s="56" t="s">
        <v>84</v>
      </c>
      <c r="P109" s="56" t="s">
        <v>85</v>
      </c>
      <c r="Q109" s="56" t="s">
        <v>86</v>
      </c>
      <c r="R109" s="56" t="s">
        <v>153</v>
      </c>
      <c r="S109" s="56" t="s">
        <v>388</v>
      </c>
      <c r="T109" s="56" t="s">
        <v>62</v>
      </c>
      <c r="U109" s="56" t="s">
        <v>63</v>
      </c>
      <c r="V109" s="56" t="s">
        <v>87</v>
      </c>
      <c r="W109" s="58"/>
      <c r="X109" s="59" t="s">
        <v>783</v>
      </c>
      <c r="Y109" s="56" t="s">
        <v>784</v>
      </c>
      <c r="Z109" s="56" t="s">
        <v>785</v>
      </c>
      <c r="AA109" s="56" t="s">
        <v>786</v>
      </c>
      <c r="AB109" s="56" t="s">
        <v>787</v>
      </c>
      <c r="AC109" s="56" t="s">
        <v>328</v>
      </c>
      <c r="AD109" s="60" t="s">
        <v>71</v>
      </c>
      <c r="AE109" s="56" t="s">
        <v>741</v>
      </c>
      <c r="AF109" s="61"/>
      <c r="AG109" s="61"/>
      <c r="AH109" s="58"/>
      <c r="AI109" s="58" t="str">
        <f ca="1">IFERROR(__xludf.DUMMYFUNCTION("""COMPUTED_VALUE"""),"60af5daa95b6e259f5f7e7cd")</f>
        <v>60af5daa95b6e259f5f7e7cd</v>
      </c>
      <c r="AJ109" s="25">
        <f t="shared" ca="1" si="0"/>
        <v>1</v>
      </c>
      <c r="AK109" s="58"/>
      <c r="AL109" s="58"/>
    </row>
    <row r="110" spans="1:38" ht="31">
      <c r="A110" s="51" t="s">
        <v>664</v>
      </c>
      <c r="B110" s="51" t="s">
        <v>788</v>
      </c>
      <c r="C110" s="22" t="s">
        <v>789</v>
      </c>
      <c r="D110" s="23" t="s">
        <v>790</v>
      </c>
      <c r="E110" s="22" t="s">
        <v>49</v>
      </c>
      <c r="F110" s="22" t="s">
        <v>50</v>
      </c>
      <c r="G110" s="22" t="s">
        <v>49</v>
      </c>
      <c r="H110" s="22" t="s">
        <v>2303</v>
      </c>
      <c r="I110" s="22" t="s">
        <v>307</v>
      </c>
      <c r="J110" s="22" t="s">
        <v>127</v>
      </c>
      <c r="K110" s="22" t="s">
        <v>144</v>
      </c>
      <c r="L110" s="22" t="s">
        <v>53</v>
      </c>
      <c r="M110" s="22" t="s">
        <v>56</v>
      </c>
      <c r="N110" s="22" t="s">
        <v>348</v>
      </c>
      <c r="O110" s="22" t="s">
        <v>84</v>
      </c>
      <c r="P110" s="22" t="s">
        <v>59</v>
      </c>
      <c r="Q110" s="22" t="s">
        <v>60</v>
      </c>
      <c r="R110" s="25"/>
      <c r="S110" s="22" t="s">
        <v>61</v>
      </c>
      <c r="T110" s="22" t="s">
        <v>62</v>
      </c>
      <c r="U110" s="22" t="s">
        <v>63</v>
      </c>
      <c r="V110" s="22" t="s">
        <v>64</v>
      </c>
      <c r="W110" s="25"/>
      <c r="X110" s="35" t="s">
        <v>791</v>
      </c>
      <c r="Y110" s="22" t="s">
        <v>792</v>
      </c>
      <c r="Z110" s="22" t="s">
        <v>627</v>
      </c>
      <c r="AA110" s="22" t="s">
        <v>793</v>
      </c>
      <c r="AC110" s="22" t="s">
        <v>328</v>
      </c>
      <c r="AD110" s="27" t="s">
        <v>71</v>
      </c>
      <c r="AE110" s="22" t="s">
        <v>741</v>
      </c>
      <c r="AF110" s="34"/>
      <c r="AG110" s="34"/>
      <c r="AI110" s="25" t="str">
        <f ca="1">IFERROR(__xludf.DUMMYFUNCTION("""COMPUTED_VALUE"""),"60af811995b6e259f5f7eabc")</f>
        <v>60af811995b6e259f5f7eabc</v>
      </c>
      <c r="AJ110" s="25">
        <f t="shared" ca="1" si="0"/>
        <v>1</v>
      </c>
    </row>
    <row r="111" spans="1:38" ht="46.5">
      <c r="A111" s="51" t="s">
        <v>664</v>
      </c>
      <c r="B111" s="51" t="s">
        <v>794</v>
      </c>
      <c r="C111" s="22" t="s">
        <v>795</v>
      </c>
      <c r="D111" s="23" t="s">
        <v>796</v>
      </c>
      <c r="E111" s="22" t="s">
        <v>49</v>
      </c>
      <c r="F111" s="22" t="s">
        <v>50</v>
      </c>
      <c r="G111" s="22" t="s">
        <v>79</v>
      </c>
      <c r="H111" s="22" t="s">
        <v>2303</v>
      </c>
      <c r="I111" s="22" t="s">
        <v>81</v>
      </c>
      <c r="J111" s="22" t="s">
        <v>53</v>
      </c>
      <c r="K111" s="22" t="s">
        <v>54</v>
      </c>
      <c r="L111" s="22" t="s">
        <v>53</v>
      </c>
      <c r="M111" s="22" t="s">
        <v>56</v>
      </c>
      <c r="N111" s="22" t="s">
        <v>59</v>
      </c>
      <c r="O111" s="22" t="s">
        <v>84</v>
      </c>
      <c r="P111" s="22" t="s">
        <v>85</v>
      </c>
      <c r="Q111" s="22" t="s">
        <v>60</v>
      </c>
      <c r="R111" s="22" t="s">
        <v>86</v>
      </c>
      <c r="S111" s="22" t="s">
        <v>388</v>
      </c>
      <c r="T111" s="22" t="s">
        <v>62</v>
      </c>
      <c r="U111" s="22" t="s">
        <v>63</v>
      </c>
      <c r="V111" s="22" t="s">
        <v>64</v>
      </c>
      <c r="W111" s="25"/>
      <c r="X111" s="35" t="s">
        <v>797</v>
      </c>
      <c r="Y111" s="22" t="s">
        <v>131</v>
      </c>
      <c r="Z111" s="22" t="s">
        <v>739</v>
      </c>
      <c r="AA111" s="22" t="s">
        <v>196</v>
      </c>
      <c r="AC111" s="22" t="s">
        <v>328</v>
      </c>
      <c r="AD111" s="27" t="s">
        <v>71</v>
      </c>
      <c r="AE111" s="22" t="s">
        <v>741</v>
      </c>
      <c r="AF111" s="34"/>
      <c r="AG111" s="34"/>
      <c r="AI111" s="25" t="str">
        <f ca="1">IFERROR(__xludf.DUMMYFUNCTION("""COMPUTED_VALUE"""),"60b606b7c5dcaf206d0ec166")</f>
        <v>60b606b7c5dcaf206d0ec166</v>
      </c>
      <c r="AJ111" s="25">
        <f t="shared" ca="1" si="0"/>
        <v>1</v>
      </c>
    </row>
    <row r="112" spans="1:38" ht="46.5">
      <c r="A112" s="51" t="s">
        <v>664</v>
      </c>
      <c r="B112" s="51" t="s">
        <v>798</v>
      </c>
      <c r="C112" s="22" t="s">
        <v>799</v>
      </c>
      <c r="D112" s="49" t="s">
        <v>800</v>
      </c>
      <c r="E112" s="22" t="s">
        <v>49</v>
      </c>
      <c r="F112" s="22" t="s">
        <v>95</v>
      </c>
      <c r="G112" s="22" t="s">
        <v>49</v>
      </c>
      <c r="H112" s="22" t="s">
        <v>2303</v>
      </c>
      <c r="I112" s="22" t="s">
        <v>307</v>
      </c>
      <c r="J112" s="22" t="s">
        <v>127</v>
      </c>
      <c r="K112" s="22" t="s">
        <v>144</v>
      </c>
      <c r="L112" s="22" t="s">
        <v>53</v>
      </c>
      <c r="M112" s="22" t="s">
        <v>56</v>
      </c>
      <c r="N112" s="22" t="s">
        <v>348</v>
      </c>
      <c r="O112" s="22" t="s">
        <v>84</v>
      </c>
      <c r="P112" s="22" t="s">
        <v>194</v>
      </c>
      <c r="Q112" s="22" t="s">
        <v>60</v>
      </c>
      <c r="R112" s="25"/>
      <c r="S112" s="22" t="s">
        <v>61</v>
      </c>
      <c r="T112" s="22" t="s">
        <v>62</v>
      </c>
      <c r="U112" s="22" t="s">
        <v>63</v>
      </c>
      <c r="V112" s="22" t="s">
        <v>118</v>
      </c>
      <c r="W112" s="25"/>
      <c r="X112" s="26" t="s">
        <v>801</v>
      </c>
      <c r="Y112" s="22" t="s">
        <v>248</v>
      </c>
      <c r="Z112" s="22" t="s">
        <v>802</v>
      </c>
      <c r="AA112" s="22" t="s">
        <v>803</v>
      </c>
      <c r="AC112" s="22" t="s">
        <v>328</v>
      </c>
      <c r="AD112" s="27" t="s">
        <v>71</v>
      </c>
      <c r="AE112" s="22" t="s">
        <v>804</v>
      </c>
      <c r="AF112" s="34"/>
      <c r="AG112" s="34"/>
      <c r="AI112" s="25" t="str">
        <f ca="1">IFERROR(__xludf.DUMMYFUNCTION("""COMPUTED_VALUE"""),"60bde9627660074e2e25e043")</f>
        <v>60bde9627660074e2e25e043</v>
      </c>
      <c r="AJ112" s="25">
        <f t="shared" ca="1" si="0"/>
        <v>1</v>
      </c>
    </row>
    <row r="113" spans="1:36" ht="31">
      <c r="A113" s="51" t="s">
        <v>664</v>
      </c>
      <c r="B113" s="51" t="s">
        <v>805</v>
      </c>
      <c r="C113" s="22" t="s">
        <v>806</v>
      </c>
      <c r="D113" s="23" t="s">
        <v>807</v>
      </c>
      <c r="E113" s="22" t="s">
        <v>49</v>
      </c>
      <c r="F113" s="22" t="s">
        <v>95</v>
      </c>
      <c r="G113" s="22" t="s">
        <v>79</v>
      </c>
      <c r="H113" s="22" t="s">
        <v>2303</v>
      </c>
      <c r="I113" s="22" t="s">
        <v>81</v>
      </c>
      <c r="J113" s="22" t="s">
        <v>53</v>
      </c>
      <c r="K113" s="22" t="s">
        <v>54</v>
      </c>
      <c r="L113" s="22" t="s">
        <v>53</v>
      </c>
      <c r="M113" s="22" t="s">
        <v>56</v>
      </c>
      <c r="N113" s="22" t="s">
        <v>59</v>
      </c>
      <c r="O113" s="22" t="s">
        <v>84</v>
      </c>
      <c r="P113" s="22" t="s">
        <v>85</v>
      </c>
      <c r="Q113" s="22" t="s">
        <v>60</v>
      </c>
      <c r="R113" s="25"/>
      <c r="S113" s="22" t="s">
        <v>85</v>
      </c>
      <c r="T113" s="22" t="s">
        <v>62</v>
      </c>
      <c r="U113" s="22" t="s">
        <v>63</v>
      </c>
      <c r="V113" s="22" t="s">
        <v>64</v>
      </c>
      <c r="W113" s="25"/>
      <c r="X113" s="35" t="s">
        <v>808</v>
      </c>
      <c r="Y113" s="22" t="s">
        <v>262</v>
      </c>
      <c r="Z113" s="22" t="s">
        <v>766</v>
      </c>
      <c r="AA113" s="22" t="s">
        <v>809</v>
      </c>
      <c r="AC113" s="22" t="s">
        <v>328</v>
      </c>
      <c r="AD113" s="27" t="s">
        <v>71</v>
      </c>
      <c r="AE113" s="22" t="s">
        <v>804</v>
      </c>
      <c r="AF113" s="34"/>
      <c r="AG113" s="34"/>
      <c r="AI113" s="25" t="str">
        <f ca="1">IFERROR(__xludf.DUMMYFUNCTION("""COMPUTED_VALUE"""),"60bdf4667660074e2e25e2cb")</f>
        <v>60bdf4667660074e2e25e2cb</v>
      </c>
      <c r="AJ113" s="25">
        <f t="shared" ca="1" si="0"/>
        <v>1</v>
      </c>
    </row>
    <row r="114" spans="1:36" ht="31">
      <c r="A114" s="51" t="s">
        <v>664</v>
      </c>
      <c r="B114" s="51" t="s">
        <v>810</v>
      </c>
      <c r="C114" s="22" t="s">
        <v>811</v>
      </c>
      <c r="D114" s="23" t="s">
        <v>812</v>
      </c>
      <c r="E114" s="22" t="s">
        <v>49</v>
      </c>
      <c r="F114" s="22" t="s">
        <v>50</v>
      </c>
      <c r="G114" s="22" t="s">
        <v>79</v>
      </c>
      <c r="H114" s="22" t="s">
        <v>2303</v>
      </c>
      <c r="I114" s="22" t="s">
        <v>81</v>
      </c>
      <c r="J114" s="22" t="s">
        <v>53</v>
      </c>
      <c r="K114" s="22" t="s">
        <v>54</v>
      </c>
      <c r="L114" s="22" t="s">
        <v>53</v>
      </c>
      <c r="M114" s="22" t="s">
        <v>56</v>
      </c>
      <c r="N114" s="22" t="s">
        <v>59</v>
      </c>
      <c r="O114" s="22" t="s">
        <v>84</v>
      </c>
      <c r="P114" s="22" t="s">
        <v>85</v>
      </c>
      <c r="Q114" s="22" t="s">
        <v>60</v>
      </c>
      <c r="R114" s="22" t="s">
        <v>86</v>
      </c>
      <c r="S114" s="22" t="s">
        <v>388</v>
      </c>
      <c r="T114" s="22" t="s">
        <v>62</v>
      </c>
      <c r="U114" s="22" t="s">
        <v>63</v>
      </c>
      <c r="V114" s="22" t="s">
        <v>64</v>
      </c>
      <c r="W114" s="25"/>
      <c r="X114" s="35" t="s">
        <v>797</v>
      </c>
      <c r="Y114" s="22" t="s">
        <v>131</v>
      </c>
      <c r="Z114" s="22" t="s">
        <v>739</v>
      </c>
      <c r="AA114" s="22" t="s">
        <v>196</v>
      </c>
      <c r="AC114" s="22" t="s">
        <v>328</v>
      </c>
      <c r="AD114" s="27" t="s">
        <v>71</v>
      </c>
      <c r="AE114" s="22" t="s">
        <v>804</v>
      </c>
      <c r="AF114" s="34"/>
      <c r="AG114" s="34"/>
      <c r="AI114" s="25" t="str">
        <f ca="1">IFERROR(__xludf.DUMMYFUNCTION("""COMPUTED_VALUE"""),"60be18a01e670b1d6e72eeee")</f>
        <v>60be18a01e670b1d6e72eeee</v>
      </c>
      <c r="AJ114" s="25">
        <f t="shared" ca="1" si="0"/>
        <v>1</v>
      </c>
    </row>
    <row r="115" spans="1:36" ht="31">
      <c r="A115" s="51" t="s">
        <v>664</v>
      </c>
      <c r="B115" s="51" t="s">
        <v>813</v>
      </c>
      <c r="C115" s="22" t="s">
        <v>806</v>
      </c>
      <c r="D115" s="23" t="s">
        <v>814</v>
      </c>
      <c r="E115" s="22" t="s">
        <v>49</v>
      </c>
      <c r="F115" s="22" t="s">
        <v>95</v>
      </c>
      <c r="G115" s="22" t="s">
        <v>79</v>
      </c>
      <c r="H115" s="22" t="s">
        <v>2303</v>
      </c>
      <c r="I115" s="22" t="s">
        <v>81</v>
      </c>
      <c r="J115" s="22" t="s">
        <v>53</v>
      </c>
      <c r="K115" s="22" t="s">
        <v>54</v>
      </c>
      <c r="L115" s="22" t="s">
        <v>53</v>
      </c>
      <c r="M115" s="22" t="s">
        <v>56</v>
      </c>
      <c r="N115" s="22" t="s">
        <v>59</v>
      </c>
      <c r="O115" s="22" t="s">
        <v>84</v>
      </c>
      <c r="P115" s="22" t="s">
        <v>85</v>
      </c>
      <c r="Q115" s="22" t="s">
        <v>60</v>
      </c>
      <c r="R115" s="25"/>
      <c r="S115" s="22" t="s">
        <v>85</v>
      </c>
      <c r="T115" s="22" t="s">
        <v>62</v>
      </c>
      <c r="U115" s="22" t="s">
        <v>63</v>
      </c>
      <c r="V115" s="22" t="s">
        <v>64</v>
      </c>
      <c r="W115" s="25"/>
      <c r="X115" s="35" t="s">
        <v>808</v>
      </c>
      <c r="Y115" s="22" t="s">
        <v>262</v>
      </c>
      <c r="Z115" s="22" t="s">
        <v>766</v>
      </c>
      <c r="AA115" s="22" t="s">
        <v>809</v>
      </c>
      <c r="AC115" s="22" t="s">
        <v>328</v>
      </c>
      <c r="AD115" s="27" t="s">
        <v>71</v>
      </c>
      <c r="AE115" s="22" t="s">
        <v>804</v>
      </c>
      <c r="AF115" s="62"/>
      <c r="AG115" s="34"/>
      <c r="AI115" s="25" t="str">
        <f ca="1">IFERROR(__xludf.DUMMYFUNCTION("""COMPUTED_VALUE"""),"60be1ed81e670b1d6e72eef2")</f>
        <v>60be1ed81e670b1d6e72eef2</v>
      </c>
      <c r="AJ115" s="25">
        <f t="shared" ca="1" si="0"/>
        <v>1</v>
      </c>
    </row>
    <row r="116" spans="1:36" ht="46.5">
      <c r="A116" s="51" t="s">
        <v>664</v>
      </c>
      <c r="B116" s="51" t="s">
        <v>815</v>
      </c>
      <c r="C116" s="22" t="s">
        <v>816</v>
      </c>
      <c r="D116" s="23" t="s">
        <v>817</v>
      </c>
      <c r="E116" s="22" t="s">
        <v>49</v>
      </c>
      <c r="F116" s="22" t="s">
        <v>50</v>
      </c>
      <c r="G116" s="22" t="s">
        <v>49</v>
      </c>
      <c r="H116" s="22" t="s">
        <v>2303</v>
      </c>
      <c r="I116" s="22" t="s">
        <v>81</v>
      </c>
      <c r="J116" s="22" t="s">
        <v>53</v>
      </c>
      <c r="K116" s="22" t="s">
        <v>128</v>
      </c>
      <c r="L116" s="22" t="s">
        <v>53</v>
      </c>
      <c r="M116" s="22" t="s">
        <v>56</v>
      </c>
      <c r="N116" s="22" t="s">
        <v>59</v>
      </c>
      <c r="O116" s="22" t="s">
        <v>84</v>
      </c>
      <c r="P116" s="56" t="s">
        <v>624</v>
      </c>
      <c r="Q116" s="22" t="s">
        <v>183</v>
      </c>
      <c r="R116" s="25"/>
      <c r="S116" s="22" t="s">
        <v>152</v>
      </c>
      <c r="T116" s="22" t="s">
        <v>62</v>
      </c>
      <c r="U116" s="22" t="s">
        <v>63</v>
      </c>
      <c r="V116" s="22" t="s">
        <v>64</v>
      </c>
      <c r="W116" s="25"/>
      <c r="X116" s="26" t="s">
        <v>818</v>
      </c>
      <c r="Y116" s="22" t="s">
        <v>271</v>
      </c>
      <c r="Z116" s="22" t="s">
        <v>785</v>
      </c>
      <c r="AA116" s="22" t="s">
        <v>819</v>
      </c>
      <c r="AC116" s="22" t="s">
        <v>328</v>
      </c>
      <c r="AD116" s="27" t="s">
        <v>71</v>
      </c>
      <c r="AE116" s="22" t="s">
        <v>804</v>
      </c>
      <c r="AF116" s="34"/>
      <c r="AG116" s="34"/>
      <c r="AI116" s="25" t="str">
        <f ca="1">IFERROR(__xludf.DUMMYFUNCTION("""COMPUTED_VALUE"""),"60c9b036e5a84f01fb310818")</f>
        <v>60c9b036e5a84f01fb310818</v>
      </c>
      <c r="AJ116" s="25">
        <f t="shared" ca="1" si="0"/>
        <v>1</v>
      </c>
    </row>
    <row r="117" spans="1:36" ht="46.5">
      <c r="A117" s="51" t="s">
        <v>664</v>
      </c>
      <c r="B117" s="51" t="s">
        <v>820</v>
      </c>
      <c r="C117" s="22" t="s">
        <v>821</v>
      </c>
      <c r="D117" s="49" t="s">
        <v>822</v>
      </c>
      <c r="E117" s="22" t="s">
        <v>49</v>
      </c>
      <c r="F117" s="22" t="s">
        <v>50</v>
      </c>
      <c r="G117" s="22" t="s">
        <v>79</v>
      </c>
      <c r="H117" s="22" t="s">
        <v>2303</v>
      </c>
      <c r="I117" s="22" t="s">
        <v>81</v>
      </c>
      <c r="J117" s="22" t="s">
        <v>53</v>
      </c>
      <c r="K117" s="22" t="s">
        <v>54</v>
      </c>
      <c r="L117" s="22" t="s">
        <v>53</v>
      </c>
      <c r="M117" s="22" t="s">
        <v>56</v>
      </c>
      <c r="N117" s="22" t="s">
        <v>59</v>
      </c>
      <c r="O117" s="22" t="s">
        <v>84</v>
      </c>
      <c r="P117" s="22" t="s">
        <v>85</v>
      </c>
      <c r="Q117" s="22" t="s">
        <v>153</v>
      </c>
      <c r="R117" s="25"/>
      <c r="S117" s="22" t="s">
        <v>85</v>
      </c>
      <c r="T117" s="22" t="s">
        <v>62</v>
      </c>
      <c r="U117" s="22" t="s">
        <v>63</v>
      </c>
      <c r="V117" s="22" t="s">
        <v>64</v>
      </c>
      <c r="W117" s="25"/>
      <c r="X117" s="26" t="s">
        <v>823</v>
      </c>
      <c r="Y117" s="22" t="s">
        <v>824</v>
      </c>
      <c r="Z117" s="22" t="s">
        <v>825</v>
      </c>
      <c r="AA117" s="22" t="s">
        <v>826</v>
      </c>
      <c r="AC117" s="22" t="s">
        <v>328</v>
      </c>
      <c r="AD117" s="27" t="s">
        <v>71</v>
      </c>
      <c r="AE117" s="22" t="s">
        <v>804</v>
      </c>
      <c r="AF117" s="34"/>
      <c r="AG117" s="34"/>
      <c r="AI117" s="25" t="str">
        <f ca="1">IFERROR(__xludf.DUMMYFUNCTION("""COMPUTED_VALUE"""),"60c9b7aee5a84f01fb3109f1")</f>
        <v>60c9b7aee5a84f01fb3109f1</v>
      </c>
      <c r="AJ117" s="25">
        <f t="shared" ca="1" si="0"/>
        <v>1</v>
      </c>
    </row>
    <row r="118" spans="1:36" ht="62">
      <c r="A118" s="51" t="s">
        <v>664</v>
      </c>
      <c r="B118" s="51" t="s">
        <v>827</v>
      </c>
      <c r="C118" s="22" t="s">
        <v>828</v>
      </c>
      <c r="D118" s="49" t="s">
        <v>829</v>
      </c>
      <c r="E118" s="22" t="s">
        <v>49</v>
      </c>
      <c r="F118" s="22" t="s">
        <v>78</v>
      </c>
      <c r="G118" s="22" t="s">
        <v>79</v>
      </c>
      <c r="H118" s="22" t="s">
        <v>80</v>
      </c>
      <c r="I118" s="22" t="s">
        <v>81</v>
      </c>
      <c r="J118" s="22" t="s">
        <v>53</v>
      </c>
      <c r="K118" s="7" t="s">
        <v>128</v>
      </c>
      <c r="L118" s="22" t="s">
        <v>53</v>
      </c>
      <c r="M118" s="22" t="s">
        <v>83</v>
      </c>
      <c r="N118" s="22" t="s">
        <v>59</v>
      </c>
      <c r="O118" s="22" t="s">
        <v>84</v>
      </c>
      <c r="P118" s="22" t="s">
        <v>194</v>
      </c>
      <c r="Q118" s="22" t="s">
        <v>86</v>
      </c>
      <c r="R118" s="22" t="s">
        <v>60</v>
      </c>
      <c r="S118" s="22" t="s">
        <v>388</v>
      </c>
      <c r="T118" s="22" t="s">
        <v>62</v>
      </c>
      <c r="U118" s="22" t="s">
        <v>63</v>
      </c>
      <c r="V118" s="22" t="s">
        <v>64</v>
      </c>
      <c r="W118" s="25"/>
      <c r="X118" s="35" t="s">
        <v>560</v>
      </c>
      <c r="Y118" s="22" t="s">
        <v>146</v>
      </c>
      <c r="Z118" s="22" t="s">
        <v>556</v>
      </c>
      <c r="AA118" s="22" t="s">
        <v>830</v>
      </c>
      <c r="AC118" s="22" t="s">
        <v>475</v>
      </c>
      <c r="AD118" s="27" t="s">
        <v>71</v>
      </c>
      <c r="AE118" s="22" t="s">
        <v>804</v>
      </c>
      <c r="AF118" s="34"/>
      <c r="AG118" s="34"/>
      <c r="AI118" s="25" t="str">
        <f ca="1">IFERROR(__xludf.DUMMYFUNCTION("""COMPUTED_VALUE"""),"60d039dfd7f78b4d55e8331f")</f>
        <v>60d039dfd7f78b4d55e8331f</v>
      </c>
      <c r="AJ118" s="25">
        <f t="shared" ca="1" si="0"/>
        <v>1</v>
      </c>
    </row>
    <row r="119" spans="1:36" ht="31">
      <c r="A119" s="51" t="s">
        <v>664</v>
      </c>
      <c r="B119" s="51" t="s">
        <v>831</v>
      </c>
      <c r="C119" s="22" t="s">
        <v>832</v>
      </c>
      <c r="D119" s="49" t="s">
        <v>833</v>
      </c>
      <c r="E119" s="22" t="s">
        <v>49</v>
      </c>
      <c r="F119" s="22" t="s">
        <v>50</v>
      </c>
      <c r="G119" s="22" t="s">
        <v>49</v>
      </c>
      <c r="H119" s="22" t="s">
        <v>51</v>
      </c>
      <c r="I119" s="22" t="s">
        <v>307</v>
      </c>
      <c r="J119" s="22" t="s">
        <v>53</v>
      </c>
      <c r="K119" s="22" t="s">
        <v>82</v>
      </c>
      <c r="L119" s="22" t="s">
        <v>55</v>
      </c>
      <c r="M119" s="22" t="s">
        <v>83</v>
      </c>
      <c r="N119" s="22" t="s">
        <v>348</v>
      </c>
      <c r="O119" s="22" t="s">
        <v>457</v>
      </c>
      <c r="P119" s="22" t="s">
        <v>348</v>
      </c>
      <c r="Q119" s="22" t="s">
        <v>63</v>
      </c>
      <c r="R119" s="25"/>
      <c r="S119" s="22" t="s">
        <v>294</v>
      </c>
      <c r="T119" s="22" t="s">
        <v>62</v>
      </c>
      <c r="U119" s="22" t="s">
        <v>63</v>
      </c>
      <c r="V119" s="22" t="s">
        <v>64</v>
      </c>
      <c r="W119" s="25"/>
      <c r="X119" s="35" t="s">
        <v>543</v>
      </c>
      <c r="Y119" s="22" t="s">
        <v>496</v>
      </c>
      <c r="Z119" s="22" t="s">
        <v>468</v>
      </c>
      <c r="AA119" s="22" t="s">
        <v>834</v>
      </c>
      <c r="AC119" s="22" t="s">
        <v>475</v>
      </c>
      <c r="AD119" s="27" t="s">
        <v>71</v>
      </c>
      <c r="AE119" s="22" t="s">
        <v>804</v>
      </c>
      <c r="AF119" s="34"/>
      <c r="AG119" s="34"/>
      <c r="AI119" s="25" t="str">
        <f ca="1">IFERROR(__xludf.DUMMYFUNCTION("""COMPUTED_VALUE"""),"60d2c3a5503b9d196c53c964")</f>
        <v>60d2c3a5503b9d196c53c964</v>
      </c>
      <c r="AJ119" s="25">
        <f t="shared" ca="1" si="0"/>
        <v>1</v>
      </c>
    </row>
    <row r="120" spans="1:36" ht="31">
      <c r="A120" s="51" t="s">
        <v>664</v>
      </c>
      <c r="B120" s="51" t="s">
        <v>835</v>
      </c>
      <c r="C120" s="22" t="s">
        <v>836</v>
      </c>
      <c r="D120" s="49" t="s">
        <v>837</v>
      </c>
      <c r="E120" s="22" t="s">
        <v>49</v>
      </c>
      <c r="F120" s="22" t="s">
        <v>50</v>
      </c>
      <c r="G120" s="22" t="s">
        <v>49</v>
      </c>
      <c r="H120" s="22" t="s">
        <v>169</v>
      </c>
      <c r="I120" s="22" t="s">
        <v>307</v>
      </c>
      <c r="J120" s="22" t="s">
        <v>53</v>
      </c>
      <c r="K120" s="22" t="s">
        <v>170</v>
      </c>
      <c r="L120" s="22" t="s">
        <v>53</v>
      </c>
      <c r="M120" s="22" t="s">
        <v>83</v>
      </c>
      <c r="N120" s="22" t="s">
        <v>348</v>
      </c>
      <c r="O120" s="22" t="s">
        <v>84</v>
      </c>
      <c r="P120" s="22" t="s">
        <v>59</v>
      </c>
      <c r="Q120" s="22" t="s">
        <v>153</v>
      </c>
      <c r="R120" s="25"/>
      <c r="S120" s="22" t="s">
        <v>61</v>
      </c>
      <c r="T120" s="22" t="s">
        <v>62</v>
      </c>
      <c r="U120" s="22" t="s">
        <v>63</v>
      </c>
      <c r="V120" s="22" t="s">
        <v>64</v>
      </c>
      <c r="W120" s="25"/>
      <c r="X120" s="35" t="s">
        <v>654</v>
      </c>
      <c r="Y120" s="22" t="s">
        <v>131</v>
      </c>
      <c r="Z120" s="22" t="s">
        <v>838</v>
      </c>
      <c r="AA120" s="22" t="s">
        <v>655</v>
      </c>
      <c r="AC120" s="22" t="s">
        <v>475</v>
      </c>
      <c r="AD120" s="27" t="s">
        <v>71</v>
      </c>
      <c r="AE120" s="22" t="s">
        <v>804</v>
      </c>
      <c r="AF120" s="34"/>
      <c r="AG120" s="34"/>
      <c r="AI120" s="25" t="str">
        <f ca="1">IFERROR(__xludf.DUMMYFUNCTION("""COMPUTED_VALUE"""),"60d31ec3503b9d196c53c999")</f>
        <v>60d31ec3503b9d196c53c999</v>
      </c>
      <c r="AJ120" s="25">
        <f t="shared" ca="1" si="0"/>
        <v>1</v>
      </c>
    </row>
    <row r="121" spans="1:36" ht="31">
      <c r="A121" s="51" t="s">
        <v>664</v>
      </c>
      <c r="B121" s="51" t="s">
        <v>839</v>
      </c>
      <c r="C121" s="22" t="s">
        <v>840</v>
      </c>
      <c r="D121" s="49" t="s">
        <v>841</v>
      </c>
      <c r="E121" s="22" t="s">
        <v>49</v>
      </c>
      <c r="F121" s="22" t="s">
        <v>95</v>
      </c>
      <c r="G121" s="22" t="s">
        <v>49</v>
      </c>
      <c r="H121" s="22" t="s">
        <v>126</v>
      </c>
      <c r="I121" s="22" t="s">
        <v>52</v>
      </c>
      <c r="J121" s="22" t="s">
        <v>53</v>
      </c>
      <c r="K121" s="7" t="s">
        <v>144</v>
      </c>
      <c r="L121" s="22" t="s">
        <v>55</v>
      </c>
      <c r="M121" s="22" t="s">
        <v>83</v>
      </c>
      <c r="N121" s="22" t="s">
        <v>57</v>
      </c>
      <c r="O121" s="22" t="s">
        <v>84</v>
      </c>
      <c r="P121" s="22" t="s">
        <v>57</v>
      </c>
      <c r="Q121" s="22" t="s">
        <v>183</v>
      </c>
      <c r="R121" s="25"/>
      <c r="S121" s="22" t="s">
        <v>61</v>
      </c>
      <c r="T121" s="22" t="s">
        <v>62</v>
      </c>
      <c r="U121" s="22" t="s">
        <v>63</v>
      </c>
      <c r="V121" s="22" t="s">
        <v>64</v>
      </c>
      <c r="W121" s="25"/>
      <c r="X121" s="35" t="s">
        <v>842</v>
      </c>
      <c r="Y121" s="22" t="s">
        <v>120</v>
      </c>
      <c r="Z121" s="22" t="s">
        <v>843</v>
      </c>
      <c r="AA121" s="22" t="s">
        <v>844</v>
      </c>
      <c r="AC121" s="22" t="s">
        <v>475</v>
      </c>
      <c r="AD121" s="27" t="s">
        <v>71</v>
      </c>
      <c r="AE121" s="22" t="s">
        <v>804</v>
      </c>
      <c r="AF121" s="34"/>
      <c r="AG121" s="34"/>
      <c r="AI121" s="25" t="str">
        <f ca="1">IFERROR(__xludf.DUMMYFUNCTION("""COMPUTED_VALUE"""),"60d3f546503b9d196c53c9a4")</f>
        <v>60d3f546503b9d196c53c9a4</v>
      </c>
      <c r="AJ121" s="25">
        <f t="shared" ca="1" si="0"/>
        <v>1</v>
      </c>
    </row>
    <row r="122" spans="1:36" ht="62">
      <c r="A122" s="51" t="s">
        <v>664</v>
      </c>
      <c r="B122" s="51" t="s">
        <v>845</v>
      </c>
      <c r="C122" s="22" t="s">
        <v>846</v>
      </c>
      <c r="D122" s="49" t="s">
        <v>847</v>
      </c>
      <c r="E122" s="22" t="s">
        <v>49</v>
      </c>
      <c r="F122" s="22" t="s">
        <v>78</v>
      </c>
      <c r="G122" s="22" t="s">
        <v>79</v>
      </c>
      <c r="H122" s="22" t="s">
        <v>80</v>
      </c>
      <c r="I122" s="22" t="s">
        <v>81</v>
      </c>
      <c r="J122" s="22" t="s">
        <v>53</v>
      </c>
      <c r="K122" s="22" t="s">
        <v>128</v>
      </c>
      <c r="L122" s="22" t="s">
        <v>53</v>
      </c>
      <c r="M122" s="22" t="s">
        <v>83</v>
      </c>
      <c r="N122" s="22" t="s">
        <v>59</v>
      </c>
      <c r="O122" s="22" t="s">
        <v>84</v>
      </c>
      <c r="P122" s="22" t="s">
        <v>194</v>
      </c>
      <c r="Q122" s="22" t="s">
        <v>86</v>
      </c>
      <c r="R122" s="22" t="s">
        <v>60</v>
      </c>
      <c r="S122" s="22" t="s">
        <v>388</v>
      </c>
      <c r="T122" s="22" t="s">
        <v>62</v>
      </c>
      <c r="U122" s="22" t="s">
        <v>63</v>
      </c>
      <c r="V122" s="22" t="s">
        <v>64</v>
      </c>
      <c r="W122" s="25"/>
      <c r="X122" s="35" t="s">
        <v>560</v>
      </c>
      <c r="Y122" s="22" t="s">
        <v>146</v>
      </c>
      <c r="Z122" s="22" t="s">
        <v>556</v>
      </c>
      <c r="AA122" s="22" t="s">
        <v>830</v>
      </c>
      <c r="AC122" s="22" t="s">
        <v>475</v>
      </c>
      <c r="AD122" s="27" t="s">
        <v>71</v>
      </c>
      <c r="AE122" s="22" t="s">
        <v>804</v>
      </c>
      <c r="AF122" s="34"/>
      <c r="AG122" s="34"/>
      <c r="AI122" s="25" t="str">
        <f ca="1">IFERROR(__xludf.DUMMYFUNCTION("""COMPUTED_VALUE"""),"60dbdd57d1ba1357bb926172")</f>
        <v>60dbdd57d1ba1357bb926172</v>
      </c>
      <c r="AJ122" s="25">
        <f t="shared" ca="1" si="0"/>
        <v>1</v>
      </c>
    </row>
    <row r="123" spans="1:36" ht="62">
      <c r="A123" s="51" t="s">
        <v>664</v>
      </c>
      <c r="B123" s="51" t="s">
        <v>848</v>
      </c>
      <c r="C123" s="22" t="s">
        <v>849</v>
      </c>
      <c r="D123" s="49" t="s">
        <v>850</v>
      </c>
      <c r="E123" s="22" t="s">
        <v>49</v>
      </c>
      <c r="F123" s="22" t="s">
        <v>95</v>
      </c>
      <c r="G123" s="22" t="s">
        <v>49</v>
      </c>
      <c r="H123" s="22" t="s">
        <v>126</v>
      </c>
      <c r="I123" s="22" t="s">
        <v>81</v>
      </c>
      <c r="J123" s="22" t="s">
        <v>53</v>
      </c>
      <c r="K123" s="22" t="s">
        <v>144</v>
      </c>
      <c r="L123" s="22" t="s">
        <v>53</v>
      </c>
      <c r="M123" s="22" t="s">
        <v>83</v>
      </c>
      <c r="N123" s="22" t="s">
        <v>59</v>
      </c>
      <c r="O123" s="22" t="s">
        <v>84</v>
      </c>
      <c r="P123" s="22" t="s">
        <v>85</v>
      </c>
      <c r="Q123" s="22" t="s">
        <v>153</v>
      </c>
      <c r="R123" s="22" t="s">
        <v>183</v>
      </c>
      <c r="S123" s="22" t="s">
        <v>85</v>
      </c>
      <c r="T123" s="22" t="s">
        <v>62</v>
      </c>
      <c r="U123" s="22" t="s">
        <v>63</v>
      </c>
      <c r="V123" s="22" t="s">
        <v>118</v>
      </c>
      <c r="W123" s="25"/>
      <c r="X123" s="35" t="s">
        <v>654</v>
      </c>
      <c r="Y123" s="22" t="s">
        <v>184</v>
      </c>
      <c r="Z123" s="22" t="s">
        <v>851</v>
      </c>
      <c r="AA123" s="22" t="s">
        <v>852</v>
      </c>
      <c r="AC123" s="22" t="s">
        <v>475</v>
      </c>
      <c r="AD123" s="27" t="s">
        <v>71</v>
      </c>
      <c r="AE123" s="22" t="s">
        <v>804</v>
      </c>
      <c r="AF123" s="34"/>
      <c r="AG123" s="34"/>
      <c r="AI123" s="25" t="str">
        <f ca="1">IFERROR(__xludf.DUMMYFUNCTION("""COMPUTED_VALUE"""),"60dbe2d656ce12961105a07a")</f>
        <v>60dbe2d656ce12961105a07a</v>
      </c>
      <c r="AJ123" s="25">
        <f t="shared" ca="1" si="0"/>
        <v>1</v>
      </c>
    </row>
    <row r="124" spans="1:36" ht="77.5">
      <c r="A124" s="51" t="s">
        <v>664</v>
      </c>
      <c r="B124" s="51" t="s">
        <v>853</v>
      </c>
      <c r="C124" s="24" t="s">
        <v>854</v>
      </c>
      <c r="D124" s="49" t="s">
        <v>855</v>
      </c>
      <c r="E124" s="22" t="s">
        <v>49</v>
      </c>
      <c r="F124" s="22" t="s">
        <v>95</v>
      </c>
      <c r="G124" s="22" t="s">
        <v>49</v>
      </c>
      <c r="H124" s="22" t="s">
        <v>126</v>
      </c>
      <c r="I124" s="22" t="s">
        <v>52</v>
      </c>
      <c r="J124" s="22" t="s">
        <v>53</v>
      </c>
      <c r="K124" s="24" t="s">
        <v>856</v>
      </c>
      <c r="L124" s="24" t="s">
        <v>55</v>
      </c>
      <c r="M124" s="22" t="s">
        <v>83</v>
      </c>
      <c r="N124" s="22" t="s">
        <v>59</v>
      </c>
      <c r="O124" s="22" t="s">
        <v>84</v>
      </c>
      <c r="P124" s="22" t="s">
        <v>348</v>
      </c>
      <c r="Q124" s="24" t="s">
        <v>60</v>
      </c>
      <c r="R124" s="24" t="s">
        <v>857</v>
      </c>
      <c r="S124" s="22" t="s">
        <v>61</v>
      </c>
      <c r="T124" s="22" t="s">
        <v>62</v>
      </c>
      <c r="U124" s="22" t="s">
        <v>63</v>
      </c>
      <c r="V124" s="22" t="s">
        <v>64</v>
      </c>
      <c r="W124" s="25"/>
      <c r="X124" s="35" t="s">
        <v>842</v>
      </c>
      <c r="Y124" s="22" t="s">
        <v>231</v>
      </c>
      <c r="Z124" s="22" t="s">
        <v>858</v>
      </c>
      <c r="AA124" s="22" t="s">
        <v>556</v>
      </c>
      <c r="AC124" s="22" t="s">
        <v>475</v>
      </c>
      <c r="AD124" s="63" t="s">
        <v>71</v>
      </c>
      <c r="AE124" s="22" t="s">
        <v>859</v>
      </c>
      <c r="AF124" s="30" t="s">
        <v>860</v>
      </c>
      <c r="AG124" s="33" t="s">
        <v>352</v>
      </c>
      <c r="AI124" s="25" t="str">
        <f ca="1">IFERROR(__xludf.DUMMYFUNCTION("""COMPUTED_VALUE"""),"60dbfc6d56ce12961105a086")</f>
        <v>60dbfc6d56ce12961105a086</v>
      </c>
      <c r="AJ124" s="25">
        <f t="shared" ca="1" si="0"/>
        <v>1</v>
      </c>
    </row>
    <row r="125" spans="1:36" ht="46.5">
      <c r="A125" s="51" t="s">
        <v>664</v>
      </c>
      <c r="B125" s="51" t="s">
        <v>861</v>
      </c>
      <c r="C125" s="24" t="s">
        <v>862</v>
      </c>
      <c r="D125" s="49" t="s">
        <v>863</v>
      </c>
      <c r="E125" s="22" t="s">
        <v>49</v>
      </c>
      <c r="F125" s="22" t="s">
        <v>50</v>
      </c>
      <c r="G125" s="22" t="s">
        <v>49</v>
      </c>
      <c r="H125" s="22" t="s">
        <v>126</v>
      </c>
      <c r="I125" s="22" t="s">
        <v>81</v>
      </c>
      <c r="J125" s="22" t="s">
        <v>107</v>
      </c>
      <c r="K125" s="22" t="s">
        <v>144</v>
      </c>
      <c r="L125" s="22" t="s">
        <v>53</v>
      </c>
      <c r="M125" s="22" t="s">
        <v>83</v>
      </c>
      <c r="N125" s="22" t="s">
        <v>59</v>
      </c>
      <c r="O125" s="22" t="s">
        <v>58</v>
      </c>
      <c r="P125" s="22" t="s">
        <v>85</v>
      </c>
      <c r="Q125" s="22" t="s">
        <v>60</v>
      </c>
      <c r="R125" s="25"/>
      <c r="S125" s="22" t="s">
        <v>85</v>
      </c>
      <c r="T125" s="22" t="s">
        <v>62</v>
      </c>
      <c r="U125" s="22" t="s">
        <v>63</v>
      </c>
      <c r="V125" s="22" t="s">
        <v>64</v>
      </c>
      <c r="W125" s="25"/>
      <c r="X125" s="35" t="s">
        <v>864</v>
      </c>
      <c r="Y125" s="22" t="s">
        <v>89</v>
      </c>
      <c r="Z125" s="22" t="s">
        <v>865</v>
      </c>
      <c r="AA125" s="22" t="s">
        <v>866</v>
      </c>
      <c r="AC125" s="22" t="s">
        <v>475</v>
      </c>
      <c r="AD125" s="63" t="s">
        <v>71</v>
      </c>
      <c r="AE125" s="22" t="s">
        <v>859</v>
      </c>
      <c r="AF125" s="30" t="s">
        <v>867</v>
      </c>
      <c r="AG125" s="40" t="s">
        <v>352</v>
      </c>
      <c r="AI125" s="25" t="str">
        <f ca="1">IFERROR(__xludf.DUMMYFUNCTION("""COMPUTED_VALUE"""),"60dc2a9e56ce12961105a092")</f>
        <v>60dc2a9e56ce12961105a092</v>
      </c>
      <c r="AJ125" s="25">
        <f t="shared" ca="1" si="0"/>
        <v>1</v>
      </c>
    </row>
    <row r="126" spans="1:36" ht="46.5">
      <c r="A126" s="51" t="s">
        <v>664</v>
      </c>
      <c r="B126" s="51" t="s">
        <v>868</v>
      </c>
      <c r="C126" s="24" t="s">
        <v>869</v>
      </c>
      <c r="D126" s="49" t="s">
        <v>870</v>
      </c>
      <c r="E126" s="22" t="s">
        <v>49</v>
      </c>
      <c r="F126" s="22" t="s">
        <v>95</v>
      </c>
      <c r="G126" s="22" t="s">
        <v>49</v>
      </c>
      <c r="H126" s="22" t="s">
        <v>126</v>
      </c>
      <c r="I126" s="22" t="s">
        <v>81</v>
      </c>
      <c r="J126" s="22" t="s">
        <v>107</v>
      </c>
      <c r="K126" s="22" t="s">
        <v>144</v>
      </c>
      <c r="L126" s="22" t="s">
        <v>53</v>
      </c>
      <c r="M126" s="22" t="s">
        <v>83</v>
      </c>
      <c r="N126" s="22" t="s">
        <v>59</v>
      </c>
      <c r="O126" s="22" t="s">
        <v>84</v>
      </c>
      <c r="P126" s="22" t="s">
        <v>348</v>
      </c>
      <c r="Q126" s="22" t="s">
        <v>60</v>
      </c>
      <c r="R126" s="25"/>
      <c r="S126" s="22" t="s">
        <v>61</v>
      </c>
      <c r="T126" s="22" t="s">
        <v>62</v>
      </c>
      <c r="U126" s="22" t="s">
        <v>63</v>
      </c>
      <c r="V126" s="22" t="s">
        <v>64</v>
      </c>
      <c r="W126" s="25"/>
      <c r="X126" s="26" t="s">
        <v>555</v>
      </c>
      <c r="Y126" s="22" t="s">
        <v>277</v>
      </c>
      <c r="Z126" s="22" t="s">
        <v>284</v>
      </c>
      <c r="AA126" s="22" t="s">
        <v>739</v>
      </c>
      <c r="AC126" s="22" t="s">
        <v>475</v>
      </c>
      <c r="AD126" s="63" t="s">
        <v>71</v>
      </c>
      <c r="AE126" s="22" t="s">
        <v>859</v>
      </c>
      <c r="AF126" s="30" t="s">
        <v>871</v>
      </c>
      <c r="AG126" s="40" t="s">
        <v>352</v>
      </c>
      <c r="AI126" s="25" t="str">
        <f ca="1">IFERROR(__xludf.DUMMYFUNCTION("""COMPUTED_VALUE"""),"60d1ab71da33a755da7fe3f4")</f>
        <v>60d1ab71da33a755da7fe3f4</v>
      </c>
      <c r="AJ126" s="25">
        <f t="shared" ca="1" si="0"/>
        <v>1</v>
      </c>
    </row>
    <row r="127" spans="1:36" ht="46.5">
      <c r="A127" s="51" t="s">
        <v>664</v>
      </c>
      <c r="B127" s="51" t="s">
        <v>872</v>
      </c>
      <c r="C127" s="24" t="s">
        <v>873</v>
      </c>
      <c r="D127" s="49" t="s">
        <v>874</v>
      </c>
      <c r="E127" s="22" t="s">
        <v>49</v>
      </c>
      <c r="F127" s="22" t="s">
        <v>50</v>
      </c>
      <c r="G127" s="22" t="s">
        <v>79</v>
      </c>
      <c r="H127" s="22" t="s">
        <v>126</v>
      </c>
      <c r="I127" s="22" t="s">
        <v>81</v>
      </c>
      <c r="J127" s="22" t="s">
        <v>107</v>
      </c>
      <c r="K127" s="22" t="s">
        <v>144</v>
      </c>
      <c r="L127" s="22" t="s">
        <v>53</v>
      </c>
      <c r="M127" s="22" t="s">
        <v>83</v>
      </c>
      <c r="N127" s="22" t="s">
        <v>59</v>
      </c>
      <c r="O127" s="22" t="s">
        <v>84</v>
      </c>
      <c r="P127" s="22" t="s">
        <v>348</v>
      </c>
      <c r="Q127" s="22" t="s">
        <v>60</v>
      </c>
      <c r="R127" s="25"/>
      <c r="S127" s="22" t="s">
        <v>388</v>
      </c>
      <c r="T127" s="22" t="s">
        <v>62</v>
      </c>
      <c r="U127" s="22" t="s">
        <v>63</v>
      </c>
      <c r="V127" s="22" t="s">
        <v>64</v>
      </c>
      <c r="W127" s="25"/>
      <c r="X127" s="35" t="s">
        <v>875</v>
      </c>
      <c r="Y127" s="22" t="s">
        <v>876</v>
      </c>
      <c r="Z127" s="22" t="s">
        <v>877</v>
      </c>
      <c r="AA127" s="22" t="s">
        <v>878</v>
      </c>
      <c r="AC127" s="22" t="s">
        <v>475</v>
      </c>
      <c r="AD127" s="63" t="s">
        <v>71</v>
      </c>
      <c r="AE127" s="22" t="s">
        <v>859</v>
      </c>
      <c r="AF127" s="30" t="s">
        <v>879</v>
      </c>
      <c r="AG127" s="40" t="s">
        <v>352</v>
      </c>
      <c r="AI127" s="25" t="str">
        <f ca="1">IFERROR(__xludf.DUMMYFUNCTION("""COMPUTED_VALUE"""),"60e2bfc281401953ad0aae7f")</f>
        <v>60e2bfc281401953ad0aae7f</v>
      </c>
      <c r="AJ127" s="25">
        <f t="shared" ca="1" si="0"/>
        <v>1</v>
      </c>
    </row>
    <row r="128" spans="1:36" ht="46.5">
      <c r="A128" s="51" t="s">
        <v>664</v>
      </c>
      <c r="B128" s="51" t="s">
        <v>880</v>
      </c>
      <c r="C128" s="64" t="s">
        <v>881</v>
      </c>
      <c r="D128" s="23" t="s">
        <v>882</v>
      </c>
      <c r="E128" s="22" t="s">
        <v>49</v>
      </c>
      <c r="F128" s="22" t="s">
        <v>618</v>
      </c>
      <c r="G128" s="22" t="s">
        <v>49</v>
      </c>
      <c r="H128" s="22" t="s">
        <v>51</v>
      </c>
      <c r="I128" s="22" t="s">
        <v>81</v>
      </c>
      <c r="J128" s="22" t="s">
        <v>53</v>
      </c>
      <c r="K128" s="22" t="s">
        <v>96</v>
      </c>
      <c r="L128" s="22" t="s">
        <v>53</v>
      </c>
      <c r="M128" s="22" t="s">
        <v>129</v>
      </c>
      <c r="N128" s="22" t="s">
        <v>59</v>
      </c>
      <c r="O128" s="22" t="s">
        <v>84</v>
      </c>
      <c r="P128" s="22" t="s">
        <v>137</v>
      </c>
      <c r="Q128" s="22" t="s">
        <v>60</v>
      </c>
      <c r="R128" s="25"/>
      <c r="S128" s="22" t="s">
        <v>85</v>
      </c>
      <c r="T128" s="22" t="s">
        <v>62</v>
      </c>
      <c r="U128" s="22" t="s">
        <v>63</v>
      </c>
      <c r="V128" s="22" t="s">
        <v>172</v>
      </c>
      <c r="W128" s="25"/>
      <c r="X128" s="35" t="s">
        <v>875</v>
      </c>
      <c r="Y128" s="22" t="s">
        <v>184</v>
      </c>
      <c r="Z128" s="22" t="s">
        <v>174</v>
      </c>
      <c r="AA128" s="22" t="s">
        <v>533</v>
      </c>
      <c r="AC128" s="22" t="s">
        <v>265</v>
      </c>
      <c r="AD128" s="27" t="s">
        <v>71</v>
      </c>
      <c r="AE128" s="22" t="s">
        <v>859</v>
      </c>
      <c r="AF128" s="65" t="s">
        <v>883</v>
      </c>
      <c r="AG128" s="66" t="s">
        <v>884</v>
      </c>
      <c r="AI128" s="25" t="str">
        <f ca="1">IFERROR(__xludf.DUMMYFUNCTION("""COMPUTED_VALUE"""),"60e2d64781401953ad0abb90")</f>
        <v>60e2d64781401953ad0abb90</v>
      </c>
      <c r="AJ128" s="25">
        <f t="shared" ca="1" si="0"/>
        <v>1</v>
      </c>
    </row>
    <row r="129" spans="1:36" ht="46.5">
      <c r="A129" s="51" t="s">
        <v>664</v>
      </c>
      <c r="B129" s="51" t="s">
        <v>885</v>
      </c>
      <c r="C129" s="64" t="s">
        <v>886</v>
      </c>
      <c r="D129" s="23" t="s">
        <v>887</v>
      </c>
      <c r="E129" s="22" t="s">
        <v>53</v>
      </c>
      <c r="F129" s="22" t="s">
        <v>269</v>
      </c>
      <c r="G129" s="22" t="s">
        <v>49</v>
      </c>
      <c r="H129" s="22" t="s">
        <v>126</v>
      </c>
      <c r="I129" s="22" t="s">
        <v>81</v>
      </c>
      <c r="J129" s="22" t="s">
        <v>53</v>
      </c>
      <c r="K129" s="22" t="s">
        <v>144</v>
      </c>
      <c r="L129" s="22" t="s">
        <v>53</v>
      </c>
      <c r="M129" s="22" t="s">
        <v>83</v>
      </c>
      <c r="N129" s="22" t="s">
        <v>59</v>
      </c>
      <c r="O129" s="22" t="s">
        <v>84</v>
      </c>
      <c r="P129" s="22" t="s">
        <v>194</v>
      </c>
      <c r="Q129" s="22" t="s">
        <v>183</v>
      </c>
      <c r="R129" s="22" t="s">
        <v>60</v>
      </c>
      <c r="S129" s="22" t="s">
        <v>85</v>
      </c>
      <c r="T129" s="22" t="s">
        <v>62</v>
      </c>
      <c r="U129" s="22" t="s">
        <v>63</v>
      </c>
      <c r="V129" s="22" t="s">
        <v>64</v>
      </c>
      <c r="W129" s="25"/>
      <c r="X129" s="26" t="s">
        <v>875</v>
      </c>
      <c r="Y129" s="22" t="s">
        <v>204</v>
      </c>
      <c r="Z129" s="22" t="s">
        <v>888</v>
      </c>
      <c r="AA129" s="22" t="s">
        <v>68</v>
      </c>
      <c r="AC129" s="22" t="s">
        <v>265</v>
      </c>
      <c r="AD129" s="27" t="s">
        <v>71</v>
      </c>
      <c r="AE129" s="22" t="s">
        <v>859</v>
      </c>
      <c r="AF129" s="65" t="s">
        <v>889</v>
      </c>
      <c r="AG129" s="66" t="s">
        <v>890</v>
      </c>
      <c r="AI129" s="25" t="str">
        <f ca="1">IFERROR(__xludf.DUMMYFUNCTION("""COMPUTED_VALUE"""),"60e2aff781401953ad0aa546")</f>
        <v>60e2aff781401953ad0aa546</v>
      </c>
      <c r="AJ129" s="25">
        <f t="shared" ca="1" si="0"/>
        <v>1</v>
      </c>
    </row>
    <row r="130" spans="1:36" ht="31">
      <c r="A130" s="51" t="s">
        <v>664</v>
      </c>
      <c r="B130" s="51" t="s">
        <v>891</v>
      </c>
      <c r="C130" s="24" t="s">
        <v>892</v>
      </c>
      <c r="D130" s="23" t="s">
        <v>893</v>
      </c>
      <c r="E130" s="22" t="s">
        <v>49</v>
      </c>
      <c r="F130" s="22" t="s">
        <v>95</v>
      </c>
      <c r="G130" s="22" t="s">
        <v>49</v>
      </c>
      <c r="H130" s="22" t="s">
        <v>126</v>
      </c>
      <c r="I130" s="22" t="s">
        <v>81</v>
      </c>
      <c r="J130" s="22" t="s">
        <v>53</v>
      </c>
      <c r="K130" s="22" t="s">
        <v>128</v>
      </c>
      <c r="L130" s="22" t="s">
        <v>53</v>
      </c>
      <c r="M130" s="22" t="s">
        <v>129</v>
      </c>
      <c r="N130" s="22" t="s">
        <v>59</v>
      </c>
      <c r="O130" s="22" t="s">
        <v>84</v>
      </c>
      <c r="P130" s="22" t="s">
        <v>194</v>
      </c>
      <c r="Q130" s="22" t="s">
        <v>203</v>
      </c>
      <c r="R130" s="25"/>
      <c r="S130" s="22" t="s">
        <v>388</v>
      </c>
      <c r="T130" s="22" t="s">
        <v>62</v>
      </c>
      <c r="U130" s="22" t="s">
        <v>63</v>
      </c>
      <c r="V130" s="22" t="s">
        <v>64</v>
      </c>
      <c r="W130" s="25"/>
      <c r="X130" s="26" t="s">
        <v>875</v>
      </c>
      <c r="Y130" s="22" t="s">
        <v>89</v>
      </c>
      <c r="Z130" s="22" t="s">
        <v>894</v>
      </c>
      <c r="AA130" s="22" t="s">
        <v>895</v>
      </c>
      <c r="AC130" s="22" t="s">
        <v>265</v>
      </c>
      <c r="AD130" s="27" t="s">
        <v>71</v>
      </c>
      <c r="AE130" s="22" t="s">
        <v>859</v>
      </c>
      <c r="AF130" s="65" t="s">
        <v>896</v>
      </c>
      <c r="AG130" s="33" t="s">
        <v>352</v>
      </c>
      <c r="AI130" s="25" t="str">
        <f ca="1">IFERROR(__xludf.DUMMYFUNCTION("""COMPUTED_VALUE"""),"60e2f4d081401953ad0ac279")</f>
        <v>60e2f4d081401953ad0ac279</v>
      </c>
      <c r="AJ130" s="25">
        <f t="shared" ca="1" si="0"/>
        <v>1</v>
      </c>
    </row>
    <row r="131" spans="1:36" ht="108.5">
      <c r="A131" s="51" t="s">
        <v>664</v>
      </c>
      <c r="B131" s="51" t="s">
        <v>897</v>
      </c>
      <c r="C131" s="24" t="s">
        <v>898</v>
      </c>
      <c r="D131" s="23" t="s">
        <v>899</v>
      </c>
      <c r="E131" s="22" t="s">
        <v>79</v>
      </c>
      <c r="F131" s="22" t="s">
        <v>78</v>
      </c>
      <c r="G131" s="22" t="s">
        <v>79</v>
      </c>
      <c r="H131" s="22" t="s">
        <v>192</v>
      </c>
      <c r="I131" s="22" t="s">
        <v>81</v>
      </c>
      <c r="J131" s="22" t="s">
        <v>501</v>
      </c>
      <c r="K131" s="22" t="s">
        <v>182</v>
      </c>
      <c r="L131" s="22" t="s">
        <v>53</v>
      </c>
      <c r="M131" s="22" t="s">
        <v>129</v>
      </c>
      <c r="N131" s="22" t="s">
        <v>59</v>
      </c>
      <c r="O131" s="22" t="s">
        <v>84</v>
      </c>
      <c r="P131" s="22" t="s">
        <v>85</v>
      </c>
      <c r="Q131" s="22" t="s">
        <v>60</v>
      </c>
      <c r="R131" s="25"/>
      <c r="S131" s="22" t="s">
        <v>85</v>
      </c>
      <c r="T131" s="22" t="s">
        <v>62</v>
      </c>
      <c r="U131" s="22" t="s">
        <v>63</v>
      </c>
      <c r="V131" s="22" t="s">
        <v>64</v>
      </c>
      <c r="W131" s="25"/>
      <c r="X131" s="26" t="s">
        <v>875</v>
      </c>
      <c r="Y131" s="22" t="s">
        <v>525</v>
      </c>
      <c r="Z131" s="22" t="s">
        <v>122</v>
      </c>
      <c r="AA131" s="22" t="s">
        <v>900</v>
      </c>
      <c r="AC131" s="22" t="s">
        <v>265</v>
      </c>
      <c r="AD131" s="27" t="s">
        <v>71</v>
      </c>
      <c r="AE131" s="22" t="s">
        <v>859</v>
      </c>
      <c r="AF131" s="65" t="s">
        <v>901</v>
      </c>
      <c r="AG131" s="33" t="s">
        <v>902</v>
      </c>
      <c r="AI131" s="25" t="str">
        <f ca="1">IFERROR(__xludf.DUMMYFUNCTION("""COMPUTED_VALUE"""),"60e406a11ca7680860a50da7")</f>
        <v>60e406a11ca7680860a50da7</v>
      </c>
      <c r="AJ131" s="25">
        <f t="shared" ca="1" si="0"/>
        <v>1</v>
      </c>
    </row>
    <row r="132" spans="1:36" ht="46.5">
      <c r="A132" s="51" t="s">
        <v>664</v>
      </c>
      <c r="B132" s="51" t="s">
        <v>903</v>
      </c>
      <c r="C132" s="22" t="s">
        <v>904</v>
      </c>
      <c r="D132" s="23" t="s">
        <v>905</v>
      </c>
      <c r="E132" s="22" t="s">
        <v>49</v>
      </c>
      <c r="F132" s="22" t="s">
        <v>50</v>
      </c>
      <c r="G132" s="22" t="s">
        <v>49</v>
      </c>
      <c r="H132" s="22" t="s">
        <v>80</v>
      </c>
      <c r="I132" s="22" t="s">
        <v>81</v>
      </c>
      <c r="J132" s="22" t="s">
        <v>501</v>
      </c>
      <c r="K132" s="22" t="s">
        <v>182</v>
      </c>
      <c r="L132" s="22" t="s">
        <v>53</v>
      </c>
      <c r="M132" s="22" t="s">
        <v>129</v>
      </c>
      <c r="N132" s="22" t="s">
        <v>59</v>
      </c>
      <c r="O132" s="22" t="s">
        <v>84</v>
      </c>
      <c r="P132" s="22" t="s">
        <v>194</v>
      </c>
      <c r="Q132" s="22" t="s">
        <v>183</v>
      </c>
      <c r="R132" s="25"/>
      <c r="S132" s="22" t="s">
        <v>85</v>
      </c>
      <c r="T132" s="22" t="s">
        <v>62</v>
      </c>
      <c r="U132" s="22" t="s">
        <v>63</v>
      </c>
      <c r="V132" s="22" t="s">
        <v>64</v>
      </c>
      <c r="W132" s="25"/>
      <c r="X132" s="26" t="s">
        <v>276</v>
      </c>
      <c r="Y132" s="22" t="s">
        <v>503</v>
      </c>
      <c r="Z132" s="22" t="s">
        <v>906</v>
      </c>
      <c r="AA132" s="22" t="s">
        <v>391</v>
      </c>
      <c r="AC132" s="22" t="s">
        <v>265</v>
      </c>
      <c r="AD132" s="27" t="s">
        <v>71</v>
      </c>
      <c r="AE132" s="22" t="s">
        <v>859</v>
      </c>
      <c r="AF132" s="30" t="s">
        <v>907</v>
      </c>
      <c r="AG132" s="66" t="s">
        <v>908</v>
      </c>
      <c r="AI132" s="25" t="str">
        <f ca="1">IFERROR(__xludf.DUMMYFUNCTION("""COMPUTED_VALUE"""),"60e55ccf7c361a3884916737")</f>
        <v>60e55ccf7c361a3884916737</v>
      </c>
      <c r="AJ132" s="25">
        <f t="shared" ca="1" si="0"/>
        <v>1</v>
      </c>
    </row>
    <row r="133" spans="1:36" ht="15.5">
      <c r="A133" s="51" t="s">
        <v>664</v>
      </c>
      <c r="B133" s="67" t="s">
        <v>2310</v>
      </c>
      <c r="C133" s="22"/>
      <c r="D133" s="23"/>
      <c r="E133" s="22"/>
      <c r="F133" s="22"/>
      <c r="G133" s="22"/>
      <c r="H133" s="22"/>
      <c r="I133" s="22"/>
      <c r="J133" s="22"/>
      <c r="K133" s="22"/>
      <c r="L133" s="22"/>
      <c r="M133" s="22"/>
      <c r="N133" s="22"/>
      <c r="O133" s="22"/>
      <c r="P133" s="22"/>
      <c r="Q133" s="22"/>
      <c r="R133" s="25"/>
      <c r="S133" s="22"/>
      <c r="T133" s="22"/>
      <c r="U133" s="22"/>
      <c r="V133" s="22"/>
      <c r="W133" s="25"/>
      <c r="X133" s="22"/>
      <c r="Y133" s="22"/>
      <c r="Z133" s="22"/>
      <c r="AA133" s="22"/>
      <c r="AC133" s="22"/>
      <c r="AD133" s="27" t="s">
        <v>2305</v>
      </c>
      <c r="AE133" s="22"/>
      <c r="AF133" s="34"/>
      <c r="AG133" s="34"/>
      <c r="AI133" s="25" t="str">
        <f ca="1">IFERROR(__xludf.DUMMYFUNCTION("""COMPUTED_VALUE"""),"
6184e410663bbe3bf5cf3ce0")</f>
        <v xml:space="preserve">
6184e410663bbe3bf5cf3ce0</v>
      </c>
      <c r="AJ133" s="25">
        <f t="shared" ca="1" si="0"/>
        <v>1</v>
      </c>
    </row>
    <row r="134" spans="1:36" ht="46.5">
      <c r="A134" s="51" t="s">
        <v>664</v>
      </c>
      <c r="B134" s="67" t="s">
        <v>909</v>
      </c>
      <c r="C134" s="22" t="s">
        <v>910</v>
      </c>
      <c r="D134" s="23" t="s">
        <v>911</v>
      </c>
      <c r="E134" s="22" t="s">
        <v>97</v>
      </c>
      <c r="F134" s="22" t="s">
        <v>50</v>
      </c>
      <c r="G134" s="22" t="s">
        <v>97</v>
      </c>
      <c r="H134" s="22" t="s">
        <v>192</v>
      </c>
      <c r="I134" s="22" t="s">
        <v>81</v>
      </c>
      <c r="J134" s="22" t="s">
        <v>53</v>
      </c>
      <c r="K134" s="22" t="s">
        <v>96</v>
      </c>
      <c r="L134" s="22" t="s">
        <v>53</v>
      </c>
      <c r="M134" s="22" t="s">
        <v>912</v>
      </c>
      <c r="N134" s="22" t="s">
        <v>59</v>
      </c>
      <c r="O134" s="22" t="s">
        <v>84</v>
      </c>
      <c r="P134" s="22" t="s">
        <v>52</v>
      </c>
      <c r="Q134" s="22" t="s">
        <v>183</v>
      </c>
      <c r="R134" s="25"/>
      <c r="S134" s="22" t="s">
        <v>85</v>
      </c>
      <c r="T134" s="22" t="s">
        <v>62</v>
      </c>
      <c r="U134" s="22" t="s">
        <v>63</v>
      </c>
      <c r="V134" s="22" t="s">
        <v>64</v>
      </c>
      <c r="W134" s="25"/>
      <c r="X134" s="35" t="s">
        <v>301</v>
      </c>
      <c r="Y134" s="22" t="s">
        <v>792</v>
      </c>
      <c r="Z134" s="22" t="s">
        <v>913</v>
      </c>
      <c r="AA134" s="22" t="s">
        <v>793</v>
      </c>
      <c r="AC134" s="22" t="s">
        <v>265</v>
      </c>
      <c r="AD134" s="27" t="s">
        <v>71</v>
      </c>
      <c r="AE134" s="22" t="s">
        <v>859</v>
      </c>
      <c r="AF134" s="34"/>
      <c r="AG134" s="34"/>
      <c r="AI134" s="25" t="str">
        <f ca="1">IFERROR(__xludf.DUMMYFUNCTION("""COMPUTED_VALUE"""),"60e572167c361a38849170dd")</f>
        <v>60e572167c361a38849170dd</v>
      </c>
      <c r="AJ134" s="25">
        <f t="shared" ca="1" si="0"/>
        <v>1</v>
      </c>
    </row>
    <row r="135" spans="1:36" ht="15.5">
      <c r="A135" s="51" t="s">
        <v>664</v>
      </c>
      <c r="B135" s="127" t="s">
        <v>2311</v>
      </c>
      <c r="C135" s="22" t="s">
        <v>2312</v>
      </c>
      <c r="D135" s="85"/>
      <c r="E135" s="25"/>
      <c r="F135" s="25"/>
      <c r="G135" s="25"/>
      <c r="H135" s="25"/>
      <c r="I135" s="25"/>
      <c r="J135" s="25"/>
      <c r="K135" s="25"/>
      <c r="L135" s="25"/>
      <c r="N135" s="25"/>
      <c r="O135" s="25"/>
      <c r="P135" s="25"/>
      <c r="Q135" s="25"/>
      <c r="R135" s="25"/>
      <c r="S135" s="25"/>
      <c r="T135" s="25"/>
      <c r="U135" s="25"/>
      <c r="V135" s="25"/>
      <c r="W135" s="25"/>
      <c r="X135" s="26" t="s">
        <v>301</v>
      </c>
      <c r="Y135" s="22" t="s">
        <v>302</v>
      </c>
      <c r="Z135" s="22" t="s">
        <v>263</v>
      </c>
      <c r="AA135" s="22" t="s">
        <v>303</v>
      </c>
      <c r="AC135" s="22" t="s">
        <v>265</v>
      </c>
      <c r="AD135" s="27" t="s">
        <v>2305</v>
      </c>
      <c r="AE135" s="22" t="s">
        <v>859</v>
      </c>
      <c r="AF135" s="28"/>
      <c r="AG135" s="34"/>
      <c r="AI135" s="25" t="str">
        <f ca="1">IFERROR(__xludf.DUMMYFUNCTION("""COMPUTED_VALUE"""),"60e697b87c361a38849187f5")</f>
        <v>60e697b87c361a38849187f5</v>
      </c>
      <c r="AJ135" s="25">
        <f t="shared" ca="1" si="0"/>
        <v>1</v>
      </c>
    </row>
    <row r="136" spans="1:36" ht="46.5">
      <c r="A136" s="51" t="s">
        <v>664</v>
      </c>
      <c r="B136" s="51" t="s">
        <v>914</v>
      </c>
      <c r="C136" s="22" t="s">
        <v>915</v>
      </c>
      <c r="D136" s="23" t="s">
        <v>916</v>
      </c>
      <c r="E136" s="22" t="s">
        <v>49</v>
      </c>
      <c r="F136" s="22" t="s">
        <v>50</v>
      </c>
      <c r="G136" s="22" t="s">
        <v>49</v>
      </c>
      <c r="H136" s="22" t="s">
        <v>192</v>
      </c>
      <c r="I136" s="24" t="s">
        <v>307</v>
      </c>
      <c r="J136" s="22" t="s">
        <v>53</v>
      </c>
      <c r="K136" s="22" t="s">
        <v>144</v>
      </c>
      <c r="L136" s="22" t="s">
        <v>53</v>
      </c>
      <c r="M136" s="22" t="s">
        <v>83</v>
      </c>
      <c r="N136" s="22" t="s">
        <v>59</v>
      </c>
      <c r="O136" s="22" t="s">
        <v>84</v>
      </c>
      <c r="P136" s="22" t="s">
        <v>57</v>
      </c>
      <c r="Q136" s="22" t="s">
        <v>60</v>
      </c>
      <c r="R136" s="25"/>
      <c r="S136" s="22" t="s">
        <v>61</v>
      </c>
      <c r="T136" s="22" t="s">
        <v>62</v>
      </c>
      <c r="U136" s="22" t="s">
        <v>63</v>
      </c>
      <c r="V136" s="22" t="s">
        <v>172</v>
      </c>
      <c r="W136" s="25"/>
      <c r="X136" s="35" t="s">
        <v>917</v>
      </c>
      <c r="Y136" s="22" t="s">
        <v>550</v>
      </c>
      <c r="Z136" s="22" t="s">
        <v>272</v>
      </c>
      <c r="AA136" s="22" t="s">
        <v>918</v>
      </c>
      <c r="AC136" s="22" t="s">
        <v>265</v>
      </c>
      <c r="AD136" s="27" t="s">
        <v>71</v>
      </c>
      <c r="AE136" s="22" t="s">
        <v>859</v>
      </c>
      <c r="AF136" s="30" t="s">
        <v>919</v>
      </c>
      <c r="AG136" s="33" t="s">
        <v>920</v>
      </c>
      <c r="AI136" s="25" t="str">
        <f ca="1">IFERROR(__xludf.DUMMYFUNCTION("""COMPUTED_VALUE"""),"60e6a8a67c361a3884918af9")</f>
        <v>60e6a8a67c361a3884918af9</v>
      </c>
      <c r="AJ136" s="25">
        <f t="shared" ca="1" si="0"/>
        <v>1</v>
      </c>
    </row>
    <row r="137" spans="1:36" ht="46.5">
      <c r="A137" s="51" t="s">
        <v>664</v>
      </c>
      <c r="B137" s="51" t="s">
        <v>921</v>
      </c>
      <c r="C137" s="22" t="s">
        <v>922</v>
      </c>
      <c r="D137" s="23" t="s">
        <v>923</v>
      </c>
      <c r="E137" s="22" t="s">
        <v>49</v>
      </c>
      <c r="F137" s="22" t="s">
        <v>50</v>
      </c>
      <c r="G137" s="22" t="s">
        <v>49</v>
      </c>
      <c r="H137" s="22" t="s">
        <v>192</v>
      </c>
      <c r="I137" s="22" t="s">
        <v>81</v>
      </c>
      <c r="J137" s="22" t="s">
        <v>53</v>
      </c>
      <c r="K137" s="22" t="s">
        <v>82</v>
      </c>
      <c r="L137" s="22" t="s">
        <v>53</v>
      </c>
      <c r="M137" s="22" t="s">
        <v>129</v>
      </c>
      <c r="N137" s="22" t="s">
        <v>59</v>
      </c>
      <c r="O137" s="22" t="s">
        <v>84</v>
      </c>
      <c r="P137" s="22" t="s">
        <v>85</v>
      </c>
      <c r="Q137" s="22" t="s">
        <v>60</v>
      </c>
      <c r="R137" s="25"/>
      <c r="S137" s="22" t="s">
        <v>85</v>
      </c>
      <c r="T137" s="22" t="s">
        <v>62</v>
      </c>
      <c r="U137" s="22" t="s">
        <v>63</v>
      </c>
      <c r="V137" s="22" t="s">
        <v>64</v>
      </c>
      <c r="W137" s="25"/>
      <c r="X137" s="35" t="s">
        <v>924</v>
      </c>
      <c r="Y137" s="22" t="s">
        <v>925</v>
      </c>
      <c r="Z137" s="22" t="s">
        <v>926</v>
      </c>
      <c r="AA137" s="22" t="s">
        <v>927</v>
      </c>
      <c r="AC137" s="22" t="s">
        <v>265</v>
      </c>
      <c r="AD137" s="27" t="s">
        <v>71</v>
      </c>
      <c r="AE137" s="22" t="s">
        <v>928</v>
      </c>
      <c r="AF137" s="34"/>
      <c r="AG137" s="34"/>
      <c r="AI137" s="100" t="str">
        <f ca="1">IFERROR(__xludf.DUMMYFUNCTION("""COMPUTED_VALUE"""),"61839b28663bbe3bf5cf3b09")</f>
        <v>61839b28663bbe3bf5cf3b09</v>
      </c>
      <c r="AJ137" s="25">
        <f t="shared" ca="1" si="0"/>
        <v>2</v>
      </c>
    </row>
    <row r="138" spans="1:36" ht="62">
      <c r="A138" s="51" t="s">
        <v>664</v>
      </c>
      <c r="B138" s="51" t="s">
        <v>1835</v>
      </c>
      <c r="C138" s="22" t="s">
        <v>2313</v>
      </c>
      <c r="D138" s="23" t="s">
        <v>2314</v>
      </c>
      <c r="E138" s="22" t="s">
        <v>49</v>
      </c>
      <c r="F138" s="22" t="s">
        <v>50</v>
      </c>
      <c r="G138" s="22" t="s">
        <v>49</v>
      </c>
      <c r="H138" s="22" t="s">
        <v>192</v>
      </c>
      <c r="I138" s="22" t="s">
        <v>81</v>
      </c>
      <c r="J138" s="22" t="s">
        <v>501</v>
      </c>
      <c r="K138" s="22" t="s">
        <v>182</v>
      </c>
      <c r="L138" s="22" t="s">
        <v>53</v>
      </c>
      <c r="M138" s="22" t="s">
        <v>129</v>
      </c>
      <c r="N138" s="22" t="s">
        <v>59</v>
      </c>
      <c r="O138" s="22" t="s">
        <v>84</v>
      </c>
      <c r="P138" s="22" t="s">
        <v>85</v>
      </c>
      <c r="Q138" s="22" t="s">
        <v>60</v>
      </c>
      <c r="R138" s="25"/>
      <c r="S138" s="22" t="s">
        <v>85</v>
      </c>
      <c r="T138" s="22" t="s">
        <v>62</v>
      </c>
      <c r="U138" s="22" t="s">
        <v>63</v>
      </c>
      <c r="V138" s="22" t="s">
        <v>64</v>
      </c>
      <c r="W138" s="25"/>
      <c r="X138" s="35" t="s">
        <v>924</v>
      </c>
      <c r="Y138" s="22" t="s">
        <v>925</v>
      </c>
      <c r="Z138" s="22" t="s">
        <v>926</v>
      </c>
      <c r="AA138" s="22" t="s">
        <v>927</v>
      </c>
      <c r="AC138" s="22" t="s">
        <v>265</v>
      </c>
      <c r="AD138" s="27" t="s">
        <v>2305</v>
      </c>
      <c r="AE138" s="22" t="s">
        <v>928</v>
      </c>
      <c r="AF138" s="34"/>
      <c r="AG138" s="34"/>
      <c r="AI138" s="25" t="str">
        <f ca="1">IFERROR(__xludf.DUMMYFUNCTION("""COMPUTED_VALUE"""),"60e6ba5c7c361a388491918d")</f>
        <v>60e6ba5c7c361a388491918d</v>
      </c>
      <c r="AJ138" s="25">
        <f t="shared" ca="1" si="0"/>
        <v>1</v>
      </c>
    </row>
    <row r="139" spans="1:36" ht="31">
      <c r="A139" s="51" t="s">
        <v>664</v>
      </c>
      <c r="B139" s="51" t="s">
        <v>929</v>
      </c>
      <c r="C139" s="22" t="s">
        <v>930</v>
      </c>
      <c r="D139" s="23" t="s">
        <v>931</v>
      </c>
      <c r="E139" s="22" t="s">
        <v>53</v>
      </c>
      <c r="F139" s="22" t="s">
        <v>269</v>
      </c>
      <c r="G139" s="22" t="s">
        <v>49</v>
      </c>
      <c r="H139" s="22" t="s">
        <v>51</v>
      </c>
      <c r="I139" s="22" t="s">
        <v>81</v>
      </c>
      <c r="J139" s="22" t="s">
        <v>53</v>
      </c>
      <c r="K139" s="22" t="s">
        <v>144</v>
      </c>
      <c r="L139" s="22" t="s">
        <v>53</v>
      </c>
      <c r="M139" s="22" t="s">
        <v>129</v>
      </c>
      <c r="N139" s="22" t="s">
        <v>59</v>
      </c>
      <c r="O139" s="22" t="s">
        <v>84</v>
      </c>
      <c r="P139" s="7" t="s">
        <v>59</v>
      </c>
      <c r="Q139" s="7" t="s">
        <v>183</v>
      </c>
      <c r="R139" s="45"/>
      <c r="S139" s="7" t="s">
        <v>294</v>
      </c>
      <c r="T139" s="22" t="s">
        <v>62</v>
      </c>
      <c r="U139" s="22" t="s">
        <v>63</v>
      </c>
      <c r="V139" s="22" t="s">
        <v>64</v>
      </c>
      <c r="W139" s="25"/>
      <c r="X139" s="35" t="s">
        <v>924</v>
      </c>
      <c r="Y139" s="22" t="s">
        <v>876</v>
      </c>
      <c r="Z139" s="22" t="s">
        <v>391</v>
      </c>
      <c r="AA139" s="22" t="s">
        <v>932</v>
      </c>
      <c r="AC139" s="22" t="s">
        <v>265</v>
      </c>
      <c r="AD139" s="27" t="s">
        <v>71</v>
      </c>
      <c r="AE139" s="22" t="s">
        <v>928</v>
      </c>
      <c r="AF139" s="34"/>
      <c r="AG139" s="34"/>
      <c r="AI139" s="25" t="str">
        <f ca="1">IFERROR(__xludf.DUMMYFUNCTION("""COMPUTED_VALUE"""),"60e6e38c7c361a3884919817")</f>
        <v>60e6e38c7c361a3884919817</v>
      </c>
      <c r="AJ139" s="25">
        <f t="shared" ca="1" si="0"/>
        <v>1</v>
      </c>
    </row>
    <row r="140" spans="1:36" ht="31">
      <c r="A140" s="51" t="s">
        <v>664</v>
      </c>
      <c r="B140" s="51" t="s">
        <v>933</v>
      </c>
      <c r="C140" s="22" t="s">
        <v>934</v>
      </c>
      <c r="D140" s="23" t="s">
        <v>935</v>
      </c>
      <c r="E140" s="22" t="s">
        <v>49</v>
      </c>
      <c r="F140" s="22" t="s">
        <v>50</v>
      </c>
      <c r="G140" s="22" t="s">
        <v>49</v>
      </c>
      <c r="H140" s="22" t="s">
        <v>51</v>
      </c>
      <c r="I140" s="22" t="s">
        <v>81</v>
      </c>
      <c r="J140" s="22" t="s">
        <v>53</v>
      </c>
      <c r="K140" s="22" t="s">
        <v>82</v>
      </c>
      <c r="L140" s="22" t="s">
        <v>53</v>
      </c>
      <c r="M140" s="22" t="s">
        <v>56</v>
      </c>
      <c r="N140" s="22" t="s">
        <v>59</v>
      </c>
      <c r="O140" s="22" t="s">
        <v>84</v>
      </c>
      <c r="P140" s="22" t="s">
        <v>137</v>
      </c>
      <c r="Q140" s="22" t="s">
        <v>60</v>
      </c>
      <c r="R140" s="25"/>
      <c r="S140" s="22" t="s">
        <v>85</v>
      </c>
      <c r="T140" s="22" t="s">
        <v>62</v>
      </c>
      <c r="U140" s="22" t="s">
        <v>63</v>
      </c>
      <c r="V140" s="22" t="s">
        <v>64</v>
      </c>
      <c r="W140" s="22" t="s">
        <v>65</v>
      </c>
      <c r="X140" s="26" t="s">
        <v>924</v>
      </c>
      <c r="Y140" s="22" t="s">
        <v>936</v>
      </c>
      <c r="Z140" s="22" t="s">
        <v>937</v>
      </c>
      <c r="AA140" s="22" t="s">
        <v>938</v>
      </c>
      <c r="AC140" s="22" t="s">
        <v>176</v>
      </c>
      <c r="AD140" s="27" t="s">
        <v>71</v>
      </c>
      <c r="AE140" s="22" t="s">
        <v>928</v>
      </c>
      <c r="AF140" s="34"/>
      <c r="AG140" s="34"/>
      <c r="AI140" s="25" t="str">
        <f ca="1">IFERROR(__xludf.DUMMYFUNCTION("""COMPUTED_VALUE"""),"60e6eccd7c361a3884919c7d")</f>
        <v>60e6eccd7c361a3884919c7d</v>
      </c>
      <c r="AJ140" s="25">
        <f t="shared" ca="1" si="0"/>
        <v>1</v>
      </c>
    </row>
    <row r="141" spans="1:36" ht="31">
      <c r="A141" s="51" t="s">
        <v>664</v>
      </c>
      <c r="B141" s="51" t="s">
        <v>939</v>
      </c>
      <c r="C141" s="22" t="s">
        <v>940</v>
      </c>
      <c r="D141" s="23" t="s">
        <v>941</v>
      </c>
      <c r="E141" s="22" t="s">
        <v>49</v>
      </c>
      <c r="F141" s="22" t="s">
        <v>95</v>
      </c>
      <c r="G141" s="22" t="s">
        <v>49</v>
      </c>
      <c r="H141" s="22" t="s">
        <v>51</v>
      </c>
      <c r="I141" s="22" t="s">
        <v>81</v>
      </c>
      <c r="J141" s="22" t="s">
        <v>53</v>
      </c>
      <c r="K141" s="22" t="s">
        <v>54</v>
      </c>
      <c r="L141" s="22" t="s">
        <v>53</v>
      </c>
      <c r="M141" s="22" t="s">
        <v>56</v>
      </c>
      <c r="N141" s="22" t="s">
        <v>59</v>
      </c>
      <c r="O141" s="22" t="s">
        <v>84</v>
      </c>
      <c r="P141" s="22" t="s">
        <v>85</v>
      </c>
      <c r="Q141" s="22" t="s">
        <v>60</v>
      </c>
      <c r="R141" s="25"/>
      <c r="S141" s="22" t="s">
        <v>85</v>
      </c>
      <c r="T141" s="22" t="s">
        <v>62</v>
      </c>
      <c r="U141" s="22" t="s">
        <v>63</v>
      </c>
      <c r="V141" s="22" t="s">
        <v>64</v>
      </c>
      <c r="W141" s="22" t="s">
        <v>65</v>
      </c>
      <c r="X141" s="26" t="s">
        <v>924</v>
      </c>
      <c r="Y141" s="22" t="s">
        <v>302</v>
      </c>
      <c r="Z141" s="22" t="s">
        <v>942</v>
      </c>
      <c r="AA141" s="22" t="s">
        <v>943</v>
      </c>
      <c r="AC141" s="22" t="s">
        <v>176</v>
      </c>
      <c r="AD141" s="27" t="s">
        <v>71</v>
      </c>
      <c r="AE141" s="22" t="s">
        <v>928</v>
      </c>
      <c r="AF141" s="34"/>
      <c r="AG141" s="34"/>
      <c r="AI141" s="25" t="str">
        <f ca="1">IFERROR(__xludf.DUMMYFUNCTION("""COMPUTED_VALUE"""),"60e6f15d7c361a3884919e6d")</f>
        <v>60e6f15d7c361a3884919e6d</v>
      </c>
      <c r="AJ141" s="25">
        <f t="shared" ca="1" si="0"/>
        <v>1</v>
      </c>
    </row>
    <row r="142" spans="1:36" ht="46.5">
      <c r="A142" s="51" t="s">
        <v>664</v>
      </c>
      <c r="B142" s="51" t="s">
        <v>944</v>
      </c>
      <c r="C142" s="22" t="s">
        <v>945</v>
      </c>
      <c r="D142" s="23" t="s">
        <v>946</v>
      </c>
      <c r="E142" s="22" t="s">
        <v>49</v>
      </c>
      <c r="F142" s="22" t="s">
        <v>50</v>
      </c>
      <c r="G142" s="22" t="s">
        <v>49</v>
      </c>
      <c r="H142" s="22" t="s">
        <v>51</v>
      </c>
      <c r="I142" s="22" t="s">
        <v>81</v>
      </c>
      <c r="J142" s="22" t="s">
        <v>53</v>
      </c>
      <c r="K142" s="22" t="s">
        <v>54</v>
      </c>
      <c r="L142" s="22" t="s">
        <v>53</v>
      </c>
      <c r="M142" s="22" t="s">
        <v>56</v>
      </c>
      <c r="N142" s="22" t="s">
        <v>59</v>
      </c>
      <c r="O142" s="22" t="s">
        <v>84</v>
      </c>
      <c r="P142" s="22" t="s">
        <v>85</v>
      </c>
      <c r="Q142" s="22" t="s">
        <v>203</v>
      </c>
      <c r="R142" s="22"/>
      <c r="S142" s="22" t="s">
        <v>85</v>
      </c>
      <c r="T142" s="22" t="s">
        <v>62</v>
      </c>
      <c r="U142" s="22" t="s">
        <v>63</v>
      </c>
      <c r="V142" s="22" t="s">
        <v>64</v>
      </c>
      <c r="W142" s="22" t="s">
        <v>65</v>
      </c>
      <c r="X142" s="26" t="s">
        <v>924</v>
      </c>
      <c r="Y142" s="22" t="s">
        <v>213</v>
      </c>
      <c r="Z142" s="22" t="s">
        <v>943</v>
      </c>
      <c r="AA142" s="22" t="s">
        <v>947</v>
      </c>
      <c r="AC142" s="22" t="s">
        <v>176</v>
      </c>
      <c r="AD142" s="27" t="s">
        <v>71</v>
      </c>
      <c r="AE142" s="22" t="s">
        <v>928</v>
      </c>
      <c r="AF142" s="34"/>
      <c r="AG142" s="34"/>
      <c r="AI142" s="25" t="str">
        <f ca="1">IFERROR(__xludf.DUMMYFUNCTION("""COMPUTED_VALUE"""),"60e6fbd47c361a388491a349")</f>
        <v>60e6fbd47c361a388491a349</v>
      </c>
      <c r="AJ142" s="25">
        <f t="shared" ca="1" si="0"/>
        <v>1</v>
      </c>
    </row>
    <row r="143" spans="1:36" ht="26.25" customHeight="1">
      <c r="A143" s="51" t="s">
        <v>664</v>
      </c>
      <c r="B143" s="51" t="s">
        <v>948</v>
      </c>
      <c r="C143" s="22" t="s">
        <v>949</v>
      </c>
      <c r="D143" s="23" t="s">
        <v>950</v>
      </c>
      <c r="E143" s="22" t="s">
        <v>49</v>
      </c>
      <c r="F143" s="22" t="s">
        <v>50</v>
      </c>
      <c r="G143" s="22" t="s">
        <v>49</v>
      </c>
      <c r="H143" s="22" t="s">
        <v>126</v>
      </c>
      <c r="I143" s="22" t="s">
        <v>81</v>
      </c>
      <c r="J143" s="22" t="s">
        <v>53</v>
      </c>
      <c r="K143" s="22" t="s">
        <v>170</v>
      </c>
      <c r="L143" s="22" t="s">
        <v>53</v>
      </c>
      <c r="M143" s="22" t="s">
        <v>56</v>
      </c>
      <c r="N143" s="22" t="s">
        <v>59</v>
      </c>
      <c r="O143" s="22" t="s">
        <v>84</v>
      </c>
      <c r="P143" s="22" t="s">
        <v>85</v>
      </c>
      <c r="Q143" s="22" t="s">
        <v>63</v>
      </c>
      <c r="R143" s="25"/>
      <c r="S143" s="22" t="s">
        <v>85</v>
      </c>
      <c r="T143" s="22" t="s">
        <v>62</v>
      </c>
      <c r="U143" s="22" t="s">
        <v>63</v>
      </c>
      <c r="V143" s="22" t="s">
        <v>64</v>
      </c>
      <c r="W143" s="25"/>
      <c r="X143" s="35" t="s">
        <v>924</v>
      </c>
      <c r="Y143" s="22" t="s">
        <v>951</v>
      </c>
      <c r="Z143" s="22" t="s">
        <v>952</v>
      </c>
      <c r="AA143" s="22" t="s">
        <v>953</v>
      </c>
      <c r="AB143" s="22" t="s">
        <v>954</v>
      </c>
      <c r="AC143" s="22" t="s">
        <v>176</v>
      </c>
      <c r="AD143" s="27" t="s">
        <v>71</v>
      </c>
      <c r="AE143" s="22" t="s">
        <v>928</v>
      </c>
      <c r="AF143" s="34"/>
      <c r="AG143" s="34"/>
      <c r="AI143" s="25" t="str">
        <f ca="1">IFERROR(__xludf.DUMMYFUNCTION("""COMPUTED_VALUE"""),"60e713a27c361a388491a8f1")</f>
        <v>60e713a27c361a388491a8f1</v>
      </c>
      <c r="AJ143" s="25">
        <f t="shared" ca="1" si="0"/>
        <v>1</v>
      </c>
    </row>
    <row r="144" spans="1:36" ht="31">
      <c r="A144" s="51" t="s">
        <v>664</v>
      </c>
      <c r="B144" s="51" t="s">
        <v>955</v>
      </c>
      <c r="C144" s="22" t="s">
        <v>956</v>
      </c>
      <c r="D144" s="23" t="s">
        <v>957</v>
      </c>
      <c r="E144" s="22" t="s">
        <v>49</v>
      </c>
      <c r="F144" s="22" t="s">
        <v>95</v>
      </c>
      <c r="G144" s="22" t="s">
        <v>49</v>
      </c>
      <c r="H144" s="22" t="s">
        <v>51</v>
      </c>
      <c r="I144" s="22" t="s">
        <v>81</v>
      </c>
      <c r="J144" s="22" t="s">
        <v>53</v>
      </c>
      <c r="K144" s="22" t="s">
        <v>182</v>
      </c>
      <c r="L144" s="22" t="s">
        <v>53</v>
      </c>
      <c r="M144" s="22" t="s">
        <v>56</v>
      </c>
      <c r="N144" s="22" t="s">
        <v>59</v>
      </c>
      <c r="O144" s="22" t="s">
        <v>84</v>
      </c>
      <c r="P144" s="22" t="s">
        <v>85</v>
      </c>
      <c r="Q144" s="22" t="s">
        <v>60</v>
      </c>
      <c r="R144" s="25"/>
      <c r="S144" s="22" t="s">
        <v>85</v>
      </c>
      <c r="T144" s="22" t="s">
        <v>62</v>
      </c>
      <c r="U144" s="22" t="s">
        <v>63</v>
      </c>
      <c r="V144" s="22" t="s">
        <v>64</v>
      </c>
      <c r="W144" s="22" t="s">
        <v>65</v>
      </c>
      <c r="X144" s="35" t="s">
        <v>958</v>
      </c>
      <c r="Y144" s="22" t="s">
        <v>363</v>
      </c>
      <c r="Z144" s="22" t="s">
        <v>959</v>
      </c>
      <c r="AA144" s="22" t="s">
        <v>960</v>
      </c>
      <c r="AC144" s="22" t="s">
        <v>176</v>
      </c>
      <c r="AD144" s="27" t="s">
        <v>71</v>
      </c>
      <c r="AE144" s="22" t="s">
        <v>928</v>
      </c>
      <c r="AF144" s="34"/>
      <c r="AG144" s="34"/>
      <c r="AI144" s="25" t="str">
        <f ca="1">IFERROR(__xludf.DUMMYFUNCTION("""COMPUTED_VALUE"""),"60ebe076f0f7eb451f79cbeb")</f>
        <v>60ebe076f0f7eb451f79cbeb</v>
      </c>
      <c r="AJ144" s="25">
        <f t="shared" ca="1" si="0"/>
        <v>1</v>
      </c>
    </row>
    <row r="145" spans="1:36" ht="46.5">
      <c r="A145" s="51" t="s">
        <v>664</v>
      </c>
      <c r="B145" s="51" t="s">
        <v>961</v>
      </c>
      <c r="C145" s="22" t="s">
        <v>962</v>
      </c>
      <c r="D145" s="23" t="s">
        <v>963</v>
      </c>
      <c r="E145" s="22" t="s">
        <v>49</v>
      </c>
      <c r="F145" s="22" t="s">
        <v>269</v>
      </c>
      <c r="G145" s="22" t="s">
        <v>49</v>
      </c>
      <c r="H145" s="22" t="s">
        <v>80</v>
      </c>
      <c r="I145" s="22" t="s">
        <v>81</v>
      </c>
      <c r="J145" s="22" t="s">
        <v>53</v>
      </c>
      <c r="K145" s="22" t="s">
        <v>688</v>
      </c>
      <c r="L145" s="22" t="s">
        <v>53</v>
      </c>
      <c r="M145" s="22" t="s">
        <v>56</v>
      </c>
      <c r="N145" s="22" t="s">
        <v>59</v>
      </c>
      <c r="O145" s="22" t="s">
        <v>84</v>
      </c>
      <c r="P145" s="22" t="s">
        <v>137</v>
      </c>
      <c r="Q145" s="22" t="s">
        <v>153</v>
      </c>
      <c r="R145" s="25"/>
      <c r="S145" s="22" t="s">
        <v>85</v>
      </c>
      <c r="T145" s="22" t="s">
        <v>62</v>
      </c>
      <c r="U145" s="22" t="s">
        <v>63</v>
      </c>
      <c r="V145" s="22" t="s">
        <v>64</v>
      </c>
      <c r="W145" s="25"/>
      <c r="X145" s="35" t="s">
        <v>431</v>
      </c>
      <c r="Y145" s="22" t="s">
        <v>590</v>
      </c>
      <c r="Z145" s="22" t="s">
        <v>964</v>
      </c>
      <c r="AA145" s="22" t="s">
        <v>965</v>
      </c>
      <c r="AC145" s="22" t="s">
        <v>176</v>
      </c>
      <c r="AD145" s="27" t="s">
        <v>71</v>
      </c>
      <c r="AE145" s="22" t="s">
        <v>928</v>
      </c>
      <c r="AF145" s="34"/>
      <c r="AG145" s="34"/>
      <c r="AI145" s="25" t="str">
        <f ca="1">IFERROR(__xludf.DUMMYFUNCTION("""COMPUTED_VALUE"""),"60ebf24df0f7eb451f79d0ad")</f>
        <v>60ebf24df0f7eb451f79d0ad</v>
      </c>
      <c r="AJ145" s="25">
        <f t="shared" ca="1" si="0"/>
        <v>1</v>
      </c>
    </row>
    <row r="146" spans="1:36" ht="46.5">
      <c r="A146" s="51" t="s">
        <v>664</v>
      </c>
      <c r="B146" s="51" t="s">
        <v>966</v>
      </c>
      <c r="C146" s="22" t="s">
        <v>967</v>
      </c>
      <c r="D146" s="23" t="s">
        <v>968</v>
      </c>
      <c r="E146" s="22" t="s">
        <v>49</v>
      </c>
      <c r="F146" s="22" t="s">
        <v>269</v>
      </c>
      <c r="G146" s="22" t="s">
        <v>49</v>
      </c>
      <c r="H146" s="22" t="s">
        <v>51</v>
      </c>
      <c r="I146" s="22" t="s">
        <v>307</v>
      </c>
      <c r="J146" s="22" t="s">
        <v>53</v>
      </c>
      <c r="K146" s="22" t="s">
        <v>182</v>
      </c>
      <c r="L146" s="22" t="s">
        <v>53</v>
      </c>
      <c r="M146" s="22" t="s">
        <v>56</v>
      </c>
      <c r="N146" s="22" t="s">
        <v>59</v>
      </c>
      <c r="O146" s="22" t="s">
        <v>84</v>
      </c>
      <c r="P146" s="22" t="s">
        <v>52</v>
      </c>
      <c r="Q146" s="22" t="s">
        <v>130</v>
      </c>
      <c r="R146" s="25"/>
      <c r="S146" s="22" t="s">
        <v>61</v>
      </c>
      <c r="T146" s="22" t="s">
        <v>62</v>
      </c>
      <c r="U146" s="22" t="s">
        <v>63</v>
      </c>
      <c r="V146" s="22" t="s">
        <v>64</v>
      </c>
      <c r="W146" s="25"/>
      <c r="X146" s="35" t="s">
        <v>431</v>
      </c>
      <c r="Y146" s="22" t="s">
        <v>969</v>
      </c>
      <c r="Z146" s="22" t="s">
        <v>970</v>
      </c>
      <c r="AA146" s="22" t="s">
        <v>971</v>
      </c>
      <c r="AC146" s="22" t="s">
        <v>176</v>
      </c>
      <c r="AD146" s="27" t="s">
        <v>71</v>
      </c>
      <c r="AE146" s="22" t="s">
        <v>928</v>
      </c>
      <c r="AF146" s="34"/>
      <c r="AG146" s="34"/>
      <c r="AI146" s="25" t="str">
        <f ca="1">IFERROR(__xludf.DUMMYFUNCTION("""COMPUTED_VALUE"""),"60ebf752f0f7eb451f79d305")</f>
        <v>60ebf752f0f7eb451f79d305</v>
      </c>
      <c r="AJ146" s="25">
        <f t="shared" ca="1" si="0"/>
        <v>1</v>
      </c>
    </row>
    <row r="147" spans="1:36" ht="46.5">
      <c r="A147" s="51" t="s">
        <v>664</v>
      </c>
      <c r="B147" s="51" t="s">
        <v>972</v>
      </c>
      <c r="C147" s="22" t="s">
        <v>973</v>
      </c>
      <c r="D147" s="23" t="s">
        <v>974</v>
      </c>
      <c r="E147" s="22" t="s">
        <v>49</v>
      </c>
      <c r="F147" s="22" t="s">
        <v>50</v>
      </c>
      <c r="G147" s="22" t="s">
        <v>49</v>
      </c>
      <c r="H147" s="22" t="s">
        <v>192</v>
      </c>
      <c r="I147" s="22" t="s">
        <v>375</v>
      </c>
      <c r="J147" s="22" t="s">
        <v>53</v>
      </c>
      <c r="K147" s="22" t="s">
        <v>688</v>
      </c>
      <c r="L147" s="22" t="s">
        <v>53</v>
      </c>
      <c r="M147" s="22" t="s">
        <v>975</v>
      </c>
      <c r="N147" s="22" t="s">
        <v>59</v>
      </c>
      <c r="O147" s="22" t="s">
        <v>84</v>
      </c>
      <c r="P147" s="22" t="s">
        <v>85</v>
      </c>
      <c r="Q147" s="22" t="s">
        <v>130</v>
      </c>
      <c r="R147" s="25"/>
      <c r="S147" s="22" t="s">
        <v>85</v>
      </c>
      <c r="T147" s="22" t="s">
        <v>62</v>
      </c>
      <c r="U147" s="22" t="s">
        <v>63</v>
      </c>
      <c r="V147" s="22" t="s">
        <v>118</v>
      </c>
      <c r="W147" s="25"/>
      <c r="X147" s="35" t="s">
        <v>431</v>
      </c>
      <c r="Y147" s="22" t="s">
        <v>976</v>
      </c>
      <c r="Z147" s="22" t="s">
        <v>977</v>
      </c>
      <c r="AA147" s="22" t="s">
        <v>978</v>
      </c>
      <c r="AC147" s="22" t="s">
        <v>176</v>
      </c>
      <c r="AD147" s="27" t="s">
        <v>71</v>
      </c>
      <c r="AE147" s="22" t="s">
        <v>928</v>
      </c>
      <c r="AF147" s="34"/>
      <c r="AG147" s="34"/>
      <c r="AI147" s="25" t="str">
        <f ca="1">IFERROR(__xludf.DUMMYFUNCTION("""COMPUTED_VALUE"""),"60ec0a5af0f7eb451f79d87d")</f>
        <v>60ec0a5af0f7eb451f79d87d</v>
      </c>
      <c r="AJ147" s="25">
        <f t="shared" ca="1" si="0"/>
        <v>1</v>
      </c>
    </row>
    <row r="148" spans="1:36" ht="46.5">
      <c r="A148" s="51" t="s">
        <v>664</v>
      </c>
      <c r="B148" s="51" t="s">
        <v>979</v>
      </c>
      <c r="C148" s="22" t="s">
        <v>980</v>
      </c>
      <c r="D148" s="23" t="s">
        <v>981</v>
      </c>
      <c r="E148" s="22" t="s">
        <v>49</v>
      </c>
      <c r="F148" s="22" t="s">
        <v>50</v>
      </c>
      <c r="G148" s="22" t="s">
        <v>49</v>
      </c>
      <c r="H148" s="22" t="s">
        <v>51</v>
      </c>
      <c r="I148" s="22" t="s">
        <v>52</v>
      </c>
      <c r="J148" s="22" t="s">
        <v>53</v>
      </c>
      <c r="K148" s="22" t="s">
        <v>96</v>
      </c>
      <c r="L148" s="22" t="s">
        <v>55</v>
      </c>
      <c r="M148" s="22" t="s">
        <v>56</v>
      </c>
      <c r="N148" s="22" t="s">
        <v>59</v>
      </c>
      <c r="O148" s="22" t="s">
        <v>490</v>
      </c>
      <c r="P148" s="22" t="s">
        <v>109</v>
      </c>
      <c r="Q148" s="22" t="s">
        <v>183</v>
      </c>
      <c r="R148" s="22" t="s">
        <v>60</v>
      </c>
      <c r="S148" s="22" t="s">
        <v>85</v>
      </c>
      <c r="T148" s="22" t="s">
        <v>62</v>
      </c>
      <c r="U148" s="22" t="s">
        <v>63</v>
      </c>
      <c r="V148" s="22" t="s">
        <v>64</v>
      </c>
      <c r="W148" s="25"/>
      <c r="X148" s="35" t="s">
        <v>982</v>
      </c>
      <c r="Y148" s="40" t="s">
        <v>925</v>
      </c>
      <c r="Z148" s="22" t="s">
        <v>926</v>
      </c>
      <c r="AA148" s="22" t="s">
        <v>843</v>
      </c>
      <c r="AC148" s="22" t="s">
        <v>176</v>
      </c>
      <c r="AD148" s="27" t="s">
        <v>71</v>
      </c>
      <c r="AE148" s="22" t="s">
        <v>928</v>
      </c>
      <c r="AF148" s="34"/>
      <c r="AG148" s="34"/>
      <c r="AI148" s="25" t="str">
        <f ca="1">IFERROR(__xludf.DUMMYFUNCTION("""COMPUTED_VALUE"""),"60ecfa3df0f7eb451f79e2ed")</f>
        <v>60ecfa3df0f7eb451f79e2ed</v>
      </c>
      <c r="AJ148" s="25">
        <f t="shared" ca="1" si="0"/>
        <v>1</v>
      </c>
    </row>
    <row r="149" spans="1:36" ht="46.5">
      <c r="A149" s="51" t="s">
        <v>664</v>
      </c>
      <c r="B149" s="51" t="s">
        <v>983</v>
      </c>
      <c r="C149" s="22" t="s">
        <v>984</v>
      </c>
      <c r="D149" s="23" t="s">
        <v>985</v>
      </c>
      <c r="E149" s="22" t="s">
        <v>49</v>
      </c>
      <c r="F149" s="22" t="s">
        <v>50</v>
      </c>
      <c r="G149" s="22" t="s">
        <v>49</v>
      </c>
      <c r="H149" s="22" t="s">
        <v>126</v>
      </c>
      <c r="I149" s="22" t="s">
        <v>52</v>
      </c>
      <c r="J149" s="22" t="s">
        <v>107</v>
      </c>
      <c r="K149" s="22" t="s">
        <v>144</v>
      </c>
      <c r="L149" s="22" t="s">
        <v>53</v>
      </c>
      <c r="M149" s="22" t="s">
        <v>56</v>
      </c>
      <c r="N149" s="22" t="s">
        <v>59</v>
      </c>
      <c r="O149" s="22" t="s">
        <v>84</v>
      </c>
      <c r="P149" s="22" t="s">
        <v>348</v>
      </c>
      <c r="Q149" s="22" t="s">
        <v>203</v>
      </c>
      <c r="R149" s="22" t="s">
        <v>130</v>
      </c>
      <c r="S149" s="22" t="s">
        <v>61</v>
      </c>
      <c r="T149" s="22" t="s">
        <v>62</v>
      </c>
      <c r="U149" s="22" t="s">
        <v>63</v>
      </c>
      <c r="V149" s="22" t="s">
        <v>64</v>
      </c>
      <c r="W149" s="25"/>
      <c r="X149" s="26" t="s">
        <v>986</v>
      </c>
      <c r="Y149" s="22" t="s">
        <v>99</v>
      </c>
      <c r="Z149" s="22" t="s">
        <v>987</v>
      </c>
      <c r="AA149" s="22" t="s">
        <v>101</v>
      </c>
      <c r="AC149" s="22" t="s">
        <v>176</v>
      </c>
      <c r="AD149" s="27" t="s">
        <v>71</v>
      </c>
      <c r="AE149" s="22" t="s">
        <v>928</v>
      </c>
      <c r="AF149" s="34"/>
      <c r="AG149" s="34"/>
      <c r="AI149" s="25" t="str">
        <f ca="1">IFERROR(__xludf.DUMMYFUNCTION("""COMPUTED_VALUE"""),"60ed08e1f0f7eb451f79e877")</f>
        <v>60ed08e1f0f7eb451f79e877</v>
      </c>
      <c r="AJ149" s="25">
        <f t="shared" ca="1" si="0"/>
        <v>1</v>
      </c>
    </row>
    <row r="150" spans="1:36" ht="31">
      <c r="A150" s="51" t="s">
        <v>988</v>
      </c>
      <c r="B150" s="51" t="s">
        <v>989</v>
      </c>
      <c r="C150" s="22" t="s">
        <v>990</v>
      </c>
      <c r="D150" s="23" t="s">
        <v>991</v>
      </c>
      <c r="E150" s="22" t="s">
        <v>49</v>
      </c>
      <c r="F150" s="22" t="s">
        <v>50</v>
      </c>
      <c r="G150" s="22" t="s">
        <v>49</v>
      </c>
      <c r="H150" s="22" t="s">
        <v>51</v>
      </c>
      <c r="I150" s="22" t="s">
        <v>52</v>
      </c>
      <c r="J150" s="22" t="s">
        <v>127</v>
      </c>
      <c r="K150" s="22" t="s">
        <v>356</v>
      </c>
      <c r="L150" s="22" t="s">
        <v>55</v>
      </c>
      <c r="M150" s="22" t="s">
        <v>129</v>
      </c>
      <c r="N150" s="22" t="s">
        <v>59</v>
      </c>
      <c r="O150" s="22" t="s">
        <v>84</v>
      </c>
      <c r="P150" s="22" t="s">
        <v>85</v>
      </c>
      <c r="Q150" s="22" t="s">
        <v>60</v>
      </c>
      <c r="R150" s="22" t="s">
        <v>183</v>
      </c>
      <c r="S150" s="22" t="s">
        <v>85</v>
      </c>
      <c r="T150" s="22" t="s">
        <v>62</v>
      </c>
      <c r="U150" s="22" t="s">
        <v>63</v>
      </c>
      <c r="V150" s="22" t="s">
        <v>118</v>
      </c>
      <c r="W150" s="25"/>
      <c r="X150" s="26" t="s">
        <v>986</v>
      </c>
      <c r="Y150" s="22" t="s">
        <v>240</v>
      </c>
      <c r="Z150" s="22" t="s">
        <v>992</v>
      </c>
      <c r="AA150" s="22" t="s">
        <v>993</v>
      </c>
      <c r="AC150" s="22" t="s">
        <v>393</v>
      </c>
      <c r="AD150" s="27" t="s">
        <v>71</v>
      </c>
      <c r="AE150" s="22" t="s">
        <v>244</v>
      </c>
      <c r="AF150" s="34"/>
      <c r="AG150" s="34"/>
      <c r="AI150" s="25" t="str">
        <f ca="1">IFERROR(__xludf.DUMMYFUNCTION("""COMPUTED_VALUE"""),"60ed7b1cf0f7eb451f79ef91")</f>
        <v>60ed7b1cf0f7eb451f79ef91</v>
      </c>
      <c r="AJ150" s="25">
        <f t="shared" ca="1" si="0"/>
        <v>1</v>
      </c>
    </row>
    <row r="151" spans="1:36" ht="31">
      <c r="A151" s="51" t="s">
        <v>988</v>
      </c>
      <c r="B151" s="51" t="s">
        <v>994</v>
      </c>
      <c r="C151" s="22" t="s">
        <v>995</v>
      </c>
      <c r="D151" s="23" t="s">
        <v>996</v>
      </c>
      <c r="E151" s="22" t="s">
        <v>49</v>
      </c>
      <c r="F151" s="22" t="s">
        <v>50</v>
      </c>
      <c r="G151" s="22" t="s">
        <v>49</v>
      </c>
      <c r="H151" s="22" t="s">
        <v>126</v>
      </c>
      <c r="I151" s="22" t="s">
        <v>307</v>
      </c>
      <c r="J151" s="22" t="s">
        <v>107</v>
      </c>
      <c r="K151" s="22" t="s">
        <v>54</v>
      </c>
      <c r="L151" s="22" t="s">
        <v>53</v>
      </c>
      <c r="M151" s="22" t="s">
        <v>129</v>
      </c>
      <c r="N151" s="22" t="s">
        <v>59</v>
      </c>
      <c r="O151" s="22" t="s">
        <v>84</v>
      </c>
      <c r="P151" s="22" t="s">
        <v>108</v>
      </c>
      <c r="Q151" s="22" t="s">
        <v>60</v>
      </c>
      <c r="R151" s="22" t="s">
        <v>130</v>
      </c>
      <c r="S151" s="22" t="s">
        <v>61</v>
      </c>
      <c r="T151" s="22" t="s">
        <v>62</v>
      </c>
      <c r="U151" s="22" t="s">
        <v>63</v>
      </c>
      <c r="V151" s="22" t="s">
        <v>64</v>
      </c>
      <c r="W151" s="25"/>
      <c r="X151" s="26" t="s">
        <v>986</v>
      </c>
      <c r="Y151" s="22" t="s">
        <v>363</v>
      </c>
      <c r="Z151" s="22" t="s">
        <v>997</v>
      </c>
      <c r="AA151" s="22" t="s">
        <v>888</v>
      </c>
      <c r="AC151" s="22" t="s">
        <v>393</v>
      </c>
      <c r="AD151" s="27" t="s">
        <v>71</v>
      </c>
      <c r="AE151" s="22" t="s">
        <v>244</v>
      </c>
      <c r="AF151" s="34"/>
      <c r="AG151" s="34"/>
      <c r="AI151" s="25" t="str">
        <f ca="1">IFERROR(__xludf.DUMMYFUNCTION("""COMPUTED_VALUE"""),"60ed85acf0f7eb451f79f2fd")</f>
        <v>60ed85acf0f7eb451f79f2fd</v>
      </c>
      <c r="AJ151" s="25">
        <f t="shared" ca="1" si="0"/>
        <v>1</v>
      </c>
    </row>
    <row r="152" spans="1:36" ht="31">
      <c r="A152" s="51" t="s">
        <v>988</v>
      </c>
      <c r="B152" s="51" t="s">
        <v>998</v>
      </c>
      <c r="C152" s="22" t="s">
        <v>999</v>
      </c>
      <c r="D152" s="23" t="s">
        <v>1000</v>
      </c>
      <c r="E152" s="22" t="s">
        <v>49</v>
      </c>
      <c r="F152" s="22" t="s">
        <v>50</v>
      </c>
      <c r="G152" s="22" t="s">
        <v>49</v>
      </c>
      <c r="H152" s="22" t="s">
        <v>51</v>
      </c>
      <c r="I152" s="22" t="s">
        <v>81</v>
      </c>
      <c r="J152" s="22" t="s">
        <v>53</v>
      </c>
      <c r="K152" s="22" t="s">
        <v>82</v>
      </c>
      <c r="L152" s="22" t="s">
        <v>53</v>
      </c>
      <c r="M152" s="22" t="s">
        <v>129</v>
      </c>
      <c r="N152" s="22" t="s">
        <v>59</v>
      </c>
      <c r="O152" s="22" t="s">
        <v>84</v>
      </c>
      <c r="P152" s="22" t="s">
        <v>85</v>
      </c>
      <c r="Q152" s="22" t="s">
        <v>60</v>
      </c>
      <c r="R152" s="22" t="s">
        <v>130</v>
      </c>
      <c r="S152" s="22" t="s">
        <v>85</v>
      </c>
      <c r="T152" s="22" t="s">
        <v>62</v>
      </c>
      <c r="U152" s="22" t="s">
        <v>515</v>
      </c>
      <c r="V152" s="22" t="s">
        <v>87</v>
      </c>
      <c r="W152" s="25"/>
      <c r="X152" s="26" t="s">
        <v>986</v>
      </c>
      <c r="Y152" s="22" t="s">
        <v>204</v>
      </c>
      <c r="Z152" s="22" t="s">
        <v>888</v>
      </c>
      <c r="AA152" s="22" t="s">
        <v>1001</v>
      </c>
      <c r="AB152" s="22" t="s">
        <v>1002</v>
      </c>
      <c r="AC152" s="22" t="s">
        <v>393</v>
      </c>
      <c r="AD152" s="27" t="s">
        <v>71</v>
      </c>
      <c r="AE152" s="22" t="s">
        <v>244</v>
      </c>
      <c r="AF152" s="34"/>
      <c r="AG152" s="34"/>
      <c r="AI152" s="25" t="str">
        <f ca="1">IFERROR(__xludf.DUMMYFUNCTION("""COMPUTED_VALUE"""),"60ed8da2f0f7eb451f79f5bb")</f>
        <v>60ed8da2f0f7eb451f79f5bb</v>
      </c>
      <c r="AJ152" s="25">
        <f t="shared" ca="1" si="0"/>
        <v>1</v>
      </c>
    </row>
    <row r="153" spans="1:36" ht="31">
      <c r="A153" s="51" t="s">
        <v>988</v>
      </c>
      <c r="B153" s="51" t="s">
        <v>1003</v>
      </c>
      <c r="C153" s="22" t="s">
        <v>1004</v>
      </c>
      <c r="D153" s="23" t="s">
        <v>1005</v>
      </c>
      <c r="E153" s="22" t="s">
        <v>49</v>
      </c>
      <c r="F153" s="22" t="s">
        <v>78</v>
      </c>
      <c r="G153" s="22" t="s">
        <v>49</v>
      </c>
      <c r="H153" s="22" t="s">
        <v>51</v>
      </c>
      <c r="I153" s="22" t="s">
        <v>81</v>
      </c>
      <c r="J153" s="22" t="s">
        <v>53</v>
      </c>
      <c r="K153" s="22" t="s">
        <v>688</v>
      </c>
      <c r="L153" s="22" t="s">
        <v>53</v>
      </c>
      <c r="M153" s="22" t="s">
        <v>129</v>
      </c>
      <c r="N153" s="22" t="s">
        <v>59</v>
      </c>
      <c r="O153" s="22" t="s">
        <v>84</v>
      </c>
      <c r="P153" s="22" t="s">
        <v>108</v>
      </c>
      <c r="Q153" s="22" t="s">
        <v>60</v>
      </c>
      <c r="R153" s="22" t="s">
        <v>183</v>
      </c>
      <c r="S153" s="22" t="s">
        <v>85</v>
      </c>
      <c r="T153" s="22" t="s">
        <v>62</v>
      </c>
      <c r="U153" s="22" t="s">
        <v>63</v>
      </c>
      <c r="V153" s="22" t="s">
        <v>64</v>
      </c>
      <c r="W153" s="25"/>
      <c r="X153" s="26" t="s">
        <v>986</v>
      </c>
      <c r="Y153" s="22" t="s">
        <v>936</v>
      </c>
      <c r="Z153" s="22" t="s">
        <v>1006</v>
      </c>
      <c r="AA153" s="22" t="s">
        <v>937</v>
      </c>
      <c r="AC153" s="22" t="s">
        <v>393</v>
      </c>
      <c r="AD153" s="27" t="s">
        <v>71</v>
      </c>
      <c r="AE153" s="22" t="s">
        <v>244</v>
      </c>
      <c r="AF153" s="34"/>
      <c r="AG153" s="34"/>
      <c r="AI153" s="25" t="str">
        <f ca="1">IFERROR(__xludf.DUMMYFUNCTION("""COMPUTED_VALUE"""),"60ed93e6f0f7eb451f79f7d9")</f>
        <v>60ed93e6f0f7eb451f79f7d9</v>
      </c>
      <c r="AJ153" s="25">
        <f t="shared" ca="1" si="0"/>
        <v>1</v>
      </c>
    </row>
    <row r="154" spans="1:36" ht="15.5">
      <c r="A154" s="51"/>
      <c r="B154" s="51" t="s">
        <v>2315</v>
      </c>
      <c r="C154" s="22" t="s">
        <v>2316</v>
      </c>
      <c r="D154" s="23"/>
      <c r="E154" s="22"/>
      <c r="F154" s="22"/>
      <c r="G154" s="22"/>
      <c r="H154" s="22"/>
      <c r="I154" s="22"/>
      <c r="J154" s="22"/>
      <c r="K154" s="22"/>
      <c r="L154" s="22"/>
      <c r="M154" s="22"/>
      <c r="N154" s="22"/>
      <c r="O154" s="22"/>
      <c r="P154" s="22"/>
      <c r="Q154" s="22"/>
      <c r="R154" s="22"/>
      <c r="S154" s="22"/>
      <c r="T154" s="22"/>
      <c r="U154" s="22"/>
      <c r="V154" s="22"/>
      <c r="W154" s="25"/>
      <c r="X154" s="128"/>
      <c r="Y154" s="22"/>
      <c r="Z154" s="22"/>
      <c r="AA154" s="22"/>
      <c r="AC154" s="22" t="s">
        <v>393</v>
      </c>
      <c r="AD154" s="27" t="s">
        <v>2305</v>
      </c>
      <c r="AE154" s="22"/>
      <c r="AF154" s="34"/>
      <c r="AG154" s="34"/>
      <c r="AI154" s="25" t="str">
        <f ca="1">IFERROR(__xludf.DUMMYFUNCTION("""COMPUTED_VALUE"""),"61610d3fa64eeb339ff605fd")</f>
        <v>61610d3fa64eeb339ff605fd</v>
      </c>
      <c r="AJ154" s="25">
        <f t="shared" ca="1" si="0"/>
        <v>2</v>
      </c>
    </row>
    <row r="155" spans="1:36" ht="31">
      <c r="A155" s="51" t="s">
        <v>988</v>
      </c>
      <c r="B155" s="51" t="s">
        <v>1824</v>
      </c>
      <c r="C155" s="22" t="s">
        <v>2317</v>
      </c>
      <c r="D155" s="23" t="s">
        <v>2318</v>
      </c>
      <c r="E155" s="22" t="s">
        <v>49</v>
      </c>
      <c r="F155" s="22" t="s">
        <v>78</v>
      </c>
      <c r="G155" s="22" t="s">
        <v>49</v>
      </c>
      <c r="H155" s="22" t="s">
        <v>169</v>
      </c>
      <c r="I155" s="22" t="s">
        <v>307</v>
      </c>
      <c r="J155" s="22" t="s">
        <v>53</v>
      </c>
      <c r="K155" s="22" t="s">
        <v>1411</v>
      </c>
      <c r="L155" s="22" t="s">
        <v>53</v>
      </c>
      <c r="M155" s="22" t="s">
        <v>129</v>
      </c>
      <c r="N155" s="22" t="s">
        <v>348</v>
      </c>
      <c r="O155" s="22" t="s">
        <v>1827</v>
      </c>
      <c r="P155" s="22" t="s">
        <v>293</v>
      </c>
      <c r="Q155" s="22" t="s">
        <v>60</v>
      </c>
      <c r="R155" s="22" t="s">
        <v>183</v>
      </c>
      <c r="S155" s="22" t="s">
        <v>61</v>
      </c>
      <c r="T155" s="22" t="s">
        <v>62</v>
      </c>
      <c r="U155" s="22" t="s">
        <v>515</v>
      </c>
      <c r="V155" s="22" t="s">
        <v>64</v>
      </c>
      <c r="W155" s="25"/>
      <c r="X155" s="26" t="s">
        <v>986</v>
      </c>
      <c r="Y155" s="22" t="s">
        <v>376</v>
      </c>
      <c r="Z155" s="22" t="s">
        <v>575</v>
      </c>
      <c r="AA155" s="22" t="s">
        <v>382</v>
      </c>
      <c r="AC155" s="22" t="s">
        <v>393</v>
      </c>
      <c r="AD155" s="27" t="s">
        <v>2305</v>
      </c>
      <c r="AE155" s="22" t="s">
        <v>244</v>
      </c>
      <c r="AF155" s="33" t="s">
        <v>2319</v>
      </c>
      <c r="AG155" s="34"/>
      <c r="AI155" s="25" t="str">
        <f ca="1">IFERROR(__xludf.DUMMYFUNCTION("""COMPUTED_VALUE"""),"60ee5a5c7ef735732c5e8873")</f>
        <v>60ee5a5c7ef735732c5e8873</v>
      </c>
      <c r="AJ155" s="25">
        <f t="shared" ca="1" si="0"/>
        <v>1</v>
      </c>
    </row>
    <row r="156" spans="1:36" ht="31">
      <c r="A156" s="51" t="s">
        <v>988</v>
      </c>
      <c r="B156" s="51" t="s">
        <v>1007</v>
      </c>
      <c r="C156" s="22" t="s">
        <v>1008</v>
      </c>
      <c r="D156" s="23" t="s">
        <v>1009</v>
      </c>
      <c r="E156" s="22" t="s">
        <v>53</v>
      </c>
      <c r="F156" s="22" t="s">
        <v>269</v>
      </c>
      <c r="G156" s="22" t="s">
        <v>79</v>
      </c>
      <c r="H156" s="22" t="s">
        <v>80</v>
      </c>
      <c r="I156" s="22" t="s">
        <v>81</v>
      </c>
      <c r="J156" s="22" t="s">
        <v>53</v>
      </c>
      <c r="K156" s="22" t="s">
        <v>82</v>
      </c>
      <c r="L156" s="22" t="s">
        <v>53</v>
      </c>
      <c r="M156" s="22" t="s">
        <v>1010</v>
      </c>
      <c r="N156" s="22" t="s">
        <v>59</v>
      </c>
      <c r="O156" s="22" t="s">
        <v>84</v>
      </c>
      <c r="P156" s="22" t="s">
        <v>194</v>
      </c>
      <c r="Q156" s="22" t="s">
        <v>86</v>
      </c>
      <c r="R156" s="25"/>
      <c r="S156" s="22" t="s">
        <v>388</v>
      </c>
      <c r="T156" s="22" t="s">
        <v>62</v>
      </c>
      <c r="U156" s="22" t="s">
        <v>63</v>
      </c>
      <c r="V156" s="22" t="s">
        <v>64</v>
      </c>
      <c r="W156" s="25"/>
      <c r="X156" s="26" t="s">
        <v>986</v>
      </c>
      <c r="Y156" s="22" t="s">
        <v>325</v>
      </c>
      <c r="Z156" s="22" t="s">
        <v>632</v>
      </c>
      <c r="AA156" s="22" t="s">
        <v>1011</v>
      </c>
      <c r="AB156" s="22" t="s">
        <v>1012</v>
      </c>
      <c r="AC156" s="22" t="s">
        <v>393</v>
      </c>
      <c r="AD156" s="27" t="s">
        <v>71</v>
      </c>
      <c r="AE156" s="22" t="s">
        <v>244</v>
      </c>
      <c r="AF156" s="34"/>
      <c r="AG156" s="34"/>
      <c r="AI156" s="25" t="str">
        <f ca="1">IFERROR(__xludf.DUMMYFUNCTION("""COMPUTED_VALUE"""),"60ee77417ef735732c5e91d3")</f>
        <v>60ee77417ef735732c5e91d3</v>
      </c>
      <c r="AJ156" s="25">
        <f t="shared" ca="1" si="0"/>
        <v>1</v>
      </c>
    </row>
    <row r="157" spans="1:36" ht="31">
      <c r="A157" s="51" t="s">
        <v>988</v>
      </c>
      <c r="B157" s="51" t="s">
        <v>1013</v>
      </c>
      <c r="C157" s="22" t="s">
        <v>1014</v>
      </c>
      <c r="D157" s="23" t="s">
        <v>1009</v>
      </c>
      <c r="E157" s="22" t="s">
        <v>49</v>
      </c>
      <c r="F157" s="22" t="s">
        <v>618</v>
      </c>
      <c r="G157" s="22" t="s">
        <v>49</v>
      </c>
      <c r="H157" s="22" t="s">
        <v>51</v>
      </c>
      <c r="I157" s="22" t="s">
        <v>81</v>
      </c>
      <c r="J157" s="22" t="s">
        <v>107</v>
      </c>
      <c r="K157" s="22" t="s">
        <v>54</v>
      </c>
      <c r="L157" s="22" t="s">
        <v>53</v>
      </c>
      <c r="M157" s="22" t="s">
        <v>1015</v>
      </c>
      <c r="N157" s="22" t="s">
        <v>59</v>
      </c>
      <c r="O157" s="22" t="s">
        <v>84</v>
      </c>
      <c r="P157" s="22" t="s">
        <v>109</v>
      </c>
      <c r="Q157" s="22" t="s">
        <v>60</v>
      </c>
      <c r="R157" s="22" t="s">
        <v>130</v>
      </c>
      <c r="S157" s="22" t="s">
        <v>61</v>
      </c>
      <c r="T157" s="22" t="s">
        <v>62</v>
      </c>
      <c r="U157" s="22" t="s">
        <v>63</v>
      </c>
      <c r="V157" s="22" t="s">
        <v>64</v>
      </c>
      <c r="W157" s="25"/>
      <c r="X157" s="26" t="s">
        <v>986</v>
      </c>
      <c r="Y157" s="22" t="s">
        <v>1016</v>
      </c>
      <c r="Z157" s="22" t="s">
        <v>1017</v>
      </c>
      <c r="AA157" s="22" t="s">
        <v>1018</v>
      </c>
      <c r="AC157" s="22" t="s">
        <v>393</v>
      </c>
      <c r="AD157" s="27" t="s">
        <v>71</v>
      </c>
      <c r="AE157" s="22" t="s">
        <v>244</v>
      </c>
      <c r="AF157" s="34"/>
      <c r="AG157" s="34"/>
      <c r="AI157" s="25" t="str">
        <f ca="1">IFERROR(__xludf.DUMMYFUNCTION("""COMPUTED_VALUE"""),"60eed3217ef735732c5eae36")</f>
        <v>60eed3217ef735732c5eae36</v>
      </c>
      <c r="AJ157" s="25">
        <f t="shared" ca="1" si="0"/>
        <v>1</v>
      </c>
    </row>
    <row r="158" spans="1:36" ht="31">
      <c r="A158" s="51" t="s">
        <v>988</v>
      </c>
      <c r="B158" s="51" t="s">
        <v>1019</v>
      </c>
      <c r="C158" s="22" t="s">
        <v>1020</v>
      </c>
      <c r="D158" s="23" t="s">
        <v>1021</v>
      </c>
      <c r="E158" s="22" t="s">
        <v>49</v>
      </c>
      <c r="F158" s="22" t="s">
        <v>50</v>
      </c>
      <c r="G158" s="22" t="s">
        <v>49</v>
      </c>
      <c r="H158" s="22" t="s">
        <v>51</v>
      </c>
      <c r="I158" s="22" t="s">
        <v>81</v>
      </c>
      <c r="J158" s="22" t="s">
        <v>501</v>
      </c>
      <c r="K158" s="22" t="s">
        <v>182</v>
      </c>
      <c r="L158" s="22" t="s">
        <v>55</v>
      </c>
      <c r="M158" s="22" t="s">
        <v>398</v>
      </c>
      <c r="N158" s="22" t="s">
        <v>59</v>
      </c>
      <c r="O158" s="22" t="s">
        <v>84</v>
      </c>
      <c r="P158" s="22" t="s">
        <v>85</v>
      </c>
      <c r="Q158" s="22" t="s">
        <v>60</v>
      </c>
      <c r="R158" s="22" t="s">
        <v>183</v>
      </c>
      <c r="S158" s="22" t="s">
        <v>85</v>
      </c>
      <c r="T158" s="22" t="s">
        <v>62</v>
      </c>
      <c r="U158" s="22" t="s">
        <v>63</v>
      </c>
      <c r="V158" s="22" t="s">
        <v>64</v>
      </c>
      <c r="W158" s="25"/>
      <c r="X158" s="35" t="s">
        <v>173</v>
      </c>
      <c r="Y158" s="22" t="s">
        <v>1022</v>
      </c>
      <c r="Z158" s="22" t="s">
        <v>1023</v>
      </c>
      <c r="AA158" s="22" t="s">
        <v>1006</v>
      </c>
      <c r="AC158" s="22" t="s">
        <v>393</v>
      </c>
      <c r="AD158" s="27" t="s">
        <v>71</v>
      </c>
      <c r="AE158" s="22" t="s">
        <v>244</v>
      </c>
      <c r="AF158" s="34"/>
      <c r="AG158" s="34"/>
      <c r="AI158" s="25" t="str">
        <f ca="1">IFERROR(__xludf.DUMMYFUNCTION("""COMPUTED_VALUE"""),"60ee89797ef735732c5e946d")</f>
        <v>60ee89797ef735732c5e946d</v>
      </c>
      <c r="AJ158" s="25">
        <f t="shared" ca="1" si="0"/>
        <v>1</v>
      </c>
    </row>
    <row r="159" spans="1:36" ht="31">
      <c r="A159" s="51" t="s">
        <v>988</v>
      </c>
      <c r="B159" s="51" t="s">
        <v>1024</v>
      </c>
      <c r="C159" s="22" t="s">
        <v>1025</v>
      </c>
      <c r="D159" s="23" t="s">
        <v>1026</v>
      </c>
      <c r="E159" s="22" t="s">
        <v>49</v>
      </c>
      <c r="F159" s="22" t="s">
        <v>50</v>
      </c>
      <c r="G159" s="22" t="s">
        <v>49</v>
      </c>
      <c r="H159" s="22" t="s">
        <v>51</v>
      </c>
      <c r="I159" s="22" t="s">
        <v>52</v>
      </c>
      <c r="J159" s="22" t="s">
        <v>53</v>
      </c>
      <c r="K159" s="22" t="s">
        <v>856</v>
      </c>
      <c r="L159" s="22" t="s">
        <v>55</v>
      </c>
      <c r="M159" s="22" t="s">
        <v>56</v>
      </c>
      <c r="N159" s="22" t="s">
        <v>312</v>
      </c>
      <c r="O159" s="22" t="s">
        <v>84</v>
      </c>
      <c r="P159" s="22" t="s">
        <v>59</v>
      </c>
      <c r="Q159" s="22" t="s">
        <v>63</v>
      </c>
      <c r="R159" s="25"/>
      <c r="S159" s="22" t="s">
        <v>61</v>
      </c>
      <c r="T159" s="22" t="s">
        <v>62</v>
      </c>
      <c r="U159" s="22" t="s">
        <v>515</v>
      </c>
      <c r="V159" s="22" t="s">
        <v>64</v>
      </c>
      <c r="W159" s="25"/>
      <c r="X159" s="35" t="s">
        <v>173</v>
      </c>
      <c r="Y159" s="22" t="s">
        <v>120</v>
      </c>
      <c r="Z159" s="22" t="s">
        <v>155</v>
      </c>
      <c r="AA159" s="22" t="s">
        <v>1027</v>
      </c>
      <c r="AB159" s="22" t="s">
        <v>1028</v>
      </c>
      <c r="AC159" s="22" t="s">
        <v>393</v>
      </c>
      <c r="AD159" s="27" t="s">
        <v>71</v>
      </c>
      <c r="AE159" s="22" t="s">
        <v>244</v>
      </c>
      <c r="AF159" s="34"/>
      <c r="AG159" s="34"/>
      <c r="AI159" s="25" t="str">
        <f ca="1">IFERROR(__xludf.DUMMYFUNCTION("""COMPUTED_VALUE"""),"60efcc697ef735732c5eb731")</f>
        <v>60efcc697ef735732c5eb731</v>
      </c>
      <c r="AJ159" s="25">
        <f t="shared" ca="1" si="0"/>
        <v>1</v>
      </c>
    </row>
    <row r="160" spans="1:36" ht="46.5">
      <c r="A160" s="51" t="s">
        <v>988</v>
      </c>
      <c r="B160" s="51" t="s">
        <v>1029</v>
      </c>
      <c r="C160" s="22" t="s">
        <v>1014</v>
      </c>
      <c r="D160" s="23" t="s">
        <v>1030</v>
      </c>
      <c r="E160" s="22" t="s">
        <v>49</v>
      </c>
      <c r="F160" s="22" t="s">
        <v>95</v>
      </c>
      <c r="G160" s="22" t="s">
        <v>49</v>
      </c>
      <c r="H160" s="22" t="s">
        <v>51</v>
      </c>
      <c r="I160" s="22" t="s">
        <v>81</v>
      </c>
      <c r="J160" s="22" t="s">
        <v>107</v>
      </c>
      <c r="K160" s="22" t="s">
        <v>54</v>
      </c>
      <c r="L160" s="22" t="s">
        <v>53</v>
      </c>
      <c r="M160" s="22" t="s">
        <v>83</v>
      </c>
      <c r="N160" s="22" t="s">
        <v>59</v>
      </c>
      <c r="O160" s="22" t="s">
        <v>84</v>
      </c>
      <c r="P160" s="22" t="s">
        <v>109</v>
      </c>
      <c r="Q160" s="22" t="s">
        <v>60</v>
      </c>
      <c r="R160" s="22" t="s">
        <v>130</v>
      </c>
      <c r="S160" s="22" t="s">
        <v>61</v>
      </c>
      <c r="T160" s="22" t="s">
        <v>62</v>
      </c>
      <c r="U160" s="22" t="s">
        <v>63</v>
      </c>
      <c r="V160" s="22" t="s">
        <v>64</v>
      </c>
      <c r="W160" s="25"/>
      <c r="X160" s="35" t="s">
        <v>173</v>
      </c>
      <c r="Y160" s="22" t="s">
        <v>222</v>
      </c>
      <c r="Z160" s="22" t="s">
        <v>223</v>
      </c>
      <c r="AA160" s="22" t="s">
        <v>1031</v>
      </c>
      <c r="AB160" s="22" t="s">
        <v>1032</v>
      </c>
      <c r="AC160" s="22" t="s">
        <v>393</v>
      </c>
      <c r="AD160" s="27" t="s">
        <v>71</v>
      </c>
      <c r="AE160" s="22" t="s">
        <v>244</v>
      </c>
      <c r="AF160" s="34"/>
      <c r="AG160" s="34"/>
      <c r="AI160" s="25" t="str">
        <f ca="1">IFERROR(__xludf.DUMMYFUNCTION("""COMPUTED_VALUE"""),"60efe64b7ef735732c5ec0ff")</f>
        <v>60efe64b7ef735732c5ec0ff</v>
      </c>
      <c r="AJ160" s="25">
        <f t="shared" ca="1" si="0"/>
        <v>1</v>
      </c>
    </row>
    <row r="161" spans="1:36" ht="46.5">
      <c r="A161" s="51" t="s">
        <v>988</v>
      </c>
      <c r="B161" s="51" t="s">
        <v>1033</v>
      </c>
      <c r="C161" s="22" t="s">
        <v>1034</v>
      </c>
      <c r="D161" s="23" t="s">
        <v>1035</v>
      </c>
      <c r="E161" s="22" t="s">
        <v>49</v>
      </c>
      <c r="F161" s="22" t="s">
        <v>50</v>
      </c>
      <c r="G161" s="22" t="s">
        <v>49</v>
      </c>
      <c r="H161" s="22" t="s">
        <v>51</v>
      </c>
      <c r="I161" s="22" t="s">
        <v>81</v>
      </c>
      <c r="J161" s="22" t="s">
        <v>109</v>
      </c>
      <c r="K161" s="22" t="s">
        <v>54</v>
      </c>
      <c r="L161" s="22" t="s">
        <v>53</v>
      </c>
      <c r="M161" s="22" t="s">
        <v>83</v>
      </c>
      <c r="N161" s="22" t="s">
        <v>59</v>
      </c>
      <c r="O161" s="22" t="s">
        <v>84</v>
      </c>
      <c r="P161" s="22" t="s">
        <v>109</v>
      </c>
      <c r="Q161" s="22" t="s">
        <v>238</v>
      </c>
      <c r="R161" s="22" t="s">
        <v>60</v>
      </c>
      <c r="S161" s="22" t="s">
        <v>109</v>
      </c>
      <c r="T161" s="22" t="s">
        <v>62</v>
      </c>
      <c r="U161" s="22" t="s">
        <v>63</v>
      </c>
      <c r="V161" s="22" t="s">
        <v>64</v>
      </c>
      <c r="W161" s="25"/>
      <c r="X161" s="26" t="s">
        <v>1036</v>
      </c>
      <c r="Y161" s="22" t="s">
        <v>925</v>
      </c>
      <c r="Z161" s="22" t="s">
        <v>906</v>
      </c>
      <c r="AA161" s="22" t="s">
        <v>843</v>
      </c>
      <c r="AB161" s="22" t="s">
        <v>1037</v>
      </c>
      <c r="AC161" s="22" t="s">
        <v>393</v>
      </c>
      <c r="AD161" s="27" t="s">
        <v>71</v>
      </c>
      <c r="AE161" s="22" t="s">
        <v>244</v>
      </c>
      <c r="AF161" s="34"/>
      <c r="AG161" s="34"/>
      <c r="AI161" s="25" t="str">
        <f ca="1">IFERROR(__xludf.DUMMYFUNCTION("""COMPUTED_VALUE"""),"60eff0637ef735732c5ec4a5")</f>
        <v>60eff0637ef735732c5ec4a5</v>
      </c>
      <c r="AJ161" s="25">
        <f t="shared" ca="1" si="0"/>
        <v>1</v>
      </c>
    </row>
    <row r="162" spans="1:36" ht="46.5">
      <c r="A162" s="51" t="s">
        <v>988</v>
      </c>
      <c r="B162" s="51" t="s">
        <v>1038</v>
      </c>
      <c r="C162" s="22" t="s">
        <v>1039</v>
      </c>
      <c r="D162" s="23" t="s">
        <v>1040</v>
      </c>
      <c r="E162" s="22" t="s">
        <v>49</v>
      </c>
      <c r="F162" s="22" t="s">
        <v>95</v>
      </c>
      <c r="G162" s="22" t="s">
        <v>49</v>
      </c>
      <c r="H162" s="22" t="s">
        <v>51</v>
      </c>
      <c r="I162" s="22" t="s">
        <v>81</v>
      </c>
      <c r="J162" s="22" t="s">
        <v>501</v>
      </c>
      <c r="K162" s="22" t="s">
        <v>82</v>
      </c>
      <c r="L162" s="22" t="s">
        <v>53</v>
      </c>
      <c r="M162" s="22" t="s">
        <v>83</v>
      </c>
      <c r="N162" s="22" t="s">
        <v>59</v>
      </c>
      <c r="O162" s="22" t="s">
        <v>84</v>
      </c>
      <c r="P162" s="22" t="s">
        <v>137</v>
      </c>
      <c r="Q162" s="22" t="s">
        <v>60</v>
      </c>
      <c r="R162" s="22" t="s">
        <v>183</v>
      </c>
      <c r="S162" s="22" t="s">
        <v>388</v>
      </c>
      <c r="T162" s="22" t="s">
        <v>62</v>
      </c>
      <c r="U162" s="22" t="s">
        <v>63</v>
      </c>
      <c r="V162" s="22" t="s">
        <v>64</v>
      </c>
      <c r="W162" s="25"/>
      <c r="X162" s="35" t="s">
        <v>230</v>
      </c>
      <c r="Y162" s="22" t="s">
        <v>792</v>
      </c>
      <c r="Z162" s="22" t="s">
        <v>1041</v>
      </c>
      <c r="AA162" s="22" t="s">
        <v>1042</v>
      </c>
      <c r="AC162" s="22" t="s">
        <v>393</v>
      </c>
      <c r="AD162" s="27" t="s">
        <v>71</v>
      </c>
      <c r="AE162" s="22" t="s">
        <v>244</v>
      </c>
      <c r="AF162" s="34"/>
      <c r="AG162" s="34"/>
      <c r="AI162" s="25" t="str">
        <f ca="1">IFERROR(__xludf.DUMMYFUNCTION("""COMPUTED_VALUE"""),"60f018337ef735732c5eca83")</f>
        <v>60f018337ef735732c5eca83</v>
      </c>
      <c r="AJ162" s="25">
        <f t="shared" ca="1" si="0"/>
        <v>1</v>
      </c>
    </row>
    <row r="163" spans="1:36" ht="62">
      <c r="A163" s="51" t="s">
        <v>988</v>
      </c>
      <c r="B163" s="51" t="s">
        <v>1043</v>
      </c>
      <c r="C163" s="22" t="s">
        <v>1044</v>
      </c>
      <c r="D163" s="23" t="s">
        <v>1045</v>
      </c>
      <c r="E163" s="22" t="s">
        <v>79</v>
      </c>
      <c r="F163" s="22" t="s">
        <v>78</v>
      </c>
      <c r="G163" s="22" t="s">
        <v>79</v>
      </c>
      <c r="H163" s="22" t="s">
        <v>80</v>
      </c>
      <c r="I163" s="22" t="s">
        <v>81</v>
      </c>
      <c r="J163" s="22" t="s">
        <v>456</v>
      </c>
      <c r="K163" s="22" t="s">
        <v>82</v>
      </c>
      <c r="L163" s="22" t="s">
        <v>53</v>
      </c>
      <c r="M163" s="22" t="s">
        <v>83</v>
      </c>
      <c r="N163" s="22" t="s">
        <v>59</v>
      </c>
      <c r="O163" s="22" t="s">
        <v>84</v>
      </c>
      <c r="P163" s="22" t="s">
        <v>85</v>
      </c>
      <c r="Q163" s="22" t="s">
        <v>60</v>
      </c>
      <c r="R163" s="22" t="s">
        <v>183</v>
      </c>
      <c r="S163" s="22" t="s">
        <v>85</v>
      </c>
      <c r="T163" s="22" t="s">
        <v>62</v>
      </c>
      <c r="U163" s="22" t="s">
        <v>63</v>
      </c>
      <c r="V163" s="22" t="s">
        <v>64</v>
      </c>
      <c r="W163" s="25"/>
      <c r="X163" s="35" t="s">
        <v>230</v>
      </c>
      <c r="Y163" s="22" t="s">
        <v>342</v>
      </c>
      <c r="Z163" s="22" t="s">
        <v>279</v>
      </c>
      <c r="AA163" s="22" t="s">
        <v>1046</v>
      </c>
      <c r="AB163" s="22" t="s">
        <v>1047</v>
      </c>
      <c r="AC163" s="22" t="s">
        <v>393</v>
      </c>
      <c r="AD163" s="27" t="s">
        <v>71</v>
      </c>
      <c r="AE163" s="22" t="s">
        <v>244</v>
      </c>
      <c r="AF163" s="34"/>
      <c r="AG163" s="34"/>
      <c r="AI163" s="25" t="str">
        <f ca="1">IFERROR(__xludf.DUMMYFUNCTION("""COMPUTED_VALUE"""),"60f0250a7ef735732c5ecf87")</f>
        <v>60f0250a7ef735732c5ecf87</v>
      </c>
      <c r="AJ163" s="25">
        <f t="shared" ca="1" si="0"/>
        <v>1</v>
      </c>
    </row>
    <row r="164" spans="1:36" ht="31">
      <c r="A164" s="51" t="s">
        <v>988</v>
      </c>
      <c r="B164" s="51" t="s">
        <v>1048</v>
      </c>
      <c r="C164" s="22" t="s">
        <v>1049</v>
      </c>
      <c r="D164" s="23" t="s">
        <v>1050</v>
      </c>
      <c r="E164" s="22" t="s">
        <v>49</v>
      </c>
      <c r="F164" s="22" t="s">
        <v>78</v>
      </c>
      <c r="G164" s="22" t="s">
        <v>49</v>
      </c>
      <c r="H164" s="22" t="s">
        <v>126</v>
      </c>
      <c r="I164" s="22" t="s">
        <v>52</v>
      </c>
      <c r="J164" s="22" t="s">
        <v>53</v>
      </c>
      <c r="K164" s="22" t="s">
        <v>144</v>
      </c>
      <c r="L164" s="22" t="s">
        <v>55</v>
      </c>
      <c r="M164" s="22" t="s">
        <v>83</v>
      </c>
      <c r="N164" s="22" t="s">
        <v>59</v>
      </c>
      <c r="O164" s="22" t="s">
        <v>84</v>
      </c>
      <c r="P164" s="22" t="s">
        <v>348</v>
      </c>
      <c r="Q164" s="22" t="s">
        <v>857</v>
      </c>
      <c r="R164" s="25"/>
      <c r="S164" s="22" t="s">
        <v>61</v>
      </c>
      <c r="T164" s="22" t="s">
        <v>62</v>
      </c>
      <c r="U164" s="22" t="s">
        <v>63</v>
      </c>
      <c r="V164" s="22" t="s">
        <v>64</v>
      </c>
      <c r="W164" s="25"/>
      <c r="X164" s="26" t="s">
        <v>230</v>
      </c>
      <c r="Y164" s="22" t="s">
        <v>357</v>
      </c>
      <c r="Z164" s="22" t="s">
        <v>1051</v>
      </c>
      <c r="AA164" s="22" t="s">
        <v>1052</v>
      </c>
      <c r="AC164" s="22" t="s">
        <v>393</v>
      </c>
      <c r="AD164" s="27" t="s">
        <v>71</v>
      </c>
      <c r="AE164" s="22" t="s">
        <v>244</v>
      </c>
      <c r="AF164" s="34"/>
      <c r="AG164" s="34"/>
      <c r="AI164" s="25" t="str">
        <f ca="1">IFERROR(__xludf.DUMMYFUNCTION("""COMPUTED_VALUE"""),"60f10983d1dbb75eeed4edf8")</f>
        <v>60f10983d1dbb75eeed4edf8</v>
      </c>
      <c r="AJ164" s="25">
        <f t="shared" ca="1" si="0"/>
        <v>1</v>
      </c>
    </row>
    <row r="165" spans="1:36" ht="31">
      <c r="A165" s="51" t="s">
        <v>988</v>
      </c>
      <c r="B165" s="51" t="s">
        <v>1053</v>
      </c>
      <c r="C165" s="22" t="s">
        <v>1054</v>
      </c>
      <c r="D165" s="23" t="s">
        <v>1055</v>
      </c>
      <c r="E165" s="22" t="s">
        <v>49</v>
      </c>
      <c r="F165" s="22" t="s">
        <v>50</v>
      </c>
      <c r="G165" s="22" t="s">
        <v>49</v>
      </c>
      <c r="H165" s="22" t="s">
        <v>51</v>
      </c>
      <c r="I165" s="22" t="s">
        <v>52</v>
      </c>
      <c r="J165" s="22" t="s">
        <v>501</v>
      </c>
      <c r="K165" s="22" t="s">
        <v>54</v>
      </c>
      <c r="L165" s="22" t="s">
        <v>55</v>
      </c>
      <c r="M165" s="22" t="s">
        <v>1056</v>
      </c>
      <c r="N165" s="22" t="s">
        <v>59</v>
      </c>
      <c r="O165" s="22" t="s">
        <v>84</v>
      </c>
      <c r="P165" s="22" t="s">
        <v>85</v>
      </c>
      <c r="Q165" s="22" t="s">
        <v>60</v>
      </c>
      <c r="R165" s="25"/>
      <c r="S165" s="22" t="s">
        <v>61</v>
      </c>
      <c r="T165" s="22" t="s">
        <v>62</v>
      </c>
      <c r="U165" s="22" t="s">
        <v>63</v>
      </c>
      <c r="V165" s="22" t="s">
        <v>64</v>
      </c>
      <c r="W165" s="25"/>
      <c r="X165" s="35" t="s">
        <v>230</v>
      </c>
      <c r="Y165" s="22" t="s">
        <v>770</v>
      </c>
      <c r="Z165" s="22" t="s">
        <v>1057</v>
      </c>
      <c r="AA165" s="22" t="s">
        <v>1058</v>
      </c>
      <c r="AC165" s="22" t="s">
        <v>393</v>
      </c>
      <c r="AD165" s="27" t="s">
        <v>71</v>
      </c>
      <c r="AE165" s="22" t="s">
        <v>244</v>
      </c>
      <c r="AF165" s="34"/>
      <c r="AG165" s="34"/>
      <c r="AI165" s="25" t="str">
        <f ca="1">IFERROR(__xludf.DUMMYFUNCTION("""COMPUTED_VALUE"""),"60f53e3abf214806574b38f5")</f>
        <v>60f53e3abf214806574b38f5</v>
      </c>
      <c r="AJ165" s="25">
        <f t="shared" ca="1" si="0"/>
        <v>1</v>
      </c>
    </row>
    <row r="166" spans="1:36" ht="46.5">
      <c r="A166" s="51" t="s">
        <v>988</v>
      </c>
      <c r="B166" s="51" t="s">
        <v>1059</v>
      </c>
      <c r="C166" s="22" t="s">
        <v>1060</v>
      </c>
      <c r="D166" s="23" t="s">
        <v>1061</v>
      </c>
      <c r="E166" s="22" t="s">
        <v>49</v>
      </c>
      <c r="F166" s="22" t="s">
        <v>95</v>
      </c>
      <c r="G166" s="22" t="s">
        <v>49</v>
      </c>
      <c r="H166" s="22" t="s">
        <v>169</v>
      </c>
      <c r="I166" s="22" t="s">
        <v>307</v>
      </c>
      <c r="J166" s="22" t="s">
        <v>53</v>
      </c>
      <c r="K166" s="22" t="s">
        <v>144</v>
      </c>
      <c r="L166" s="22" t="s">
        <v>53</v>
      </c>
      <c r="M166" s="22" t="s">
        <v>398</v>
      </c>
      <c r="N166" s="22" t="s">
        <v>59</v>
      </c>
      <c r="O166" s="22" t="s">
        <v>84</v>
      </c>
      <c r="P166" s="22" t="s">
        <v>348</v>
      </c>
      <c r="Q166" s="22" t="s">
        <v>60</v>
      </c>
      <c r="R166" s="25"/>
      <c r="S166" s="22" t="s">
        <v>61</v>
      </c>
      <c r="T166" s="22" t="s">
        <v>62</v>
      </c>
      <c r="U166" s="22" t="s">
        <v>63</v>
      </c>
      <c r="V166" s="22" t="s">
        <v>64</v>
      </c>
      <c r="W166" s="25"/>
      <c r="X166" s="26" t="s">
        <v>1062</v>
      </c>
      <c r="Y166" s="22" t="s">
        <v>1063</v>
      </c>
      <c r="Z166" s="22" t="s">
        <v>1064</v>
      </c>
      <c r="AA166" s="22" t="s">
        <v>571</v>
      </c>
      <c r="AC166" s="22" t="s">
        <v>328</v>
      </c>
      <c r="AD166" s="27" t="s">
        <v>71</v>
      </c>
      <c r="AE166" s="22" t="s">
        <v>244</v>
      </c>
      <c r="AF166" s="34"/>
      <c r="AG166" s="34"/>
      <c r="AI166" s="25" t="str">
        <f ca="1">IFERROR(__xludf.DUMMYFUNCTION("""COMPUTED_VALUE"""),"60f548d790388562986bad68")</f>
        <v>60f548d790388562986bad68</v>
      </c>
      <c r="AJ166" s="25">
        <f t="shared" ca="1" si="0"/>
        <v>1</v>
      </c>
    </row>
    <row r="167" spans="1:36" ht="46.5">
      <c r="A167" s="51" t="s">
        <v>988</v>
      </c>
      <c r="B167" s="51" t="s">
        <v>1065</v>
      </c>
      <c r="C167" s="22" t="s">
        <v>1066</v>
      </c>
      <c r="D167" s="23" t="s">
        <v>1067</v>
      </c>
      <c r="E167" s="22" t="s">
        <v>49</v>
      </c>
      <c r="F167" s="22" t="s">
        <v>50</v>
      </c>
      <c r="G167" s="22" t="s">
        <v>49</v>
      </c>
      <c r="H167" s="22" t="s">
        <v>51</v>
      </c>
      <c r="I167" s="7" t="s">
        <v>81</v>
      </c>
      <c r="J167" s="22" t="s">
        <v>107</v>
      </c>
      <c r="K167" s="22" t="s">
        <v>54</v>
      </c>
      <c r="L167" s="22" t="s">
        <v>53</v>
      </c>
      <c r="M167" s="22" t="s">
        <v>398</v>
      </c>
      <c r="N167" s="22" t="s">
        <v>59</v>
      </c>
      <c r="O167" s="22" t="s">
        <v>84</v>
      </c>
      <c r="P167" s="22" t="s">
        <v>108</v>
      </c>
      <c r="Q167" s="22" t="s">
        <v>60</v>
      </c>
      <c r="R167" s="25"/>
      <c r="S167" s="22" t="s">
        <v>85</v>
      </c>
      <c r="T167" s="22" t="s">
        <v>62</v>
      </c>
      <c r="U167" s="22" t="s">
        <v>63</v>
      </c>
      <c r="V167" s="22" t="s">
        <v>64</v>
      </c>
      <c r="W167" s="25"/>
      <c r="X167" s="35" t="s">
        <v>1068</v>
      </c>
      <c r="Y167" s="22" t="s">
        <v>1069</v>
      </c>
      <c r="Z167" s="22" t="s">
        <v>571</v>
      </c>
      <c r="AA167" s="22" t="s">
        <v>1070</v>
      </c>
      <c r="AC167" s="22" t="s">
        <v>328</v>
      </c>
      <c r="AD167" s="27" t="s">
        <v>71</v>
      </c>
      <c r="AE167" s="22" t="s">
        <v>244</v>
      </c>
      <c r="AF167" s="34"/>
      <c r="AG167" s="34"/>
      <c r="AI167" s="25" t="str">
        <f ca="1">IFERROR(__xludf.DUMMYFUNCTION("""COMPUTED_VALUE"""),"60f589fd90388562986bc7f4")</f>
        <v>60f589fd90388562986bc7f4</v>
      </c>
      <c r="AJ167" s="25">
        <f t="shared" ca="1" si="0"/>
        <v>1</v>
      </c>
    </row>
    <row r="168" spans="1:36" ht="31">
      <c r="A168" s="51" t="s">
        <v>988</v>
      </c>
      <c r="B168" s="51" t="s">
        <v>1071</v>
      </c>
      <c r="C168" s="22" t="s">
        <v>1072</v>
      </c>
      <c r="D168" s="23" t="s">
        <v>1073</v>
      </c>
      <c r="E168" s="22" t="s">
        <v>49</v>
      </c>
      <c r="F168" s="22" t="s">
        <v>95</v>
      </c>
      <c r="G168" s="22" t="s">
        <v>49</v>
      </c>
      <c r="H168" s="22" t="s">
        <v>51</v>
      </c>
      <c r="I168" s="22" t="s">
        <v>52</v>
      </c>
      <c r="J168" s="22" t="s">
        <v>127</v>
      </c>
      <c r="K168" s="22" t="s">
        <v>356</v>
      </c>
      <c r="L168" s="22" t="s">
        <v>55</v>
      </c>
      <c r="M168" s="22" t="s">
        <v>398</v>
      </c>
      <c r="N168" s="22" t="s">
        <v>59</v>
      </c>
      <c r="O168" s="22" t="s">
        <v>84</v>
      </c>
      <c r="P168" s="22" t="s">
        <v>85</v>
      </c>
      <c r="Q168" s="22" t="s">
        <v>183</v>
      </c>
      <c r="R168" s="25"/>
      <c r="S168" s="22" t="s">
        <v>85</v>
      </c>
      <c r="T168" s="22" t="s">
        <v>62</v>
      </c>
      <c r="U168" s="22" t="s">
        <v>63</v>
      </c>
      <c r="V168" s="22" t="s">
        <v>118</v>
      </c>
      <c r="W168" s="25"/>
      <c r="X168" s="26" t="s">
        <v>1074</v>
      </c>
      <c r="Y168" s="22" t="s">
        <v>784</v>
      </c>
      <c r="Z168" s="22" t="s">
        <v>1075</v>
      </c>
      <c r="AA168" s="22" t="s">
        <v>1076</v>
      </c>
      <c r="AC168" s="22" t="s">
        <v>328</v>
      </c>
      <c r="AD168" s="27" t="s">
        <v>71</v>
      </c>
      <c r="AE168" s="22" t="s">
        <v>244</v>
      </c>
      <c r="AF168" s="34"/>
      <c r="AG168" s="34"/>
      <c r="AI168" s="25" t="str">
        <f ca="1">IFERROR(__xludf.DUMMYFUNCTION("""COMPUTED_VALUE"""),"60f653038374c42f07588e4b")</f>
        <v>60f653038374c42f07588e4b</v>
      </c>
      <c r="AJ168" s="25">
        <f t="shared" ca="1" si="0"/>
        <v>1</v>
      </c>
    </row>
    <row r="169" spans="1:36" ht="46.5">
      <c r="A169" s="51" t="s">
        <v>988</v>
      </c>
      <c r="B169" s="51" t="s">
        <v>1077</v>
      </c>
      <c r="C169" s="22" t="s">
        <v>1078</v>
      </c>
      <c r="D169" s="23" t="s">
        <v>1079</v>
      </c>
      <c r="E169" s="22" t="s">
        <v>49</v>
      </c>
      <c r="F169" s="22" t="s">
        <v>269</v>
      </c>
      <c r="G169" s="22" t="s">
        <v>49</v>
      </c>
      <c r="H169" s="22" t="s">
        <v>192</v>
      </c>
      <c r="I169" s="22" t="s">
        <v>81</v>
      </c>
      <c r="J169" s="22" t="s">
        <v>501</v>
      </c>
      <c r="K169" s="22" t="s">
        <v>856</v>
      </c>
      <c r="L169" s="22" t="s">
        <v>53</v>
      </c>
      <c r="M169" s="22" t="s">
        <v>398</v>
      </c>
      <c r="N169" s="22" t="s">
        <v>59</v>
      </c>
      <c r="O169" s="22" t="s">
        <v>84</v>
      </c>
      <c r="P169" s="22" t="s">
        <v>137</v>
      </c>
      <c r="Q169" s="22" t="s">
        <v>60</v>
      </c>
      <c r="R169" s="25"/>
      <c r="S169" s="22" t="s">
        <v>85</v>
      </c>
      <c r="T169" s="22" t="s">
        <v>62</v>
      </c>
      <c r="U169" s="22" t="s">
        <v>63</v>
      </c>
      <c r="V169" s="22" t="s">
        <v>64</v>
      </c>
      <c r="W169" s="25"/>
      <c r="X169" s="26" t="s">
        <v>1080</v>
      </c>
      <c r="Y169" s="22" t="s">
        <v>1081</v>
      </c>
      <c r="Z169" s="22" t="s">
        <v>295</v>
      </c>
      <c r="AA169" s="22" t="s">
        <v>971</v>
      </c>
      <c r="AC169" s="22" t="s">
        <v>328</v>
      </c>
      <c r="AD169" s="27" t="s">
        <v>71</v>
      </c>
      <c r="AE169" s="22" t="s">
        <v>350</v>
      </c>
      <c r="AF169" s="33" t="s">
        <v>1082</v>
      </c>
      <c r="AG169" s="33" t="s">
        <v>352</v>
      </c>
      <c r="AI169" s="25" t="str">
        <f ca="1">IFERROR(__xludf.DUMMYFUNCTION("""COMPUTED_VALUE"""),"60f68251c068330d862d3407")</f>
        <v>60f68251c068330d862d3407</v>
      </c>
      <c r="AJ169" s="25">
        <f t="shared" ca="1" si="0"/>
        <v>1</v>
      </c>
    </row>
    <row r="170" spans="1:36" ht="62">
      <c r="A170" s="51" t="s">
        <v>988</v>
      </c>
      <c r="B170" s="51" t="s">
        <v>1083</v>
      </c>
      <c r="C170" s="22" t="s">
        <v>1084</v>
      </c>
      <c r="D170" s="23" t="s">
        <v>1085</v>
      </c>
      <c r="E170" s="22" t="s">
        <v>79</v>
      </c>
      <c r="F170" s="22" t="s">
        <v>95</v>
      </c>
      <c r="G170" s="22" t="s">
        <v>79</v>
      </c>
      <c r="H170" s="22" t="s">
        <v>51</v>
      </c>
      <c r="I170" s="22" t="s">
        <v>81</v>
      </c>
      <c r="J170" s="22" t="s">
        <v>53</v>
      </c>
      <c r="K170" s="22" t="s">
        <v>182</v>
      </c>
      <c r="L170" s="22" t="s">
        <v>53</v>
      </c>
      <c r="M170" s="22" t="s">
        <v>398</v>
      </c>
      <c r="N170" s="22" t="s">
        <v>59</v>
      </c>
      <c r="O170" s="22" t="s">
        <v>84</v>
      </c>
      <c r="P170" s="22" t="s">
        <v>348</v>
      </c>
      <c r="Q170" s="22" t="s">
        <v>60</v>
      </c>
      <c r="R170" s="22" t="s">
        <v>183</v>
      </c>
      <c r="S170" s="22" t="s">
        <v>85</v>
      </c>
      <c r="T170" s="22" t="s">
        <v>62</v>
      </c>
      <c r="U170" s="22" t="s">
        <v>63</v>
      </c>
      <c r="V170" s="22" t="s">
        <v>64</v>
      </c>
      <c r="W170" s="25"/>
      <c r="X170" s="35" t="s">
        <v>1086</v>
      </c>
      <c r="Y170" s="22" t="s">
        <v>1087</v>
      </c>
      <c r="Z170" s="22" t="s">
        <v>1088</v>
      </c>
      <c r="AA170" s="22" t="s">
        <v>122</v>
      </c>
      <c r="AC170" s="22" t="s">
        <v>328</v>
      </c>
      <c r="AD170" s="27" t="s">
        <v>71</v>
      </c>
      <c r="AE170" s="22" t="s">
        <v>350</v>
      </c>
      <c r="AF170" s="33" t="s">
        <v>1089</v>
      </c>
      <c r="AG170" s="33" t="s">
        <v>1090</v>
      </c>
      <c r="AI170" s="25" t="str">
        <f ca="1">IFERROR(__xludf.DUMMYFUNCTION("""COMPUTED_VALUE"""),"60f68612c068330d862d366d")</f>
        <v>60f68612c068330d862d366d</v>
      </c>
      <c r="AJ170" s="25">
        <f t="shared" ca="1" si="0"/>
        <v>1</v>
      </c>
    </row>
    <row r="171" spans="1:36" ht="77.5">
      <c r="A171" s="51" t="s">
        <v>988</v>
      </c>
      <c r="B171" s="51" t="s">
        <v>1091</v>
      </c>
      <c r="C171" s="22" t="s">
        <v>1092</v>
      </c>
      <c r="D171" s="23" t="s">
        <v>1093</v>
      </c>
      <c r="E171" s="22" t="s">
        <v>49</v>
      </c>
      <c r="F171" s="22" t="s">
        <v>95</v>
      </c>
      <c r="G171" s="22" t="s">
        <v>79</v>
      </c>
      <c r="H171" s="22" t="s">
        <v>126</v>
      </c>
      <c r="I171" s="22" t="s">
        <v>52</v>
      </c>
      <c r="J171" s="22" t="s">
        <v>53</v>
      </c>
      <c r="K171" s="22" t="s">
        <v>856</v>
      </c>
      <c r="L171" s="22" t="s">
        <v>55</v>
      </c>
      <c r="M171" s="22" t="s">
        <v>398</v>
      </c>
      <c r="N171" s="22" t="s">
        <v>59</v>
      </c>
      <c r="O171" s="22" t="s">
        <v>84</v>
      </c>
      <c r="P171" s="22" t="s">
        <v>348</v>
      </c>
      <c r="Q171" s="22" t="s">
        <v>63</v>
      </c>
      <c r="R171" s="25"/>
      <c r="S171" s="22" t="s">
        <v>61</v>
      </c>
      <c r="T171" s="22" t="s">
        <v>62</v>
      </c>
      <c r="U171" s="22" t="s">
        <v>63</v>
      </c>
      <c r="V171" s="22" t="s">
        <v>118</v>
      </c>
      <c r="W171" s="25"/>
      <c r="X171" s="26" t="s">
        <v>1094</v>
      </c>
      <c r="Y171" s="22" t="s">
        <v>1095</v>
      </c>
      <c r="Z171" s="22" t="s">
        <v>122</v>
      </c>
      <c r="AA171" s="22" t="s">
        <v>1096</v>
      </c>
      <c r="AC171" s="22" t="s">
        <v>328</v>
      </c>
      <c r="AD171" s="27" t="s">
        <v>71</v>
      </c>
      <c r="AE171" s="22" t="s">
        <v>350</v>
      </c>
      <c r="AF171" s="33" t="s">
        <v>1097</v>
      </c>
      <c r="AG171" s="33" t="s">
        <v>1098</v>
      </c>
      <c r="AI171" s="25" t="str">
        <f ca="1">IFERROR(__xludf.DUMMYFUNCTION("""COMPUTED_VALUE"""),"60f69204c068330d862d3bdf")</f>
        <v>60f69204c068330d862d3bdf</v>
      </c>
      <c r="AJ171" s="25">
        <f t="shared" ca="1" si="0"/>
        <v>1</v>
      </c>
    </row>
    <row r="172" spans="1:36" ht="62">
      <c r="A172" s="51" t="s">
        <v>988</v>
      </c>
      <c r="B172" s="51" t="s">
        <v>1099</v>
      </c>
      <c r="C172" s="22" t="s">
        <v>1100</v>
      </c>
      <c r="D172" s="23" t="s">
        <v>1101</v>
      </c>
      <c r="E172" s="22" t="s">
        <v>49</v>
      </c>
      <c r="F172" s="22" t="s">
        <v>50</v>
      </c>
      <c r="G172" s="22" t="s">
        <v>79</v>
      </c>
      <c r="H172" s="22" t="s">
        <v>192</v>
      </c>
      <c r="I172" s="22" t="s">
        <v>375</v>
      </c>
      <c r="J172" s="22" t="s">
        <v>109</v>
      </c>
      <c r="K172" s="22" t="s">
        <v>856</v>
      </c>
      <c r="L172" s="22" t="s">
        <v>53</v>
      </c>
      <c r="M172" s="22" t="s">
        <v>398</v>
      </c>
      <c r="N172" s="22" t="s">
        <v>59</v>
      </c>
      <c r="O172" s="22" t="s">
        <v>490</v>
      </c>
      <c r="P172" s="22" t="s">
        <v>137</v>
      </c>
      <c r="Q172" s="22" t="s">
        <v>60</v>
      </c>
      <c r="R172" s="22" t="s">
        <v>183</v>
      </c>
      <c r="S172" s="22" t="s">
        <v>85</v>
      </c>
      <c r="T172" s="22" t="s">
        <v>62</v>
      </c>
      <c r="U172" s="22" t="s">
        <v>63</v>
      </c>
      <c r="V172" s="22" t="s">
        <v>64</v>
      </c>
      <c r="W172" s="25"/>
      <c r="X172" s="26" t="s">
        <v>1102</v>
      </c>
      <c r="Y172" s="22" t="s">
        <v>1103</v>
      </c>
      <c r="Z172" s="22" t="s">
        <v>1096</v>
      </c>
      <c r="AA172" s="22" t="s">
        <v>851</v>
      </c>
      <c r="AC172" s="22" t="s">
        <v>328</v>
      </c>
      <c r="AD172" s="27" t="s">
        <v>71</v>
      </c>
      <c r="AE172" s="22" t="s">
        <v>350</v>
      </c>
      <c r="AF172" s="33" t="s">
        <v>1104</v>
      </c>
      <c r="AG172" s="33" t="s">
        <v>352</v>
      </c>
      <c r="AI172" s="25" t="str">
        <f ca="1">IFERROR(__xludf.DUMMYFUNCTION("""COMPUTED_VALUE"""),"60f69a43c068330d862d3f15")</f>
        <v>60f69a43c068330d862d3f15</v>
      </c>
      <c r="AJ172" s="25">
        <f t="shared" ca="1" si="0"/>
        <v>1</v>
      </c>
    </row>
    <row r="173" spans="1:36" ht="46.5">
      <c r="A173" s="51" t="s">
        <v>988</v>
      </c>
      <c r="B173" s="51" t="s">
        <v>1105</v>
      </c>
      <c r="C173" s="22" t="s">
        <v>1106</v>
      </c>
      <c r="D173" s="23" t="s">
        <v>1107</v>
      </c>
      <c r="E173" s="22" t="s">
        <v>49</v>
      </c>
      <c r="F173" s="22" t="s">
        <v>78</v>
      </c>
      <c r="G173" s="22" t="s">
        <v>79</v>
      </c>
      <c r="H173" s="22" t="s">
        <v>126</v>
      </c>
      <c r="I173" s="22" t="s">
        <v>81</v>
      </c>
      <c r="J173" s="22" t="s">
        <v>53</v>
      </c>
      <c r="K173" s="22" t="s">
        <v>54</v>
      </c>
      <c r="L173" s="22" t="s">
        <v>53</v>
      </c>
      <c r="M173" s="22" t="s">
        <v>398</v>
      </c>
      <c r="N173" s="22" t="s">
        <v>59</v>
      </c>
      <c r="O173" s="22" t="s">
        <v>84</v>
      </c>
      <c r="P173" s="22" t="s">
        <v>85</v>
      </c>
      <c r="Q173" s="22" t="s">
        <v>60</v>
      </c>
      <c r="R173" s="22" t="s">
        <v>86</v>
      </c>
      <c r="S173" s="22" t="s">
        <v>85</v>
      </c>
      <c r="T173" s="22" t="s">
        <v>62</v>
      </c>
      <c r="U173" s="22" t="s">
        <v>63</v>
      </c>
      <c r="V173" s="22" t="s">
        <v>87</v>
      </c>
      <c r="W173" s="25"/>
      <c r="X173" s="26" t="s">
        <v>1108</v>
      </c>
      <c r="Y173" s="22" t="s">
        <v>1109</v>
      </c>
      <c r="Z173" s="22" t="s">
        <v>1110</v>
      </c>
      <c r="AA173" s="22" t="s">
        <v>1111</v>
      </c>
      <c r="AC173" s="22" t="s">
        <v>328</v>
      </c>
      <c r="AD173" s="27" t="s">
        <v>71</v>
      </c>
      <c r="AE173" s="22" t="s">
        <v>350</v>
      </c>
      <c r="AF173" s="33" t="s">
        <v>1112</v>
      </c>
      <c r="AG173" s="34"/>
      <c r="AI173" s="25" t="str">
        <f ca="1">IFERROR(__xludf.DUMMYFUNCTION("""COMPUTED_VALUE"""),"60f6af9dc068330d862d43e5")</f>
        <v>60f6af9dc068330d862d43e5</v>
      </c>
      <c r="AJ173" s="25">
        <f t="shared" ca="1" si="0"/>
        <v>1</v>
      </c>
    </row>
    <row r="174" spans="1:36" ht="46.5">
      <c r="A174" s="51" t="s">
        <v>988</v>
      </c>
      <c r="B174" s="51" t="s">
        <v>1113</v>
      </c>
      <c r="C174" s="22" t="s">
        <v>1114</v>
      </c>
      <c r="D174" s="23" t="s">
        <v>1115</v>
      </c>
      <c r="E174" s="22" t="s">
        <v>49</v>
      </c>
      <c r="F174" s="22" t="s">
        <v>78</v>
      </c>
      <c r="G174" s="22" t="s">
        <v>49</v>
      </c>
      <c r="H174" s="22" t="s">
        <v>126</v>
      </c>
      <c r="I174" s="22" t="s">
        <v>81</v>
      </c>
      <c r="J174" s="22" t="s">
        <v>107</v>
      </c>
      <c r="K174" s="22" t="s">
        <v>182</v>
      </c>
      <c r="L174" s="22" t="s">
        <v>53</v>
      </c>
      <c r="M174" s="22" t="s">
        <v>398</v>
      </c>
      <c r="N174" s="22" t="s">
        <v>59</v>
      </c>
      <c r="O174" s="22" t="s">
        <v>1116</v>
      </c>
      <c r="P174" s="22" t="s">
        <v>108</v>
      </c>
      <c r="Q174" s="22" t="s">
        <v>60</v>
      </c>
      <c r="R174" s="25"/>
      <c r="S174" s="22" t="s">
        <v>85</v>
      </c>
      <c r="T174" s="22" t="s">
        <v>62</v>
      </c>
      <c r="U174" s="22" t="s">
        <v>515</v>
      </c>
      <c r="V174" s="22" t="s">
        <v>118</v>
      </c>
      <c r="W174" s="25"/>
      <c r="X174" s="35" t="s">
        <v>1117</v>
      </c>
      <c r="Y174" s="22" t="s">
        <v>1118</v>
      </c>
      <c r="Z174" s="22" t="s">
        <v>992</v>
      </c>
      <c r="AA174" s="22" t="s">
        <v>1119</v>
      </c>
      <c r="AC174" s="22" t="s">
        <v>328</v>
      </c>
      <c r="AD174" s="27" t="s">
        <v>71</v>
      </c>
      <c r="AE174" s="22" t="s">
        <v>350</v>
      </c>
      <c r="AF174" s="34"/>
      <c r="AG174" s="34"/>
      <c r="AI174" s="25" t="str">
        <f ca="1">IFERROR(__xludf.DUMMYFUNCTION("""COMPUTED_VALUE"""),"60f6b53ac068330d862d46cd")</f>
        <v>60f6b53ac068330d862d46cd</v>
      </c>
      <c r="AJ174" s="25">
        <f t="shared" ca="1" si="0"/>
        <v>1</v>
      </c>
    </row>
    <row r="175" spans="1:36" ht="31">
      <c r="A175" s="51" t="s">
        <v>988</v>
      </c>
      <c r="B175" s="51" t="s">
        <v>1120</v>
      </c>
      <c r="C175" s="22" t="s">
        <v>1121</v>
      </c>
      <c r="D175" s="23" t="s">
        <v>1122</v>
      </c>
      <c r="E175" s="22" t="s">
        <v>49</v>
      </c>
      <c r="F175" s="22" t="s">
        <v>95</v>
      </c>
      <c r="G175" s="22" t="s">
        <v>79</v>
      </c>
      <c r="H175" s="22" t="s">
        <v>126</v>
      </c>
      <c r="I175" s="22" t="s">
        <v>52</v>
      </c>
      <c r="J175" s="22" t="s">
        <v>53</v>
      </c>
      <c r="K175" s="22" t="s">
        <v>856</v>
      </c>
      <c r="L175" s="22" t="s">
        <v>55</v>
      </c>
      <c r="M175" s="22" t="s">
        <v>398</v>
      </c>
      <c r="N175" s="22" t="s">
        <v>59</v>
      </c>
      <c r="O175" s="22" t="s">
        <v>84</v>
      </c>
      <c r="P175" s="22" t="s">
        <v>108</v>
      </c>
      <c r="Q175" s="22" t="s">
        <v>60</v>
      </c>
      <c r="R175" s="25"/>
      <c r="S175" s="22" t="s">
        <v>61</v>
      </c>
      <c r="T175" s="22" t="s">
        <v>62</v>
      </c>
      <c r="U175" s="22" t="s">
        <v>63</v>
      </c>
      <c r="V175" s="22" t="s">
        <v>118</v>
      </c>
      <c r="W175" s="25"/>
      <c r="X175" s="26" t="s">
        <v>1123</v>
      </c>
      <c r="Y175" s="68" t="s">
        <v>936</v>
      </c>
      <c r="Z175" s="22" t="s">
        <v>766</v>
      </c>
      <c r="AA175" s="22" t="s">
        <v>937</v>
      </c>
      <c r="AC175" s="22" t="s">
        <v>328</v>
      </c>
      <c r="AD175" s="27" t="s">
        <v>71</v>
      </c>
      <c r="AE175" s="22" t="s">
        <v>350</v>
      </c>
      <c r="AF175" s="33" t="s">
        <v>1124</v>
      </c>
      <c r="AG175" s="33" t="s">
        <v>1125</v>
      </c>
      <c r="AI175" s="25" t="str">
        <f ca="1">IFERROR(__xludf.DUMMYFUNCTION("""COMPUTED_VALUE"""),"60fa56833f61e54a1d8ee2b2")</f>
        <v>60fa56833f61e54a1d8ee2b2</v>
      </c>
      <c r="AJ175" s="25">
        <f t="shared" ca="1" si="0"/>
        <v>1</v>
      </c>
    </row>
    <row r="176" spans="1:36" ht="46.5">
      <c r="A176" s="51" t="s">
        <v>988</v>
      </c>
      <c r="B176" s="51" t="s">
        <v>1126</v>
      </c>
      <c r="C176" s="22" t="s">
        <v>1127</v>
      </c>
      <c r="D176" s="23" t="s">
        <v>1128</v>
      </c>
      <c r="E176" s="22" t="s">
        <v>49</v>
      </c>
      <c r="F176" s="22" t="s">
        <v>95</v>
      </c>
      <c r="G176" s="22" t="s">
        <v>79</v>
      </c>
      <c r="H176" s="22" t="s">
        <v>126</v>
      </c>
      <c r="I176" s="22" t="s">
        <v>52</v>
      </c>
      <c r="J176" s="22" t="s">
        <v>53</v>
      </c>
      <c r="K176" s="22" t="s">
        <v>144</v>
      </c>
      <c r="L176" s="22" t="s">
        <v>55</v>
      </c>
      <c r="M176" s="22" t="s">
        <v>56</v>
      </c>
      <c r="N176" s="22" t="s">
        <v>59</v>
      </c>
      <c r="O176" s="22" t="s">
        <v>84</v>
      </c>
      <c r="P176" s="22" t="s">
        <v>348</v>
      </c>
      <c r="Q176" s="22" t="s">
        <v>60</v>
      </c>
      <c r="R176" s="25"/>
      <c r="S176" s="22" t="s">
        <v>61</v>
      </c>
      <c r="T176" s="22" t="s">
        <v>62</v>
      </c>
      <c r="U176" s="22" t="s">
        <v>63</v>
      </c>
      <c r="V176" s="22" t="s">
        <v>64</v>
      </c>
      <c r="W176" s="25"/>
      <c r="X176" s="26" t="s">
        <v>1129</v>
      </c>
      <c r="Y176" s="68" t="s">
        <v>503</v>
      </c>
      <c r="Z176" s="22" t="s">
        <v>1130</v>
      </c>
      <c r="AA176" s="22" t="s">
        <v>1131</v>
      </c>
      <c r="AC176" s="22" t="s">
        <v>328</v>
      </c>
      <c r="AD176" s="27" t="s">
        <v>71</v>
      </c>
      <c r="AE176" s="22" t="s">
        <v>350</v>
      </c>
      <c r="AF176" s="34"/>
      <c r="AG176" s="34"/>
      <c r="AI176" s="25" t="str">
        <f ca="1">IFERROR(__xludf.DUMMYFUNCTION("""COMPUTED_VALUE"""),"60fa63db3f61e54a1d8ee43c")</f>
        <v>60fa63db3f61e54a1d8ee43c</v>
      </c>
      <c r="AJ176" s="25">
        <f t="shared" ca="1" si="0"/>
        <v>1</v>
      </c>
    </row>
    <row r="177" spans="1:36" ht="31">
      <c r="A177" s="51" t="s">
        <v>988</v>
      </c>
      <c r="B177" s="51" t="s">
        <v>1132</v>
      </c>
      <c r="C177" s="22" t="s">
        <v>806</v>
      </c>
      <c r="D177" s="23" t="s">
        <v>1133</v>
      </c>
      <c r="E177" s="22" t="s">
        <v>49</v>
      </c>
      <c r="F177" s="22" t="s">
        <v>50</v>
      </c>
      <c r="G177" s="22" t="s">
        <v>79</v>
      </c>
      <c r="H177" s="22" t="s">
        <v>126</v>
      </c>
      <c r="I177" s="22" t="s">
        <v>307</v>
      </c>
      <c r="J177" s="22" t="s">
        <v>53</v>
      </c>
      <c r="K177" s="22" t="s">
        <v>128</v>
      </c>
      <c r="L177" s="22" t="s">
        <v>53</v>
      </c>
      <c r="M177" s="22" t="s">
        <v>56</v>
      </c>
      <c r="N177" s="22" t="s">
        <v>59</v>
      </c>
      <c r="O177" s="22" t="s">
        <v>84</v>
      </c>
      <c r="P177" s="22" t="s">
        <v>85</v>
      </c>
      <c r="Q177" s="22" t="s">
        <v>60</v>
      </c>
      <c r="R177" s="25"/>
      <c r="S177" s="22" t="s">
        <v>61</v>
      </c>
      <c r="T177" s="22" t="s">
        <v>62</v>
      </c>
      <c r="U177" s="22" t="s">
        <v>63</v>
      </c>
      <c r="V177" s="22" t="s">
        <v>64</v>
      </c>
      <c r="W177" s="25"/>
      <c r="X177" s="26" t="s">
        <v>1134</v>
      </c>
      <c r="Y177" s="68" t="s">
        <v>288</v>
      </c>
      <c r="Z177" s="22" t="s">
        <v>570</v>
      </c>
      <c r="AA177" s="22" t="s">
        <v>416</v>
      </c>
      <c r="AC177" s="22" t="s">
        <v>328</v>
      </c>
      <c r="AD177" s="27" t="s">
        <v>71</v>
      </c>
      <c r="AE177" s="22" t="s">
        <v>350</v>
      </c>
      <c r="AF177" s="34"/>
      <c r="AG177" s="34"/>
      <c r="AI177" s="25" t="str">
        <f ca="1">IFERROR(__xludf.DUMMYFUNCTION("""COMPUTED_VALUE"""),"60fa7bc33f61e54a1d8eecda")</f>
        <v>60fa7bc33f61e54a1d8eecda</v>
      </c>
      <c r="AJ177" s="25">
        <f t="shared" ca="1" si="0"/>
        <v>1</v>
      </c>
    </row>
    <row r="178" spans="1:36" ht="46.5">
      <c r="A178" s="51" t="s">
        <v>988</v>
      </c>
      <c r="B178" s="51" t="s">
        <v>1135</v>
      </c>
      <c r="C178" s="22" t="s">
        <v>1136</v>
      </c>
      <c r="D178" s="23" t="s">
        <v>1137</v>
      </c>
      <c r="E178" s="22" t="s">
        <v>49</v>
      </c>
      <c r="F178" s="22" t="s">
        <v>50</v>
      </c>
      <c r="G178" s="22" t="s">
        <v>79</v>
      </c>
      <c r="H178" s="22" t="s">
        <v>169</v>
      </c>
      <c r="I178" s="22" t="s">
        <v>52</v>
      </c>
      <c r="J178" s="22" t="s">
        <v>53</v>
      </c>
      <c r="K178" s="22" t="s">
        <v>856</v>
      </c>
      <c r="L178" s="22" t="s">
        <v>55</v>
      </c>
      <c r="M178" s="22" t="s">
        <v>56</v>
      </c>
      <c r="N178" s="22" t="s">
        <v>348</v>
      </c>
      <c r="O178" s="22" t="s">
        <v>84</v>
      </c>
      <c r="P178" s="22" t="s">
        <v>57</v>
      </c>
      <c r="Q178" s="22" t="s">
        <v>63</v>
      </c>
      <c r="R178" s="25"/>
      <c r="S178" s="22" t="s">
        <v>61</v>
      </c>
      <c r="T178" s="22" t="s">
        <v>62</v>
      </c>
      <c r="U178" s="22" t="s">
        <v>63</v>
      </c>
      <c r="V178" s="22" t="s">
        <v>118</v>
      </c>
      <c r="W178" s="25"/>
      <c r="X178" s="26" t="s">
        <v>1138</v>
      </c>
      <c r="Y178" s="68" t="s">
        <v>496</v>
      </c>
      <c r="Z178" s="22" t="s">
        <v>416</v>
      </c>
      <c r="AA178" s="22" t="s">
        <v>719</v>
      </c>
      <c r="AC178" s="22" t="s">
        <v>328</v>
      </c>
      <c r="AD178" s="27" t="s">
        <v>71</v>
      </c>
      <c r="AE178" s="22" t="s">
        <v>350</v>
      </c>
      <c r="AF178" s="34"/>
      <c r="AG178" s="34"/>
      <c r="AI178" s="25" t="str">
        <f ca="1">IFERROR(__xludf.DUMMYFUNCTION("""COMPUTED_VALUE"""),"60fa84743f61e54a1d8eefca")</f>
        <v>60fa84743f61e54a1d8eefca</v>
      </c>
      <c r="AJ178" s="25">
        <f t="shared" ca="1" si="0"/>
        <v>1</v>
      </c>
    </row>
    <row r="179" spans="1:36" ht="46.5">
      <c r="A179" s="51" t="s">
        <v>988</v>
      </c>
      <c r="B179" s="51" t="s">
        <v>1139</v>
      </c>
      <c r="C179" s="22" t="s">
        <v>1140</v>
      </c>
      <c r="D179" s="23" t="s">
        <v>1141</v>
      </c>
      <c r="E179" s="22" t="s">
        <v>49</v>
      </c>
      <c r="F179" s="22" t="s">
        <v>50</v>
      </c>
      <c r="G179" s="22" t="s">
        <v>79</v>
      </c>
      <c r="H179" s="22" t="s">
        <v>126</v>
      </c>
      <c r="I179" s="22" t="s">
        <v>52</v>
      </c>
      <c r="J179" s="22" t="s">
        <v>127</v>
      </c>
      <c r="K179" s="22" t="s">
        <v>82</v>
      </c>
      <c r="L179" s="22" t="s">
        <v>53</v>
      </c>
      <c r="M179" s="22" t="s">
        <v>56</v>
      </c>
      <c r="N179" s="22" t="s">
        <v>59</v>
      </c>
      <c r="O179" s="22" t="s">
        <v>84</v>
      </c>
      <c r="P179" s="22" t="s">
        <v>85</v>
      </c>
      <c r="Q179" s="22" t="s">
        <v>60</v>
      </c>
      <c r="R179" s="22" t="s">
        <v>183</v>
      </c>
      <c r="S179" s="22" t="s">
        <v>85</v>
      </c>
      <c r="T179" s="22" t="s">
        <v>62</v>
      </c>
      <c r="U179" s="22" t="s">
        <v>63</v>
      </c>
      <c r="V179" s="22" t="s">
        <v>64</v>
      </c>
      <c r="W179" s="25"/>
      <c r="X179" s="35" t="s">
        <v>1142</v>
      </c>
      <c r="Y179" s="68" t="s">
        <v>569</v>
      </c>
      <c r="Z179" s="22" t="s">
        <v>1143</v>
      </c>
      <c r="AA179" s="22" t="s">
        <v>1144</v>
      </c>
      <c r="AC179" s="22" t="s">
        <v>328</v>
      </c>
      <c r="AD179" s="27" t="s">
        <v>71</v>
      </c>
      <c r="AE179" s="22" t="s">
        <v>350</v>
      </c>
      <c r="AF179" s="33" t="s">
        <v>1145</v>
      </c>
      <c r="AG179" s="33" t="s">
        <v>1146</v>
      </c>
      <c r="AI179" s="25" t="str">
        <f ca="1">IFERROR(__xludf.DUMMYFUNCTION("""COMPUTED_VALUE"""),"60fe6cb7df3a195d8e1dcf66")</f>
        <v>60fe6cb7df3a195d8e1dcf66</v>
      </c>
      <c r="AJ179" s="25">
        <f t="shared" ca="1" si="0"/>
        <v>1</v>
      </c>
    </row>
    <row r="180" spans="1:36" ht="46.5">
      <c r="A180" s="51" t="s">
        <v>988</v>
      </c>
      <c r="B180" s="51" t="s">
        <v>1147</v>
      </c>
      <c r="C180" s="22" t="s">
        <v>1148</v>
      </c>
      <c r="D180" s="23" t="s">
        <v>1149</v>
      </c>
      <c r="E180" s="22" t="s">
        <v>49</v>
      </c>
      <c r="F180" s="22" t="s">
        <v>50</v>
      </c>
      <c r="G180" s="22" t="s">
        <v>79</v>
      </c>
      <c r="H180" s="22" t="s">
        <v>126</v>
      </c>
      <c r="I180" s="22" t="s">
        <v>307</v>
      </c>
      <c r="J180" s="22" t="s">
        <v>53</v>
      </c>
      <c r="K180" s="22" t="s">
        <v>144</v>
      </c>
      <c r="L180" s="22" t="s">
        <v>53</v>
      </c>
      <c r="M180" s="22" t="s">
        <v>56</v>
      </c>
      <c r="N180" s="22" t="s">
        <v>59</v>
      </c>
      <c r="O180" s="22" t="s">
        <v>84</v>
      </c>
      <c r="P180" s="22" t="s">
        <v>537</v>
      </c>
      <c r="Q180" s="22" t="s">
        <v>60</v>
      </c>
      <c r="R180" s="25"/>
      <c r="S180" s="22" t="s">
        <v>61</v>
      </c>
      <c r="T180" s="22" t="s">
        <v>62</v>
      </c>
      <c r="U180" s="22" t="s">
        <v>63</v>
      </c>
      <c r="V180" s="22" t="s">
        <v>118</v>
      </c>
      <c r="W180" s="25"/>
      <c r="X180" s="35" t="s">
        <v>1150</v>
      </c>
      <c r="Y180" s="68" t="s">
        <v>99</v>
      </c>
      <c r="Z180" s="22" t="s">
        <v>283</v>
      </c>
      <c r="AA180" s="22" t="s">
        <v>987</v>
      </c>
      <c r="AC180" s="22" t="s">
        <v>328</v>
      </c>
      <c r="AD180" s="27" t="s">
        <v>71</v>
      </c>
      <c r="AE180" s="22" t="s">
        <v>350</v>
      </c>
      <c r="AF180" s="34"/>
      <c r="AG180" s="34"/>
      <c r="AI180" s="25" t="str">
        <f ca="1">IFERROR(__xludf.DUMMYFUNCTION("""COMPUTED_VALUE"""),"60fe786bdf3a195d8e1dd44e")</f>
        <v>60fe786bdf3a195d8e1dd44e</v>
      </c>
      <c r="AJ180" s="25">
        <f t="shared" ca="1" si="0"/>
        <v>1</v>
      </c>
    </row>
    <row r="181" spans="1:36" ht="31">
      <c r="A181" s="51" t="s">
        <v>988</v>
      </c>
      <c r="B181" s="51" t="s">
        <v>1151</v>
      </c>
      <c r="C181" s="22" t="s">
        <v>1152</v>
      </c>
      <c r="D181" s="42" t="s">
        <v>1153</v>
      </c>
      <c r="E181" s="22" t="s">
        <v>49</v>
      </c>
      <c r="F181" s="22" t="s">
        <v>618</v>
      </c>
      <c r="G181" s="22" t="s">
        <v>79</v>
      </c>
      <c r="H181" s="22" t="s">
        <v>126</v>
      </c>
      <c r="I181" s="22" t="s">
        <v>52</v>
      </c>
      <c r="J181" s="22" t="s">
        <v>53</v>
      </c>
      <c r="K181" s="22" t="s">
        <v>170</v>
      </c>
      <c r="L181" s="22" t="s">
        <v>55</v>
      </c>
      <c r="M181" s="22" t="s">
        <v>398</v>
      </c>
      <c r="N181" s="22" t="s">
        <v>59</v>
      </c>
      <c r="O181" s="22" t="s">
        <v>84</v>
      </c>
      <c r="P181" s="22" t="s">
        <v>348</v>
      </c>
      <c r="Q181" s="22" t="s">
        <v>203</v>
      </c>
      <c r="R181" s="25"/>
      <c r="S181" s="22" t="s">
        <v>61</v>
      </c>
      <c r="T181" s="22" t="s">
        <v>62</v>
      </c>
      <c r="U181" s="22" t="s">
        <v>63</v>
      </c>
      <c r="V181" s="22" t="s">
        <v>64</v>
      </c>
      <c r="W181" s="25"/>
      <c r="X181" s="69" t="s">
        <v>1154</v>
      </c>
      <c r="Y181" s="68" t="s">
        <v>67</v>
      </c>
      <c r="Z181" s="22" t="s">
        <v>959</v>
      </c>
      <c r="AA181" s="22" t="s">
        <v>1155</v>
      </c>
      <c r="AC181" s="22" t="s">
        <v>70</v>
      </c>
      <c r="AD181" s="27" t="s">
        <v>71</v>
      </c>
      <c r="AE181" s="22" t="s">
        <v>350</v>
      </c>
      <c r="AF181" s="33" t="s">
        <v>1156</v>
      </c>
      <c r="AG181" s="33" t="s">
        <v>1157</v>
      </c>
      <c r="AI181" s="25" t="str">
        <f ca="1">IFERROR(__xludf.DUMMYFUNCTION("""COMPUTED_VALUE"""),"60fe8240df3a195d8e1dd776")</f>
        <v>60fe8240df3a195d8e1dd776</v>
      </c>
      <c r="AJ181" s="25">
        <f t="shared" ca="1" si="0"/>
        <v>1</v>
      </c>
    </row>
    <row r="182" spans="1:36" ht="46.5">
      <c r="A182" s="51" t="s">
        <v>988</v>
      </c>
      <c r="B182" s="51" t="s">
        <v>1158</v>
      </c>
      <c r="C182" s="22" t="s">
        <v>1159</v>
      </c>
      <c r="D182" s="42" t="s">
        <v>1160</v>
      </c>
      <c r="E182" s="22" t="s">
        <v>49</v>
      </c>
      <c r="F182" s="22" t="s">
        <v>95</v>
      </c>
      <c r="G182" s="22" t="s">
        <v>49</v>
      </c>
      <c r="H182" s="22" t="s">
        <v>126</v>
      </c>
      <c r="I182" s="22" t="s">
        <v>52</v>
      </c>
      <c r="J182" s="22" t="s">
        <v>53</v>
      </c>
      <c r="K182" s="22" t="s">
        <v>170</v>
      </c>
      <c r="L182" s="22" t="s">
        <v>55</v>
      </c>
      <c r="M182" s="22" t="s">
        <v>398</v>
      </c>
      <c r="N182" s="22" t="s">
        <v>59</v>
      </c>
      <c r="O182" s="22" t="s">
        <v>84</v>
      </c>
      <c r="P182" s="22" t="s">
        <v>348</v>
      </c>
      <c r="Q182" s="22" t="s">
        <v>60</v>
      </c>
      <c r="R182" s="25"/>
      <c r="S182" s="22" t="s">
        <v>61</v>
      </c>
      <c r="T182" s="22" t="s">
        <v>62</v>
      </c>
      <c r="U182" s="22" t="s">
        <v>63</v>
      </c>
      <c r="V182" s="22" t="s">
        <v>118</v>
      </c>
      <c r="W182" s="25"/>
      <c r="X182" s="68" t="s">
        <v>1154</v>
      </c>
      <c r="Y182" s="68" t="s">
        <v>248</v>
      </c>
      <c r="Z182" s="22" t="s">
        <v>1161</v>
      </c>
      <c r="AA182" s="22" t="s">
        <v>112</v>
      </c>
      <c r="AB182" s="22" t="s">
        <v>1162</v>
      </c>
      <c r="AC182" s="22" t="s">
        <v>70</v>
      </c>
      <c r="AD182" s="27" t="s">
        <v>71</v>
      </c>
      <c r="AE182" s="22" t="s">
        <v>350</v>
      </c>
      <c r="AF182" s="33" t="s">
        <v>1163</v>
      </c>
      <c r="AG182" s="70" t="s">
        <v>1164</v>
      </c>
      <c r="AI182" s="25" t="str">
        <f ca="1">IFERROR(__xludf.DUMMYFUNCTION("""COMPUTED_VALUE"""),"60fe9fe2f1c617650d45c22f")</f>
        <v>60fe9fe2f1c617650d45c22f</v>
      </c>
      <c r="AJ182" s="25">
        <f t="shared" ca="1" si="0"/>
        <v>1</v>
      </c>
    </row>
    <row r="183" spans="1:36" ht="31">
      <c r="A183" s="51" t="s">
        <v>988</v>
      </c>
      <c r="B183" s="51" t="s">
        <v>1165</v>
      </c>
      <c r="C183" s="22" t="s">
        <v>1166</v>
      </c>
      <c r="D183" s="23" t="s">
        <v>1167</v>
      </c>
      <c r="E183" s="22" t="s">
        <v>49</v>
      </c>
      <c r="F183" s="22" t="s">
        <v>50</v>
      </c>
      <c r="G183" s="22" t="s">
        <v>49</v>
      </c>
      <c r="H183" s="22" t="s">
        <v>51</v>
      </c>
      <c r="I183" s="22" t="s">
        <v>52</v>
      </c>
      <c r="J183" s="22" t="s">
        <v>127</v>
      </c>
      <c r="K183" s="22" t="s">
        <v>1168</v>
      </c>
      <c r="L183" s="22" t="s">
        <v>55</v>
      </c>
      <c r="M183" s="22" t="s">
        <v>398</v>
      </c>
      <c r="N183" s="22" t="s">
        <v>59</v>
      </c>
      <c r="O183" s="22" t="s">
        <v>84</v>
      </c>
      <c r="P183" s="22" t="s">
        <v>85</v>
      </c>
      <c r="Q183" s="22" t="s">
        <v>86</v>
      </c>
      <c r="R183" s="25"/>
      <c r="S183" s="22" t="s">
        <v>61</v>
      </c>
      <c r="T183" s="22" t="s">
        <v>62</v>
      </c>
      <c r="U183" s="22" t="s">
        <v>63</v>
      </c>
      <c r="V183" s="22" t="s">
        <v>64</v>
      </c>
      <c r="W183" s="25"/>
      <c r="X183" s="68" t="s">
        <v>543</v>
      </c>
      <c r="Y183" s="68" t="s">
        <v>67</v>
      </c>
      <c r="Z183" s="22" t="s">
        <v>1161</v>
      </c>
      <c r="AA183" s="22" t="s">
        <v>112</v>
      </c>
      <c r="AC183" s="22" t="s">
        <v>70</v>
      </c>
      <c r="AD183" s="27" t="s">
        <v>71</v>
      </c>
      <c r="AE183" s="22" t="s">
        <v>350</v>
      </c>
      <c r="AF183" s="33" t="s">
        <v>1169</v>
      </c>
      <c r="AG183" s="33" t="s">
        <v>1170</v>
      </c>
      <c r="AI183" s="25" t="str">
        <f ca="1">IFERROR(__xludf.DUMMYFUNCTION("""COMPUTED_VALUE"""),"60ff6f7cf1c617650d45c3b9")</f>
        <v>60ff6f7cf1c617650d45c3b9</v>
      </c>
      <c r="AJ183" s="25">
        <f t="shared" ca="1" si="0"/>
        <v>1</v>
      </c>
    </row>
    <row r="184" spans="1:36" ht="31">
      <c r="A184" s="51" t="s">
        <v>988</v>
      </c>
      <c r="B184" s="51" t="s">
        <v>1171</v>
      </c>
      <c r="C184" s="22" t="s">
        <v>1172</v>
      </c>
      <c r="D184" s="23" t="s">
        <v>1173</v>
      </c>
      <c r="E184" s="22" t="s">
        <v>49</v>
      </c>
      <c r="F184" s="22" t="s">
        <v>228</v>
      </c>
      <c r="G184" s="22" t="s">
        <v>49</v>
      </c>
      <c r="H184" s="22" t="s">
        <v>126</v>
      </c>
      <c r="I184" s="22" t="s">
        <v>307</v>
      </c>
      <c r="J184" s="22" t="s">
        <v>53</v>
      </c>
      <c r="K184" s="22" t="s">
        <v>128</v>
      </c>
      <c r="L184" s="22" t="s">
        <v>53</v>
      </c>
      <c r="M184" s="22" t="s">
        <v>398</v>
      </c>
      <c r="N184" s="22" t="s">
        <v>59</v>
      </c>
      <c r="O184" s="22" t="s">
        <v>84</v>
      </c>
      <c r="P184" s="22" t="s">
        <v>57</v>
      </c>
      <c r="Q184" s="22" t="s">
        <v>60</v>
      </c>
      <c r="R184" s="25"/>
      <c r="S184" s="22" t="s">
        <v>61</v>
      </c>
      <c r="T184" s="22" t="s">
        <v>62</v>
      </c>
      <c r="U184" s="22" t="s">
        <v>63</v>
      </c>
      <c r="V184" s="22" t="s">
        <v>64</v>
      </c>
      <c r="W184" s="25"/>
      <c r="X184" s="69" t="s">
        <v>654</v>
      </c>
      <c r="Y184" s="68" t="s">
        <v>1022</v>
      </c>
      <c r="Z184" s="22" t="s">
        <v>1174</v>
      </c>
      <c r="AA184" s="22" t="s">
        <v>1175</v>
      </c>
      <c r="AC184" s="22" t="s">
        <v>70</v>
      </c>
      <c r="AD184" s="27" t="s">
        <v>71</v>
      </c>
      <c r="AE184" s="22" t="s">
        <v>350</v>
      </c>
      <c r="AF184" s="34"/>
      <c r="AG184" s="34"/>
      <c r="AI184" s="25" t="str">
        <f ca="1">IFERROR(__xludf.DUMMYFUNCTION("""COMPUTED_VALUE"""),"60ff9ac25487713eb51af631")</f>
        <v>60ff9ac25487713eb51af631</v>
      </c>
      <c r="AJ184" s="25">
        <f t="shared" ca="1" si="0"/>
        <v>1</v>
      </c>
    </row>
    <row r="185" spans="1:36" ht="46.5">
      <c r="A185" s="51" t="s">
        <v>988</v>
      </c>
      <c r="B185" s="51" t="s">
        <v>1176</v>
      </c>
      <c r="C185" s="22" t="s">
        <v>1177</v>
      </c>
      <c r="D185" s="23" t="s">
        <v>1178</v>
      </c>
      <c r="E185" s="22" t="s">
        <v>49</v>
      </c>
      <c r="F185" s="22" t="s">
        <v>95</v>
      </c>
      <c r="G185" s="22" t="s">
        <v>79</v>
      </c>
      <c r="H185" s="22" t="s">
        <v>126</v>
      </c>
      <c r="I185" s="22" t="s">
        <v>81</v>
      </c>
      <c r="J185" s="22" t="s">
        <v>107</v>
      </c>
      <c r="K185" s="22" t="s">
        <v>144</v>
      </c>
      <c r="L185" s="22" t="s">
        <v>55</v>
      </c>
      <c r="M185" s="22" t="s">
        <v>398</v>
      </c>
      <c r="N185" s="22" t="s">
        <v>59</v>
      </c>
      <c r="O185" s="22" t="s">
        <v>84</v>
      </c>
      <c r="P185" s="22" t="s">
        <v>108</v>
      </c>
      <c r="Q185" s="22" t="s">
        <v>203</v>
      </c>
      <c r="R185" s="25"/>
      <c r="S185" s="22" t="s">
        <v>109</v>
      </c>
      <c r="T185" s="22" t="s">
        <v>62</v>
      </c>
      <c r="U185" s="22" t="s">
        <v>63</v>
      </c>
      <c r="V185" s="22" t="s">
        <v>64</v>
      </c>
      <c r="W185" s="25"/>
      <c r="X185" s="69" t="s">
        <v>864</v>
      </c>
      <c r="Y185" s="68" t="s">
        <v>503</v>
      </c>
      <c r="Z185" s="22" t="s">
        <v>1179</v>
      </c>
      <c r="AA185" s="22" t="s">
        <v>1180</v>
      </c>
      <c r="AC185" s="22" t="s">
        <v>70</v>
      </c>
      <c r="AD185" s="27" t="s">
        <v>71</v>
      </c>
      <c r="AE185" s="22" t="s">
        <v>350</v>
      </c>
      <c r="AF185" s="34"/>
      <c r="AG185" s="34"/>
      <c r="AI185" s="25" t="str">
        <f ca="1">IFERROR(__xludf.DUMMYFUNCTION("""COMPUTED_VALUE"""),"60ffa370df3a195d8e1dfa1c")</f>
        <v>60ffa370df3a195d8e1dfa1c</v>
      </c>
      <c r="AJ185" s="25">
        <f t="shared" ca="1" si="0"/>
        <v>1</v>
      </c>
    </row>
    <row r="186" spans="1:36" ht="46.5">
      <c r="A186" s="51" t="s">
        <v>988</v>
      </c>
      <c r="B186" s="51" t="s">
        <v>1181</v>
      </c>
      <c r="C186" s="22" t="s">
        <v>1182</v>
      </c>
      <c r="D186" s="23" t="s">
        <v>1183</v>
      </c>
      <c r="E186" s="22" t="s">
        <v>49</v>
      </c>
      <c r="F186" s="22" t="s">
        <v>50</v>
      </c>
      <c r="G186" s="22" t="s">
        <v>49</v>
      </c>
      <c r="H186" s="22" t="s">
        <v>126</v>
      </c>
      <c r="I186" s="22" t="s">
        <v>307</v>
      </c>
      <c r="J186" s="22" t="s">
        <v>127</v>
      </c>
      <c r="K186" s="22" t="s">
        <v>144</v>
      </c>
      <c r="L186" s="22" t="s">
        <v>53</v>
      </c>
      <c r="M186" s="22" t="s">
        <v>398</v>
      </c>
      <c r="N186" s="22" t="s">
        <v>59</v>
      </c>
      <c r="O186" s="22" t="s">
        <v>84</v>
      </c>
      <c r="P186" s="22" t="s">
        <v>537</v>
      </c>
      <c r="Q186" s="22" t="s">
        <v>60</v>
      </c>
      <c r="R186" s="25"/>
      <c r="S186" s="22" t="s">
        <v>85</v>
      </c>
      <c r="T186" s="22" t="s">
        <v>62</v>
      </c>
      <c r="U186" s="22" t="s">
        <v>515</v>
      </c>
      <c r="V186" s="22" t="s">
        <v>64</v>
      </c>
      <c r="W186" s="25"/>
      <c r="X186" s="68" t="s">
        <v>1154</v>
      </c>
      <c r="Y186" s="68" t="s">
        <v>496</v>
      </c>
      <c r="Z186" s="22" t="s">
        <v>1184</v>
      </c>
      <c r="AA186" s="22" t="s">
        <v>1185</v>
      </c>
      <c r="AC186" s="22" t="s">
        <v>70</v>
      </c>
      <c r="AD186" s="27" t="s">
        <v>71</v>
      </c>
      <c r="AE186" s="22" t="s">
        <v>350</v>
      </c>
      <c r="AF186" s="33" t="s">
        <v>1186</v>
      </c>
      <c r="AG186" s="33" t="s">
        <v>103</v>
      </c>
      <c r="AI186" s="25" t="str">
        <f ca="1">IFERROR(__xludf.DUMMYFUNCTION("""COMPUTED_VALUE"""),"60ffa901df3a195d8e1dfcb4")</f>
        <v>60ffa901df3a195d8e1dfcb4</v>
      </c>
      <c r="AJ186" s="25">
        <f t="shared" ca="1" si="0"/>
        <v>1</v>
      </c>
    </row>
    <row r="187" spans="1:36" ht="46.5">
      <c r="A187" s="51" t="s">
        <v>988</v>
      </c>
      <c r="B187" s="51" t="s">
        <v>1187</v>
      </c>
      <c r="C187" s="22" t="s">
        <v>1188</v>
      </c>
      <c r="D187" s="23" t="s">
        <v>1189</v>
      </c>
      <c r="E187" s="22" t="s">
        <v>49</v>
      </c>
      <c r="F187" s="22" t="s">
        <v>618</v>
      </c>
      <c r="G187" s="22" t="s">
        <v>79</v>
      </c>
      <c r="H187" s="22" t="s">
        <v>192</v>
      </c>
      <c r="I187" s="22" t="s">
        <v>81</v>
      </c>
      <c r="J187" s="22" t="s">
        <v>53</v>
      </c>
      <c r="K187" s="22" t="s">
        <v>54</v>
      </c>
      <c r="L187" s="22" t="s">
        <v>53</v>
      </c>
      <c r="M187" s="22" t="s">
        <v>56</v>
      </c>
      <c r="N187" s="22" t="s">
        <v>59</v>
      </c>
      <c r="O187" s="22" t="s">
        <v>84</v>
      </c>
      <c r="P187" s="22" t="s">
        <v>85</v>
      </c>
      <c r="Q187" s="22" t="s">
        <v>60</v>
      </c>
      <c r="R187" s="25"/>
      <c r="S187" s="22" t="s">
        <v>85</v>
      </c>
      <c r="T187" s="22" t="s">
        <v>62</v>
      </c>
      <c r="U187" s="22" t="s">
        <v>63</v>
      </c>
      <c r="V187" s="22" t="s">
        <v>64</v>
      </c>
      <c r="W187" s="25"/>
      <c r="X187" s="68" t="s">
        <v>1154</v>
      </c>
      <c r="Y187" s="68" t="s">
        <v>936</v>
      </c>
      <c r="Z187" s="22" t="s">
        <v>1190</v>
      </c>
      <c r="AA187" s="22" t="s">
        <v>1191</v>
      </c>
      <c r="AB187" s="22" t="s">
        <v>1192</v>
      </c>
      <c r="AC187" s="22" t="s">
        <v>70</v>
      </c>
      <c r="AD187" s="27" t="s">
        <v>71</v>
      </c>
      <c r="AE187" s="22" t="s">
        <v>478</v>
      </c>
      <c r="AF187" s="33" t="s">
        <v>1193</v>
      </c>
      <c r="AG187" s="33" t="s">
        <v>103</v>
      </c>
      <c r="AI187" s="25" t="str">
        <f ca="1">IFERROR(__xludf.DUMMYFUNCTION("""COMPUTED_VALUE"""),"60ffb48bdf3a195d8e1e01e8")</f>
        <v>60ffb48bdf3a195d8e1e01e8</v>
      </c>
      <c r="AJ187" s="25">
        <f t="shared" ca="1" si="0"/>
        <v>1</v>
      </c>
    </row>
    <row r="188" spans="1:36" ht="31">
      <c r="A188" s="51" t="s">
        <v>988</v>
      </c>
      <c r="B188" s="51" t="s">
        <v>1194</v>
      </c>
      <c r="C188" s="22" t="s">
        <v>1195</v>
      </c>
      <c r="D188" s="23" t="s">
        <v>1196</v>
      </c>
      <c r="E188" s="22" t="s">
        <v>53</v>
      </c>
      <c r="F188" s="22" t="s">
        <v>269</v>
      </c>
      <c r="G188" s="22" t="s">
        <v>79</v>
      </c>
      <c r="H188" s="22" t="s">
        <v>126</v>
      </c>
      <c r="I188" s="22" t="s">
        <v>52</v>
      </c>
      <c r="J188" s="22" t="s">
        <v>501</v>
      </c>
      <c r="K188" s="22" t="s">
        <v>170</v>
      </c>
      <c r="L188" s="22" t="s">
        <v>53</v>
      </c>
      <c r="M188" s="22" t="s">
        <v>56</v>
      </c>
      <c r="N188" s="22" t="s">
        <v>348</v>
      </c>
      <c r="O188" s="22" t="s">
        <v>84</v>
      </c>
      <c r="P188" s="22" t="s">
        <v>422</v>
      </c>
      <c r="Q188" s="22" t="s">
        <v>60</v>
      </c>
      <c r="R188" s="25"/>
      <c r="S188" s="22" t="s">
        <v>61</v>
      </c>
      <c r="T188" s="22" t="s">
        <v>62</v>
      </c>
      <c r="U188" s="22" t="s">
        <v>63</v>
      </c>
      <c r="V188" s="22" t="s">
        <v>118</v>
      </c>
      <c r="W188" s="25"/>
      <c r="X188" s="69" t="s">
        <v>1154</v>
      </c>
      <c r="Y188" s="68" t="s">
        <v>969</v>
      </c>
      <c r="Z188" s="22" t="s">
        <v>1197</v>
      </c>
      <c r="AA188" s="22" t="s">
        <v>1198</v>
      </c>
      <c r="AC188" s="22" t="s">
        <v>70</v>
      </c>
      <c r="AD188" s="27" t="s">
        <v>71</v>
      </c>
      <c r="AE188" s="22" t="s">
        <v>478</v>
      </c>
      <c r="AF188" s="33" t="s">
        <v>1199</v>
      </c>
      <c r="AG188" s="33" t="s">
        <v>103</v>
      </c>
      <c r="AI188" s="25" t="str">
        <f ca="1">IFERROR(__xludf.DUMMYFUNCTION("""COMPUTED_VALUE"""),"60ffc376f1c617650d45c749")</f>
        <v>60ffc376f1c617650d45c749</v>
      </c>
      <c r="AJ188" s="25">
        <f t="shared" ca="1" si="0"/>
        <v>1</v>
      </c>
    </row>
    <row r="189" spans="1:36" ht="46.5">
      <c r="A189" s="51" t="s">
        <v>988</v>
      </c>
      <c r="B189" s="51" t="s">
        <v>1200</v>
      </c>
      <c r="C189" s="22" t="s">
        <v>1201</v>
      </c>
      <c r="D189" s="23" t="s">
        <v>1202</v>
      </c>
      <c r="E189" s="22" t="s">
        <v>49</v>
      </c>
      <c r="F189" s="22" t="s">
        <v>95</v>
      </c>
      <c r="G189" s="22" t="s">
        <v>49</v>
      </c>
      <c r="H189" s="22" t="s">
        <v>126</v>
      </c>
      <c r="I189" s="22" t="s">
        <v>81</v>
      </c>
      <c r="J189" s="22" t="s">
        <v>107</v>
      </c>
      <c r="K189" s="22" t="s">
        <v>144</v>
      </c>
      <c r="L189" s="22" t="s">
        <v>53</v>
      </c>
      <c r="M189" s="22" t="s">
        <v>398</v>
      </c>
      <c r="N189" s="22" t="s">
        <v>59</v>
      </c>
      <c r="O189" s="22" t="s">
        <v>84</v>
      </c>
      <c r="P189" s="22" t="s">
        <v>294</v>
      </c>
      <c r="Q189" s="22" t="s">
        <v>60</v>
      </c>
      <c r="R189" s="25"/>
      <c r="S189" s="22" t="s">
        <v>85</v>
      </c>
      <c r="T189" s="22" t="s">
        <v>62</v>
      </c>
      <c r="U189" s="22" t="s">
        <v>63</v>
      </c>
      <c r="V189" s="22" t="s">
        <v>64</v>
      </c>
      <c r="W189" s="25"/>
      <c r="X189" s="68" t="s">
        <v>864</v>
      </c>
      <c r="Y189" s="68" t="s">
        <v>503</v>
      </c>
      <c r="Z189" s="22" t="s">
        <v>1203</v>
      </c>
      <c r="AA189" s="22" t="s">
        <v>434</v>
      </c>
      <c r="AC189" s="22" t="s">
        <v>70</v>
      </c>
      <c r="AD189" s="27" t="s">
        <v>71</v>
      </c>
      <c r="AE189" s="22" t="s">
        <v>478</v>
      </c>
      <c r="AF189" s="33" t="s">
        <v>1204</v>
      </c>
      <c r="AG189" s="33" t="s">
        <v>103</v>
      </c>
      <c r="AI189" s="25" t="str">
        <f ca="1">IFERROR(__xludf.DUMMYFUNCTION("""COMPUTED_VALUE"""),"60ffda24f1c617650d45c85c")</f>
        <v>60ffda24f1c617650d45c85c</v>
      </c>
      <c r="AJ189" s="25">
        <f t="shared" ca="1" si="0"/>
        <v>1</v>
      </c>
    </row>
    <row r="190" spans="1:36" ht="46.5">
      <c r="A190" s="51" t="s">
        <v>988</v>
      </c>
      <c r="B190" s="51" t="s">
        <v>1205</v>
      </c>
      <c r="C190" s="22" t="s">
        <v>1206</v>
      </c>
      <c r="D190" s="23" t="s">
        <v>1207</v>
      </c>
      <c r="E190" s="22" t="s">
        <v>49</v>
      </c>
      <c r="F190" s="22" t="s">
        <v>50</v>
      </c>
      <c r="G190" s="22" t="s">
        <v>49</v>
      </c>
      <c r="H190" s="22" t="s">
        <v>126</v>
      </c>
      <c r="I190" s="22" t="s">
        <v>221</v>
      </c>
      <c r="J190" s="22" t="s">
        <v>53</v>
      </c>
      <c r="K190" s="22" t="s">
        <v>144</v>
      </c>
      <c r="L190" s="22" t="s">
        <v>53</v>
      </c>
      <c r="M190" s="22" t="s">
        <v>398</v>
      </c>
      <c r="N190" s="22" t="s">
        <v>59</v>
      </c>
      <c r="O190" s="22" t="s">
        <v>490</v>
      </c>
      <c r="P190" s="22" t="s">
        <v>85</v>
      </c>
      <c r="Q190" s="22" t="s">
        <v>60</v>
      </c>
      <c r="R190" s="22" t="s">
        <v>238</v>
      </c>
      <c r="S190" s="22" t="s">
        <v>85</v>
      </c>
      <c r="T190" s="22" t="s">
        <v>62</v>
      </c>
      <c r="U190" s="22" t="s">
        <v>63</v>
      </c>
      <c r="V190" s="22" t="s">
        <v>64</v>
      </c>
      <c r="W190" s="25"/>
      <c r="X190" s="68" t="s">
        <v>842</v>
      </c>
      <c r="Y190" s="68" t="s">
        <v>195</v>
      </c>
      <c r="Z190" s="22" t="s">
        <v>1208</v>
      </c>
      <c r="AA190" s="22" t="s">
        <v>1209</v>
      </c>
      <c r="AC190" s="22" t="s">
        <v>70</v>
      </c>
      <c r="AD190" s="27" t="s">
        <v>71</v>
      </c>
      <c r="AE190" s="22" t="s">
        <v>478</v>
      </c>
      <c r="AF190" s="34"/>
      <c r="AG190" s="34"/>
      <c r="AI190" s="25" t="str">
        <f ca="1">IFERROR(__xludf.DUMMYFUNCTION("""COMPUTED_VALUE"""),"60ffc370df3a195d8e1e04e6")</f>
        <v>60ffc370df3a195d8e1e04e6</v>
      </c>
      <c r="AJ190" s="25">
        <f t="shared" ca="1" si="0"/>
        <v>1</v>
      </c>
    </row>
    <row r="191" spans="1:36" ht="46.5">
      <c r="A191" s="51" t="s">
        <v>988</v>
      </c>
      <c r="B191" s="51" t="s">
        <v>1210</v>
      </c>
      <c r="C191" s="22" t="s">
        <v>1211</v>
      </c>
      <c r="D191" s="23" t="s">
        <v>1212</v>
      </c>
      <c r="E191" s="22" t="s">
        <v>49</v>
      </c>
      <c r="F191" s="22" t="s">
        <v>95</v>
      </c>
      <c r="G191" s="22" t="s">
        <v>79</v>
      </c>
      <c r="H191" s="22" t="s">
        <v>51</v>
      </c>
      <c r="I191" s="22" t="s">
        <v>52</v>
      </c>
      <c r="J191" s="22" t="s">
        <v>127</v>
      </c>
      <c r="K191" s="22" t="s">
        <v>356</v>
      </c>
      <c r="L191" s="22" t="s">
        <v>55</v>
      </c>
      <c r="M191" s="22" t="s">
        <v>56</v>
      </c>
      <c r="N191" s="22" t="s">
        <v>59</v>
      </c>
      <c r="O191" s="22" t="s">
        <v>84</v>
      </c>
      <c r="P191" s="22" t="s">
        <v>85</v>
      </c>
      <c r="Q191" s="22" t="s">
        <v>60</v>
      </c>
      <c r="R191" s="22" t="s">
        <v>238</v>
      </c>
      <c r="S191" s="22" t="s">
        <v>85</v>
      </c>
      <c r="T191" s="22" t="s">
        <v>62</v>
      </c>
      <c r="U191" s="22" t="s">
        <v>515</v>
      </c>
      <c r="V191" s="22" t="s">
        <v>64</v>
      </c>
      <c r="W191" s="25"/>
      <c r="X191" s="68" t="s">
        <v>1213</v>
      </c>
      <c r="Y191" s="68" t="s">
        <v>99</v>
      </c>
      <c r="Z191" s="22" t="s">
        <v>1214</v>
      </c>
      <c r="AA191" s="22" t="s">
        <v>1215</v>
      </c>
      <c r="AC191" s="22" t="s">
        <v>70</v>
      </c>
      <c r="AD191" s="27" t="s">
        <v>71</v>
      </c>
      <c r="AE191" s="22" t="s">
        <v>478</v>
      </c>
      <c r="AF191" s="34"/>
      <c r="AG191" s="34"/>
      <c r="AI191" s="25" t="str">
        <f ca="1">IFERROR(__xludf.DUMMYFUNCTION("""COMPUTED_VALUE"""),"60ffea215487713eb51af659")</f>
        <v>60ffea215487713eb51af659</v>
      </c>
      <c r="AJ191" s="25">
        <f t="shared" ca="1" si="0"/>
        <v>1</v>
      </c>
    </row>
    <row r="192" spans="1:36" ht="46.5">
      <c r="A192" s="51" t="s">
        <v>988</v>
      </c>
      <c r="B192" s="51" t="s">
        <v>1216</v>
      </c>
      <c r="C192" s="22" t="s">
        <v>1217</v>
      </c>
      <c r="D192" s="23" t="s">
        <v>1218</v>
      </c>
      <c r="E192" s="22" t="s">
        <v>49</v>
      </c>
      <c r="F192" s="22" t="s">
        <v>95</v>
      </c>
      <c r="G192" s="22" t="s">
        <v>79</v>
      </c>
      <c r="H192" s="22" t="s">
        <v>192</v>
      </c>
      <c r="I192" s="22" t="s">
        <v>221</v>
      </c>
      <c r="J192" s="22" t="s">
        <v>53</v>
      </c>
      <c r="K192" s="22" t="s">
        <v>54</v>
      </c>
      <c r="L192" s="22" t="s">
        <v>53</v>
      </c>
      <c r="M192" s="22" t="s">
        <v>398</v>
      </c>
      <c r="N192" s="22" t="s">
        <v>59</v>
      </c>
      <c r="O192" s="22" t="s">
        <v>84</v>
      </c>
      <c r="P192" s="22" t="s">
        <v>85</v>
      </c>
      <c r="Q192" s="22" t="s">
        <v>60</v>
      </c>
      <c r="R192" s="22" t="s">
        <v>86</v>
      </c>
      <c r="S192" s="22" t="s">
        <v>85</v>
      </c>
      <c r="T192" s="22" t="s">
        <v>62</v>
      </c>
      <c r="U192" s="22" t="s">
        <v>63</v>
      </c>
      <c r="V192" s="22" t="s">
        <v>172</v>
      </c>
      <c r="W192" s="25"/>
      <c r="X192" s="71" t="s">
        <v>1219</v>
      </c>
      <c r="Y192" s="71" t="s">
        <v>99</v>
      </c>
      <c r="Z192" s="22" t="s">
        <v>1220</v>
      </c>
      <c r="AA192" s="22" t="s">
        <v>1214</v>
      </c>
      <c r="AC192" s="22" t="s">
        <v>70</v>
      </c>
      <c r="AD192" s="27" t="s">
        <v>71</v>
      </c>
      <c r="AE192" s="22" t="s">
        <v>478</v>
      </c>
      <c r="AF192" s="34"/>
      <c r="AG192" s="34"/>
      <c r="AI192" s="25" t="str">
        <f ca="1">IFERROR(__xludf.DUMMYFUNCTION("""COMPUTED_VALUE"""),"60fffad7f1c617650d45c9ab")</f>
        <v>60fffad7f1c617650d45c9ab</v>
      </c>
      <c r="AJ192" s="25">
        <f t="shared" ca="1" si="0"/>
        <v>1</v>
      </c>
    </row>
    <row r="193" spans="1:38" ht="46.5">
      <c r="A193" s="51" t="s">
        <v>988</v>
      </c>
      <c r="B193" s="51" t="s">
        <v>1221</v>
      </c>
      <c r="C193" s="22" t="s">
        <v>1222</v>
      </c>
      <c r="D193" s="23" t="s">
        <v>1223</v>
      </c>
      <c r="E193" s="22" t="s">
        <v>49</v>
      </c>
      <c r="F193" s="22" t="s">
        <v>269</v>
      </c>
      <c r="G193" s="22" t="s">
        <v>49</v>
      </c>
      <c r="H193" s="22" t="s">
        <v>126</v>
      </c>
      <c r="I193" s="22" t="s">
        <v>52</v>
      </c>
      <c r="J193" s="22" t="s">
        <v>53</v>
      </c>
      <c r="K193" s="22" t="s">
        <v>54</v>
      </c>
      <c r="L193" s="22" t="s">
        <v>55</v>
      </c>
      <c r="M193" s="22" t="s">
        <v>398</v>
      </c>
      <c r="N193" s="22" t="s">
        <v>59</v>
      </c>
      <c r="O193" s="22" t="s">
        <v>1224</v>
      </c>
      <c r="P193" s="22" t="s">
        <v>59</v>
      </c>
      <c r="Q193" s="22" t="s">
        <v>98</v>
      </c>
      <c r="R193" s="25"/>
      <c r="S193" s="22" t="s">
        <v>61</v>
      </c>
      <c r="T193" s="22" t="s">
        <v>62</v>
      </c>
      <c r="U193" s="22" t="s">
        <v>63</v>
      </c>
      <c r="V193" s="22" t="s">
        <v>64</v>
      </c>
      <c r="W193" s="25"/>
      <c r="X193" s="71" t="s">
        <v>1219</v>
      </c>
      <c r="Y193" s="71" t="s">
        <v>195</v>
      </c>
      <c r="Z193" s="22" t="s">
        <v>1225</v>
      </c>
      <c r="AA193" s="22" t="s">
        <v>1226</v>
      </c>
      <c r="AC193" s="22" t="s">
        <v>70</v>
      </c>
      <c r="AD193" s="27" t="s">
        <v>71</v>
      </c>
      <c r="AE193" s="22" t="s">
        <v>478</v>
      </c>
      <c r="AF193" s="33" t="s">
        <v>1227</v>
      </c>
      <c r="AG193" s="33" t="s">
        <v>103</v>
      </c>
      <c r="AI193" s="25" t="str">
        <f ca="1">IFERROR(__xludf.DUMMYFUNCTION("""COMPUTED_VALUE"""),"6100057bdf3a195d8e1e19d4")</f>
        <v>6100057bdf3a195d8e1e19d4</v>
      </c>
      <c r="AJ193" s="25">
        <f t="shared" ca="1" si="0"/>
        <v>1</v>
      </c>
    </row>
    <row r="194" spans="1:38" ht="46.5">
      <c r="A194" s="51" t="s">
        <v>988</v>
      </c>
      <c r="B194" s="51" t="s">
        <v>1228</v>
      </c>
      <c r="C194" s="22" t="s">
        <v>1229</v>
      </c>
      <c r="D194" s="23" t="s">
        <v>1230</v>
      </c>
      <c r="E194" s="22" t="s">
        <v>49</v>
      </c>
      <c r="F194" s="22" t="s">
        <v>50</v>
      </c>
      <c r="G194" s="22" t="s">
        <v>49</v>
      </c>
      <c r="H194" s="22" t="s">
        <v>126</v>
      </c>
      <c r="I194" s="22" t="s">
        <v>307</v>
      </c>
      <c r="J194" s="22" t="s">
        <v>53</v>
      </c>
      <c r="K194" s="22" t="s">
        <v>128</v>
      </c>
      <c r="L194" s="22" t="s">
        <v>53</v>
      </c>
      <c r="M194" s="22" t="s">
        <v>1231</v>
      </c>
      <c r="N194" s="22" t="s">
        <v>59</v>
      </c>
      <c r="O194" s="22" t="s">
        <v>84</v>
      </c>
      <c r="P194" s="22" t="s">
        <v>57</v>
      </c>
      <c r="Q194" s="22" t="s">
        <v>1232</v>
      </c>
      <c r="R194" s="22" t="s">
        <v>60</v>
      </c>
      <c r="S194" s="22" t="s">
        <v>61</v>
      </c>
      <c r="T194" s="22" t="s">
        <v>62</v>
      </c>
      <c r="U194" s="22" t="s">
        <v>63</v>
      </c>
      <c r="V194" s="22" t="s">
        <v>64</v>
      </c>
      <c r="W194" s="25"/>
      <c r="X194" s="71" t="s">
        <v>1233</v>
      </c>
      <c r="Y194" s="71" t="s">
        <v>925</v>
      </c>
      <c r="Z194" s="22" t="s">
        <v>1131</v>
      </c>
      <c r="AA194" s="22" t="s">
        <v>1234</v>
      </c>
      <c r="AC194" s="22" t="s">
        <v>70</v>
      </c>
      <c r="AD194" s="27" t="s">
        <v>71</v>
      </c>
      <c r="AE194" s="22" t="s">
        <v>478</v>
      </c>
      <c r="AF194" s="33" t="s">
        <v>1235</v>
      </c>
      <c r="AG194" s="33" t="s">
        <v>103</v>
      </c>
      <c r="AI194" s="25" t="str">
        <f ca="1">IFERROR(__xludf.DUMMYFUNCTION("""COMPUTED_VALUE"""),"61000c35df3a195d8e1e1cd4")</f>
        <v>61000c35df3a195d8e1e1cd4</v>
      </c>
      <c r="AJ194" s="25">
        <f t="shared" ca="1" si="0"/>
        <v>1</v>
      </c>
    </row>
    <row r="195" spans="1:38" ht="31">
      <c r="A195" s="51" t="s">
        <v>988</v>
      </c>
      <c r="B195" s="51" t="s">
        <v>1236</v>
      </c>
      <c r="C195" s="22" t="s">
        <v>1237</v>
      </c>
      <c r="D195" s="23" t="s">
        <v>1238</v>
      </c>
      <c r="E195" s="22" t="s">
        <v>49</v>
      </c>
      <c r="F195" s="22" t="s">
        <v>50</v>
      </c>
      <c r="G195" s="22" t="s">
        <v>49</v>
      </c>
      <c r="H195" s="22" t="s">
        <v>51</v>
      </c>
      <c r="I195" s="22" t="s">
        <v>81</v>
      </c>
      <c r="J195" s="22" t="s">
        <v>53</v>
      </c>
      <c r="K195" s="22" t="s">
        <v>82</v>
      </c>
      <c r="L195" s="22" t="s">
        <v>53</v>
      </c>
      <c r="M195" s="22" t="s">
        <v>398</v>
      </c>
      <c r="N195" s="22" t="s">
        <v>59</v>
      </c>
      <c r="O195" s="22" t="s">
        <v>84</v>
      </c>
      <c r="P195" s="22" t="s">
        <v>85</v>
      </c>
      <c r="Q195" s="22" t="s">
        <v>60</v>
      </c>
      <c r="R195" s="25"/>
      <c r="S195" s="22" t="s">
        <v>85</v>
      </c>
      <c r="T195" s="22" t="s">
        <v>62</v>
      </c>
      <c r="U195" s="22" t="s">
        <v>63</v>
      </c>
      <c r="V195" s="22" t="s">
        <v>64</v>
      </c>
      <c r="W195" s="25"/>
      <c r="X195" s="72" t="s">
        <v>1233</v>
      </c>
      <c r="Y195" s="71" t="s">
        <v>67</v>
      </c>
      <c r="Z195" s="22" t="s">
        <v>315</v>
      </c>
      <c r="AA195" s="22" t="s">
        <v>696</v>
      </c>
      <c r="AC195" s="22" t="s">
        <v>70</v>
      </c>
      <c r="AD195" s="27" t="s">
        <v>71</v>
      </c>
      <c r="AE195" s="22" t="s">
        <v>478</v>
      </c>
      <c r="AF195" s="33" t="s">
        <v>1239</v>
      </c>
      <c r="AG195" s="33" t="s">
        <v>103</v>
      </c>
      <c r="AI195" s="25" t="str">
        <f ca="1">IFERROR(__xludf.DUMMYFUNCTION("""COMPUTED_VALUE"""),"6100143edf3a195d8e1e2054")</f>
        <v>6100143edf3a195d8e1e2054</v>
      </c>
      <c r="AJ195" s="25">
        <f t="shared" ca="1" si="0"/>
        <v>1</v>
      </c>
    </row>
    <row r="196" spans="1:38" ht="46.5">
      <c r="A196" s="51" t="s">
        <v>988</v>
      </c>
      <c r="B196" s="51" t="s">
        <v>1240</v>
      </c>
      <c r="C196" s="22" t="s">
        <v>1241</v>
      </c>
      <c r="D196" s="23" t="s">
        <v>1242</v>
      </c>
      <c r="E196" s="22" t="s">
        <v>49</v>
      </c>
      <c r="F196" s="22" t="s">
        <v>50</v>
      </c>
      <c r="G196" s="22" t="s">
        <v>49</v>
      </c>
      <c r="H196" s="22" t="s">
        <v>1243</v>
      </c>
      <c r="I196" s="22" t="s">
        <v>81</v>
      </c>
      <c r="J196" s="22" t="s">
        <v>109</v>
      </c>
      <c r="K196" s="22" t="s">
        <v>128</v>
      </c>
      <c r="L196" s="22" t="s">
        <v>53</v>
      </c>
      <c r="M196" s="22" t="s">
        <v>398</v>
      </c>
      <c r="N196" s="22" t="s">
        <v>59</v>
      </c>
      <c r="O196" s="22" t="s">
        <v>84</v>
      </c>
      <c r="P196" s="22" t="s">
        <v>109</v>
      </c>
      <c r="Q196" s="22" t="s">
        <v>60</v>
      </c>
      <c r="R196" s="25"/>
      <c r="S196" s="22" t="s">
        <v>109</v>
      </c>
      <c r="T196" s="22" t="s">
        <v>62</v>
      </c>
      <c r="U196" s="22" t="s">
        <v>63</v>
      </c>
      <c r="V196" s="22" t="s">
        <v>64</v>
      </c>
      <c r="W196" s="25"/>
      <c r="X196" s="35" t="s">
        <v>1233</v>
      </c>
      <c r="Y196" s="22" t="s">
        <v>1022</v>
      </c>
      <c r="Z196" s="22" t="s">
        <v>1244</v>
      </c>
      <c r="AA196" s="22" t="s">
        <v>1245</v>
      </c>
      <c r="AC196" s="22" t="s">
        <v>475</v>
      </c>
      <c r="AD196" s="27" t="s">
        <v>71</v>
      </c>
      <c r="AE196" s="22" t="s">
        <v>478</v>
      </c>
      <c r="AF196" s="34"/>
      <c r="AG196" s="34"/>
      <c r="AI196" s="25" t="str">
        <f ca="1">IFERROR(__xludf.DUMMYFUNCTION("""COMPUTED_VALUE"""),"6100c200f1c617650d45cb1a")</f>
        <v>6100c200f1c617650d45cb1a</v>
      </c>
      <c r="AJ196" s="25">
        <f t="shared" ca="1" si="0"/>
        <v>1</v>
      </c>
    </row>
    <row r="197" spans="1:38" ht="46.5">
      <c r="A197" s="51" t="s">
        <v>988</v>
      </c>
      <c r="B197" s="51" t="s">
        <v>1246</v>
      </c>
      <c r="C197" s="22" t="s">
        <v>1247</v>
      </c>
      <c r="D197" s="23" t="s">
        <v>1248</v>
      </c>
      <c r="E197" s="22" t="s">
        <v>49</v>
      </c>
      <c r="F197" s="22" t="s">
        <v>78</v>
      </c>
      <c r="G197" s="22" t="s">
        <v>49</v>
      </c>
      <c r="H197" s="22" t="s">
        <v>126</v>
      </c>
      <c r="I197" s="22" t="s">
        <v>52</v>
      </c>
      <c r="J197" s="22" t="s">
        <v>53</v>
      </c>
      <c r="K197" s="22" t="s">
        <v>856</v>
      </c>
      <c r="L197" s="22" t="s">
        <v>55</v>
      </c>
      <c r="M197" s="22" t="s">
        <v>83</v>
      </c>
      <c r="N197" s="22" t="s">
        <v>59</v>
      </c>
      <c r="O197" s="22" t="s">
        <v>1224</v>
      </c>
      <c r="P197" s="22" t="s">
        <v>59</v>
      </c>
      <c r="Q197" s="22" t="s">
        <v>98</v>
      </c>
      <c r="R197" s="25"/>
      <c r="S197" s="22" t="s">
        <v>61</v>
      </c>
      <c r="T197" s="22" t="s">
        <v>62</v>
      </c>
      <c r="U197" s="22" t="s">
        <v>63</v>
      </c>
      <c r="V197" s="22" t="s">
        <v>64</v>
      </c>
      <c r="W197" s="25"/>
      <c r="X197" s="26" t="s">
        <v>1219</v>
      </c>
      <c r="Y197" s="22" t="s">
        <v>195</v>
      </c>
      <c r="Z197" s="22" t="s">
        <v>338</v>
      </c>
      <c r="AA197" s="22" t="s">
        <v>538</v>
      </c>
      <c r="AC197" s="22" t="s">
        <v>475</v>
      </c>
      <c r="AD197" s="27" t="s">
        <v>71</v>
      </c>
      <c r="AE197" s="22" t="s">
        <v>478</v>
      </c>
      <c r="AF197" s="34"/>
      <c r="AG197" s="34"/>
      <c r="AI197" s="25" t="str">
        <f ca="1">IFERROR(__xludf.DUMMYFUNCTION("""COMPUTED_VALUE"""),"6100bebe4868e914f3d3e9b9")</f>
        <v>6100bebe4868e914f3d3e9b9</v>
      </c>
      <c r="AJ197" s="25">
        <f t="shared" ca="1" si="0"/>
        <v>1</v>
      </c>
    </row>
    <row r="198" spans="1:38" ht="46.5">
      <c r="A198" s="51" t="s">
        <v>988</v>
      </c>
      <c r="B198" s="51" t="s">
        <v>1249</v>
      </c>
      <c r="C198" s="22" t="s">
        <v>1250</v>
      </c>
      <c r="D198" s="23" t="s">
        <v>1251</v>
      </c>
      <c r="E198" s="22" t="s">
        <v>49</v>
      </c>
      <c r="F198" s="22" t="s">
        <v>50</v>
      </c>
      <c r="G198" s="22" t="s">
        <v>49</v>
      </c>
      <c r="H198" s="22" t="s">
        <v>126</v>
      </c>
      <c r="I198" s="22" t="s">
        <v>81</v>
      </c>
      <c r="J198" s="22" t="s">
        <v>53</v>
      </c>
      <c r="K198" s="22" t="s">
        <v>144</v>
      </c>
      <c r="L198" s="22" t="s">
        <v>53</v>
      </c>
      <c r="M198" s="22" t="s">
        <v>398</v>
      </c>
      <c r="N198" s="22" t="s">
        <v>59</v>
      </c>
      <c r="O198" s="22" t="s">
        <v>84</v>
      </c>
      <c r="P198" s="22" t="s">
        <v>108</v>
      </c>
      <c r="Q198" s="22" t="s">
        <v>60</v>
      </c>
      <c r="R198" s="25"/>
      <c r="S198" s="22" t="s">
        <v>85</v>
      </c>
      <c r="T198" s="22" t="s">
        <v>62</v>
      </c>
      <c r="U198" s="22" t="s">
        <v>63</v>
      </c>
      <c r="V198" s="22" t="s">
        <v>64</v>
      </c>
      <c r="W198" s="25"/>
      <c r="X198" s="35" t="s">
        <v>1233</v>
      </c>
      <c r="Y198" s="22" t="s">
        <v>262</v>
      </c>
      <c r="Z198" s="22" t="s">
        <v>772</v>
      </c>
      <c r="AA198" s="22" t="s">
        <v>263</v>
      </c>
      <c r="AC198" s="22" t="s">
        <v>475</v>
      </c>
      <c r="AD198" s="27" t="s">
        <v>71</v>
      </c>
      <c r="AE198" s="22" t="s">
        <v>478</v>
      </c>
      <c r="AF198" s="33" t="s">
        <v>1252</v>
      </c>
      <c r="AG198" s="40" t="s">
        <v>352</v>
      </c>
      <c r="AI198" s="25" t="str">
        <f ca="1">IFERROR(__xludf.DUMMYFUNCTION("""COMPUTED_VALUE"""),"6100c8934868e914f3d3eda7")</f>
        <v>6100c8934868e914f3d3eda7</v>
      </c>
      <c r="AJ198" s="25">
        <f t="shared" ca="1" si="0"/>
        <v>1</v>
      </c>
    </row>
    <row r="199" spans="1:38" ht="46.5">
      <c r="A199" s="51" t="s">
        <v>988</v>
      </c>
      <c r="B199" s="51" t="s">
        <v>1253</v>
      </c>
      <c r="C199" s="22" t="s">
        <v>1254</v>
      </c>
      <c r="D199" s="23" t="s">
        <v>1255</v>
      </c>
      <c r="E199" s="22" t="s">
        <v>53</v>
      </c>
      <c r="F199" s="22" t="s">
        <v>95</v>
      </c>
      <c r="G199" s="22" t="s">
        <v>49</v>
      </c>
      <c r="H199" s="22" t="s">
        <v>51</v>
      </c>
      <c r="I199" s="22" t="s">
        <v>81</v>
      </c>
      <c r="J199" s="22" t="s">
        <v>53</v>
      </c>
      <c r="K199" s="22" t="s">
        <v>856</v>
      </c>
      <c r="L199" s="22" t="s">
        <v>53</v>
      </c>
      <c r="M199" s="22" t="s">
        <v>398</v>
      </c>
      <c r="N199" s="22" t="s">
        <v>59</v>
      </c>
      <c r="O199" s="22" t="s">
        <v>84</v>
      </c>
      <c r="P199" s="22" t="s">
        <v>85</v>
      </c>
      <c r="Q199" s="22" t="s">
        <v>60</v>
      </c>
      <c r="R199" s="25"/>
      <c r="S199" s="22" t="s">
        <v>85</v>
      </c>
      <c r="T199" s="22" t="s">
        <v>62</v>
      </c>
      <c r="U199" s="22" t="s">
        <v>63</v>
      </c>
      <c r="V199" s="22" t="s">
        <v>64</v>
      </c>
      <c r="W199" s="25"/>
      <c r="X199" s="35" t="s">
        <v>1233</v>
      </c>
      <c r="Y199" s="22" t="s">
        <v>936</v>
      </c>
      <c r="Z199" s="22" t="s">
        <v>1256</v>
      </c>
      <c r="AA199" s="22" t="s">
        <v>619</v>
      </c>
      <c r="AC199" s="22" t="s">
        <v>475</v>
      </c>
      <c r="AD199" s="27" t="s">
        <v>71</v>
      </c>
      <c r="AE199" s="22" t="s">
        <v>478</v>
      </c>
      <c r="AF199" s="33" t="s">
        <v>1257</v>
      </c>
      <c r="AG199" s="40" t="s">
        <v>352</v>
      </c>
      <c r="AI199" s="25" t="str">
        <f ca="1">IFERROR(__xludf.DUMMYFUNCTION("""COMPUTED_VALUE"""),"6100e3b25487713eb51af68e")</f>
        <v>6100e3b25487713eb51af68e</v>
      </c>
      <c r="AJ199" s="25">
        <f t="shared" ca="1" si="0"/>
        <v>1</v>
      </c>
    </row>
    <row r="200" spans="1:38" ht="46.5">
      <c r="A200" s="51" t="s">
        <v>988</v>
      </c>
      <c r="B200" s="51" t="s">
        <v>1258</v>
      </c>
      <c r="C200" s="22" t="s">
        <v>1259</v>
      </c>
      <c r="D200" s="23" t="s">
        <v>1260</v>
      </c>
      <c r="E200" s="22" t="s">
        <v>49</v>
      </c>
      <c r="F200" s="22" t="s">
        <v>228</v>
      </c>
      <c r="G200" s="22" t="s">
        <v>79</v>
      </c>
      <c r="H200" s="22" t="s">
        <v>51</v>
      </c>
      <c r="I200" s="22" t="s">
        <v>81</v>
      </c>
      <c r="J200" s="22" t="s">
        <v>53</v>
      </c>
      <c r="K200" s="22" t="s">
        <v>182</v>
      </c>
      <c r="L200" s="22" t="s">
        <v>53</v>
      </c>
      <c r="M200" s="22" t="s">
        <v>83</v>
      </c>
      <c r="N200" s="22" t="s">
        <v>59</v>
      </c>
      <c r="O200" s="22" t="s">
        <v>84</v>
      </c>
      <c r="P200" s="22" t="s">
        <v>85</v>
      </c>
      <c r="Q200" s="22" t="s">
        <v>60</v>
      </c>
      <c r="R200" s="25"/>
      <c r="S200" s="22" t="s">
        <v>85</v>
      </c>
      <c r="T200" s="22" t="s">
        <v>62</v>
      </c>
      <c r="U200" s="22" t="s">
        <v>63</v>
      </c>
      <c r="V200" s="22" t="s">
        <v>64</v>
      </c>
      <c r="W200" s="25"/>
      <c r="X200" s="35" t="s">
        <v>1219</v>
      </c>
      <c r="Y200" s="22" t="s">
        <v>67</v>
      </c>
      <c r="Z200" s="22" t="s">
        <v>1261</v>
      </c>
      <c r="AA200" s="22" t="s">
        <v>314</v>
      </c>
      <c r="AC200" s="22" t="s">
        <v>475</v>
      </c>
      <c r="AD200" s="27" t="s">
        <v>71</v>
      </c>
      <c r="AE200" s="22" t="s">
        <v>478</v>
      </c>
      <c r="AF200" s="34"/>
      <c r="AG200" s="34"/>
      <c r="AI200" s="25" t="str">
        <f ca="1">IFERROR(__xludf.DUMMYFUNCTION("""COMPUTED_VALUE"""),"6100ef995487713eb51af69b")</f>
        <v>6100ef995487713eb51af69b</v>
      </c>
      <c r="AJ200" s="25">
        <f t="shared" ca="1" si="0"/>
        <v>1</v>
      </c>
    </row>
    <row r="201" spans="1:38" ht="46.5">
      <c r="A201" s="51" t="s">
        <v>988</v>
      </c>
      <c r="B201" s="51" t="s">
        <v>1262</v>
      </c>
      <c r="C201" s="22" t="s">
        <v>1263</v>
      </c>
      <c r="D201" s="23" t="s">
        <v>1264</v>
      </c>
      <c r="E201" s="22" t="s">
        <v>49</v>
      </c>
      <c r="F201" s="22" t="s">
        <v>95</v>
      </c>
      <c r="G201" s="22" t="s">
        <v>49</v>
      </c>
      <c r="H201" s="22" t="s">
        <v>126</v>
      </c>
      <c r="I201" s="22" t="s">
        <v>221</v>
      </c>
      <c r="J201" s="22" t="s">
        <v>53</v>
      </c>
      <c r="K201" s="22" t="s">
        <v>170</v>
      </c>
      <c r="L201" s="22" t="s">
        <v>53</v>
      </c>
      <c r="M201" s="22" t="s">
        <v>83</v>
      </c>
      <c r="N201" s="22" t="s">
        <v>59</v>
      </c>
      <c r="O201" s="22" t="s">
        <v>84</v>
      </c>
      <c r="P201" s="22" t="s">
        <v>422</v>
      </c>
      <c r="Q201" s="22" t="s">
        <v>60</v>
      </c>
      <c r="R201" s="25"/>
      <c r="S201" s="22" t="s">
        <v>388</v>
      </c>
      <c r="T201" s="22" t="s">
        <v>62</v>
      </c>
      <c r="U201" s="22" t="s">
        <v>63</v>
      </c>
      <c r="V201" s="22" t="s">
        <v>64</v>
      </c>
      <c r="W201" s="25"/>
      <c r="X201" s="35" t="s">
        <v>1219</v>
      </c>
      <c r="Y201" s="22" t="s">
        <v>302</v>
      </c>
      <c r="Z201" s="22" t="s">
        <v>1265</v>
      </c>
      <c r="AA201" s="22" t="s">
        <v>303</v>
      </c>
      <c r="AC201" s="22" t="s">
        <v>475</v>
      </c>
      <c r="AD201" s="27" t="s">
        <v>71</v>
      </c>
      <c r="AE201" s="22" t="s">
        <v>478</v>
      </c>
      <c r="AF201" s="34"/>
      <c r="AG201" s="34"/>
      <c r="AI201" s="25" t="str">
        <f ca="1">IFERROR(__xludf.DUMMYFUNCTION("""COMPUTED_VALUE"""),"6100f2324868e914f3d3f237")</f>
        <v>6100f2324868e914f3d3f237</v>
      </c>
      <c r="AJ201" s="25">
        <f t="shared" ca="1" si="0"/>
        <v>1</v>
      </c>
    </row>
    <row r="202" spans="1:38" ht="46.5">
      <c r="A202" s="51" t="s">
        <v>988</v>
      </c>
      <c r="B202" s="51" t="s">
        <v>1266</v>
      </c>
      <c r="C202" s="22" t="s">
        <v>1267</v>
      </c>
      <c r="D202" s="23" t="s">
        <v>1268</v>
      </c>
      <c r="E202" s="22" t="s">
        <v>49</v>
      </c>
      <c r="F202" s="22" t="s">
        <v>50</v>
      </c>
      <c r="G202" s="22" t="s">
        <v>49</v>
      </c>
      <c r="H202" s="22" t="s">
        <v>126</v>
      </c>
      <c r="I202" s="22" t="s">
        <v>52</v>
      </c>
      <c r="J202" s="22" t="s">
        <v>53</v>
      </c>
      <c r="K202" s="22" t="s">
        <v>856</v>
      </c>
      <c r="L202" s="22" t="s">
        <v>53</v>
      </c>
      <c r="M202" s="22" t="s">
        <v>83</v>
      </c>
      <c r="N202" s="22" t="s">
        <v>348</v>
      </c>
      <c r="O202" s="22" t="s">
        <v>490</v>
      </c>
      <c r="P202" s="22" t="s">
        <v>59</v>
      </c>
      <c r="Q202" s="22" t="s">
        <v>153</v>
      </c>
      <c r="R202" s="25"/>
      <c r="S202" s="22" t="s">
        <v>61</v>
      </c>
      <c r="T202" s="22" t="s">
        <v>62</v>
      </c>
      <c r="U202" s="22" t="s">
        <v>63</v>
      </c>
      <c r="V202" s="22" t="s">
        <v>64</v>
      </c>
      <c r="W202" s="25"/>
      <c r="X202" s="35" t="s">
        <v>1269</v>
      </c>
      <c r="Y202" s="22" t="s">
        <v>146</v>
      </c>
      <c r="Z202" s="22" t="s">
        <v>233</v>
      </c>
      <c r="AA202" s="22" t="s">
        <v>1270</v>
      </c>
      <c r="AC202" s="22" t="s">
        <v>475</v>
      </c>
      <c r="AD202" s="27" t="s">
        <v>71</v>
      </c>
      <c r="AE202" s="22" t="s">
        <v>478</v>
      </c>
      <c r="AF202" s="34"/>
      <c r="AG202" s="34"/>
      <c r="AI202" s="25" t="str">
        <f ca="1">IFERROR(__xludf.DUMMYFUNCTION("""COMPUTED_VALUE"""),"6100f8e64868e914f3d3f59f")</f>
        <v>6100f8e64868e914f3d3f59f</v>
      </c>
      <c r="AJ202" s="25">
        <f t="shared" ca="1" si="0"/>
        <v>1</v>
      </c>
    </row>
    <row r="203" spans="1:38" ht="46.5">
      <c r="A203" s="51" t="s">
        <v>988</v>
      </c>
      <c r="B203" s="51" t="s">
        <v>1271</v>
      </c>
      <c r="C203" s="22" t="s">
        <v>1272</v>
      </c>
      <c r="D203" s="23" t="s">
        <v>1273</v>
      </c>
      <c r="E203" s="22" t="s">
        <v>49</v>
      </c>
      <c r="F203" s="22" t="s">
        <v>95</v>
      </c>
      <c r="G203" s="22" t="s">
        <v>49</v>
      </c>
      <c r="H203" s="22" t="s">
        <v>126</v>
      </c>
      <c r="I203" s="22" t="s">
        <v>307</v>
      </c>
      <c r="J203" s="22" t="s">
        <v>53</v>
      </c>
      <c r="K203" s="22" t="s">
        <v>144</v>
      </c>
      <c r="L203" s="22" t="s">
        <v>53</v>
      </c>
      <c r="M203" s="22" t="s">
        <v>83</v>
      </c>
      <c r="N203" s="22" t="s">
        <v>59</v>
      </c>
      <c r="O203" s="22" t="s">
        <v>84</v>
      </c>
      <c r="P203" s="22" t="s">
        <v>348</v>
      </c>
      <c r="Q203" s="22" t="s">
        <v>60</v>
      </c>
      <c r="R203" s="25"/>
      <c r="S203" s="22" t="s">
        <v>61</v>
      </c>
      <c r="T203" s="22" t="s">
        <v>62</v>
      </c>
      <c r="U203" s="22" t="s">
        <v>63</v>
      </c>
      <c r="V203" s="22" t="s">
        <v>64</v>
      </c>
      <c r="W203" s="25"/>
      <c r="X203" s="35" t="s">
        <v>1269</v>
      </c>
      <c r="Y203" s="22" t="s">
        <v>525</v>
      </c>
      <c r="Z203" s="22" t="s">
        <v>900</v>
      </c>
      <c r="AA203" s="22" t="s">
        <v>1274</v>
      </c>
      <c r="AC203" s="22" t="s">
        <v>475</v>
      </c>
      <c r="AD203" s="27" t="s">
        <v>71</v>
      </c>
      <c r="AE203" s="22" t="s">
        <v>478</v>
      </c>
      <c r="AF203" s="34"/>
      <c r="AG203" s="34"/>
      <c r="AI203" s="25" t="str">
        <f ca="1">IFERROR(__xludf.DUMMYFUNCTION("""COMPUTED_VALUE"""),"6100fe0f4868e914f3d3f8c9")</f>
        <v>6100fe0f4868e914f3d3f8c9</v>
      </c>
      <c r="AJ203" s="25">
        <f t="shared" ca="1" si="0"/>
        <v>1</v>
      </c>
    </row>
    <row r="204" spans="1:38" ht="31">
      <c r="A204" s="51" t="s">
        <v>988</v>
      </c>
      <c r="B204" s="51" t="s">
        <v>1275</v>
      </c>
      <c r="C204" s="56" t="s">
        <v>1276</v>
      </c>
      <c r="D204" s="57" t="s">
        <v>1277</v>
      </c>
      <c r="E204" s="56" t="s">
        <v>49</v>
      </c>
      <c r="F204" s="56" t="s">
        <v>95</v>
      </c>
      <c r="G204" s="56" t="s">
        <v>49</v>
      </c>
      <c r="H204" s="56" t="s">
        <v>126</v>
      </c>
      <c r="I204" s="56" t="s">
        <v>81</v>
      </c>
      <c r="J204" s="56" t="s">
        <v>53</v>
      </c>
      <c r="K204" s="56" t="s">
        <v>144</v>
      </c>
      <c r="L204" s="56" t="s">
        <v>53</v>
      </c>
      <c r="M204" s="56" t="s">
        <v>83</v>
      </c>
      <c r="N204" s="56" t="s">
        <v>537</v>
      </c>
      <c r="O204" s="56" t="s">
        <v>84</v>
      </c>
      <c r="P204" s="56" t="s">
        <v>85</v>
      </c>
      <c r="Q204" s="56" t="s">
        <v>153</v>
      </c>
      <c r="R204" s="56" t="s">
        <v>60</v>
      </c>
      <c r="S204" s="56" t="s">
        <v>537</v>
      </c>
      <c r="T204" s="56" t="s">
        <v>62</v>
      </c>
      <c r="U204" s="56" t="s">
        <v>63</v>
      </c>
      <c r="V204" s="56" t="s">
        <v>64</v>
      </c>
      <c r="W204" s="58"/>
      <c r="X204" s="73" t="s">
        <v>1269</v>
      </c>
      <c r="Y204" s="56" t="s">
        <v>357</v>
      </c>
      <c r="Z204" s="56" t="s">
        <v>1051</v>
      </c>
      <c r="AA204" s="56" t="s">
        <v>1052</v>
      </c>
      <c r="AB204" s="58"/>
      <c r="AC204" s="56" t="s">
        <v>475</v>
      </c>
      <c r="AD204" s="60" t="s">
        <v>71</v>
      </c>
      <c r="AE204" s="56" t="s">
        <v>478</v>
      </c>
      <c r="AF204" s="61"/>
      <c r="AG204" s="61"/>
      <c r="AH204" s="58"/>
      <c r="AI204" s="58" t="str">
        <f ca="1">IFERROR(__xludf.DUMMYFUNCTION("""COMPUTED_VALUE"""),"61010a7cf1c617650d45cd4b")</f>
        <v>61010a7cf1c617650d45cd4b</v>
      </c>
      <c r="AJ204" s="25">
        <f t="shared" ca="1" si="0"/>
        <v>1</v>
      </c>
      <c r="AK204" s="58"/>
      <c r="AL204" s="58"/>
    </row>
    <row r="205" spans="1:38" ht="31">
      <c r="A205" s="51" t="s">
        <v>988</v>
      </c>
      <c r="B205" s="51" t="s">
        <v>1278</v>
      </c>
      <c r="C205" s="22" t="s">
        <v>1279</v>
      </c>
      <c r="D205" s="23" t="s">
        <v>1280</v>
      </c>
      <c r="E205" s="22" t="s">
        <v>49</v>
      </c>
      <c r="F205" s="22" t="s">
        <v>95</v>
      </c>
      <c r="G205" s="22" t="s">
        <v>49</v>
      </c>
      <c r="H205" s="22" t="s">
        <v>126</v>
      </c>
      <c r="I205" s="22" t="s">
        <v>221</v>
      </c>
      <c r="J205" s="22" t="s">
        <v>53</v>
      </c>
      <c r="K205" s="22" t="s">
        <v>170</v>
      </c>
      <c r="L205" s="22" t="s">
        <v>53</v>
      </c>
      <c r="M205" s="22" t="s">
        <v>83</v>
      </c>
      <c r="N205" s="22" t="s">
        <v>59</v>
      </c>
      <c r="O205" s="22" t="s">
        <v>490</v>
      </c>
      <c r="P205" s="22" t="s">
        <v>422</v>
      </c>
      <c r="Q205" s="22" t="s">
        <v>60</v>
      </c>
      <c r="R205" s="25"/>
      <c r="S205" s="22" t="s">
        <v>388</v>
      </c>
      <c r="T205" s="22" t="s">
        <v>62</v>
      </c>
      <c r="U205" s="22" t="s">
        <v>63</v>
      </c>
      <c r="V205" s="22" t="s">
        <v>64</v>
      </c>
      <c r="W205" s="25"/>
      <c r="X205" s="35" t="s">
        <v>1219</v>
      </c>
      <c r="Y205" s="22" t="s">
        <v>213</v>
      </c>
      <c r="Z205" s="22" t="s">
        <v>303</v>
      </c>
      <c r="AA205" s="22" t="s">
        <v>613</v>
      </c>
      <c r="AC205" s="22" t="s">
        <v>475</v>
      </c>
      <c r="AD205" s="27" t="s">
        <v>71</v>
      </c>
      <c r="AE205" s="22" t="s">
        <v>72</v>
      </c>
      <c r="AF205" s="34"/>
      <c r="AG205" s="34"/>
      <c r="AI205" s="25" t="str">
        <f ca="1">IFERROR(__xludf.DUMMYFUNCTION("""COMPUTED_VALUE"""),"6101103c5487713eb51af6b5")</f>
        <v>6101103c5487713eb51af6b5</v>
      </c>
      <c r="AJ205" s="25">
        <f t="shared" ca="1" si="0"/>
        <v>1</v>
      </c>
    </row>
    <row r="206" spans="1:38" ht="46.5">
      <c r="A206" s="51" t="s">
        <v>988</v>
      </c>
      <c r="B206" s="51" t="s">
        <v>1281</v>
      </c>
      <c r="C206" s="22" t="s">
        <v>1282</v>
      </c>
      <c r="D206" s="23" t="s">
        <v>1283</v>
      </c>
      <c r="E206" s="22" t="s">
        <v>49</v>
      </c>
      <c r="F206" s="22" t="s">
        <v>95</v>
      </c>
      <c r="G206" s="22" t="s">
        <v>79</v>
      </c>
      <c r="H206" s="22" t="s">
        <v>51</v>
      </c>
      <c r="I206" s="22" t="s">
        <v>81</v>
      </c>
      <c r="J206" s="22" t="s">
        <v>53</v>
      </c>
      <c r="K206" s="22" t="s">
        <v>856</v>
      </c>
      <c r="L206" s="22" t="s">
        <v>53</v>
      </c>
      <c r="M206" s="22" t="s">
        <v>83</v>
      </c>
      <c r="N206" s="22" t="s">
        <v>59</v>
      </c>
      <c r="O206" s="22" t="s">
        <v>84</v>
      </c>
      <c r="P206" s="22" t="s">
        <v>85</v>
      </c>
      <c r="Q206" s="22" t="s">
        <v>60</v>
      </c>
      <c r="R206" s="25"/>
      <c r="S206" s="22" t="s">
        <v>85</v>
      </c>
      <c r="T206" s="22" t="s">
        <v>62</v>
      </c>
      <c r="U206" s="22" t="s">
        <v>63</v>
      </c>
      <c r="V206" s="22" t="s">
        <v>64</v>
      </c>
      <c r="W206" s="25"/>
      <c r="X206" s="35" t="s">
        <v>1219</v>
      </c>
      <c r="Y206" s="22" t="s">
        <v>590</v>
      </c>
      <c r="Z206" s="22" t="s">
        <v>1284</v>
      </c>
      <c r="AA206" s="22" t="s">
        <v>1285</v>
      </c>
      <c r="AC206" s="22" t="s">
        <v>475</v>
      </c>
      <c r="AD206" s="27" t="s">
        <v>71</v>
      </c>
      <c r="AE206" s="22" t="s">
        <v>72</v>
      </c>
      <c r="AF206" s="34"/>
      <c r="AG206" s="34"/>
      <c r="AI206" s="25" t="str">
        <f ca="1">IFERROR(__xludf.DUMMYFUNCTION("""COMPUTED_VALUE"""),"610103f84868e914f3d3faf9")</f>
        <v>610103f84868e914f3d3faf9</v>
      </c>
      <c r="AJ206" s="25">
        <f t="shared" ca="1" si="0"/>
        <v>1</v>
      </c>
    </row>
    <row r="207" spans="1:38" ht="46.5">
      <c r="A207" s="51" t="s">
        <v>988</v>
      </c>
      <c r="B207" s="51" t="s">
        <v>1286</v>
      </c>
      <c r="C207" s="22" t="s">
        <v>1287</v>
      </c>
      <c r="D207" s="23" t="s">
        <v>1288</v>
      </c>
      <c r="E207" s="22" t="s">
        <v>49</v>
      </c>
      <c r="F207" s="22" t="s">
        <v>78</v>
      </c>
      <c r="G207" s="22" t="s">
        <v>79</v>
      </c>
      <c r="H207" s="22" t="s">
        <v>126</v>
      </c>
      <c r="I207" s="22" t="s">
        <v>52</v>
      </c>
      <c r="J207" s="22" t="s">
        <v>53</v>
      </c>
      <c r="K207" s="22" t="s">
        <v>856</v>
      </c>
      <c r="L207" s="22" t="s">
        <v>55</v>
      </c>
      <c r="M207" s="22" t="s">
        <v>83</v>
      </c>
      <c r="N207" s="22" t="s">
        <v>59</v>
      </c>
      <c r="O207" s="22" t="s">
        <v>84</v>
      </c>
      <c r="P207" s="22" t="s">
        <v>348</v>
      </c>
      <c r="Q207" s="22" t="s">
        <v>60</v>
      </c>
      <c r="R207" s="22" t="s">
        <v>857</v>
      </c>
      <c r="S207" s="22" t="s">
        <v>61</v>
      </c>
      <c r="T207" s="22" t="s">
        <v>62</v>
      </c>
      <c r="U207" s="22" t="s">
        <v>63</v>
      </c>
      <c r="V207" s="22" t="s">
        <v>64</v>
      </c>
      <c r="W207" s="25"/>
      <c r="X207" s="35" t="s">
        <v>1269</v>
      </c>
      <c r="Y207" s="22" t="s">
        <v>204</v>
      </c>
      <c r="Z207" s="22" t="s">
        <v>1289</v>
      </c>
      <c r="AA207" s="22" t="s">
        <v>1290</v>
      </c>
      <c r="AC207" s="22" t="s">
        <v>475</v>
      </c>
      <c r="AD207" s="27" t="s">
        <v>71</v>
      </c>
      <c r="AE207" s="22" t="s">
        <v>72</v>
      </c>
      <c r="AF207" s="34"/>
      <c r="AG207" s="34"/>
      <c r="AI207" s="25" t="str">
        <f ca="1">IFERROR(__xludf.DUMMYFUNCTION("""COMPUTED_VALUE"""),"61010d1e4868e914f3d3fd53")</f>
        <v>61010d1e4868e914f3d3fd53</v>
      </c>
      <c r="AJ207" s="25">
        <f t="shared" ca="1" si="0"/>
        <v>1</v>
      </c>
    </row>
    <row r="208" spans="1:38" ht="46.5">
      <c r="A208" s="51" t="s">
        <v>988</v>
      </c>
      <c r="B208" s="51" t="s">
        <v>1291</v>
      </c>
      <c r="C208" s="7" t="s">
        <v>1292</v>
      </c>
      <c r="D208" s="42" t="s">
        <v>1293</v>
      </c>
      <c r="E208" s="7" t="s">
        <v>49</v>
      </c>
      <c r="F208" s="7" t="s">
        <v>50</v>
      </c>
      <c r="G208" s="7" t="s">
        <v>49</v>
      </c>
      <c r="H208" s="7" t="s">
        <v>126</v>
      </c>
      <c r="I208" s="7" t="s">
        <v>81</v>
      </c>
      <c r="J208" s="7" t="s">
        <v>107</v>
      </c>
      <c r="K208" s="7" t="s">
        <v>856</v>
      </c>
      <c r="L208" s="7" t="s">
        <v>53</v>
      </c>
      <c r="M208" s="7" t="s">
        <v>83</v>
      </c>
      <c r="N208" s="7" t="s">
        <v>59</v>
      </c>
      <c r="O208" s="7" t="s">
        <v>84</v>
      </c>
      <c r="P208" s="7" t="s">
        <v>85</v>
      </c>
      <c r="Q208" s="7" t="s">
        <v>60</v>
      </c>
      <c r="R208" s="7" t="s">
        <v>86</v>
      </c>
      <c r="S208" s="7" t="s">
        <v>85</v>
      </c>
      <c r="T208" s="7" t="s">
        <v>62</v>
      </c>
      <c r="U208" s="7" t="s">
        <v>63</v>
      </c>
      <c r="V208" s="7" t="s">
        <v>64</v>
      </c>
      <c r="W208" s="45"/>
      <c r="X208" s="74" t="s">
        <v>1269</v>
      </c>
      <c r="Y208" s="7" t="s">
        <v>162</v>
      </c>
      <c r="Z208" s="7" t="s">
        <v>1294</v>
      </c>
      <c r="AA208" s="7" t="s">
        <v>591</v>
      </c>
      <c r="AB208" s="45"/>
      <c r="AC208" s="7" t="s">
        <v>475</v>
      </c>
      <c r="AD208" s="75" t="s">
        <v>71</v>
      </c>
      <c r="AE208" s="7" t="s">
        <v>72</v>
      </c>
      <c r="AF208" s="36"/>
      <c r="AG208" s="36"/>
      <c r="AH208" s="45"/>
      <c r="AI208" s="45" t="str">
        <f ca="1">IFERROR(__xludf.DUMMYFUNCTION("""COMPUTED_VALUE"""),"61011a284868e914f3d4047f")</f>
        <v>61011a284868e914f3d4047f</v>
      </c>
      <c r="AJ208" s="25">
        <f t="shared" ca="1" si="0"/>
        <v>1</v>
      </c>
      <c r="AK208" s="45"/>
      <c r="AL208" s="45"/>
    </row>
    <row r="209" spans="1:36" ht="62">
      <c r="A209" s="51" t="s">
        <v>988</v>
      </c>
      <c r="B209" s="51" t="s">
        <v>1295</v>
      </c>
      <c r="C209" s="22" t="s">
        <v>1296</v>
      </c>
      <c r="D209" s="23" t="s">
        <v>1297</v>
      </c>
      <c r="E209" s="22" t="s">
        <v>49</v>
      </c>
      <c r="F209" s="22" t="s">
        <v>50</v>
      </c>
      <c r="G209" s="22" t="s">
        <v>79</v>
      </c>
      <c r="H209" s="22" t="s">
        <v>51</v>
      </c>
      <c r="I209" s="22" t="s">
        <v>81</v>
      </c>
      <c r="J209" s="22" t="s">
        <v>53</v>
      </c>
      <c r="K209" s="22" t="s">
        <v>856</v>
      </c>
      <c r="L209" s="22" t="s">
        <v>55</v>
      </c>
      <c r="M209" s="22" t="s">
        <v>83</v>
      </c>
      <c r="N209" s="22" t="s">
        <v>59</v>
      </c>
      <c r="O209" s="22" t="s">
        <v>490</v>
      </c>
      <c r="P209" s="22" t="s">
        <v>109</v>
      </c>
      <c r="Q209" s="22" t="s">
        <v>60</v>
      </c>
      <c r="R209" s="25"/>
      <c r="S209" s="22" t="s">
        <v>109</v>
      </c>
      <c r="T209" s="22" t="s">
        <v>62</v>
      </c>
      <c r="U209" s="22" t="s">
        <v>63</v>
      </c>
      <c r="V209" s="22" t="s">
        <v>64</v>
      </c>
      <c r="W209" s="25"/>
      <c r="X209" s="35" t="s">
        <v>1269</v>
      </c>
      <c r="Y209" s="22" t="s">
        <v>936</v>
      </c>
      <c r="Z209" s="22" t="s">
        <v>1298</v>
      </c>
      <c r="AA209" s="22" t="s">
        <v>938</v>
      </c>
      <c r="AC209" s="22" t="s">
        <v>475</v>
      </c>
      <c r="AD209" s="27" t="s">
        <v>71</v>
      </c>
      <c r="AE209" s="22" t="s">
        <v>72</v>
      </c>
      <c r="AF209" s="34"/>
      <c r="AG209" s="34"/>
      <c r="AI209" s="25" t="str">
        <f ca="1">IFERROR(__xludf.DUMMYFUNCTION("""COMPUTED_VALUE"""),"61012a175487713eb51af6d5")</f>
        <v>61012a175487713eb51af6d5</v>
      </c>
      <c r="AJ209" s="25">
        <f t="shared" ca="1" si="0"/>
        <v>1</v>
      </c>
    </row>
    <row r="210" spans="1:36" ht="46.5">
      <c r="A210" s="51" t="s">
        <v>988</v>
      </c>
      <c r="B210" s="51" t="s">
        <v>1299</v>
      </c>
      <c r="C210" s="22" t="s">
        <v>1300</v>
      </c>
      <c r="D210" s="23" t="s">
        <v>1301</v>
      </c>
      <c r="E210" s="22" t="s">
        <v>49</v>
      </c>
      <c r="F210" s="22" t="s">
        <v>50</v>
      </c>
      <c r="G210" s="22" t="s">
        <v>49</v>
      </c>
      <c r="H210" s="22" t="s">
        <v>169</v>
      </c>
      <c r="I210" s="22" t="s">
        <v>307</v>
      </c>
      <c r="J210" s="22" t="s">
        <v>53</v>
      </c>
      <c r="K210" s="22" t="s">
        <v>170</v>
      </c>
      <c r="L210" s="22" t="s">
        <v>53</v>
      </c>
      <c r="M210" s="22" t="s">
        <v>83</v>
      </c>
      <c r="N210" s="22" t="s">
        <v>59</v>
      </c>
      <c r="O210" s="22" t="s">
        <v>84</v>
      </c>
      <c r="P210" s="22" t="s">
        <v>348</v>
      </c>
      <c r="Q210" s="22" t="s">
        <v>60</v>
      </c>
      <c r="R210" s="25"/>
      <c r="S210" s="22" t="s">
        <v>61</v>
      </c>
      <c r="T210" s="22" t="s">
        <v>62</v>
      </c>
      <c r="U210" s="22" t="s">
        <v>63</v>
      </c>
      <c r="V210" s="22" t="s">
        <v>64</v>
      </c>
      <c r="W210" s="25"/>
      <c r="X210" s="35" t="s">
        <v>1219</v>
      </c>
      <c r="Y210" s="22" t="s">
        <v>120</v>
      </c>
      <c r="Z210" s="22" t="s">
        <v>1088</v>
      </c>
      <c r="AA210" s="22" t="s">
        <v>334</v>
      </c>
      <c r="AC210" s="22" t="s">
        <v>475</v>
      </c>
      <c r="AD210" s="27" t="s">
        <v>71</v>
      </c>
      <c r="AE210" s="22" t="s">
        <v>72</v>
      </c>
      <c r="AF210" s="34"/>
      <c r="AG210" s="34"/>
      <c r="AI210" s="25" t="str">
        <f ca="1">IFERROR(__xludf.DUMMYFUNCTION("""COMPUTED_VALUE"""),"61014284f1c617650d45d03f")</f>
        <v>61014284f1c617650d45d03f</v>
      </c>
      <c r="AJ210" s="25">
        <f t="shared" ca="1" si="0"/>
        <v>1</v>
      </c>
    </row>
    <row r="211" spans="1:36" ht="31">
      <c r="A211" s="51" t="s">
        <v>988</v>
      </c>
      <c r="B211" s="51" t="s">
        <v>1302</v>
      </c>
      <c r="C211" s="22" t="s">
        <v>1303</v>
      </c>
      <c r="D211" s="23" t="s">
        <v>1304</v>
      </c>
      <c r="E211" s="22" t="s">
        <v>49</v>
      </c>
      <c r="F211" s="22" t="s">
        <v>50</v>
      </c>
      <c r="G211" s="22" t="s">
        <v>49</v>
      </c>
      <c r="H211" s="22" t="s">
        <v>126</v>
      </c>
      <c r="I211" s="22" t="s">
        <v>81</v>
      </c>
      <c r="J211" s="22" t="s">
        <v>53</v>
      </c>
      <c r="K211" s="22" t="s">
        <v>144</v>
      </c>
      <c r="L211" s="22" t="s">
        <v>53</v>
      </c>
      <c r="M211" s="22" t="s">
        <v>398</v>
      </c>
      <c r="N211" s="22" t="s">
        <v>59</v>
      </c>
      <c r="O211" s="22" t="s">
        <v>84</v>
      </c>
      <c r="P211" s="22" t="s">
        <v>52</v>
      </c>
      <c r="Q211" s="22" t="s">
        <v>60</v>
      </c>
      <c r="R211" s="25"/>
      <c r="S211" s="22" t="s">
        <v>85</v>
      </c>
      <c r="T211" s="22" t="s">
        <v>62</v>
      </c>
      <c r="U211" s="22" t="s">
        <v>63</v>
      </c>
      <c r="V211" s="22" t="s">
        <v>64</v>
      </c>
      <c r="W211" s="25"/>
      <c r="X211" s="35" t="s">
        <v>1305</v>
      </c>
      <c r="Y211" s="22" t="s">
        <v>1306</v>
      </c>
      <c r="Z211" s="22" t="s">
        <v>964</v>
      </c>
      <c r="AA211" s="22" t="s">
        <v>1307</v>
      </c>
      <c r="AC211" s="22" t="s">
        <v>265</v>
      </c>
      <c r="AD211" s="27" t="s">
        <v>71</v>
      </c>
      <c r="AE211" s="22" t="s">
        <v>72</v>
      </c>
      <c r="AF211" s="34"/>
      <c r="AG211" s="34"/>
      <c r="AI211" s="25" t="str">
        <f ca="1">IFERROR(__xludf.DUMMYFUNCTION("""COMPUTED_VALUE"""),"61039faff1c617650d45dbc2")</f>
        <v>61039faff1c617650d45dbc2</v>
      </c>
      <c r="AJ211" s="25">
        <f t="shared" ca="1" si="0"/>
        <v>1</v>
      </c>
    </row>
    <row r="212" spans="1:36" ht="31">
      <c r="A212" s="51" t="s">
        <v>988</v>
      </c>
      <c r="B212" s="51" t="s">
        <v>1308</v>
      </c>
      <c r="C212" s="22" t="s">
        <v>1309</v>
      </c>
      <c r="D212" s="23" t="s">
        <v>1310</v>
      </c>
      <c r="E212" s="22" t="s">
        <v>49</v>
      </c>
      <c r="F212" s="22" t="s">
        <v>78</v>
      </c>
      <c r="G212" s="22" t="s">
        <v>49</v>
      </c>
      <c r="H212" s="22" t="s">
        <v>126</v>
      </c>
      <c r="I212" s="22" t="s">
        <v>52</v>
      </c>
      <c r="J212" s="22" t="s">
        <v>501</v>
      </c>
      <c r="K212" s="22" t="s">
        <v>144</v>
      </c>
      <c r="L212" s="22" t="s">
        <v>55</v>
      </c>
      <c r="M212" s="22" t="s">
        <v>1311</v>
      </c>
      <c r="N212" s="22" t="s">
        <v>59</v>
      </c>
      <c r="O212" s="22" t="s">
        <v>84</v>
      </c>
      <c r="P212" s="22" t="s">
        <v>348</v>
      </c>
      <c r="Q212" s="22" t="s">
        <v>130</v>
      </c>
      <c r="R212" s="25"/>
      <c r="S212" s="22" t="s">
        <v>61</v>
      </c>
      <c r="T212" s="22" t="s">
        <v>62</v>
      </c>
      <c r="U212" s="22" t="s">
        <v>63</v>
      </c>
      <c r="V212" s="22" t="s">
        <v>64</v>
      </c>
      <c r="W212" s="25"/>
      <c r="X212" s="26" t="s">
        <v>1312</v>
      </c>
      <c r="Y212" s="22" t="s">
        <v>1313</v>
      </c>
      <c r="Z212" s="22" t="s">
        <v>987</v>
      </c>
      <c r="AA212" s="22" t="s">
        <v>1314</v>
      </c>
      <c r="AC212" s="22" t="s">
        <v>265</v>
      </c>
      <c r="AD212" s="27" t="s">
        <v>71</v>
      </c>
      <c r="AE212" s="22" t="s">
        <v>72</v>
      </c>
      <c r="AF212" s="34"/>
      <c r="AG212" s="34"/>
      <c r="AI212" s="25" t="str">
        <f ca="1">IFERROR(__xludf.DUMMYFUNCTION("""COMPUTED_VALUE"""),"6103abdb5487713eb51af778")</f>
        <v>6103abdb5487713eb51af778</v>
      </c>
      <c r="AJ212" s="25">
        <f t="shared" ca="1" si="0"/>
        <v>1</v>
      </c>
    </row>
    <row r="213" spans="1:36" ht="31">
      <c r="A213" s="51" t="s">
        <v>988</v>
      </c>
      <c r="B213" s="51" t="s">
        <v>1315</v>
      </c>
      <c r="C213" s="22" t="s">
        <v>1316</v>
      </c>
      <c r="D213" s="23" t="s">
        <v>1317</v>
      </c>
      <c r="E213" s="22" t="s">
        <v>49</v>
      </c>
      <c r="F213" s="22" t="s">
        <v>618</v>
      </c>
      <c r="G213" s="22" t="s">
        <v>49</v>
      </c>
      <c r="H213" s="22" t="s">
        <v>51</v>
      </c>
      <c r="I213" s="22" t="s">
        <v>52</v>
      </c>
      <c r="J213" s="22" t="s">
        <v>127</v>
      </c>
      <c r="K213" s="22" t="s">
        <v>182</v>
      </c>
      <c r="L213" s="22" t="s">
        <v>53</v>
      </c>
      <c r="M213" s="22" t="s">
        <v>1311</v>
      </c>
      <c r="N213" s="22" t="s">
        <v>59</v>
      </c>
      <c r="O213" s="22" t="s">
        <v>84</v>
      </c>
      <c r="P213" s="22" t="s">
        <v>59</v>
      </c>
      <c r="Q213" s="22" t="s">
        <v>183</v>
      </c>
      <c r="R213" s="25"/>
      <c r="S213" s="22" t="s">
        <v>61</v>
      </c>
      <c r="T213" s="22" t="s">
        <v>62</v>
      </c>
      <c r="U213" s="22" t="s">
        <v>63</v>
      </c>
      <c r="V213" s="22" t="s">
        <v>64</v>
      </c>
      <c r="W213" s="25"/>
      <c r="X213" s="26" t="s">
        <v>1312</v>
      </c>
      <c r="Y213" s="22" t="s">
        <v>414</v>
      </c>
      <c r="Z213" s="22" t="s">
        <v>696</v>
      </c>
      <c r="AA213" s="22" t="s">
        <v>320</v>
      </c>
      <c r="AC213" s="22" t="s">
        <v>265</v>
      </c>
      <c r="AD213" s="27" t="s">
        <v>71</v>
      </c>
      <c r="AE213" s="22" t="s">
        <v>72</v>
      </c>
      <c r="AF213" s="33" t="s">
        <v>1318</v>
      </c>
      <c r="AG213" s="33" t="s">
        <v>1319</v>
      </c>
      <c r="AI213" s="25" t="str">
        <f ca="1">IFERROR(__xludf.DUMMYFUNCTION("""COMPUTED_VALUE"""),"6103ba4bf1c617650d45dd7a")</f>
        <v>6103ba4bf1c617650d45dd7a</v>
      </c>
      <c r="AJ213" s="25">
        <f t="shared" ca="1" si="0"/>
        <v>1</v>
      </c>
    </row>
    <row r="214" spans="1:36" ht="46.5">
      <c r="A214" s="51" t="s">
        <v>988</v>
      </c>
      <c r="B214" s="51" t="s">
        <v>1320</v>
      </c>
      <c r="C214" s="22" t="s">
        <v>1321</v>
      </c>
      <c r="D214" s="23" t="s">
        <v>1322</v>
      </c>
      <c r="E214" s="22" t="s">
        <v>49</v>
      </c>
      <c r="F214" s="22" t="s">
        <v>50</v>
      </c>
      <c r="G214" s="22" t="s">
        <v>79</v>
      </c>
      <c r="H214" s="22" t="s">
        <v>51</v>
      </c>
      <c r="I214" s="22" t="s">
        <v>81</v>
      </c>
      <c r="J214" s="22" t="s">
        <v>53</v>
      </c>
      <c r="K214" s="22" t="s">
        <v>54</v>
      </c>
      <c r="L214" s="22" t="s">
        <v>53</v>
      </c>
      <c r="M214" s="22" t="s">
        <v>1311</v>
      </c>
      <c r="N214" s="22" t="s">
        <v>59</v>
      </c>
      <c r="O214" s="22" t="s">
        <v>84</v>
      </c>
      <c r="P214" s="22" t="s">
        <v>85</v>
      </c>
      <c r="Q214" s="22" t="s">
        <v>60</v>
      </c>
      <c r="R214" s="25"/>
      <c r="S214" s="22" t="s">
        <v>85</v>
      </c>
      <c r="T214" s="22" t="s">
        <v>62</v>
      </c>
      <c r="U214" s="22" t="s">
        <v>63</v>
      </c>
      <c r="V214" s="22" t="s">
        <v>64</v>
      </c>
      <c r="W214" s="25"/>
      <c r="X214" s="26" t="s">
        <v>1312</v>
      </c>
      <c r="Y214" s="22" t="s">
        <v>1323</v>
      </c>
      <c r="Z214" s="22" t="s">
        <v>1023</v>
      </c>
      <c r="AA214" s="22" t="s">
        <v>1324</v>
      </c>
      <c r="AC214" s="22" t="s">
        <v>265</v>
      </c>
      <c r="AD214" s="27" t="s">
        <v>71</v>
      </c>
      <c r="AE214" s="22" t="s">
        <v>72</v>
      </c>
      <c r="AF214" s="34"/>
      <c r="AG214" s="34"/>
      <c r="AI214" s="25" t="str">
        <f ca="1">IFERROR(__xludf.DUMMYFUNCTION("""COMPUTED_VALUE"""),"6103c84a5487713eb51af7a4")</f>
        <v>6103c84a5487713eb51af7a4</v>
      </c>
      <c r="AJ214" s="25">
        <f t="shared" ca="1" si="0"/>
        <v>1</v>
      </c>
    </row>
    <row r="215" spans="1:36" ht="31">
      <c r="A215" s="51" t="s">
        <v>988</v>
      </c>
      <c r="B215" s="51" t="s">
        <v>1325</v>
      </c>
      <c r="C215" s="22" t="s">
        <v>1326</v>
      </c>
      <c r="D215" s="23" t="s">
        <v>1327</v>
      </c>
      <c r="E215" s="22" t="s">
        <v>53</v>
      </c>
      <c r="F215" s="22" t="s">
        <v>269</v>
      </c>
      <c r="G215" s="22" t="s">
        <v>49</v>
      </c>
      <c r="H215" s="22" t="s">
        <v>126</v>
      </c>
      <c r="I215" s="22" t="s">
        <v>81</v>
      </c>
      <c r="J215" s="22" t="s">
        <v>53</v>
      </c>
      <c r="K215" s="22" t="s">
        <v>170</v>
      </c>
      <c r="L215" s="22" t="s">
        <v>53</v>
      </c>
      <c r="M215" s="22" t="s">
        <v>1311</v>
      </c>
      <c r="N215" s="22" t="s">
        <v>59</v>
      </c>
      <c r="O215" s="22" t="s">
        <v>84</v>
      </c>
      <c r="P215" s="22" t="s">
        <v>422</v>
      </c>
      <c r="Q215" s="22" t="s">
        <v>423</v>
      </c>
      <c r="R215" s="25"/>
      <c r="S215" s="22" t="s">
        <v>294</v>
      </c>
      <c r="T215" s="22" t="s">
        <v>62</v>
      </c>
      <c r="U215" s="22" t="s">
        <v>63</v>
      </c>
      <c r="V215" s="22" t="s">
        <v>64</v>
      </c>
      <c r="W215" s="25"/>
      <c r="X215" s="26" t="s">
        <v>1312</v>
      </c>
      <c r="Y215" s="22" t="s">
        <v>1328</v>
      </c>
      <c r="Z215" s="22" t="s">
        <v>1329</v>
      </c>
      <c r="AA215" s="22" t="s">
        <v>544</v>
      </c>
      <c r="AC215" s="22" t="s">
        <v>265</v>
      </c>
      <c r="AD215" s="27" t="s">
        <v>71</v>
      </c>
      <c r="AE215" s="22" t="s">
        <v>72</v>
      </c>
      <c r="AF215" s="34"/>
      <c r="AG215" s="34"/>
      <c r="AI215" s="25" t="str">
        <f ca="1">IFERROR(__xludf.DUMMYFUNCTION("""COMPUTED_VALUE"""),"6103debe69d91b4f11bb64a2")</f>
        <v>6103debe69d91b4f11bb64a2</v>
      </c>
      <c r="AJ215" s="25">
        <f t="shared" ca="1" si="0"/>
        <v>1</v>
      </c>
    </row>
    <row r="216" spans="1:36" ht="62">
      <c r="A216" s="51" t="s">
        <v>988</v>
      </c>
      <c r="B216" s="51" t="s">
        <v>1330</v>
      </c>
      <c r="C216" s="22" t="s">
        <v>1331</v>
      </c>
      <c r="D216" s="23" t="s">
        <v>1332</v>
      </c>
      <c r="E216" s="22" t="s">
        <v>49</v>
      </c>
      <c r="F216" s="22" t="s">
        <v>50</v>
      </c>
      <c r="G216" s="22" t="s">
        <v>79</v>
      </c>
      <c r="H216" s="22" t="s">
        <v>51</v>
      </c>
      <c r="I216" s="22" t="s">
        <v>307</v>
      </c>
      <c r="J216" s="22" t="s">
        <v>501</v>
      </c>
      <c r="K216" s="22" t="s">
        <v>144</v>
      </c>
      <c r="L216" s="22" t="s">
        <v>53</v>
      </c>
      <c r="M216" s="22" t="s">
        <v>56</v>
      </c>
      <c r="N216" s="22" t="s">
        <v>59</v>
      </c>
      <c r="O216" s="22" t="s">
        <v>84</v>
      </c>
      <c r="P216" s="22" t="s">
        <v>85</v>
      </c>
      <c r="Q216" s="22" t="s">
        <v>60</v>
      </c>
      <c r="R216" s="25"/>
      <c r="S216" s="22" t="s">
        <v>388</v>
      </c>
      <c r="T216" s="22" t="s">
        <v>62</v>
      </c>
      <c r="U216" s="22" t="s">
        <v>63</v>
      </c>
      <c r="V216" s="22" t="s">
        <v>64</v>
      </c>
      <c r="W216" s="25"/>
      <c r="X216" s="26" t="s">
        <v>161</v>
      </c>
      <c r="Y216" s="22" t="s">
        <v>424</v>
      </c>
      <c r="Z216" s="22" t="s">
        <v>1333</v>
      </c>
      <c r="AA216" s="22" t="s">
        <v>1334</v>
      </c>
      <c r="AC216" s="22" t="s">
        <v>265</v>
      </c>
      <c r="AD216" s="27" t="s">
        <v>71</v>
      </c>
      <c r="AE216" s="22" t="s">
        <v>72</v>
      </c>
      <c r="AF216" s="34"/>
      <c r="AG216" s="34"/>
      <c r="AI216" s="25" t="str">
        <f ca="1">IFERROR(__xludf.DUMMYFUNCTION("""COMPUTED_VALUE"""),"610a4bb113be3a564d6fe70b")</f>
        <v>610a4bb113be3a564d6fe70b</v>
      </c>
      <c r="AJ216" s="25">
        <f t="shared" ca="1" si="0"/>
        <v>1</v>
      </c>
    </row>
    <row r="217" spans="1:36" ht="46.5">
      <c r="A217" s="51" t="s">
        <v>988</v>
      </c>
      <c r="B217" s="51" t="s">
        <v>1335</v>
      </c>
      <c r="C217" s="22" t="s">
        <v>1336</v>
      </c>
      <c r="D217" s="23" t="s">
        <v>1337</v>
      </c>
      <c r="E217" s="22" t="s">
        <v>49</v>
      </c>
      <c r="F217" s="22" t="s">
        <v>78</v>
      </c>
      <c r="G217" s="22" t="s">
        <v>49</v>
      </c>
      <c r="H217" s="22" t="s">
        <v>51</v>
      </c>
      <c r="I217" s="22" t="s">
        <v>81</v>
      </c>
      <c r="J217" s="22" t="s">
        <v>53</v>
      </c>
      <c r="K217" s="22" t="s">
        <v>144</v>
      </c>
      <c r="L217" s="22" t="s">
        <v>53</v>
      </c>
      <c r="M217" s="22" t="s">
        <v>83</v>
      </c>
      <c r="N217" s="22" t="s">
        <v>59</v>
      </c>
      <c r="O217" s="22" t="s">
        <v>84</v>
      </c>
      <c r="P217" s="22" t="s">
        <v>85</v>
      </c>
      <c r="Q217" s="22" t="s">
        <v>203</v>
      </c>
      <c r="R217" s="25"/>
      <c r="S217" s="22" t="s">
        <v>388</v>
      </c>
      <c r="T217" s="22" t="s">
        <v>62</v>
      </c>
      <c r="U217" s="22" t="s">
        <v>63</v>
      </c>
      <c r="V217" s="22" t="s">
        <v>64</v>
      </c>
      <c r="W217" s="25"/>
      <c r="X217" s="26" t="s">
        <v>1338</v>
      </c>
      <c r="Y217" s="22" t="s">
        <v>406</v>
      </c>
      <c r="Z217" s="22" t="s">
        <v>69</v>
      </c>
      <c r="AA217" s="22" t="s">
        <v>1339</v>
      </c>
      <c r="AC217" s="22" t="s">
        <v>265</v>
      </c>
      <c r="AD217" s="27" t="s">
        <v>71</v>
      </c>
      <c r="AE217" s="22" t="s">
        <v>72</v>
      </c>
      <c r="AF217" s="34"/>
      <c r="AG217" s="34"/>
      <c r="AI217" s="25" t="str">
        <f ca="1">IFERROR(__xludf.DUMMYFUNCTION("""COMPUTED_VALUE"""),"610a57b413be3a564d6feb6e")</f>
        <v>610a57b413be3a564d6feb6e</v>
      </c>
      <c r="AJ217" s="25">
        <f t="shared" ca="1" si="0"/>
        <v>1</v>
      </c>
    </row>
    <row r="218" spans="1:36" ht="46.5">
      <c r="A218" s="51" t="s">
        <v>988</v>
      </c>
      <c r="B218" s="51" t="s">
        <v>1340</v>
      </c>
      <c r="C218" s="22" t="s">
        <v>1341</v>
      </c>
      <c r="D218" s="23" t="s">
        <v>1342</v>
      </c>
      <c r="E218" s="22" t="s">
        <v>49</v>
      </c>
      <c r="F218" s="22" t="s">
        <v>50</v>
      </c>
      <c r="G218" s="22" t="s">
        <v>49</v>
      </c>
      <c r="H218" s="22" t="s">
        <v>51</v>
      </c>
      <c r="I218" s="22" t="s">
        <v>52</v>
      </c>
      <c r="J218" s="22" t="s">
        <v>501</v>
      </c>
      <c r="K218" s="22" t="s">
        <v>82</v>
      </c>
      <c r="L218" s="22" t="s">
        <v>55</v>
      </c>
      <c r="M218" s="22" t="s">
        <v>83</v>
      </c>
      <c r="N218" s="22" t="s">
        <v>59</v>
      </c>
      <c r="O218" s="22" t="s">
        <v>84</v>
      </c>
      <c r="P218" s="22" t="s">
        <v>57</v>
      </c>
      <c r="Q218" s="22" t="s">
        <v>130</v>
      </c>
      <c r="R218" s="25"/>
      <c r="S218" s="22" t="s">
        <v>61</v>
      </c>
      <c r="T218" s="22" t="s">
        <v>62</v>
      </c>
      <c r="U218" s="22" t="s">
        <v>63</v>
      </c>
      <c r="V218" s="22" t="s">
        <v>64</v>
      </c>
      <c r="W218" s="25"/>
      <c r="X218" s="35" t="s">
        <v>1338</v>
      </c>
      <c r="Y218" s="22" t="s">
        <v>1323</v>
      </c>
      <c r="Z218" s="22" t="s">
        <v>591</v>
      </c>
      <c r="AA218" s="22" t="s">
        <v>964</v>
      </c>
      <c r="AC218" s="22" t="s">
        <v>265</v>
      </c>
      <c r="AD218" s="27" t="s">
        <v>71</v>
      </c>
      <c r="AE218" s="22" t="s">
        <v>72</v>
      </c>
      <c r="AF218" s="34"/>
      <c r="AG218" s="34"/>
      <c r="AI218" s="25" t="str">
        <f ca="1">IFERROR(__xludf.DUMMYFUNCTION("""COMPUTED_VALUE"""),"6108ad8663e8c66ce00acc18")</f>
        <v>6108ad8663e8c66ce00acc18</v>
      </c>
      <c r="AJ218" s="25">
        <f t="shared" ca="1" si="0"/>
        <v>1</v>
      </c>
    </row>
    <row r="219" spans="1:36" ht="46.5">
      <c r="A219" s="51" t="s">
        <v>988</v>
      </c>
      <c r="B219" s="51" t="s">
        <v>1343</v>
      </c>
      <c r="C219" s="22" t="s">
        <v>293</v>
      </c>
      <c r="D219" s="23" t="s">
        <v>1344</v>
      </c>
      <c r="E219" s="22" t="s">
        <v>53</v>
      </c>
      <c r="F219" s="22" t="s">
        <v>269</v>
      </c>
      <c r="G219" s="22" t="s">
        <v>49</v>
      </c>
      <c r="H219" s="22" t="s">
        <v>51</v>
      </c>
      <c r="I219" s="22" t="s">
        <v>81</v>
      </c>
      <c r="J219" s="22" t="s">
        <v>53</v>
      </c>
      <c r="K219" s="22" t="s">
        <v>144</v>
      </c>
      <c r="L219" s="22" t="s">
        <v>53</v>
      </c>
      <c r="M219" s="22" t="s">
        <v>1311</v>
      </c>
      <c r="N219" s="22" t="s">
        <v>59</v>
      </c>
      <c r="O219" s="22" t="s">
        <v>84</v>
      </c>
      <c r="P219" s="22" t="s">
        <v>293</v>
      </c>
      <c r="Q219" s="22" t="s">
        <v>183</v>
      </c>
      <c r="R219" s="25"/>
      <c r="S219" s="22" t="s">
        <v>294</v>
      </c>
      <c r="T219" s="22" t="s">
        <v>62</v>
      </c>
      <c r="U219" s="22" t="s">
        <v>63</v>
      </c>
      <c r="V219" s="22" t="s">
        <v>64</v>
      </c>
      <c r="X219" s="35" t="s">
        <v>1345</v>
      </c>
      <c r="Y219" s="22" t="s">
        <v>1346</v>
      </c>
      <c r="Z219" s="22" t="s">
        <v>1347</v>
      </c>
      <c r="AA219" s="22" t="s">
        <v>1348</v>
      </c>
      <c r="AC219" s="22" t="s">
        <v>265</v>
      </c>
      <c r="AD219" s="27" t="s">
        <v>71</v>
      </c>
      <c r="AE219" s="22" t="s">
        <v>72</v>
      </c>
      <c r="AF219" s="34"/>
      <c r="AG219" s="34"/>
      <c r="AI219" s="25" t="str">
        <f ca="1">IFERROR(__xludf.DUMMYFUNCTION("""COMPUTED_VALUE"""),"6108ca5f63e8c66ce00ad187")</f>
        <v>6108ca5f63e8c66ce00ad187</v>
      </c>
      <c r="AJ219" s="25">
        <f t="shared" ca="1" si="0"/>
        <v>1</v>
      </c>
    </row>
    <row r="220" spans="1:36" ht="31">
      <c r="A220" s="51" t="s">
        <v>988</v>
      </c>
      <c r="B220" s="51" t="s">
        <v>1349</v>
      </c>
      <c r="C220" s="22" t="s">
        <v>293</v>
      </c>
      <c r="D220" s="23" t="s">
        <v>1350</v>
      </c>
      <c r="E220" s="22" t="s">
        <v>53</v>
      </c>
      <c r="F220" s="22" t="s">
        <v>269</v>
      </c>
      <c r="G220" s="22" t="s">
        <v>53</v>
      </c>
      <c r="H220" s="22" t="s">
        <v>169</v>
      </c>
      <c r="I220" s="22" t="s">
        <v>81</v>
      </c>
      <c r="J220" s="22" t="s">
        <v>53</v>
      </c>
      <c r="K220" s="22" t="s">
        <v>170</v>
      </c>
      <c r="L220" s="22" t="s">
        <v>53</v>
      </c>
      <c r="M220" s="22" t="s">
        <v>1311</v>
      </c>
      <c r="N220" s="22" t="s">
        <v>59</v>
      </c>
      <c r="O220" s="22" t="s">
        <v>84</v>
      </c>
      <c r="P220" s="22" t="s">
        <v>293</v>
      </c>
      <c r="Q220" s="22" t="s">
        <v>183</v>
      </c>
      <c r="R220" s="25"/>
      <c r="S220" s="22" t="s">
        <v>388</v>
      </c>
      <c r="T220" s="22" t="s">
        <v>62</v>
      </c>
      <c r="U220" s="22" t="s">
        <v>63</v>
      </c>
      <c r="V220" s="22" t="s">
        <v>64</v>
      </c>
      <c r="W220" s="25"/>
      <c r="X220" s="26" t="s">
        <v>1312</v>
      </c>
      <c r="Y220" s="22" t="s">
        <v>1351</v>
      </c>
      <c r="Z220" s="22" t="s">
        <v>1352</v>
      </c>
      <c r="AA220" s="22" t="s">
        <v>1353</v>
      </c>
      <c r="AC220" s="22" t="s">
        <v>265</v>
      </c>
      <c r="AD220" s="27" t="s">
        <v>71</v>
      </c>
      <c r="AE220" s="22" t="s">
        <v>72</v>
      </c>
      <c r="AF220" s="33" t="s">
        <v>1354</v>
      </c>
      <c r="AG220" s="33" t="s">
        <v>1355</v>
      </c>
      <c r="AI220" s="25" t="str">
        <f ca="1">IFERROR(__xludf.DUMMYFUNCTION("""COMPUTED_VALUE"""),"610a23b7b9124589ec6f4887")</f>
        <v>610a23b7b9124589ec6f4887</v>
      </c>
      <c r="AJ220" s="25">
        <f t="shared" ca="1" si="0"/>
        <v>1</v>
      </c>
    </row>
    <row r="221" spans="1:36" ht="31">
      <c r="A221" s="51" t="s">
        <v>988</v>
      </c>
      <c r="B221" s="51" t="s">
        <v>1356</v>
      </c>
      <c r="C221" s="22" t="s">
        <v>1357</v>
      </c>
      <c r="D221" s="23" t="s">
        <v>1358</v>
      </c>
      <c r="E221" s="22" t="s">
        <v>53</v>
      </c>
      <c r="F221" s="22" t="s">
        <v>269</v>
      </c>
      <c r="G221" s="22" t="s">
        <v>58</v>
      </c>
      <c r="H221" s="22" t="s">
        <v>169</v>
      </c>
      <c r="I221" s="22" t="s">
        <v>221</v>
      </c>
      <c r="J221" s="22" t="s">
        <v>53</v>
      </c>
      <c r="K221" s="22" t="s">
        <v>170</v>
      </c>
      <c r="L221" s="22" t="s">
        <v>53</v>
      </c>
      <c r="M221" s="22" t="s">
        <v>912</v>
      </c>
      <c r="N221" s="22" t="s">
        <v>59</v>
      </c>
      <c r="O221" s="22" t="s">
        <v>1224</v>
      </c>
      <c r="P221" s="22" t="s">
        <v>293</v>
      </c>
      <c r="Q221" s="22" t="s">
        <v>60</v>
      </c>
      <c r="R221" s="25"/>
      <c r="S221" s="22" t="s">
        <v>388</v>
      </c>
      <c r="T221" s="22" t="s">
        <v>62</v>
      </c>
      <c r="U221" s="22" t="s">
        <v>63</v>
      </c>
      <c r="V221" s="22" t="s">
        <v>64</v>
      </c>
      <c r="W221" s="25"/>
      <c r="X221" s="35" t="s">
        <v>1359</v>
      </c>
      <c r="Y221" s="22" t="s">
        <v>1360</v>
      </c>
      <c r="Z221" s="22" t="s">
        <v>1361</v>
      </c>
      <c r="AA221" s="22" t="s">
        <v>1362</v>
      </c>
      <c r="AC221" s="22" t="s">
        <v>265</v>
      </c>
      <c r="AD221" s="27" t="s">
        <v>71</v>
      </c>
      <c r="AE221" s="22" t="s">
        <v>72</v>
      </c>
      <c r="AF221" s="34"/>
      <c r="AG221" s="34"/>
      <c r="AI221" s="25" t="str">
        <f ca="1">IFERROR(__xludf.DUMMYFUNCTION("""COMPUTED_VALUE"""),"610a3213b9124589ec6f5098")</f>
        <v>610a3213b9124589ec6f5098</v>
      </c>
      <c r="AJ221" s="25">
        <f t="shared" ca="1" si="0"/>
        <v>1</v>
      </c>
    </row>
    <row r="222" spans="1:36" ht="46.5">
      <c r="A222" s="51" t="s">
        <v>988</v>
      </c>
      <c r="B222" s="51" t="s">
        <v>1363</v>
      </c>
      <c r="C222" s="22" t="s">
        <v>1364</v>
      </c>
      <c r="D222" s="23" t="s">
        <v>1365</v>
      </c>
      <c r="E222" s="22" t="s">
        <v>53</v>
      </c>
      <c r="F222" s="22" t="s">
        <v>269</v>
      </c>
      <c r="G222" s="22" t="s">
        <v>49</v>
      </c>
      <c r="H222" s="22" t="s">
        <v>80</v>
      </c>
      <c r="I222" s="22" t="s">
        <v>81</v>
      </c>
      <c r="J222" s="22" t="s">
        <v>501</v>
      </c>
      <c r="K222" s="22" t="s">
        <v>96</v>
      </c>
      <c r="L222" s="22" t="s">
        <v>53</v>
      </c>
      <c r="M222" s="22" t="s">
        <v>1311</v>
      </c>
      <c r="N222" s="22" t="s">
        <v>59</v>
      </c>
      <c r="O222" s="22" t="s">
        <v>84</v>
      </c>
      <c r="P222" s="22" t="s">
        <v>85</v>
      </c>
      <c r="Q222" s="22" t="s">
        <v>60</v>
      </c>
      <c r="R222" s="25"/>
      <c r="S222" s="22" t="s">
        <v>388</v>
      </c>
      <c r="T222" s="22" t="s">
        <v>62</v>
      </c>
      <c r="U222" s="22" t="s">
        <v>63</v>
      </c>
      <c r="V222" s="22" t="s">
        <v>64</v>
      </c>
      <c r="W222" s="25"/>
      <c r="X222" s="35" t="s">
        <v>1359</v>
      </c>
      <c r="Y222" s="22" t="s">
        <v>1366</v>
      </c>
      <c r="Z222" s="22" t="s">
        <v>1367</v>
      </c>
      <c r="AA222" s="22" t="s">
        <v>1368</v>
      </c>
      <c r="AB222" s="22" t="s">
        <v>1369</v>
      </c>
      <c r="AC222" s="22" t="s">
        <v>265</v>
      </c>
      <c r="AD222" s="27" t="s">
        <v>71</v>
      </c>
      <c r="AE222" s="22" t="s">
        <v>72</v>
      </c>
      <c r="AF222" s="34"/>
      <c r="AG222" s="34"/>
      <c r="AI222" s="25" t="str">
        <f ca="1">IFERROR(__xludf.DUMMYFUNCTION("""COMPUTED_VALUE"""),"610a3e4cb9124589ec6f54f1")</f>
        <v>610a3e4cb9124589ec6f54f1</v>
      </c>
      <c r="AJ222" s="25">
        <f t="shared" ca="1" si="0"/>
        <v>1</v>
      </c>
    </row>
    <row r="223" spans="1:36" ht="46.5">
      <c r="A223" s="51" t="s">
        <v>988</v>
      </c>
      <c r="B223" s="51" t="s">
        <v>1370</v>
      </c>
      <c r="C223" s="22" t="s">
        <v>1371</v>
      </c>
      <c r="D223" s="23" t="s">
        <v>1372</v>
      </c>
      <c r="E223" s="22" t="s">
        <v>53</v>
      </c>
      <c r="F223" s="22" t="s">
        <v>269</v>
      </c>
      <c r="G223" s="22" t="s">
        <v>49</v>
      </c>
      <c r="H223" s="22" t="s">
        <v>51</v>
      </c>
      <c r="I223" s="22" t="s">
        <v>52</v>
      </c>
      <c r="J223" s="22" t="s">
        <v>501</v>
      </c>
      <c r="K223" s="22" t="s">
        <v>144</v>
      </c>
      <c r="L223" s="22" t="s">
        <v>55</v>
      </c>
      <c r="M223" s="22" t="s">
        <v>912</v>
      </c>
      <c r="N223" s="22" t="s">
        <v>59</v>
      </c>
      <c r="O223" s="22" t="s">
        <v>84</v>
      </c>
      <c r="P223" s="22" t="s">
        <v>422</v>
      </c>
      <c r="Q223" s="22" t="s">
        <v>60</v>
      </c>
      <c r="R223" s="25"/>
      <c r="S223" s="22" t="s">
        <v>388</v>
      </c>
      <c r="T223" s="22" t="s">
        <v>62</v>
      </c>
      <c r="U223" s="22" t="s">
        <v>63</v>
      </c>
      <c r="V223" s="22" t="s">
        <v>64</v>
      </c>
      <c r="W223" s="25"/>
      <c r="X223" s="35" t="s">
        <v>1359</v>
      </c>
      <c r="Y223" s="22" t="s">
        <v>1328</v>
      </c>
      <c r="Z223" s="22" t="s">
        <v>943</v>
      </c>
      <c r="AA223" s="22" t="s">
        <v>1373</v>
      </c>
      <c r="AC223" s="22" t="s">
        <v>265</v>
      </c>
      <c r="AD223" s="27" t="s">
        <v>71</v>
      </c>
      <c r="AE223" s="22" t="s">
        <v>73</v>
      </c>
      <c r="AF223" s="33" t="s">
        <v>1374</v>
      </c>
      <c r="AG223" s="33" t="s">
        <v>1375</v>
      </c>
      <c r="AI223" s="25" t="str">
        <f ca="1">IFERROR(__xludf.DUMMYFUNCTION("""COMPUTED_VALUE"""),"610a7b3ab9124589ec6f5ddb")</f>
        <v>610a7b3ab9124589ec6f5ddb</v>
      </c>
      <c r="AJ223" s="25">
        <f t="shared" ca="1" si="0"/>
        <v>1</v>
      </c>
    </row>
    <row r="224" spans="1:36" ht="46.5">
      <c r="A224" s="51" t="s">
        <v>988</v>
      </c>
      <c r="B224" s="51" t="s">
        <v>1376</v>
      </c>
      <c r="C224" s="22" t="s">
        <v>1377</v>
      </c>
      <c r="D224" s="23" t="s">
        <v>1378</v>
      </c>
      <c r="E224" s="22" t="s">
        <v>49</v>
      </c>
      <c r="F224" s="22" t="s">
        <v>50</v>
      </c>
      <c r="G224" s="22" t="s">
        <v>49</v>
      </c>
      <c r="H224" s="22" t="s">
        <v>51</v>
      </c>
      <c r="I224" s="22" t="s">
        <v>81</v>
      </c>
      <c r="J224" s="22" t="s">
        <v>107</v>
      </c>
      <c r="K224" s="22" t="s">
        <v>82</v>
      </c>
      <c r="L224" s="22" t="s">
        <v>53</v>
      </c>
      <c r="M224" s="22" t="s">
        <v>912</v>
      </c>
      <c r="N224" s="22" t="s">
        <v>59</v>
      </c>
      <c r="O224" s="22" t="s">
        <v>84</v>
      </c>
      <c r="P224" s="22" t="s">
        <v>108</v>
      </c>
      <c r="Q224" s="22" t="s">
        <v>60</v>
      </c>
      <c r="R224" s="25"/>
      <c r="S224" s="22" t="s">
        <v>85</v>
      </c>
      <c r="T224" s="22" t="s">
        <v>62</v>
      </c>
      <c r="U224" s="22" t="s">
        <v>63</v>
      </c>
      <c r="V224" s="22" t="s">
        <v>64</v>
      </c>
      <c r="W224" s="25"/>
      <c r="X224" s="26" t="s">
        <v>1379</v>
      </c>
      <c r="Y224" s="22" t="s">
        <v>390</v>
      </c>
      <c r="Z224" s="22" t="s">
        <v>1380</v>
      </c>
      <c r="AA224" s="22" t="s">
        <v>878</v>
      </c>
      <c r="AC224" s="22" t="s">
        <v>265</v>
      </c>
      <c r="AD224" s="27" t="s">
        <v>71</v>
      </c>
      <c r="AE224" s="22" t="s">
        <v>73</v>
      </c>
      <c r="AF224" s="66" t="s">
        <v>1381</v>
      </c>
      <c r="AG224" s="33" t="s">
        <v>1382</v>
      </c>
      <c r="AI224" s="25" t="str">
        <f ca="1">IFERROR(__xludf.DUMMYFUNCTION("""COMPUTED_VALUE"""),"6109223863e8c66ce00ad7b5")</f>
        <v>6109223863e8c66ce00ad7b5</v>
      </c>
      <c r="AJ224" s="25">
        <f t="shared" ca="1" si="0"/>
        <v>1</v>
      </c>
    </row>
    <row r="225" spans="1:36" ht="46.5">
      <c r="A225" s="51" t="s">
        <v>988</v>
      </c>
      <c r="B225" s="51" t="s">
        <v>1383</v>
      </c>
      <c r="C225" s="22" t="s">
        <v>1384</v>
      </c>
      <c r="D225" s="23" t="s">
        <v>1385</v>
      </c>
      <c r="E225" s="22" t="s">
        <v>49</v>
      </c>
      <c r="F225" s="22" t="s">
        <v>618</v>
      </c>
      <c r="G225" s="22" t="s">
        <v>49</v>
      </c>
      <c r="H225" s="22" t="s">
        <v>51</v>
      </c>
      <c r="I225" s="22" t="s">
        <v>81</v>
      </c>
      <c r="J225" s="22" t="s">
        <v>53</v>
      </c>
      <c r="K225" s="22" t="s">
        <v>96</v>
      </c>
      <c r="L225" s="22" t="s">
        <v>53</v>
      </c>
      <c r="M225" s="22" t="s">
        <v>1386</v>
      </c>
      <c r="N225" s="22" t="s">
        <v>59</v>
      </c>
      <c r="O225" s="22" t="s">
        <v>84</v>
      </c>
      <c r="P225" s="22" t="s">
        <v>137</v>
      </c>
      <c r="Q225" s="22" t="s">
        <v>60</v>
      </c>
      <c r="R225" s="25"/>
      <c r="S225" s="22" t="s">
        <v>85</v>
      </c>
      <c r="T225" s="22" t="s">
        <v>62</v>
      </c>
      <c r="U225" s="22" t="s">
        <v>63</v>
      </c>
      <c r="V225" s="22" t="s">
        <v>64</v>
      </c>
      <c r="W225" s="25"/>
      <c r="X225" s="35" t="s">
        <v>1387</v>
      </c>
      <c r="Y225" s="22" t="s">
        <v>448</v>
      </c>
      <c r="Z225" s="22" t="s">
        <v>1388</v>
      </c>
      <c r="AA225" s="22" t="s">
        <v>441</v>
      </c>
      <c r="AC225" s="22" t="s">
        <v>265</v>
      </c>
      <c r="AD225" s="27" t="s">
        <v>71</v>
      </c>
      <c r="AE225" s="22" t="s">
        <v>73</v>
      </c>
      <c r="AF225" s="66" t="s">
        <v>1389</v>
      </c>
      <c r="AG225" s="33" t="s">
        <v>1390</v>
      </c>
      <c r="AI225" s="25" t="str">
        <f ca="1">IFERROR(__xludf.DUMMYFUNCTION("""COMPUTED_VALUE"""),"610b516171e9d134c0372d7b")</f>
        <v>610b516171e9d134c0372d7b</v>
      </c>
      <c r="AJ225" s="25">
        <f t="shared" ca="1" si="0"/>
        <v>1</v>
      </c>
    </row>
    <row r="226" spans="1:36" ht="46.5">
      <c r="A226" s="51" t="s">
        <v>988</v>
      </c>
      <c r="B226" s="51" t="s">
        <v>1391</v>
      </c>
      <c r="C226" s="22" t="s">
        <v>1392</v>
      </c>
      <c r="D226" s="23" t="s">
        <v>1393</v>
      </c>
      <c r="E226" s="22" t="s">
        <v>49</v>
      </c>
      <c r="F226" s="22" t="s">
        <v>618</v>
      </c>
      <c r="G226" s="22" t="s">
        <v>49</v>
      </c>
      <c r="H226" s="22" t="s">
        <v>51</v>
      </c>
      <c r="I226" s="22" t="s">
        <v>1394</v>
      </c>
      <c r="J226" s="22" t="s">
        <v>501</v>
      </c>
      <c r="K226" s="22" t="s">
        <v>54</v>
      </c>
      <c r="L226" s="22" t="s">
        <v>53</v>
      </c>
      <c r="M226" s="22" t="s">
        <v>83</v>
      </c>
      <c r="N226" s="22" t="s">
        <v>59</v>
      </c>
      <c r="O226" s="22" t="s">
        <v>84</v>
      </c>
      <c r="P226" s="22" t="s">
        <v>501</v>
      </c>
      <c r="Q226" s="22" t="s">
        <v>60</v>
      </c>
      <c r="R226" s="25"/>
      <c r="S226" s="22" t="s">
        <v>85</v>
      </c>
      <c r="T226" s="22" t="s">
        <v>62</v>
      </c>
      <c r="U226" s="22" t="s">
        <v>63</v>
      </c>
      <c r="V226" s="22" t="s">
        <v>118</v>
      </c>
      <c r="W226" s="25"/>
      <c r="X226" s="26" t="s">
        <v>1379</v>
      </c>
      <c r="Y226" s="22" t="s">
        <v>99</v>
      </c>
      <c r="Z226" s="22" t="s">
        <v>449</v>
      </c>
      <c r="AA226" s="22" t="s">
        <v>1395</v>
      </c>
      <c r="AC226" s="22" t="s">
        <v>176</v>
      </c>
      <c r="AD226" s="27" t="s">
        <v>71</v>
      </c>
      <c r="AE226" s="22" t="s">
        <v>73</v>
      </c>
      <c r="AF226" s="33" t="s">
        <v>1396</v>
      </c>
      <c r="AG226" s="76" t="s">
        <v>1397</v>
      </c>
      <c r="AI226" s="25" t="str">
        <f ca="1">IFERROR(__xludf.DUMMYFUNCTION("""COMPUTED_VALUE"""),"610b5528ac1aa81391efd3bb")</f>
        <v>610b5528ac1aa81391efd3bb</v>
      </c>
      <c r="AJ226" s="25">
        <f t="shared" ca="1" si="0"/>
        <v>1</v>
      </c>
    </row>
    <row r="227" spans="1:36" ht="46.5">
      <c r="A227" s="51" t="s">
        <v>988</v>
      </c>
      <c r="B227" s="51" t="s">
        <v>1398</v>
      </c>
      <c r="C227" s="22" t="s">
        <v>1399</v>
      </c>
      <c r="D227" s="23" t="s">
        <v>1400</v>
      </c>
      <c r="E227" s="22" t="s">
        <v>49</v>
      </c>
      <c r="F227" s="22" t="s">
        <v>95</v>
      </c>
      <c r="G227" s="22" t="s">
        <v>49</v>
      </c>
      <c r="H227" s="22" t="s">
        <v>126</v>
      </c>
      <c r="I227" s="22" t="s">
        <v>81</v>
      </c>
      <c r="J227" s="22" t="s">
        <v>107</v>
      </c>
      <c r="K227" s="22" t="s">
        <v>144</v>
      </c>
      <c r="L227" s="22" t="s">
        <v>53</v>
      </c>
      <c r="M227" s="22" t="s">
        <v>83</v>
      </c>
      <c r="N227" s="22" t="s">
        <v>59</v>
      </c>
      <c r="O227" s="22" t="s">
        <v>84</v>
      </c>
      <c r="P227" s="22" t="s">
        <v>108</v>
      </c>
      <c r="Q227" s="22" t="s">
        <v>203</v>
      </c>
      <c r="R227" s="22" t="s">
        <v>130</v>
      </c>
      <c r="S227" s="22" t="s">
        <v>61</v>
      </c>
      <c r="T227" s="22" t="s">
        <v>62</v>
      </c>
      <c r="U227" s="22" t="s">
        <v>63</v>
      </c>
      <c r="V227" s="22" t="s">
        <v>64</v>
      </c>
      <c r="W227" s="25"/>
      <c r="X227" s="26" t="s">
        <v>154</v>
      </c>
      <c r="Y227" s="22" t="s">
        <v>231</v>
      </c>
      <c r="Z227" s="22" t="s">
        <v>232</v>
      </c>
      <c r="AA227" s="22" t="s">
        <v>233</v>
      </c>
      <c r="AC227" s="22" t="s">
        <v>176</v>
      </c>
      <c r="AD227" s="27" t="s">
        <v>71</v>
      </c>
      <c r="AE227" s="22" t="s">
        <v>73</v>
      </c>
      <c r="AF227" s="33" t="s">
        <v>1401</v>
      </c>
      <c r="AG227" s="33" t="s">
        <v>352</v>
      </c>
      <c r="AI227" s="25" t="str">
        <f ca="1">IFERROR(__xludf.DUMMYFUNCTION("""COMPUTED_VALUE"""),"610b8cf7ac1aa81391efe1b2")</f>
        <v>610b8cf7ac1aa81391efe1b2</v>
      </c>
      <c r="AJ227" s="25">
        <f t="shared" ca="1" si="0"/>
        <v>1</v>
      </c>
    </row>
    <row r="228" spans="1:36" ht="31">
      <c r="A228" s="51" t="s">
        <v>988</v>
      </c>
      <c r="B228" s="51" t="s">
        <v>1402</v>
      </c>
      <c r="C228" s="22" t="s">
        <v>1403</v>
      </c>
      <c r="D228" s="23" t="s">
        <v>1404</v>
      </c>
      <c r="E228" s="22" t="s">
        <v>49</v>
      </c>
      <c r="F228" s="22" t="s">
        <v>50</v>
      </c>
      <c r="G228" s="22" t="s">
        <v>49</v>
      </c>
      <c r="H228" s="22" t="s">
        <v>126</v>
      </c>
      <c r="I228" s="22" t="s">
        <v>81</v>
      </c>
      <c r="J228" s="22" t="s">
        <v>53</v>
      </c>
      <c r="K228" s="22" t="s">
        <v>128</v>
      </c>
      <c r="L228" s="22" t="s">
        <v>53</v>
      </c>
      <c r="M228" s="22" t="s">
        <v>83</v>
      </c>
      <c r="N228" s="22" t="s">
        <v>59</v>
      </c>
      <c r="O228" s="22" t="s">
        <v>84</v>
      </c>
      <c r="P228" s="22" t="s">
        <v>85</v>
      </c>
      <c r="Q228" s="22" t="s">
        <v>60</v>
      </c>
      <c r="R228" s="22" t="s">
        <v>86</v>
      </c>
      <c r="S228" s="22" t="s">
        <v>85</v>
      </c>
      <c r="T228" s="22" t="s">
        <v>62</v>
      </c>
      <c r="U228" s="22" t="s">
        <v>63</v>
      </c>
      <c r="V228" s="22" t="s">
        <v>64</v>
      </c>
      <c r="W228" s="25"/>
      <c r="X228" s="31" t="s">
        <v>2320</v>
      </c>
      <c r="Y228" s="22" t="s">
        <v>99</v>
      </c>
      <c r="Z228" s="22" t="s">
        <v>100</v>
      </c>
      <c r="AA228" s="22" t="s">
        <v>1406</v>
      </c>
      <c r="AC228" s="22" t="s">
        <v>176</v>
      </c>
      <c r="AD228" s="27" t="s">
        <v>71</v>
      </c>
      <c r="AE228" s="22" t="s">
        <v>73</v>
      </c>
      <c r="AF228" s="33" t="s">
        <v>1407</v>
      </c>
      <c r="AG228" s="33" t="s">
        <v>352</v>
      </c>
      <c r="AI228" s="25" t="str">
        <f ca="1">IFERROR(__xludf.DUMMYFUNCTION("""COMPUTED_VALUE"""),"610b988dac1aa81391efe801")</f>
        <v>610b988dac1aa81391efe801</v>
      </c>
      <c r="AJ228" s="25">
        <f t="shared" ca="1" si="0"/>
        <v>1</v>
      </c>
    </row>
    <row r="229" spans="1:36" ht="46.5">
      <c r="A229" s="51" t="s">
        <v>988</v>
      </c>
      <c r="B229" s="51" t="s">
        <v>1408</v>
      </c>
      <c r="C229" s="22" t="s">
        <v>1409</v>
      </c>
      <c r="D229" s="23" t="s">
        <v>1410</v>
      </c>
      <c r="E229" s="22" t="s">
        <v>49</v>
      </c>
      <c r="F229" s="22" t="s">
        <v>78</v>
      </c>
      <c r="G229" s="22" t="s">
        <v>49</v>
      </c>
      <c r="H229" s="22" t="s">
        <v>237</v>
      </c>
      <c r="I229" s="22" t="s">
        <v>81</v>
      </c>
      <c r="J229" s="22" t="s">
        <v>107</v>
      </c>
      <c r="K229" s="22" t="s">
        <v>1411</v>
      </c>
      <c r="L229" s="22" t="s">
        <v>53</v>
      </c>
      <c r="M229" s="22" t="s">
        <v>83</v>
      </c>
      <c r="N229" s="22" t="s">
        <v>59</v>
      </c>
      <c r="O229" s="22" t="s">
        <v>84</v>
      </c>
      <c r="P229" s="22" t="s">
        <v>348</v>
      </c>
      <c r="Q229" s="22" t="s">
        <v>60</v>
      </c>
      <c r="R229" s="22" t="s">
        <v>183</v>
      </c>
      <c r="S229" s="22" t="s">
        <v>85</v>
      </c>
      <c r="T229" s="22" t="s">
        <v>62</v>
      </c>
      <c r="U229" s="22" t="s">
        <v>515</v>
      </c>
      <c r="V229" s="22" t="s">
        <v>64</v>
      </c>
      <c r="W229" s="25"/>
      <c r="X229" s="26" t="s">
        <v>154</v>
      </c>
      <c r="Y229" s="22" t="s">
        <v>131</v>
      </c>
      <c r="Z229" s="22" t="s">
        <v>1412</v>
      </c>
      <c r="AA229" s="22" t="s">
        <v>1413</v>
      </c>
      <c r="AC229" s="22" t="s">
        <v>176</v>
      </c>
      <c r="AD229" s="27" t="s">
        <v>71</v>
      </c>
      <c r="AE229" s="22" t="s">
        <v>73</v>
      </c>
      <c r="AF229" s="33" t="s">
        <v>1414</v>
      </c>
      <c r="AG229" s="33" t="s">
        <v>1415</v>
      </c>
      <c r="AI229" s="25" t="str">
        <f ca="1">IFERROR(__xludf.DUMMYFUNCTION("""COMPUTED_VALUE"""),"610ba1cfac1aa81391efea1f")</f>
        <v>610ba1cfac1aa81391efea1f</v>
      </c>
      <c r="AJ229" s="25">
        <f t="shared" ca="1" si="0"/>
        <v>1</v>
      </c>
    </row>
    <row r="230" spans="1:36" ht="46.5">
      <c r="A230" s="51" t="s">
        <v>988</v>
      </c>
      <c r="B230" s="51" t="s">
        <v>1416</v>
      </c>
      <c r="C230" s="22" t="s">
        <v>1417</v>
      </c>
      <c r="D230" s="23" t="s">
        <v>1418</v>
      </c>
      <c r="E230" s="22" t="s">
        <v>49</v>
      </c>
      <c r="F230" s="22" t="s">
        <v>50</v>
      </c>
      <c r="G230" s="22" t="s">
        <v>49</v>
      </c>
      <c r="H230" s="22" t="s">
        <v>126</v>
      </c>
      <c r="I230" s="22" t="s">
        <v>52</v>
      </c>
      <c r="J230" s="22" t="s">
        <v>501</v>
      </c>
      <c r="K230" s="22" t="s">
        <v>54</v>
      </c>
      <c r="L230" s="22" t="s">
        <v>55</v>
      </c>
      <c r="M230" s="22" t="s">
        <v>83</v>
      </c>
      <c r="N230" s="22" t="s">
        <v>194</v>
      </c>
      <c r="O230" s="22" t="s">
        <v>84</v>
      </c>
      <c r="P230" s="22" t="s">
        <v>85</v>
      </c>
      <c r="Q230" s="22" t="s">
        <v>203</v>
      </c>
      <c r="R230" s="25"/>
      <c r="S230" s="22" t="s">
        <v>85</v>
      </c>
      <c r="T230" s="22" t="s">
        <v>62</v>
      </c>
      <c r="U230" s="22" t="s">
        <v>63</v>
      </c>
      <c r="V230" s="22" t="s">
        <v>64</v>
      </c>
      <c r="W230" s="25"/>
      <c r="X230" s="26" t="s">
        <v>154</v>
      </c>
      <c r="Y230" s="22" t="s">
        <v>770</v>
      </c>
      <c r="Z230" s="22" t="s">
        <v>1419</v>
      </c>
      <c r="AA230" s="22" t="s">
        <v>1420</v>
      </c>
      <c r="AC230" s="22" t="s">
        <v>176</v>
      </c>
      <c r="AD230" s="27" t="s">
        <v>71</v>
      </c>
      <c r="AE230" s="22" t="s">
        <v>73</v>
      </c>
      <c r="AF230" s="33" t="s">
        <v>1421</v>
      </c>
      <c r="AG230" s="33" t="s">
        <v>1422</v>
      </c>
      <c r="AI230" s="25" t="str">
        <f ca="1">IFERROR(__xludf.DUMMYFUNCTION("""COMPUTED_VALUE"""),"610bbce5ac1aa81391effa06")</f>
        <v>610bbce5ac1aa81391effa06</v>
      </c>
      <c r="AJ230" s="25">
        <f t="shared" ca="1" si="0"/>
        <v>1</v>
      </c>
    </row>
    <row r="231" spans="1:36" ht="46.5">
      <c r="A231" s="51" t="s">
        <v>988</v>
      </c>
      <c r="B231" s="51" t="s">
        <v>1423</v>
      </c>
      <c r="C231" s="22" t="s">
        <v>1424</v>
      </c>
      <c r="D231" s="23" t="s">
        <v>1425</v>
      </c>
      <c r="E231" s="22" t="s">
        <v>49</v>
      </c>
      <c r="F231" s="22" t="s">
        <v>269</v>
      </c>
      <c r="G231" s="22" t="s">
        <v>49</v>
      </c>
      <c r="H231" s="22" t="s">
        <v>80</v>
      </c>
      <c r="I231" s="22" t="s">
        <v>81</v>
      </c>
      <c r="J231" s="22" t="s">
        <v>501</v>
      </c>
      <c r="K231" s="22" t="s">
        <v>856</v>
      </c>
      <c r="L231" s="22" t="s">
        <v>53</v>
      </c>
      <c r="M231" s="22" t="s">
        <v>83</v>
      </c>
      <c r="N231" s="22" t="s">
        <v>59</v>
      </c>
      <c r="O231" s="22" t="s">
        <v>84</v>
      </c>
      <c r="P231" s="22" t="s">
        <v>137</v>
      </c>
      <c r="Q231" s="22" t="s">
        <v>183</v>
      </c>
      <c r="R231" s="25"/>
      <c r="S231" s="22" t="s">
        <v>85</v>
      </c>
      <c r="T231" s="22" t="s">
        <v>62</v>
      </c>
      <c r="U231" s="22" t="s">
        <v>63</v>
      </c>
      <c r="V231" s="22" t="s">
        <v>64</v>
      </c>
      <c r="W231" s="25"/>
      <c r="X231" s="26" t="s">
        <v>154</v>
      </c>
      <c r="Z231" s="22" t="s">
        <v>1426</v>
      </c>
      <c r="AA231" s="22" t="s">
        <v>1427</v>
      </c>
      <c r="AC231" s="22" t="s">
        <v>176</v>
      </c>
      <c r="AD231" s="27" t="s">
        <v>71</v>
      </c>
      <c r="AE231" s="22" t="s">
        <v>73</v>
      </c>
      <c r="AF231" s="33" t="s">
        <v>1428</v>
      </c>
      <c r="AG231" s="76" t="s">
        <v>1429</v>
      </c>
      <c r="AI231" s="25" t="str">
        <f ca="1">IFERROR(__xludf.DUMMYFUNCTION("""COMPUTED_VALUE"""),"6110b64571e9d134c0372db3")</f>
        <v>6110b64571e9d134c0372db3</v>
      </c>
      <c r="AJ231" s="25">
        <f t="shared" ca="1" si="0"/>
        <v>1</v>
      </c>
    </row>
    <row r="232" spans="1:36" ht="46.5">
      <c r="A232" s="51" t="s">
        <v>988</v>
      </c>
      <c r="B232" s="51" t="s">
        <v>1430</v>
      </c>
      <c r="C232" s="22" t="s">
        <v>1431</v>
      </c>
      <c r="D232" s="23" t="s">
        <v>1432</v>
      </c>
      <c r="E232" s="22" t="s">
        <v>49</v>
      </c>
      <c r="F232" s="22" t="s">
        <v>50</v>
      </c>
      <c r="G232" s="22" t="s">
        <v>49</v>
      </c>
      <c r="H232" s="22" t="s">
        <v>169</v>
      </c>
      <c r="I232" s="22" t="s">
        <v>307</v>
      </c>
      <c r="J232" s="22" t="s">
        <v>53</v>
      </c>
      <c r="K232" s="22" t="s">
        <v>170</v>
      </c>
      <c r="L232" s="22" t="s">
        <v>53</v>
      </c>
      <c r="M232" s="22" t="s">
        <v>83</v>
      </c>
      <c r="N232" s="22" t="s">
        <v>59</v>
      </c>
      <c r="O232" s="22" t="s">
        <v>84</v>
      </c>
      <c r="P232" s="22" t="s">
        <v>348</v>
      </c>
      <c r="Q232" s="22" t="s">
        <v>153</v>
      </c>
      <c r="R232" s="25"/>
      <c r="S232" s="22" t="s">
        <v>61</v>
      </c>
      <c r="T232" s="22" t="s">
        <v>62</v>
      </c>
      <c r="U232" s="22" t="s">
        <v>63</v>
      </c>
      <c r="V232" s="22" t="s">
        <v>64</v>
      </c>
      <c r="W232" s="25"/>
      <c r="X232" s="35" t="s">
        <v>1219</v>
      </c>
      <c r="Y232" s="22" t="s">
        <v>120</v>
      </c>
      <c r="Z232" s="22" t="s">
        <v>1088</v>
      </c>
      <c r="AA232" s="22" t="s">
        <v>334</v>
      </c>
      <c r="AC232" s="22" t="s">
        <v>176</v>
      </c>
      <c r="AD232" s="27" t="s">
        <v>71</v>
      </c>
      <c r="AE232" s="22" t="s">
        <v>73</v>
      </c>
      <c r="AF232" s="33" t="s">
        <v>1433</v>
      </c>
      <c r="AG232" s="33" t="s">
        <v>1434</v>
      </c>
      <c r="AI232" s="25" t="str">
        <f ca="1">IFERROR(__xludf.DUMMYFUNCTION("""COMPUTED_VALUE"""),"6111f6273b77af5bf1e3aa85")</f>
        <v>6111f6273b77af5bf1e3aa85</v>
      </c>
      <c r="AJ232" s="25">
        <f t="shared" ca="1" si="0"/>
        <v>1</v>
      </c>
    </row>
    <row r="233" spans="1:36" ht="31">
      <c r="A233" s="51" t="s">
        <v>988</v>
      </c>
      <c r="B233" s="51" t="s">
        <v>1435</v>
      </c>
      <c r="C233" s="22" t="s">
        <v>1436</v>
      </c>
      <c r="D233" s="23" t="s">
        <v>1437</v>
      </c>
      <c r="E233" s="22" t="s">
        <v>49</v>
      </c>
      <c r="F233" s="22" t="s">
        <v>78</v>
      </c>
      <c r="G233" s="22" t="s">
        <v>49</v>
      </c>
      <c r="H233" s="22" t="s">
        <v>126</v>
      </c>
      <c r="I233" s="22" t="s">
        <v>52</v>
      </c>
      <c r="J233" s="22" t="s">
        <v>53</v>
      </c>
      <c r="K233" s="22" t="s">
        <v>856</v>
      </c>
      <c r="L233" s="22" t="s">
        <v>55</v>
      </c>
      <c r="M233" s="22" t="s">
        <v>83</v>
      </c>
      <c r="N233" s="22" t="s">
        <v>59</v>
      </c>
      <c r="O233" s="22" t="s">
        <v>84</v>
      </c>
      <c r="P233" s="22" t="s">
        <v>348</v>
      </c>
      <c r="Q233" s="22" t="s">
        <v>63</v>
      </c>
      <c r="R233" s="22" t="s">
        <v>130</v>
      </c>
      <c r="S233" s="22" t="s">
        <v>61</v>
      </c>
      <c r="T233" s="22" t="s">
        <v>62</v>
      </c>
      <c r="U233" s="22" t="s">
        <v>63</v>
      </c>
      <c r="V233" s="22" t="s">
        <v>64</v>
      </c>
      <c r="W233" s="25"/>
      <c r="X233" s="26" t="s">
        <v>1438</v>
      </c>
      <c r="Y233" s="22" t="s">
        <v>195</v>
      </c>
      <c r="Z233" s="22" t="s">
        <v>1439</v>
      </c>
      <c r="AA233" s="22" t="s">
        <v>987</v>
      </c>
      <c r="AC233" s="22" t="s">
        <v>176</v>
      </c>
      <c r="AD233" s="27" t="s">
        <v>71</v>
      </c>
      <c r="AE233" s="22" t="s">
        <v>73</v>
      </c>
      <c r="AF233" s="33" t="s">
        <v>1440</v>
      </c>
      <c r="AG233" s="33" t="s">
        <v>1441</v>
      </c>
      <c r="AI233" s="25" t="str">
        <f ca="1">IFERROR(__xludf.DUMMYFUNCTION("""COMPUTED_VALUE"""),"6111fd3d3b77af5bf1e3adf1")</f>
        <v>6111fd3d3b77af5bf1e3adf1</v>
      </c>
      <c r="AJ233" s="25">
        <f t="shared" ca="1" si="0"/>
        <v>1</v>
      </c>
    </row>
    <row r="234" spans="1:36" ht="31">
      <c r="A234" s="51" t="s">
        <v>988</v>
      </c>
      <c r="B234" s="51" t="s">
        <v>1442</v>
      </c>
      <c r="C234" s="22" t="s">
        <v>1443</v>
      </c>
      <c r="D234" s="23" t="s">
        <v>1444</v>
      </c>
      <c r="E234" s="22" t="s">
        <v>49</v>
      </c>
      <c r="F234" s="22" t="s">
        <v>78</v>
      </c>
      <c r="G234" s="22" t="s">
        <v>49</v>
      </c>
      <c r="H234" s="22" t="s">
        <v>51</v>
      </c>
      <c r="I234" s="22" t="s">
        <v>81</v>
      </c>
      <c r="J234" s="22" t="s">
        <v>53</v>
      </c>
      <c r="K234" s="22" t="s">
        <v>54</v>
      </c>
      <c r="L234" s="22" t="s">
        <v>53</v>
      </c>
      <c r="M234" s="22" t="s">
        <v>83</v>
      </c>
      <c r="N234" s="22" t="s">
        <v>59</v>
      </c>
      <c r="O234" s="22" t="s">
        <v>84</v>
      </c>
      <c r="P234" s="22" t="s">
        <v>137</v>
      </c>
      <c r="Q234" s="22" t="s">
        <v>60</v>
      </c>
      <c r="R234" s="22" t="s">
        <v>238</v>
      </c>
      <c r="S234" s="22" t="s">
        <v>85</v>
      </c>
      <c r="T234" s="22" t="s">
        <v>62</v>
      </c>
      <c r="U234" s="22" t="s">
        <v>63</v>
      </c>
      <c r="V234" s="22" t="s">
        <v>64</v>
      </c>
      <c r="W234" s="25"/>
      <c r="X234" s="35" t="s">
        <v>1438</v>
      </c>
      <c r="Y234" s="22" t="s">
        <v>357</v>
      </c>
      <c r="Z234" s="22" t="s">
        <v>1445</v>
      </c>
      <c r="AA234" s="22" t="s">
        <v>997</v>
      </c>
      <c r="AB234" s="22" t="s">
        <v>1446</v>
      </c>
      <c r="AC234" s="22" t="s">
        <v>176</v>
      </c>
      <c r="AD234" s="27" t="s">
        <v>71</v>
      </c>
      <c r="AE234" s="22" t="s">
        <v>73</v>
      </c>
      <c r="AF234" s="33" t="s">
        <v>1447</v>
      </c>
      <c r="AG234" s="33" t="s">
        <v>352</v>
      </c>
      <c r="AI234" s="25" t="str">
        <f ca="1">IFERROR(__xludf.DUMMYFUNCTION("""COMPUTED_VALUE"""),"61122b2d3b77af5bf1e3b631")</f>
        <v>61122b2d3b77af5bf1e3b631</v>
      </c>
      <c r="AJ234" s="25">
        <f t="shared" ca="1" si="0"/>
        <v>1</v>
      </c>
    </row>
    <row r="235" spans="1:36" ht="31">
      <c r="A235" s="51" t="s">
        <v>988</v>
      </c>
      <c r="B235" s="51" t="s">
        <v>1448</v>
      </c>
      <c r="C235" s="22" t="s">
        <v>1449</v>
      </c>
      <c r="D235" s="23" t="s">
        <v>1450</v>
      </c>
      <c r="E235" s="22" t="s">
        <v>49</v>
      </c>
      <c r="F235" s="22" t="s">
        <v>50</v>
      </c>
      <c r="G235" s="22" t="s">
        <v>49</v>
      </c>
      <c r="H235" s="22" t="s">
        <v>51</v>
      </c>
      <c r="I235" s="22" t="s">
        <v>52</v>
      </c>
      <c r="J235" s="22" t="s">
        <v>127</v>
      </c>
      <c r="K235" s="22" t="s">
        <v>82</v>
      </c>
      <c r="L235" s="22" t="s">
        <v>53</v>
      </c>
      <c r="M235" s="22" t="s">
        <v>83</v>
      </c>
      <c r="N235" s="22" t="s">
        <v>59</v>
      </c>
      <c r="O235" s="22" t="s">
        <v>84</v>
      </c>
      <c r="P235" s="22" t="s">
        <v>85</v>
      </c>
      <c r="Q235" s="22" t="s">
        <v>203</v>
      </c>
      <c r="R235" s="25"/>
      <c r="S235" s="22" t="s">
        <v>85</v>
      </c>
      <c r="T235" s="22" t="s">
        <v>62</v>
      </c>
      <c r="U235" s="22" t="s">
        <v>63</v>
      </c>
      <c r="V235" s="22" t="s">
        <v>64</v>
      </c>
      <c r="W235" s="25"/>
      <c r="X235" s="35" t="s">
        <v>1438</v>
      </c>
      <c r="Y235" s="22" t="s">
        <v>162</v>
      </c>
      <c r="Z235" s="22" t="s">
        <v>289</v>
      </c>
      <c r="AA235" s="22" t="s">
        <v>1175</v>
      </c>
      <c r="AC235" s="22" t="s">
        <v>176</v>
      </c>
      <c r="AD235" s="27" t="s">
        <v>71</v>
      </c>
      <c r="AE235" s="22" t="s">
        <v>73</v>
      </c>
      <c r="AF235" s="33" t="s">
        <v>1451</v>
      </c>
      <c r="AG235" s="33" t="s">
        <v>352</v>
      </c>
      <c r="AI235" s="25" t="str">
        <f ca="1">IFERROR(__xludf.DUMMYFUNCTION("""COMPUTED_VALUE"""),"61124eee3b77af5bf1e3bd1f")</f>
        <v>61124eee3b77af5bf1e3bd1f</v>
      </c>
      <c r="AJ235" s="25">
        <f t="shared" ca="1" si="0"/>
        <v>1</v>
      </c>
    </row>
    <row r="236" spans="1:36" ht="46.5">
      <c r="A236" s="51" t="s">
        <v>988</v>
      </c>
      <c r="B236" s="51" t="s">
        <v>1452</v>
      </c>
      <c r="C236" s="22" t="s">
        <v>1453</v>
      </c>
      <c r="D236" s="23" t="s">
        <v>1454</v>
      </c>
      <c r="E236" s="22" t="s">
        <v>49</v>
      </c>
      <c r="F236" s="22" t="s">
        <v>589</v>
      </c>
      <c r="G236" s="22" t="s">
        <v>79</v>
      </c>
      <c r="H236" s="22" t="s">
        <v>192</v>
      </c>
      <c r="I236" s="22" t="s">
        <v>81</v>
      </c>
      <c r="J236" s="22" t="s">
        <v>107</v>
      </c>
      <c r="K236" s="22" t="s">
        <v>856</v>
      </c>
      <c r="L236" s="22" t="s">
        <v>53</v>
      </c>
      <c r="M236" s="22" t="s">
        <v>83</v>
      </c>
      <c r="N236" s="22" t="s">
        <v>59</v>
      </c>
      <c r="O236" s="22" t="s">
        <v>84</v>
      </c>
      <c r="P236" s="22" t="s">
        <v>108</v>
      </c>
      <c r="Q236" s="22" t="s">
        <v>86</v>
      </c>
      <c r="R236" s="25"/>
      <c r="S236" s="22" t="s">
        <v>294</v>
      </c>
      <c r="T236" s="22" t="s">
        <v>62</v>
      </c>
      <c r="U236" s="22" t="s">
        <v>63</v>
      </c>
      <c r="V236" s="22" t="s">
        <v>118</v>
      </c>
      <c r="W236" s="25"/>
      <c r="X236" s="35" t="s">
        <v>1438</v>
      </c>
      <c r="Y236" s="22" t="s">
        <v>302</v>
      </c>
      <c r="Z236" s="22" t="s">
        <v>1455</v>
      </c>
      <c r="AA236" s="22" t="s">
        <v>1265</v>
      </c>
      <c r="AC236" s="22" t="s">
        <v>176</v>
      </c>
      <c r="AD236" s="27" t="s">
        <v>71</v>
      </c>
      <c r="AE236" s="22" t="s">
        <v>73</v>
      </c>
      <c r="AF236" s="33" t="s">
        <v>1456</v>
      </c>
      <c r="AG236" s="33" t="s">
        <v>1457</v>
      </c>
      <c r="AI236" s="25" t="str">
        <f ca="1">IFERROR(__xludf.DUMMYFUNCTION("""COMPUTED_VALUE""")," 611265033b77af5bf1e3bf35")</f>
        <v xml:space="preserve"> 611265033b77af5bf1e3bf35</v>
      </c>
      <c r="AJ236" s="25">
        <f t="shared" ca="1" si="0"/>
        <v>1</v>
      </c>
    </row>
    <row r="237" spans="1:36" ht="46.5">
      <c r="A237" s="51" t="s">
        <v>988</v>
      </c>
      <c r="B237" s="51" t="s">
        <v>1458</v>
      </c>
      <c r="C237" s="22" t="s">
        <v>1459</v>
      </c>
      <c r="D237" s="23" t="s">
        <v>1460</v>
      </c>
      <c r="E237" s="22" t="s">
        <v>49</v>
      </c>
      <c r="F237" s="22" t="s">
        <v>618</v>
      </c>
      <c r="G237" s="22" t="s">
        <v>49</v>
      </c>
      <c r="H237" s="22" t="s">
        <v>169</v>
      </c>
      <c r="I237" s="22" t="s">
        <v>81</v>
      </c>
      <c r="J237" s="22" t="s">
        <v>53</v>
      </c>
      <c r="K237" s="22" t="s">
        <v>170</v>
      </c>
      <c r="L237" s="22" t="s">
        <v>53</v>
      </c>
      <c r="M237" s="22" t="s">
        <v>83</v>
      </c>
      <c r="N237" s="22" t="s">
        <v>59</v>
      </c>
      <c r="O237" s="22" t="s">
        <v>84</v>
      </c>
      <c r="P237" s="22" t="s">
        <v>422</v>
      </c>
      <c r="Q237" s="22" t="s">
        <v>238</v>
      </c>
      <c r="R237" s="22" t="s">
        <v>60</v>
      </c>
      <c r="S237" s="22" t="s">
        <v>294</v>
      </c>
      <c r="T237" s="22" t="s">
        <v>62</v>
      </c>
      <c r="U237" s="22" t="s">
        <v>63</v>
      </c>
      <c r="V237" s="22" t="s">
        <v>64</v>
      </c>
      <c r="W237" s="25"/>
      <c r="X237" s="35" t="s">
        <v>1438</v>
      </c>
      <c r="Y237" s="22" t="s">
        <v>376</v>
      </c>
      <c r="Z237" s="22" t="s">
        <v>1461</v>
      </c>
      <c r="AA237" s="22" t="s">
        <v>1462</v>
      </c>
      <c r="AC237" s="22" t="s">
        <v>176</v>
      </c>
      <c r="AD237" s="27" t="s">
        <v>71</v>
      </c>
      <c r="AE237" s="22" t="s">
        <v>73</v>
      </c>
      <c r="AF237" s="33" t="s">
        <v>1463</v>
      </c>
      <c r="AG237" s="33" t="s">
        <v>352</v>
      </c>
      <c r="AI237" s="25" t="str">
        <f ca="1">IFERROR(__xludf.DUMMYFUNCTION("""COMPUTED_VALUE"""),"610b440cb9124589ec6f68f0")</f>
        <v>610b440cb9124589ec6f68f0</v>
      </c>
      <c r="AJ237" s="25">
        <f t="shared" ca="1" si="0"/>
        <v>1</v>
      </c>
    </row>
    <row r="238" spans="1:36" ht="31">
      <c r="A238" s="51" t="s">
        <v>988</v>
      </c>
      <c r="B238" s="51" t="s">
        <v>1464</v>
      </c>
      <c r="C238" s="22" t="s">
        <v>1465</v>
      </c>
      <c r="D238" s="23" t="s">
        <v>1466</v>
      </c>
      <c r="E238" s="22" t="s">
        <v>49</v>
      </c>
      <c r="F238" s="22" t="s">
        <v>618</v>
      </c>
      <c r="G238" s="22" t="s">
        <v>49</v>
      </c>
      <c r="H238" s="22" t="s">
        <v>169</v>
      </c>
      <c r="I238" s="22" t="s">
        <v>52</v>
      </c>
      <c r="J238" s="22" t="s">
        <v>53</v>
      </c>
      <c r="K238" s="22" t="s">
        <v>170</v>
      </c>
      <c r="L238" s="22" t="s">
        <v>53</v>
      </c>
      <c r="M238" s="22" t="s">
        <v>83</v>
      </c>
      <c r="N238" s="22" t="s">
        <v>59</v>
      </c>
      <c r="O238" s="22" t="s">
        <v>1116</v>
      </c>
      <c r="P238" s="22" t="s">
        <v>59</v>
      </c>
      <c r="Q238" s="22" t="s">
        <v>153</v>
      </c>
      <c r="R238" s="25"/>
      <c r="S238" s="22" t="s">
        <v>61</v>
      </c>
      <c r="T238" s="22" t="s">
        <v>62</v>
      </c>
      <c r="U238" s="22" t="s">
        <v>63</v>
      </c>
      <c r="V238" s="22" t="s">
        <v>64</v>
      </c>
      <c r="W238" s="25"/>
      <c r="X238" s="26" t="s">
        <v>1379</v>
      </c>
      <c r="Y238" s="22" t="s">
        <v>120</v>
      </c>
      <c r="Z238" s="22" t="s">
        <v>1467</v>
      </c>
      <c r="AA238" s="22" t="s">
        <v>1468</v>
      </c>
      <c r="AC238" s="22" t="s">
        <v>176</v>
      </c>
      <c r="AD238" s="27" t="s">
        <v>71</v>
      </c>
      <c r="AE238" s="22" t="s">
        <v>73</v>
      </c>
      <c r="AF238" s="33" t="s">
        <v>1469</v>
      </c>
      <c r="AG238" s="33" t="s">
        <v>1470</v>
      </c>
      <c r="AI238" s="25" t="str">
        <f ca="1">IFERROR(__xludf.DUMMYFUNCTION("""COMPUTED_VALUE"""),"610b4a6eb9124589ec6f6a85")</f>
        <v>610b4a6eb9124589ec6f6a85</v>
      </c>
      <c r="AJ238" s="25">
        <f t="shared" ca="1" si="0"/>
        <v>1</v>
      </c>
    </row>
    <row r="239" spans="1:36" ht="46.5">
      <c r="A239" s="51" t="s">
        <v>988</v>
      </c>
      <c r="B239" s="51" t="s">
        <v>1471</v>
      </c>
      <c r="C239" s="22" t="s">
        <v>1472</v>
      </c>
      <c r="D239" s="23" t="s">
        <v>1473</v>
      </c>
      <c r="E239" s="22" t="s">
        <v>49</v>
      </c>
      <c r="F239" s="22" t="s">
        <v>78</v>
      </c>
      <c r="G239" s="22" t="s">
        <v>49</v>
      </c>
      <c r="H239" s="22" t="s">
        <v>192</v>
      </c>
      <c r="I239" s="22" t="s">
        <v>52</v>
      </c>
      <c r="J239" s="22" t="s">
        <v>53</v>
      </c>
      <c r="K239" s="22" t="s">
        <v>856</v>
      </c>
      <c r="L239" s="22" t="s">
        <v>55</v>
      </c>
      <c r="M239" s="22" t="s">
        <v>83</v>
      </c>
      <c r="N239" s="22" t="s">
        <v>59</v>
      </c>
      <c r="O239" s="22" t="s">
        <v>490</v>
      </c>
      <c r="P239" s="22" t="s">
        <v>348</v>
      </c>
      <c r="Q239" s="22" t="s">
        <v>98</v>
      </c>
      <c r="R239" s="22" t="s">
        <v>857</v>
      </c>
      <c r="S239" s="22" t="s">
        <v>61</v>
      </c>
      <c r="T239" s="22" t="s">
        <v>62</v>
      </c>
      <c r="U239" s="22" t="s">
        <v>63</v>
      </c>
      <c r="V239" s="22" t="s">
        <v>64</v>
      </c>
      <c r="W239" s="25"/>
      <c r="X239" s="35" t="s">
        <v>1379</v>
      </c>
      <c r="Y239" s="22" t="s">
        <v>792</v>
      </c>
      <c r="Z239" s="22" t="s">
        <v>895</v>
      </c>
      <c r="AA239" s="22" t="s">
        <v>1474</v>
      </c>
      <c r="AC239" s="22" t="s">
        <v>176</v>
      </c>
      <c r="AD239" s="27" t="s">
        <v>71</v>
      </c>
      <c r="AE239" s="22" t="s">
        <v>73</v>
      </c>
      <c r="AF239" s="33" t="s">
        <v>1475</v>
      </c>
      <c r="AG239" s="33" t="s">
        <v>1476</v>
      </c>
      <c r="AI239" s="25" t="str">
        <f ca="1">IFERROR(__xludf.DUMMYFUNCTION("""COMPUTED_VALUE"""),"610b58d7b9124589ec6f6e9e")</f>
        <v>610b58d7b9124589ec6f6e9e</v>
      </c>
      <c r="AJ239" s="25">
        <f t="shared" ca="1" si="0"/>
        <v>1</v>
      </c>
    </row>
    <row r="240" spans="1:36" ht="46.5">
      <c r="A240" s="51" t="s">
        <v>988</v>
      </c>
      <c r="B240" s="51" t="s">
        <v>1477</v>
      </c>
      <c r="C240" s="22" t="s">
        <v>1478</v>
      </c>
      <c r="D240" s="23" t="s">
        <v>1479</v>
      </c>
      <c r="E240" s="22" t="s">
        <v>49</v>
      </c>
      <c r="F240" s="22" t="s">
        <v>228</v>
      </c>
      <c r="G240" s="22" t="s">
        <v>49</v>
      </c>
      <c r="H240" s="22" t="s">
        <v>51</v>
      </c>
      <c r="I240" s="22" t="s">
        <v>1394</v>
      </c>
      <c r="J240" s="22" t="s">
        <v>501</v>
      </c>
      <c r="K240" s="22" t="s">
        <v>54</v>
      </c>
      <c r="L240" s="22" t="s">
        <v>53</v>
      </c>
      <c r="M240" s="22" t="s">
        <v>83</v>
      </c>
      <c r="N240" s="22" t="s">
        <v>194</v>
      </c>
      <c r="O240" s="22" t="s">
        <v>84</v>
      </c>
      <c r="P240" s="22" t="s">
        <v>59</v>
      </c>
      <c r="Q240" s="22" t="s">
        <v>63</v>
      </c>
      <c r="R240" s="25"/>
      <c r="S240" s="22" t="s">
        <v>194</v>
      </c>
      <c r="T240" s="22" t="s">
        <v>62</v>
      </c>
      <c r="U240" s="22" t="s">
        <v>63</v>
      </c>
      <c r="V240" s="22" t="s">
        <v>118</v>
      </c>
      <c r="W240" s="25"/>
      <c r="X240" s="31" t="s">
        <v>2321</v>
      </c>
      <c r="Y240" s="22" t="s">
        <v>99</v>
      </c>
      <c r="Z240" s="22" t="s">
        <v>449</v>
      </c>
      <c r="AA240" s="22" t="s">
        <v>1395</v>
      </c>
      <c r="AC240" s="22" t="s">
        <v>176</v>
      </c>
      <c r="AD240" s="27" t="s">
        <v>71</v>
      </c>
      <c r="AE240" s="22" t="s">
        <v>73</v>
      </c>
      <c r="AF240" s="33" t="s">
        <v>1481</v>
      </c>
      <c r="AG240" s="33" t="s">
        <v>1441</v>
      </c>
      <c r="AI240" s="25" t="str">
        <f ca="1">IFERROR(__xludf.DUMMYFUNCTION("""COMPUTED_VALUE"""),"610b5e85b9124589ec6f704b")</f>
        <v>610b5e85b9124589ec6f704b</v>
      </c>
      <c r="AJ240" s="25">
        <f t="shared" ca="1" si="0"/>
        <v>1</v>
      </c>
    </row>
    <row r="241" spans="1:38" ht="31">
      <c r="A241" s="51" t="s">
        <v>1482</v>
      </c>
      <c r="B241" s="51" t="s">
        <v>1483</v>
      </c>
      <c r="C241" s="22" t="s">
        <v>1484</v>
      </c>
      <c r="D241" s="23" t="s">
        <v>1485</v>
      </c>
      <c r="E241" s="22" t="s">
        <v>49</v>
      </c>
      <c r="F241" s="22" t="s">
        <v>228</v>
      </c>
      <c r="G241" s="22" t="s">
        <v>49</v>
      </c>
      <c r="H241" s="22" t="s">
        <v>51</v>
      </c>
      <c r="I241" s="22" t="s">
        <v>81</v>
      </c>
      <c r="J241" s="22" t="s">
        <v>53</v>
      </c>
      <c r="K241" s="22" t="s">
        <v>82</v>
      </c>
      <c r="L241" s="22" t="s">
        <v>53</v>
      </c>
      <c r="M241" s="22" t="s">
        <v>83</v>
      </c>
      <c r="N241" s="22" t="s">
        <v>59</v>
      </c>
      <c r="O241" s="22" t="s">
        <v>84</v>
      </c>
      <c r="P241" s="22" t="s">
        <v>537</v>
      </c>
      <c r="Q241" s="22" t="s">
        <v>60</v>
      </c>
      <c r="R241" s="25"/>
      <c r="S241" s="22" t="s">
        <v>85</v>
      </c>
      <c r="T241" s="22" t="s">
        <v>62</v>
      </c>
      <c r="U241" s="22" t="s">
        <v>63</v>
      </c>
      <c r="V241" s="22" t="s">
        <v>64</v>
      </c>
      <c r="W241" s="25"/>
      <c r="X241" s="35" t="s">
        <v>1379</v>
      </c>
      <c r="Y241" s="22" t="s">
        <v>590</v>
      </c>
      <c r="Z241" s="22" t="s">
        <v>1486</v>
      </c>
      <c r="AA241" s="22" t="s">
        <v>1487</v>
      </c>
      <c r="AC241" s="22" t="s">
        <v>393</v>
      </c>
      <c r="AD241" s="27" t="s">
        <v>71</v>
      </c>
      <c r="AE241" s="22" t="s">
        <v>741</v>
      </c>
      <c r="AF241" s="34"/>
      <c r="AG241" s="34"/>
      <c r="AI241" s="25" t="str">
        <f ca="1">IFERROR(__xludf.DUMMYFUNCTION("""COMPUTED_VALUE"""),"610b8043b9124589ec6f7251")</f>
        <v>610b8043b9124589ec6f7251</v>
      </c>
      <c r="AJ241" s="25">
        <f t="shared" ca="1" si="0"/>
        <v>1</v>
      </c>
    </row>
    <row r="242" spans="1:38" ht="46.5">
      <c r="A242" s="51" t="s">
        <v>1482</v>
      </c>
      <c r="B242" s="51" t="s">
        <v>1488</v>
      </c>
      <c r="C242" s="22" t="s">
        <v>1489</v>
      </c>
      <c r="D242" s="42" t="s">
        <v>1490</v>
      </c>
      <c r="E242" s="22" t="s">
        <v>49</v>
      </c>
      <c r="F242" s="22" t="s">
        <v>95</v>
      </c>
      <c r="G242" s="22" t="s">
        <v>49</v>
      </c>
      <c r="H242" s="22" t="s">
        <v>51</v>
      </c>
      <c r="I242" s="22" t="s">
        <v>81</v>
      </c>
      <c r="J242" s="22" t="s">
        <v>107</v>
      </c>
      <c r="K242" s="22" t="s">
        <v>82</v>
      </c>
      <c r="L242" s="22" t="s">
        <v>53</v>
      </c>
      <c r="M242" s="22" t="s">
        <v>83</v>
      </c>
      <c r="N242" s="22" t="s">
        <v>59</v>
      </c>
      <c r="O242" s="22" t="s">
        <v>84</v>
      </c>
      <c r="P242" s="22" t="s">
        <v>108</v>
      </c>
      <c r="Q242" s="22" t="s">
        <v>60</v>
      </c>
      <c r="R242" s="25"/>
      <c r="S242" s="22" t="s">
        <v>109</v>
      </c>
      <c r="T242" s="22" t="s">
        <v>62</v>
      </c>
      <c r="U242" s="22" t="s">
        <v>63</v>
      </c>
      <c r="V242" s="22" t="s">
        <v>64</v>
      </c>
      <c r="W242" s="25"/>
      <c r="X242" s="35" t="s">
        <v>1379</v>
      </c>
      <c r="Y242" s="22" t="s">
        <v>1022</v>
      </c>
      <c r="Z242" s="22" t="s">
        <v>1487</v>
      </c>
      <c r="AA242" s="22" t="s">
        <v>1491</v>
      </c>
      <c r="AC242" s="22" t="s">
        <v>393</v>
      </c>
      <c r="AD242" s="27" t="s">
        <v>71</v>
      </c>
      <c r="AE242" s="22" t="s">
        <v>741</v>
      </c>
      <c r="AF242" s="33" t="s">
        <v>1492</v>
      </c>
      <c r="AG242" s="33" t="s">
        <v>1493</v>
      </c>
      <c r="AI242" s="25" t="str">
        <f ca="1">IFERROR(__xludf.DUMMYFUNCTION("""COMPUTED_VALUE"""),"610b8e2ab9124589ec6f74fa")</f>
        <v>610b8e2ab9124589ec6f74fa</v>
      </c>
      <c r="AJ242" s="25">
        <f t="shared" ca="1" si="0"/>
        <v>1</v>
      </c>
    </row>
    <row r="243" spans="1:38" ht="46.5">
      <c r="A243" s="51" t="s">
        <v>1482</v>
      </c>
      <c r="B243" s="51" t="s">
        <v>1494</v>
      </c>
      <c r="C243" s="7" t="s">
        <v>2322</v>
      </c>
      <c r="D243" s="42" t="s">
        <v>1496</v>
      </c>
      <c r="E243" s="22" t="s">
        <v>49</v>
      </c>
      <c r="F243" s="22" t="s">
        <v>95</v>
      </c>
      <c r="G243" s="22" t="s">
        <v>49</v>
      </c>
      <c r="H243" s="22" t="s">
        <v>126</v>
      </c>
      <c r="I243" s="7" t="s">
        <v>81</v>
      </c>
      <c r="J243" s="7" t="s">
        <v>53</v>
      </c>
      <c r="K243" s="22" t="s">
        <v>144</v>
      </c>
      <c r="L243" s="22" t="s">
        <v>53</v>
      </c>
      <c r="M243" s="22" t="s">
        <v>83</v>
      </c>
      <c r="N243" s="22" t="s">
        <v>59</v>
      </c>
      <c r="O243" s="22" t="s">
        <v>84</v>
      </c>
      <c r="P243" s="22" t="s">
        <v>108</v>
      </c>
      <c r="Q243" s="22" t="s">
        <v>60</v>
      </c>
      <c r="R243" s="22" t="s">
        <v>183</v>
      </c>
      <c r="S243" s="7" t="s">
        <v>85</v>
      </c>
      <c r="T243" s="22" t="s">
        <v>62</v>
      </c>
      <c r="U243" s="22" t="s">
        <v>515</v>
      </c>
      <c r="V243" s="22" t="s">
        <v>64</v>
      </c>
      <c r="W243" s="25"/>
      <c r="X243" s="35" t="s">
        <v>1379</v>
      </c>
      <c r="Y243" s="22" t="s">
        <v>376</v>
      </c>
      <c r="Z243" s="22" t="s">
        <v>1497</v>
      </c>
      <c r="AA243" s="22" t="s">
        <v>272</v>
      </c>
      <c r="AC243" s="22" t="s">
        <v>393</v>
      </c>
      <c r="AD243" s="27" t="s">
        <v>71</v>
      </c>
      <c r="AE243" s="22" t="s">
        <v>741</v>
      </c>
      <c r="AF243" s="33" t="s">
        <v>1498</v>
      </c>
      <c r="AG243" s="33" t="s">
        <v>1493</v>
      </c>
      <c r="AI243" s="25" t="str">
        <f ca="1">IFERROR(__xludf.DUMMYFUNCTION("""COMPUTED_VALUE"""),"611367f87f68c1ec319f71c0")</f>
        <v>611367f87f68c1ec319f71c0</v>
      </c>
      <c r="AJ243" s="25">
        <f t="shared" ca="1" si="0"/>
        <v>1</v>
      </c>
    </row>
    <row r="244" spans="1:38" ht="46.5">
      <c r="A244" s="51" t="s">
        <v>1482</v>
      </c>
      <c r="B244" s="51" t="s">
        <v>1499</v>
      </c>
      <c r="C244" s="22" t="s">
        <v>1500</v>
      </c>
      <c r="D244" s="42" t="s">
        <v>1501</v>
      </c>
      <c r="E244" s="22" t="s">
        <v>53</v>
      </c>
      <c r="F244" s="22" t="s">
        <v>269</v>
      </c>
      <c r="G244" s="22" t="s">
        <v>79</v>
      </c>
      <c r="H244" s="22" t="s">
        <v>126</v>
      </c>
      <c r="I244" s="22" t="s">
        <v>52</v>
      </c>
      <c r="J244" s="22" t="s">
        <v>127</v>
      </c>
      <c r="K244" s="22" t="s">
        <v>54</v>
      </c>
      <c r="L244" s="22" t="s">
        <v>55</v>
      </c>
      <c r="M244" s="22" t="s">
        <v>83</v>
      </c>
      <c r="N244" s="22" t="s">
        <v>59</v>
      </c>
      <c r="O244" s="22" t="s">
        <v>84</v>
      </c>
      <c r="P244" s="22" t="s">
        <v>85</v>
      </c>
      <c r="Q244" s="22" t="s">
        <v>60</v>
      </c>
      <c r="R244" s="25"/>
      <c r="S244" s="22" t="s">
        <v>85</v>
      </c>
      <c r="T244" s="22" t="s">
        <v>62</v>
      </c>
      <c r="U244" s="22" t="s">
        <v>63</v>
      </c>
      <c r="V244" s="22" t="s">
        <v>64</v>
      </c>
      <c r="W244" s="25"/>
      <c r="X244" s="35" t="s">
        <v>1502</v>
      </c>
      <c r="Y244" s="22" t="s">
        <v>231</v>
      </c>
      <c r="Z244" s="22" t="s">
        <v>232</v>
      </c>
      <c r="AA244" s="22" t="s">
        <v>1503</v>
      </c>
      <c r="AC244" s="22" t="s">
        <v>393</v>
      </c>
      <c r="AD244" s="27" t="s">
        <v>71</v>
      </c>
      <c r="AE244" s="22" t="s">
        <v>741</v>
      </c>
      <c r="AF244" s="33" t="s">
        <v>1504</v>
      </c>
      <c r="AG244" s="33" t="s">
        <v>1493</v>
      </c>
      <c r="AI244" s="25" t="str">
        <f ca="1">IFERROR(__xludf.DUMMYFUNCTION("""COMPUTED_VALUE"""),"6113717c7f68c1ec319f7393")</f>
        <v>6113717c7f68c1ec319f7393</v>
      </c>
      <c r="AJ244" s="25">
        <f t="shared" ca="1" si="0"/>
        <v>1</v>
      </c>
    </row>
    <row r="245" spans="1:38" ht="31">
      <c r="A245" s="51" t="s">
        <v>1482</v>
      </c>
      <c r="B245" s="51" t="s">
        <v>1505</v>
      </c>
      <c r="C245" s="22" t="s">
        <v>1506</v>
      </c>
      <c r="D245" s="23" t="s">
        <v>1507</v>
      </c>
      <c r="E245" s="22" t="s">
        <v>49</v>
      </c>
      <c r="F245" s="22" t="s">
        <v>50</v>
      </c>
      <c r="G245" s="22" t="s">
        <v>49</v>
      </c>
      <c r="H245" s="22" t="s">
        <v>51</v>
      </c>
      <c r="I245" s="22" t="s">
        <v>52</v>
      </c>
      <c r="J245" s="22" t="s">
        <v>53</v>
      </c>
      <c r="K245" s="22" t="s">
        <v>856</v>
      </c>
      <c r="L245" s="22" t="s">
        <v>53</v>
      </c>
      <c r="M245" s="22" t="s">
        <v>83</v>
      </c>
      <c r="N245" s="22" t="s">
        <v>59</v>
      </c>
      <c r="O245" s="22" t="s">
        <v>84</v>
      </c>
      <c r="P245" s="22" t="s">
        <v>59</v>
      </c>
      <c r="Q245" s="22" t="s">
        <v>63</v>
      </c>
      <c r="R245" s="25"/>
      <c r="S245" s="22" t="s">
        <v>61</v>
      </c>
      <c r="T245" s="22" t="s">
        <v>62</v>
      </c>
      <c r="U245" s="22" t="s">
        <v>63</v>
      </c>
      <c r="V245" s="22" t="s">
        <v>64</v>
      </c>
      <c r="W245" s="25"/>
      <c r="X245" s="35" t="s">
        <v>1502</v>
      </c>
      <c r="Y245" s="22" t="s">
        <v>876</v>
      </c>
      <c r="Z245" s="22" t="s">
        <v>843</v>
      </c>
      <c r="AA245" s="22" t="s">
        <v>138</v>
      </c>
      <c r="AC245" s="22" t="s">
        <v>393</v>
      </c>
      <c r="AD245" s="27" t="s">
        <v>71</v>
      </c>
      <c r="AE245" s="22" t="s">
        <v>741</v>
      </c>
      <c r="AF245" s="33" t="s">
        <v>53</v>
      </c>
      <c r="AG245" s="34"/>
      <c r="AI245" s="25" t="str">
        <f ca="1">IFERROR(__xludf.DUMMYFUNCTION("""COMPUTED_VALUE"""),"61137dd77f68c1ec319f78bc")</f>
        <v>61137dd77f68c1ec319f78bc</v>
      </c>
      <c r="AJ245" s="25">
        <f t="shared" ca="1" si="0"/>
        <v>1</v>
      </c>
    </row>
    <row r="246" spans="1:38" ht="31">
      <c r="A246" s="51" t="s">
        <v>1482</v>
      </c>
      <c r="B246" s="51" t="s">
        <v>1508</v>
      </c>
      <c r="C246" s="22" t="s">
        <v>1509</v>
      </c>
      <c r="D246" s="23" t="s">
        <v>1510</v>
      </c>
      <c r="E246" s="22" t="s">
        <v>49</v>
      </c>
      <c r="F246" s="22" t="s">
        <v>95</v>
      </c>
      <c r="G246" s="22" t="s">
        <v>49</v>
      </c>
      <c r="H246" s="22" t="s">
        <v>126</v>
      </c>
      <c r="I246" s="22" t="s">
        <v>52</v>
      </c>
      <c r="J246" s="22" t="s">
        <v>53</v>
      </c>
      <c r="K246" s="22" t="s">
        <v>128</v>
      </c>
      <c r="L246" s="22" t="s">
        <v>55</v>
      </c>
      <c r="M246" s="22" t="s">
        <v>83</v>
      </c>
      <c r="N246" s="22" t="s">
        <v>59</v>
      </c>
      <c r="O246" s="22" t="s">
        <v>84</v>
      </c>
      <c r="P246" s="22" t="s">
        <v>348</v>
      </c>
      <c r="Q246" s="22" t="s">
        <v>60</v>
      </c>
      <c r="R246" s="25"/>
      <c r="S246" s="22" t="s">
        <v>61</v>
      </c>
      <c r="T246" s="22" t="s">
        <v>62</v>
      </c>
      <c r="U246" s="22" t="s">
        <v>63</v>
      </c>
      <c r="V246" s="22" t="s">
        <v>64</v>
      </c>
      <c r="W246" s="25"/>
      <c r="X246" s="26" t="s">
        <v>1511</v>
      </c>
      <c r="Y246" s="22" t="s">
        <v>525</v>
      </c>
      <c r="Z246" s="22" t="s">
        <v>626</v>
      </c>
      <c r="AA246" s="22" t="s">
        <v>627</v>
      </c>
      <c r="AC246" s="22" t="s">
        <v>393</v>
      </c>
      <c r="AD246" s="27" t="s">
        <v>71</v>
      </c>
      <c r="AE246" s="22" t="s">
        <v>741</v>
      </c>
      <c r="AF246" s="33" t="s">
        <v>1512</v>
      </c>
      <c r="AG246" s="33" t="s">
        <v>1513</v>
      </c>
      <c r="AI246" s="25" t="str">
        <f ca="1">IFERROR(__xludf.DUMMYFUNCTION("""COMPUTED_VALUE"""),"6113834b7f68c1ec319f7991")</f>
        <v>6113834b7f68c1ec319f7991</v>
      </c>
      <c r="AJ246" s="25">
        <f t="shared" ca="1" si="0"/>
        <v>1</v>
      </c>
    </row>
    <row r="247" spans="1:38" ht="31">
      <c r="A247" s="51" t="s">
        <v>1482</v>
      </c>
      <c r="B247" s="51" t="s">
        <v>1514</v>
      </c>
      <c r="C247" s="22" t="s">
        <v>1515</v>
      </c>
      <c r="D247" s="23" t="s">
        <v>1516</v>
      </c>
      <c r="E247" s="22" t="s">
        <v>49</v>
      </c>
      <c r="F247" s="22" t="s">
        <v>50</v>
      </c>
      <c r="G247" s="22" t="s">
        <v>49</v>
      </c>
      <c r="H247" s="22" t="s">
        <v>126</v>
      </c>
      <c r="I247" s="22" t="s">
        <v>307</v>
      </c>
      <c r="J247" s="22" t="s">
        <v>107</v>
      </c>
      <c r="K247" s="22" t="s">
        <v>128</v>
      </c>
      <c r="L247" s="7" t="s">
        <v>53</v>
      </c>
      <c r="M247" s="22" t="s">
        <v>83</v>
      </c>
      <c r="N247" s="22" t="s">
        <v>59</v>
      </c>
      <c r="O247" s="22" t="s">
        <v>84</v>
      </c>
      <c r="P247" s="22" t="s">
        <v>52</v>
      </c>
      <c r="Q247" s="22" t="s">
        <v>60</v>
      </c>
      <c r="R247" s="22" t="s">
        <v>130</v>
      </c>
      <c r="S247" s="22" t="s">
        <v>61</v>
      </c>
      <c r="T247" s="22" t="s">
        <v>62</v>
      </c>
      <c r="U247" s="22" t="s">
        <v>63</v>
      </c>
      <c r="V247" s="22" t="s">
        <v>64</v>
      </c>
      <c r="W247" s="25"/>
      <c r="X247" s="26" t="s">
        <v>1511</v>
      </c>
      <c r="Y247" s="22" t="s">
        <v>131</v>
      </c>
      <c r="Z247" s="22" t="s">
        <v>1517</v>
      </c>
      <c r="AA247" s="22" t="s">
        <v>1518</v>
      </c>
      <c r="AC247" s="22" t="s">
        <v>393</v>
      </c>
      <c r="AD247" s="27" t="s">
        <v>71</v>
      </c>
      <c r="AE247" s="22" t="s">
        <v>741</v>
      </c>
      <c r="AF247" s="50" t="s">
        <v>1519</v>
      </c>
      <c r="AG247" s="33" t="s">
        <v>1513</v>
      </c>
      <c r="AI247" s="25" t="str">
        <f ca="1">IFERROR(__xludf.DUMMYFUNCTION("""COMPUTED_VALUE"""),"611639afe953f849ef0fc8a0")</f>
        <v>611639afe953f849ef0fc8a0</v>
      </c>
      <c r="AJ247" s="25">
        <f t="shared" ca="1" si="0"/>
        <v>1</v>
      </c>
    </row>
    <row r="248" spans="1:38" ht="46.5">
      <c r="A248" s="51" t="s">
        <v>1482</v>
      </c>
      <c r="B248" s="51" t="s">
        <v>1520</v>
      </c>
      <c r="C248" s="22" t="s">
        <v>1521</v>
      </c>
      <c r="D248" s="42" t="s">
        <v>1522</v>
      </c>
      <c r="E248" s="22" t="s">
        <v>49</v>
      </c>
      <c r="F248" s="22" t="s">
        <v>95</v>
      </c>
      <c r="G248" s="22" t="s">
        <v>49</v>
      </c>
      <c r="H248" s="22" t="s">
        <v>126</v>
      </c>
      <c r="I248" s="22" t="s">
        <v>52</v>
      </c>
      <c r="J248" s="22" t="s">
        <v>53</v>
      </c>
      <c r="K248" s="22" t="s">
        <v>128</v>
      </c>
      <c r="L248" s="22" t="s">
        <v>55</v>
      </c>
      <c r="M248" s="22" t="s">
        <v>56</v>
      </c>
      <c r="N248" s="22" t="s">
        <v>59</v>
      </c>
      <c r="O248" s="22" t="s">
        <v>84</v>
      </c>
      <c r="P248" s="22" t="s">
        <v>59</v>
      </c>
      <c r="Q248" s="22" t="s">
        <v>60</v>
      </c>
      <c r="R248" s="25"/>
      <c r="S248" s="22" t="s">
        <v>61</v>
      </c>
      <c r="T248" s="22" t="s">
        <v>62</v>
      </c>
      <c r="U248" s="22" t="s">
        <v>63</v>
      </c>
      <c r="V248" s="22" t="s">
        <v>64</v>
      </c>
      <c r="W248" s="25"/>
      <c r="X248" s="26" t="s">
        <v>1523</v>
      </c>
      <c r="Y248" s="22" t="s">
        <v>231</v>
      </c>
      <c r="Z248" s="22" t="s">
        <v>232</v>
      </c>
      <c r="AA248" s="22" t="s">
        <v>233</v>
      </c>
      <c r="AC248" s="22" t="s">
        <v>393</v>
      </c>
      <c r="AD248" s="27" t="s">
        <v>71</v>
      </c>
      <c r="AE248" s="22" t="s">
        <v>741</v>
      </c>
      <c r="AF248" s="33" t="s">
        <v>1524</v>
      </c>
      <c r="AG248" s="33" t="s">
        <v>352</v>
      </c>
      <c r="AI248" s="25" t="str">
        <f ca="1">IFERROR(__xludf.DUMMYFUNCTION("""COMPUTED_VALUE"""),"611643dde953f849ef0fcbb4")</f>
        <v>611643dde953f849ef0fcbb4</v>
      </c>
      <c r="AJ248" s="25">
        <f t="shared" ca="1" si="0"/>
        <v>1</v>
      </c>
    </row>
    <row r="249" spans="1:38" ht="31">
      <c r="A249" s="51" t="s">
        <v>1482</v>
      </c>
      <c r="B249" s="51" t="s">
        <v>1525</v>
      </c>
      <c r="C249" s="22" t="s">
        <v>1515</v>
      </c>
      <c r="D249" s="23" t="s">
        <v>1526</v>
      </c>
      <c r="E249" s="22" t="s">
        <v>49</v>
      </c>
      <c r="F249" s="22" t="s">
        <v>50</v>
      </c>
      <c r="G249" s="22" t="s">
        <v>49</v>
      </c>
      <c r="H249" s="22" t="s">
        <v>126</v>
      </c>
      <c r="I249" s="22" t="s">
        <v>307</v>
      </c>
      <c r="J249" s="22" t="s">
        <v>107</v>
      </c>
      <c r="K249" s="22" t="s">
        <v>128</v>
      </c>
      <c r="L249" s="22" t="s">
        <v>53</v>
      </c>
      <c r="M249" s="22" t="s">
        <v>83</v>
      </c>
      <c r="N249" s="22" t="s">
        <v>59</v>
      </c>
      <c r="O249" s="22" t="s">
        <v>84</v>
      </c>
      <c r="P249" s="22" t="s">
        <v>52</v>
      </c>
      <c r="Q249" s="22" t="s">
        <v>60</v>
      </c>
      <c r="R249" s="25"/>
      <c r="S249" s="22" t="s">
        <v>61</v>
      </c>
      <c r="T249" s="22" t="s">
        <v>62</v>
      </c>
      <c r="U249" s="22" t="s">
        <v>63</v>
      </c>
      <c r="V249" s="22" t="s">
        <v>64</v>
      </c>
      <c r="W249" s="25"/>
      <c r="X249" s="26" t="s">
        <v>1523</v>
      </c>
      <c r="Z249" s="22" t="s">
        <v>1527</v>
      </c>
      <c r="AA249" s="22" t="s">
        <v>1528</v>
      </c>
      <c r="AC249" s="22" t="s">
        <v>393</v>
      </c>
      <c r="AD249" s="27" t="s">
        <v>71</v>
      </c>
      <c r="AE249" s="22" t="s">
        <v>741</v>
      </c>
      <c r="AF249" s="33" t="s">
        <v>53</v>
      </c>
      <c r="AG249" s="34"/>
      <c r="AI249" s="25" t="str">
        <f ca="1">IFERROR(__xludf.DUMMYFUNCTION("""COMPUTED_VALUE"""),"611b797115838571eb0ecf3a")</f>
        <v>611b797115838571eb0ecf3a</v>
      </c>
      <c r="AJ249" s="25">
        <f t="shared" ca="1" si="0"/>
        <v>1</v>
      </c>
    </row>
    <row r="250" spans="1:38" ht="31">
      <c r="A250" s="51" t="s">
        <v>1482</v>
      </c>
      <c r="B250" s="51" t="s">
        <v>1529</v>
      </c>
      <c r="C250" s="7" t="s">
        <v>1530</v>
      </c>
      <c r="D250" s="42" t="s">
        <v>1531</v>
      </c>
      <c r="E250" s="7" t="s">
        <v>49</v>
      </c>
      <c r="F250" s="7" t="s">
        <v>50</v>
      </c>
      <c r="G250" s="7" t="s">
        <v>49</v>
      </c>
      <c r="H250" s="7" t="s">
        <v>126</v>
      </c>
      <c r="I250" s="7" t="s">
        <v>52</v>
      </c>
      <c r="J250" s="7" t="s">
        <v>53</v>
      </c>
      <c r="K250" s="7" t="s">
        <v>128</v>
      </c>
      <c r="L250" s="7" t="s">
        <v>53</v>
      </c>
      <c r="M250" s="7" t="s">
        <v>83</v>
      </c>
      <c r="N250" s="7" t="s">
        <v>59</v>
      </c>
      <c r="O250" s="7" t="s">
        <v>84</v>
      </c>
      <c r="P250" s="7" t="s">
        <v>108</v>
      </c>
      <c r="Q250" s="7" t="s">
        <v>60</v>
      </c>
      <c r="R250" s="45"/>
      <c r="S250" s="7" t="s">
        <v>61</v>
      </c>
      <c r="T250" s="7" t="s">
        <v>62</v>
      </c>
      <c r="U250" s="7" t="s">
        <v>63</v>
      </c>
      <c r="V250" s="7" t="s">
        <v>64</v>
      </c>
      <c r="W250" s="45"/>
      <c r="X250" s="77" t="s">
        <v>1523</v>
      </c>
      <c r="Y250" s="45"/>
      <c r="Z250" s="7" t="s">
        <v>765</v>
      </c>
      <c r="AA250" s="7" t="s">
        <v>1532</v>
      </c>
      <c r="AB250" s="45"/>
      <c r="AC250" s="7" t="s">
        <v>393</v>
      </c>
      <c r="AD250" s="75" t="s">
        <v>71</v>
      </c>
      <c r="AE250" s="7" t="s">
        <v>741</v>
      </c>
      <c r="AF250" s="48" t="s">
        <v>1533</v>
      </c>
      <c r="AG250" s="48" t="s">
        <v>1513</v>
      </c>
      <c r="AH250" s="45"/>
      <c r="AI250" s="45" t="str">
        <f ca="1">IFERROR(__xludf.DUMMYFUNCTION("""COMPUTED_VALUE"""),"611ba0d374cc1b1de37e6852")</f>
        <v>611ba0d374cc1b1de37e6852</v>
      </c>
      <c r="AJ250" s="25">
        <f t="shared" ca="1" si="0"/>
        <v>1</v>
      </c>
      <c r="AK250" s="45"/>
      <c r="AL250" s="45"/>
    </row>
    <row r="251" spans="1:38" ht="31">
      <c r="A251" s="51" t="s">
        <v>1482</v>
      </c>
      <c r="B251" s="51" t="s">
        <v>1534</v>
      </c>
      <c r="C251" s="22" t="s">
        <v>1535</v>
      </c>
      <c r="D251" s="23" t="s">
        <v>1536</v>
      </c>
      <c r="E251" s="22" t="s">
        <v>49</v>
      </c>
      <c r="F251" s="22" t="s">
        <v>95</v>
      </c>
      <c r="G251" s="22" t="s">
        <v>49</v>
      </c>
      <c r="H251" s="22" t="s">
        <v>192</v>
      </c>
      <c r="I251" s="22" t="s">
        <v>375</v>
      </c>
      <c r="J251" s="22" t="s">
        <v>501</v>
      </c>
      <c r="K251" s="22" t="s">
        <v>356</v>
      </c>
      <c r="L251" s="22" t="s">
        <v>53</v>
      </c>
      <c r="M251" s="22" t="s">
        <v>56</v>
      </c>
      <c r="N251" s="22" t="s">
        <v>59</v>
      </c>
      <c r="O251" s="22" t="s">
        <v>84</v>
      </c>
      <c r="P251" s="22" t="s">
        <v>85</v>
      </c>
      <c r="Q251" s="22" t="s">
        <v>238</v>
      </c>
      <c r="R251" s="22" t="s">
        <v>60</v>
      </c>
      <c r="S251" s="22" t="s">
        <v>85</v>
      </c>
      <c r="T251" s="22" t="s">
        <v>62</v>
      </c>
      <c r="U251" s="22" t="s">
        <v>63</v>
      </c>
      <c r="V251" s="22" t="s">
        <v>64</v>
      </c>
      <c r="W251" s="25"/>
      <c r="X251" s="26" t="s">
        <v>1523</v>
      </c>
      <c r="Z251" s="22" t="s">
        <v>1537</v>
      </c>
      <c r="AA251" s="22" t="s">
        <v>272</v>
      </c>
      <c r="AC251" s="22" t="s">
        <v>393</v>
      </c>
      <c r="AD251" s="27" t="s">
        <v>71</v>
      </c>
      <c r="AE251" s="22" t="s">
        <v>741</v>
      </c>
      <c r="AF251" s="33" t="s">
        <v>1538</v>
      </c>
      <c r="AG251" s="33" t="s">
        <v>1539</v>
      </c>
      <c r="AI251" s="25" t="str">
        <f ca="1">IFERROR(__xludf.DUMMYFUNCTION("""COMPUTED_VALUE"""),"611bb01d74cc1b1de37e6b56")</f>
        <v>611bb01d74cc1b1de37e6b56</v>
      </c>
      <c r="AJ251" s="25">
        <f t="shared" ca="1" si="0"/>
        <v>1</v>
      </c>
    </row>
    <row r="252" spans="1:38" ht="46.5">
      <c r="A252" s="51" t="s">
        <v>1482</v>
      </c>
      <c r="B252" s="51" t="s">
        <v>1540</v>
      </c>
      <c r="C252" s="22" t="s">
        <v>1541</v>
      </c>
      <c r="D252" s="23" t="s">
        <v>1542</v>
      </c>
      <c r="E252" s="22" t="s">
        <v>49</v>
      </c>
      <c r="F252" s="22" t="s">
        <v>589</v>
      </c>
      <c r="G252" s="22" t="s">
        <v>49</v>
      </c>
      <c r="H252" s="22" t="s">
        <v>1243</v>
      </c>
      <c r="I252" s="22" t="s">
        <v>81</v>
      </c>
      <c r="J252" s="22" t="s">
        <v>53</v>
      </c>
      <c r="K252" s="22" t="s">
        <v>128</v>
      </c>
      <c r="L252" s="22" t="s">
        <v>53</v>
      </c>
      <c r="M252" s="22" t="s">
        <v>83</v>
      </c>
      <c r="N252" s="22" t="s">
        <v>59</v>
      </c>
      <c r="O252" s="22" t="s">
        <v>84</v>
      </c>
      <c r="P252" s="22" t="s">
        <v>537</v>
      </c>
      <c r="Q252" s="22" t="s">
        <v>203</v>
      </c>
      <c r="R252" s="25"/>
      <c r="S252" s="22" t="s">
        <v>85</v>
      </c>
      <c r="T252" s="22" t="s">
        <v>62</v>
      </c>
      <c r="U252" s="22" t="s">
        <v>63</v>
      </c>
      <c r="V252" s="22" t="s">
        <v>64</v>
      </c>
      <c r="W252" s="25"/>
      <c r="X252" s="31" t="s">
        <v>2323</v>
      </c>
      <c r="Z252" s="78">
        <v>0.21527777777777779</v>
      </c>
      <c r="AA252" s="22" t="s">
        <v>1070</v>
      </c>
      <c r="AC252" s="22" t="s">
        <v>393</v>
      </c>
      <c r="AD252" s="27" t="s">
        <v>71</v>
      </c>
      <c r="AE252" s="22" t="s">
        <v>741</v>
      </c>
      <c r="AF252" s="33" t="s">
        <v>53</v>
      </c>
      <c r="AG252" s="34"/>
      <c r="AI252" s="25" t="str">
        <f ca="1">IFERROR(__xludf.DUMMYFUNCTION("""COMPUTED_VALUE"""),"611bba5e74cc1b1de37e6eda")</f>
        <v>611bba5e74cc1b1de37e6eda</v>
      </c>
      <c r="AJ252" s="25">
        <f t="shared" ca="1" si="0"/>
        <v>1</v>
      </c>
    </row>
    <row r="253" spans="1:38" ht="31">
      <c r="A253" s="51" t="s">
        <v>1482</v>
      </c>
      <c r="B253" s="51" t="s">
        <v>1544</v>
      </c>
      <c r="C253" s="22" t="s">
        <v>1545</v>
      </c>
      <c r="D253" s="42" t="s">
        <v>2324</v>
      </c>
      <c r="E253" s="22" t="s">
        <v>49</v>
      </c>
      <c r="F253" s="22" t="s">
        <v>50</v>
      </c>
      <c r="G253" s="22" t="s">
        <v>49</v>
      </c>
      <c r="H253" s="22" t="s">
        <v>51</v>
      </c>
      <c r="I253" s="22" t="s">
        <v>81</v>
      </c>
      <c r="J253" s="22" t="s">
        <v>107</v>
      </c>
      <c r="K253" s="22" t="s">
        <v>54</v>
      </c>
      <c r="L253" s="22" t="s">
        <v>53</v>
      </c>
      <c r="M253" s="22" t="s">
        <v>83</v>
      </c>
      <c r="N253" s="22" t="s">
        <v>59</v>
      </c>
      <c r="O253" s="22" t="s">
        <v>84</v>
      </c>
      <c r="P253" s="22" t="s">
        <v>109</v>
      </c>
      <c r="Q253" s="22" t="s">
        <v>60</v>
      </c>
      <c r="R253" s="22" t="s">
        <v>130</v>
      </c>
      <c r="S253" s="22" t="s">
        <v>109</v>
      </c>
      <c r="T253" s="22" t="s">
        <v>62</v>
      </c>
      <c r="U253" s="22" t="s">
        <v>63</v>
      </c>
      <c r="V253" s="22" t="s">
        <v>118</v>
      </c>
      <c r="W253" s="25"/>
      <c r="X253" s="31" t="s">
        <v>2325</v>
      </c>
      <c r="Z253" s="22" t="s">
        <v>1548</v>
      </c>
      <c r="AA253" s="22" t="s">
        <v>1518</v>
      </c>
      <c r="AC253" s="22" t="s">
        <v>393</v>
      </c>
      <c r="AD253" s="27" t="s">
        <v>71</v>
      </c>
      <c r="AE253" s="22" t="s">
        <v>741</v>
      </c>
      <c r="AF253" s="33" t="s">
        <v>1549</v>
      </c>
      <c r="AG253" s="33" t="s">
        <v>352</v>
      </c>
      <c r="AI253" s="25" t="str">
        <f ca="1">IFERROR(__xludf.DUMMYFUNCTION("""COMPUTED_VALUE"""),"611bbf7674cc1b1de37e707c")</f>
        <v>611bbf7674cc1b1de37e707c</v>
      </c>
      <c r="AJ253" s="25">
        <f t="shared" ca="1" si="0"/>
        <v>1</v>
      </c>
    </row>
    <row r="254" spans="1:38" ht="46.5">
      <c r="A254" s="51" t="s">
        <v>1482</v>
      </c>
      <c r="B254" s="51" t="s">
        <v>1550</v>
      </c>
      <c r="C254" s="22" t="s">
        <v>1551</v>
      </c>
      <c r="D254" s="42" t="s">
        <v>1552</v>
      </c>
      <c r="E254" s="22" t="s">
        <v>49</v>
      </c>
      <c r="F254" s="22" t="s">
        <v>78</v>
      </c>
      <c r="G254" s="22" t="s">
        <v>1553</v>
      </c>
      <c r="H254" s="22" t="s">
        <v>51</v>
      </c>
      <c r="I254" s="22" t="s">
        <v>52</v>
      </c>
      <c r="J254" s="22" t="s">
        <v>53</v>
      </c>
      <c r="K254" s="22" t="s">
        <v>54</v>
      </c>
      <c r="L254" s="22" t="s">
        <v>55</v>
      </c>
      <c r="M254" s="22" t="s">
        <v>56</v>
      </c>
      <c r="N254" s="22" t="s">
        <v>348</v>
      </c>
      <c r="O254" s="22" t="s">
        <v>84</v>
      </c>
      <c r="P254" s="22" t="s">
        <v>348</v>
      </c>
      <c r="Q254" s="22" t="s">
        <v>86</v>
      </c>
      <c r="R254" s="25"/>
      <c r="S254" s="22" t="s">
        <v>388</v>
      </c>
      <c r="T254" s="22" t="s">
        <v>62</v>
      </c>
      <c r="U254" s="22" t="s">
        <v>63</v>
      </c>
      <c r="V254" s="22" t="s">
        <v>64</v>
      </c>
      <c r="W254" s="25"/>
      <c r="X254" s="31" t="s">
        <v>2326</v>
      </c>
      <c r="Z254" s="22" t="s">
        <v>1289</v>
      </c>
      <c r="AA254" s="22" t="s">
        <v>1555</v>
      </c>
      <c r="AC254" s="22" t="s">
        <v>393</v>
      </c>
      <c r="AD254" s="27" t="s">
        <v>71</v>
      </c>
      <c r="AE254" s="22" t="s">
        <v>741</v>
      </c>
      <c r="AF254" s="79" t="s">
        <v>2327</v>
      </c>
      <c r="AG254" s="33" t="s">
        <v>1513</v>
      </c>
      <c r="AI254" s="25" t="str">
        <f ca="1">IFERROR(__xludf.DUMMYFUNCTION("""COMPUTED_VALUE"""),"611388b17f68c1ec319f7bca")</f>
        <v>611388b17f68c1ec319f7bca</v>
      </c>
      <c r="AJ254" s="25">
        <f t="shared" ca="1" si="0"/>
        <v>1</v>
      </c>
    </row>
    <row r="255" spans="1:38" ht="31">
      <c r="A255" s="51" t="s">
        <v>1482</v>
      </c>
      <c r="B255" s="51" t="s">
        <v>1557</v>
      </c>
      <c r="C255" s="22" t="s">
        <v>1558</v>
      </c>
      <c r="D255" s="23" t="s">
        <v>1559</v>
      </c>
      <c r="E255" s="22" t="s">
        <v>49</v>
      </c>
      <c r="F255" s="22" t="s">
        <v>95</v>
      </c>
      <c r="G255" s="22" t="s">
        <v>49</v>
      </c>
      <c r="H255" s="22" t="s">
        <v>126</v>
      </c>
      <c r="I255" s="22" t="s">
        <v>307</v>
      </c>
      <c r="J255" s="22" t="s">
        <v>53</v>
      </c>
      <c r="K255" s="22" t="s">
        <v>128</v>
      </c>
      <c r="L255" s="22" t="s">
        <v>53</v>
      </c>
      <c r="M255" s="22" t="s">
        <v>83</v>
      </c>
      <c r="N255" s="22" t="s">
        <v>59</v>
      </c>
      <c r="O255" s="22" t="s">
        <v>84</v>
      </c>
      <c r="P255" s="22" t="s">
        <v>348</v>
      </c>
      <c r="Q255" s="22" t="s">
        <v>60</v>
      </c>
      <c r="R255" s="22" t="s">
        <v>130</v>
      </c>
      <c r="S255" s="22" t="s">
        <v>61</v>
      </c>
      <c r="T255" s="22" t="s">
        <v>62</v>
      </c>
      <c r="U255" s="22" t="s">
        <v>63</v>
      </c>
      <c r="V255" s="22" t="s">
        <v>64</v>
      </c>
      <c r="W255" s="25"/>
      <c r="X255" s="26" t="s">
        <v>1511</v>
      </c>
      <c r="Y255" s="22" t="s">
        <v>342</v>
      </c>
      <c r="Z255" s="22" t="s">
        <v>1518</v>
      </c>
      <c r="AA255" s="22" t="s">
        <v>648</v>
      </c>
      <c r="AC255" s="22" t="s">
        <v>393</v>
      </c>
      <c r="AD255" s="27" t="s">
        <v>71</v>
      </c>
      <c r="AE255" s="22" t="s">
        <v>741</v>
      </c>
      <c r="AF255" s="33" t="s">
        <v>53</v>
      </c>
      <c r="AG255" s="34"/>
      <c r="AI255" s="25" t="str">
        <f ca="1">IFERROR(__xludf.DUMMYFUNCTION("""COMPUTED_VALUE"""),"611390087f68c1ec319f7e05")</f>
        <v>611390087f68c1ec319f7e05</v>
      </c>
      <c r="AJ255" s="25">
        <f t="shared" ca="1" si="0"/>
        <v>1</v>
      </c>
    </row>
    <row r="256" spans="1:38" ht="46.5">
      <c r="A256" s="51" t="s">
        <v>1482</v>
      </c>
      <c r="B256" s="51" t="s">
        <v>1560</v>
      </c>
      <c r="C256" s="22" t="s">
        <v>1561</v>
      </c>
      <c r="D256" s="23" t="s">
        <v>1562</v>
      </c>
      <c r="E256" s="22" t="s">
        <v>49</v>
      </c>
      <c r="F256" s="22" t="s">
        <v>95</v>
      </c>
      <c r="G256" s="22" t="s">
        <v>49</v>
      </c>
      <c r="H256" s="22" t="s">
        <v>126</v>
      </c>
      <c r="I256" s="22" t="s">
        <v>52</v>
      </c>
      <c r="J256" s="22" t="s">
        <v>53</v>
      </c>
      <c r="K256" s="22" t="s">
        <v>856</v>
      </c>
      <c r="L256" s="22" t="s">
        <v>55</v>
      </c>
      <c r="M256" s="22" t="s">
        <v>83</v>
      </c>
      <c r="N256" s="22" t="s">
        <v>348</v>
      </c>
      <c r="O256" s="22" t="s">
        <v>84</v>
      </c>
      <c r="P256" s="22" t="s">
        <v>59</v>
      </c>
      <c r="Q256" s="22" t="s">
        <v>63</v>
      </c>
      <c r="R256" s="25"/>
      <c r="S256" s="22" t="s">
        <v>61</v>
      </c>
      <c r="T256" s="22" t="s">
        <v>62</v>
      </c>
      <c r="U256" s="22" t="s">
        <v>515</v>
      </c>
      <c r="V256" s="22" t="s">
        <v>64</v>
      </c>
      <c r="W256" s="25"/>
      <c r="X256" s="26" t="s">
        <v>1563</v>
      </c>
      <c r="Y256" s="68" t="s">
        <v>146</v>
      </c>
      <c r="Z256" s="22" t="s">
        <v>1564</v>
      </c>
      <c r="AA256" s="22" t="s">
        <v>1565</v>
      </c>
      <c r="AC256" s="22" t="s">
        <v>328</v>
      </c>
      <c r="AD256" s="27" t="s">
        <v>71</v>
      </c>
      <c r="AE256" s="22" t="s">
        <v>741</v>
      </c>
      <c r="AF256" s="34"/>
      <c r="AG256" s="34"/>
      <c r="AI256" s="25" t="str">
        <f ca="1">IFERROR(__xludf.DUMMYFUNCTION("""COMPUTED_VALUE"""),"6113bd147f68c1ec319f818d")</f>
        <v>6113bd147f68c1ec319f818d</v>
      </c>
      <c r="AJ256" s="25">
        <f t="shared" ca="1" si="0"/>
        <v>1</v>
      </c>
    </row>
    <row r="257" spans="1:36" ht="62">
      <c r="A257" s="51" t="s">
        <v>1482</v>
      </c>
      <c r="B257" s="51" t="s">
        <v>1566</v>
      </c>
      <c r="C257" s="22" t="s">
        <v>1567</v>
      </c>
      <c r="D257" s="23" t="s">
        <v>1568</v>
      </c>
      <c r="E257" s="22" t="s">
        <v>49</v>
      </c>
      <c r="F257" s="22" t="s">
        <v>50</v>
      </c>
      <c r="G257" s="22" t="s">
        <v>79</v>
      </c>
      <c r="H257" s="22" t="s">
        <v>126</v>
      </c>
      <c r="I257" s="22" t="s">
        <v>81</v>
      </c>
      <c r="J257" s="22" t="s">
        <v>107</v>
      </c>
      <c r="K257" s="22" t="s">
        <v>144</v>
      </c>
      <c r="L257" s="22" t="s">
        <v>53</v>
      </c>
      <c r="M257" s="22" t="s">
        <v>83</v>
      </c>
      <c r="N257" s="22" t="s">
        <v>59</v>
      </c>
      <c r="O257" s="22" t="s">
        <v>84</v>
      </c>
      <c r="P257" s="22" t="s">
        <v>348</v>
      </c>
      <c r="Q257" s="22" t="s">
        <v>60</v>
      </c>
      <c r="R257" s="25"/>
      <c r="S257" s="22" t="s">
        <v>61</v>
      </c>
      <c r="T257" s="22" t="s">
        <v>62</v>
      </c>
      <c r="U257" s="22" t="s">
        <v>63</v>
      </c>
      <c r="V257" s="22" t="s">
        <v>64</v>
      </c>
      <c r="W257" s="25"/>
      <c r="X257" s="35" t="s">
        <v>1569</v>
      </c>
      <c r="Y257" s="68" t="s">
        <v>99</v>
      </c>
      <c r="Z257" s="22" t="s">
        <v>1570</v>
      </c>
      <c r="AA257" s="22" t="s">
        <v>1517</v>
      </c>
      <c r="AC257" s="22" t="s">
        <v>328</v>
      </c>
      <c r="AD257" s="27" t="s">
        <v>71</v>
      </c>
      <c r="AE257" s="22" t="s">
        <v>741</v>
      </c>
      <c r="AF257" s="34"/>
      <c r="AG257" s="34"/>
      <c r="AI257" s="25" t="str">
        <f ca="1">IFERROR(__xludf.DUMMYFUNCTION("""COMPUTED_VALUE"""),"6113c8147f68c1ec319f873a")</f>
        <v>6113c8147f68c1ec319f873a</v>
      </c>
      <c r="AJ257" s="25">
        <f t="shared" ca="1" si="0"/>
        <v>1</v>
      </c>
    </row>
    <row r="258" spans="1:36" ht="46.5">
      <c r="A258" s="51" t="s">
        <v>1482</v>
      </c>
      <c r="B258" s="51" t="s">
        <v>1571</v>
      </c>
      <c r="C258" s="22" t="s">
        <v>1572</v>
      </c>
      <c r="D258" s="23" t="s">
        <v>1573</v>
      </c>
      <c r="E258" s="22" t="s">
        <v>49</v>
      </c>
      <c r="F258" s="22" t="s">
        <v>95</v>
      </c>
      <c r="G258" s="22" t="s">
        <v>79</v>
      </c>
      <c r="H258" s="22" t="s">
        <v>421</v>
      </c>
      <c r="I258" s="7" t="s">
        <v>221</v>
      </c>
      <c r="J258" s="22" t="s">
        <v>53</v>
      </c>
      <c r="K258" s="22" t="s">
        <v>170</v>
      </c>
      <c r="L258" s="22" t="s">
        <v>53</v>
      </c>
      <c r="M258" s="22" t="s">
        <v>83</v>
      </c>
      <c r="N258" s="22" t="s">
        <v>59</v>
      </c>
      <c r="O258" s="22" t="s">
        <v>84</v>
      </c>
      <c r="P258" s="7" t="s">
        <v>422</v>
      </c>
      <c r="Q258" s="22" t="s">
        <v>60</v>
      </c>
      <c r="R258" s="25"/>
      <c r="S258" s="22" t="s">
        <v>388</v>
      </c>
      <c r="T258" s="22" t="s">
        <v>62</v>
      </c>
      <c r="U258" s="22" t="s">
        <v>63</v>
      </c>
      <c r="V258" s="22" t="s">
        <v>64</v>
      </c>
      <c r="W258" s="25"/>
      <c r="X258" s="26" t="s">
        <v>1574</v>
      </c>
      <c r="Y258" s="68" t="s">
        <v>357</v>
      </c>
      <c r="Z258" s="22" t="s">
        <v>365</v>
      </c>
      <c r="AA258" s="22" t="s">
        <v>756</v>
      </c>
      <c r="AC258" s="22" t="s">
        <v>328</v>
      </c>
      <c r="AD258" s="27" t="s">
        <v>71</v>
      </c>
      <c r="AE258" s="22" t="s">
        <v>741</v>
      </c>
      <c r="AF258" s="34"/>
      <c r="AG258" s="34"/>
      <c r="AI258" s="25" t="str">
        <f ca="1">IFERROR(__xludf.DUMMYFUNCTION("""COMPUTED_VALUE"""),"6113c86c7f68c1ec319f877f")</f>
        <v>6113c86c7f68c1ec319f877f</v>
      </c>
      <c r="AJ258" s="25">
        <f t="shared" ca="1" si="0"/>
        <v>1</v>
      </c>
    </row>
    <row r="259" spans="1:36" ht="46.5">
      <c r="A259" s="51" t="s">
        <v>1482</v>
      </c>
      <c r="B259" s="51" t="s">
        <v>1575</v>
      </c>
      <c r="C259" s="22" t="s">
        <v>1576</v>
      </c>
      <c r="D259" s="23" t="s">
        <v>1577</v>
      </c>
      <c r="E259" s="22" t="s">
        <v>49</v>
      </c>
      <c r="F259" s="22" t="s">
        <v>50</v>
      </c>
      <c r="G259" s="22" t="s">
        <v>49</v>
      </c>
      <c r="H259" s="22" t="s">
        <v>51</v>
      </c>
      <c r="I259" s="22" t="s">
        <v>81</v>
      </c>
      <c r="J259" s="22" t="s">
        <v>501</v>
      </c>
      <c r="K259" s="22" t="s">
        <v>356</v>
      </c>
      <c r="L259" s="22" t="s">
        <v>53</v>
      </c>
      <c r="M259" s="22" t="s">
        <v>83</v>
      </c>
      <c r="N259" s="22" t="s">
        <v>59</v>
      </c>
      <c r="O259" s="22" t="s">
        <v>84</v>
      </c>
      <c r="P259" s="22" t="s">
        <v>85</v>
      </c>
      <c r="Q259" s="22" t="s">
        <v>60</v>
      </c>
      <c r="R259" s="25"/>
      <c r="S259" s="22" t="s">
        <v>85</v>
      </c>
      <c r="T259" s="22" t="s">
        <v>62</v>
      </c>
      <c r="U259" s="22" t="s">
        <v>63</v>
      </c>
      <c r="V259" s="22" t="s">
        <v>64</v>
      </c>
      <c r="W259" s="25"/>
      <c r="X259" s="35" t="s">
        <v>1578</v>
      </c>
      <c r="Y259" s="68" t="s">
        <v>204</v>
      </c>
      <c r="Z259" s="22" t="s">
        <v>1261</v>
      </c>
      <c r="AA259" s="22" t="s">
        <v>1579</v>
      </c>
      <c r="AC259" s="22" t="s">
        <v>328</v>
      </c>
      <c r="AD259" s="27" t="s">
        <v>71</v>
      </c>
      <c r="AE259" s="22" t="s">
        <v>804</v>
      </c>
      <c r="AF259" s="33"/>
      <c r="AG259" s="34"/>
      <c r="AI259" s="25" t="str">
        <f ca="1">IFERROR(__xludf.DUMMYFUNCTION("""COMPUTED_VALUE"""),"611496e97f68c1ec319f8fc8")</f>
        <v>611496e97f68c1ec319f8fc8</v>
      </c>
      <c r="AJ259" s="25">
        <f t="shared" ca="1" si="0"/>
        <v>1</v>
      </c>
    </row>
    <row r="260" spans="1:36" ht="31">
      <c r="A260" s="51" t="s">
        <v>1482</v>
      </c>
      <c r="B260" s="51" t="s">
        <v>1580</v>
      </c>
      <c r="C260" s="22" t="s">
        <v>1576</v>
      </c>
      <c r="D260" s="23" t="s">
        <v>1581</v>
      </c>
      <c r="E260" s="22" t="s">
        <v>49</v>
      </c>
      <c r="F260" s="22" t="s">
        <v>50</v>
      </c>
      <c r="G260" s="22" t="s">
        <v>49</v>
      </c>
      <c r="H260" s="22" t="s">
        <v>126</v>
      </c>
      <c r="I260" s="22" t="s">
        <v>81</v>
      </c>
      <c r="J260" s="22" t="s">
        <v>127</v>
      </c>
      <c r="K260" s="22" t="s">
        <v>54</v>
      </c>
      <c r="L260" s="22" t="s">
        <v>53</v>
      </c>
      <c r="M260" s="22" t="s">
        <v>83</v>
      </c>
      <c r="N260" s="22" t="s">
        <v>59</v>
      </c>
      <c r="O260" s="22" t="s">
        <v>84</v>
      </c>
      <c r="P260" s="22" t="s">
        <v>85</v>
      </c>
      <c r="Q260" s="22" t="s">
        <v>60</v>
      </c>
      <c r="R260" s="25"/>
      <c r="S260" s="22" t="s">
        <v>85</v>
      </c>
      <c r="T260" s="22" t="s">
        <v>62</v>
      </c>
      <c r="U260" s="22" t="s">
        <v>63</v>
      </c>
      <c r="V260" s="22" t="s">
        <v>118</v>
      </c>
      <c r="W260" s="25"/>
      <c r="X260" s="35" t="s">
        <v>1582</v>
      </c>
      <c r="Y260" s="68" t="s">
        <v>67</v>
      </c>
      <c r="Z260" s="22" t="s">
        <v>1579</v>
      </c>
      <c r="AA260" s="22" t="s">
        <v>1583</v>
      </c>
      <c r="AC260" s="22" t="s">
        <v>328</v>
      </c>
      <c r="AD260" s="27" t="s">
        <v>71</v>
      </c>
      <c r="AE260" s="22" t="s">
        <v>804</v>
      </c>
      <c r="AF260" s="34"/>
      <c r="AG260" s="34"/>
      <c r="AI260" s="25" t="str">
        <f ca="1">IFERROR(__xludf.DUMMYFUNCTION("""COMPUTED_VALUE"""),"6114bf8e7f68c1ec319f9476")</f>
        <v>6114bf8e7f68c1ec319f9476</v>
      </c>
      <c r="AJ260" s="25">
        <f t="shared" ca="1" si="0"/>
        <v>1</v>
      </c>
    </row>
    <row r="261" spans="1:36" ht="31">
      <c r="A261" s="51" t="s">
        <v>1482</v>
      </c>
      <c r="B261" s="51" t="s">
        <v>1584</v>
      </c>
      <c r="C261" s="22" t="s">
        <v>1585</v>
      </c>
      <c r="D261" s="23" t="s">
        <v>1586</v>
      </c>
      <c r="E261" s="22" t="s">
        <v>49</v>
      </c>
      <c r="F261" s="22" t="s">
        <v>95</v>
      </c>
      <c r="G261" s="22" t="s">
        <v>49</v>
      </c>
      <c r="H261" s="22" t="s">
        <v>126</v>
      </c>
      <c r="I261" s="22" t="s">
        <v>52</v>
      </c>
      <c r="J261" s="22" t="s">
        <v>53</v>
      </c>
      <c r="K261" s="22" t="s">
        <v>144</v>
      </c>
      <c r="L261" s="22" t="s">
        <v>53</v>
      </c>
      <c r="M261" s="22" t="s">
        <v>83</v>
      </c>
      <c r="N261" s="22" t="s">
        <v>59</v>
      </c>
      <c r="O261" s="22" t="s">
        <v>84</v>
      </c>
      <c r="P261" s="22" t="s">
        <v>348</v>
      </c>
      <c r="Q261" s="22" t="s">
        <v>60</v>
      </c>
      <c r="R261" s="25"/>
      <c r="S261" s="22" t="s">
        <v>61</v>
      </c>
      <c r="T261" s="22" t="s">
        <v>62</v>
      </c>
      <c r="U261" s="22" t="s">
        <v>63</v>
      </c>
      <c r="V261" s="22" t="s">
        <v>64</v>
      </c>
      <c r="W261" s="25"/>
      <c r="X261" s="26" t="s">
        <v>1587</v>
      </c>
      <c r="Y261" s="68" t="s">
        <v>288</v>
      </c>
      <c r="Z261" s="22" t="s">
        <v>250</v>
      </c>
      <c r="AA261" s="22" t="s">
        <v>571</v>
      </c>
      <c r="AC261" s="22" t="s">
        <v>328</v>
      </c>
      <c r="AD261" s="27" t="s">
        <v>71</v>
      </c>
      <c r="AE261" s="22" t="s">
        <v>804</v>
      </c>
      <c r="AF261" s="34"/>
      <c r="AG261" s="34"/>
      <c r="AI261" s="25" t="str">
        <f ca="1">IFERROR(__xludf.DUMMYFUNCTION("""COMPUTED_VALUE"""),"6114c5337f68c1ec319f9510")</f>
        <v>6114c5337f68c1ec319f9510</v>
      </c>
      <c r="AJ261" s="25">
        <f t="shared" ca="1" si="0"/>
        <v>1</v>
      </c>
    </row>
    <row r="262" spans="1:36" ht="31">
      <c r="A262" s="51" t="s">
        <v>1482</v>
      </c>
      <c r="B262" s="51" t="s">
        <v>1588</v>
      </c>
      <c r="C262" s="22" t="s">
        <v>1589</v>
      </c>
      <c r="D262" s="23" t="s">
        <v>1590</v>
      </c>
      <c r="E262" s="22" t="s">
        <v>49</v>
      </c>
      <c r="F262" s="22" t="s">
        <v>78</v>
      </c>
      <c r="G262" s="22" t="s">
        <v>49</v>
      </c>
      <c r="H262" s="22" t="s">
        <v>126</v>
      </c>
      <c r="I262" s="22" t="s">
        <v>52</v>
      </c>
      <c r="J262" s="22" t="s">
        <v>53</v>
      </c>
      <c r="K262" s="22" t="s">
        <v>128</v>
      </c>
      <c r="L262" s="22" t="s">
        <v>55</v>
      </c>
      <c r="M262" s="22" t="s">
        <v>83</v>
      </c>
      <c r="N262" s="22" t="s">
        <v>59</v>
      </c>
      <c r="O262" s="22" t="s">
        <v>97</v>
      </c>
      <c r="P262" s="22" t="s">
        <v>348</v>
      </c>
      <c r="Q262" s="22" t="s">
        <v>60</v>
      </c>
      <c r="R262" s="22" t="s">
        <v>183</v>
      </c>
      <c r="S262" s="22" t="s">
        <v>61</v>
      </c>
      <c r="T262" s="22" t="s">
        <v>62</v>
      </c>
      <c r="U262" s="22" t="s">
        <v>63</v>
      </c>
      <c r="V262" s="22" t="s">
        <v>64</v>
      </c>
      <c r="W262" s="25"/>
      <c r="X262" s="35" t="s">
        <v>1591</v>
      </c>
      <c r="Y262" s="68" t="s">
        <v>496</v>
      </c>
      <c r="Z262" s="22" t="s">
        <v>571</v>
      </c>
      <c r="AA262" s="22" t="s">
        <v>1070</v>
      </c>
      <c r="AC262" s="22" t="s">
        <v>328</v>
      </c>
      <c r="AD262" s="27" t="s">
        <v>71</v>
      </c>
      <c r="AE262" s="22" t="s">
        <v>804</v>
      </c>
      <c r="AF262" s="34"/>
      <c r="AG262" s="34"/>
      <c r="AI262" s="25" t="str">
        <f ca="1">IFERROR(__xludf.DUMMYFUNCTION("""COMPUTED_VALUE"""),"6114ca537f68c1ec319f9653")</f>
        <v>6114ca537f68c1ec319f9653</v>
      </c>
      <c r="AJ262" s="25">
        <f t="shared" ca="1" si="0"/>
        <v>1</v>
      </c>
    </row>
    <row r="263" spans="1:36" ht="31">
      <c r="A263" s="51" t="s">
        <v>1482</v>
      </c>
      <c r="B263" s="51" t="s">
        <v>1592</v>
      </c>
      <c r="C263" s="22" t="s">
        <v>1593</v>
      </c>
      <c r="D263" s="23" t="s">
        <v>1594</v>
      </c>
      <c r="E263" s="22" t="s">
        <v>49</v>
      </c>
      <c r="F263" s="22" t="s">
        <v>269</v>
      </c>
      <c r="G263" s="22" t="s">
        <v>49</v>
      </c>
      <c r="H263" s="22" t="s">
        <v>126</v>
      </c>
      <c r="I263" s="22" t="s">
        <v>52</v>
      </c>
      <c r="J263" s="22" t="s">
        <v>127</v>
      </c>
      <c r="K263" s="22" t="s">
        <v>182</v>
      </c>
      <c r="L263" s="22" t="s">
        <v>55</v>
      </c>
      <c r="M263" s="22" t="s">
        <v>83</v>
      </c>
      <c r="N263" s="22" t="s">
        <v>59</v>
      </c>
      <c r="O263" s="22" t="s">
        <v>84</v>
      </c>
      <c r="P263" s="22" t="s">
        <v>422</v>
      </c>
      <c r="Q263" s="22" t="s">
        <v>60</v>
      </c>
      <c r="R263" s="25"/>
      <c r="S263" s="22" t="s">
        <v>388</v>
      </c>
      <c r="T263" s="22" t="s">
        <v>62</v>
      </c>
      <c r="U263" s="22" t="s">
        <v>63</v>
      </c>
      <c r="V263" s="22" t="s">
        <v>64</v>
      </c>
      <c r="W263" s="25"/>
      <c r="X263" s="35" t="s">
        <v>1595</v>
      </c>
      <c r="Z263" s="22" t="s">
        <v>1596</v>
      </c>
      <c r="AA263" s="22" t="s">
        <v>1597</v>
      </c>
      <c r="AC263" s="22" t="s">
        <v>328</v>
      </c>
      <c r="AD263" s="27" t="s">
        <v>71</v>
      </c>
      <c r="AE263" s="22" t="s">
        <v>804</v>
      </c>
      <c r="AF263" s="34"/>
      <c r="AG263" s="34"/>
      <c r="AI263" s="25" t="str">
        <f ca="1">IFERROR(__xludf.DUMMYFUNCTION("""COMPUTED_VALUE"""),"611cd08620aae23c26873320")</f>
        <v>611cd08620aae23c26873320</v>
      </c>
      <c r="AJ263" s="25">
        <f t="shared" ca="1" si="0"/>
        <v>1</v>
      </c>
    </row>
    <row r="264" spans="1:36" ht="46.5">
      <c r="A264" s="51" t="s">
        <v>1482</v>
      </c>
      <c r="B264" s="51" t="s">
        <v>1598</v>
      </c>
      <c r="C264" s="22" t="s">
        <v>1599</v>
      </c>
      <c r="D264" s="23" t="s">
        <v>1600</v>
      </c>
      <c r="E264" s="22" t="s">
        <v>49</v>
      </c>
      <c r="F264" s="22" t="s">
        <v>95</v>
      </c>
      <c r="G264" s="22" t="s">
        <v>49</v>
      </c>
      <c r="H264" s="22" t="s">
        <v>126</v>
      </c>
      <c r="I264" s="22" t="s">
        <v>52</v>
      </c>
      <c r="J264" s="22" t="s">
        <v>53</v>
      </c>
      <c r="K264" s="22" t="s">
        <v>54</v>
      </c>
      <c r="L264" s="22" t="s">
        <v>55</v>
      </c>
      <c r="M264" s="22" t="s">
        <v>83</v>
      </c>
      <c r="N264" s="22" t="s">
        <v>59</v>
      </c>
      <c r="O264" s="22" t="s">
        <v>97</v>
      </c>
      <c r="P264" s="22" t="s">
        <v>52</v>
      </c>
      <c r="Q264" s="22" t="s">
        <v>60</v>
      </c>
      <c r="R264" s="22" t="s">
        <v>183</v>
      </c>
      <c r="S264" s="22" t="s">
        <v>61</v>
      </c>
      <c r="T264" s="22" t="s">
        <v>62</v>
      </c>
      <c r="U264" s="22" t="s">
        <v>63</v>
      </c>
      <c r="V264" s="22" t="s">
        <v>64</v>
      </c>
      <c r="W264" s="25"/>
      <c r="X264" s="26" t="s">
        <v>1601</v>
      </c>
      <c r="Y264" s="68" t="s">
        <v>195</v>
      </c>
      <c r="Z264" s="22" t="s">
        <v>442</v>
      </c>
      <c r="AA264" s="22" t="s">
        <v>284</v>
      </c>
      <c r="AC264" s="22" t="s">
        <v>328</v>
      </c>
      <c r="AD264" s="27" t="s">
        <v>71</v>
      </c>
      <c r="AE264" s="22" t="s">
        <v>804</v>
      </c>
      <c r="AF264" s="34"/>
      <c r="AG264" s="34"/>
      <c r="AI264" s="25" t="str">
        <f ca="1">IFERROR(__xludf.DUMMYFUNCTION("""COMPUTED_VALUE"""),"611cf68bdb826f2d8ee08b1a")</f>
        <v>611cf68bdb826f2d8ee08b1a</v>
      </c>
      <c r="AJ264" s="25">
        <f t="shared" ca="1" si="0"/>
        <v>1</v>
      </c>
    </row>
    <row r="265" spans="1:36" ht="31">
      <c r="A265" s="51" t="s">
        <v>1482</v>
      </c>
      <c r="B265" s="51" t="s">
        <v>1602</v>
      </c>
      <c r="C265" s="22" t="s">
        <v>1603</v>
      </c>
      <c r="D265" s="23" t="s">
        <v>1604</v>
      </c>
      <c r="E265" s="22" t="s">
        <v>49</v>
      </c>
      <c r="F265" s="22" t="s">
        <v>50</v>
      </c>
      <c r="G265" s="22" t="s">
        <v>49</v>
      </c>
      <c r="H265" s="22" t="s">
        <v>126</v>
      </c>
      <c r="I265" s="22" t="s">
        <v>81</v>
      </c>
      <c r="J265" s="22" t="s">
        <v>53</v>
      </c>
      <c r="K265" s="22" t="s">
        <v>144</v>
      </c>
      <c r="L265" s="22" t="s">
        <v>53</v>
      </c>
      <c r="M265" s="22" t="s">
        <v>83</v>
      </c>
      <c r="N265" s="22" t="s">
        <v>59</v>
      </c>
      <c r="O265" s="22" t="s">
        <v>84</v>
      </c>
      <c r="P265" s="22" t="s">
        <v>85</v>
      </c>
      <c r="Q265" s="22" t="s">
        <v>60</v>
      </c>
      <c r="R265" s="25"/>
      <c r="S265" s="22" t="s">
        <v>85</v>
      </c>
      <c r="T265" s="22" t="s">
        <v>62</v>
      </c>
      <c r="U265" s="22" t="s">
        <v>63</v>
      </c>
      <c r="V265" s="22" t="s">
        <v>64</v>
      </c>
      <c r="W265" s="25"/>
      <c r="X265" s="35" t="s">
        <v>1605</v>
      </c>
      <c r="Z265" s="22" t="s">
        <v>1606</v>
      </c>
      <c r="AA265" s="22" t="s">
        <v>1527</v>
      </c>
      <c r="AC265" s="22" t="s">
        <v>328</v>
      </c>
      <c r="AD265" s="27" t="s">
        <v>71</v>
      </c>
      <c r="AE265" s="22" t="s">
        <v>804</v>
      </c>
      <c r="AF265" s="34"/>
      <c r="AG265" s="34"/>
      <c r="AI265" s="25" t="str">
        <f ca="1">IFERROR(__xludf.DUMMYFUNCTION("""COMPUTED_VALUE"""),"611dc91906cf0e07d70ac07c")</f>
        <v>611dc91906cf0e07d70ac07c</v>
      </c>
      <c r="AJ265" s="25">
        <f t="shared" ca="1" si="0"/>
        <v>1</v>
      </c>
    </row>
    <row r="266" spans="1:36" ht="46.5">
      <c r="A266" s="51" t="s">
        <v>1482</v>
      </c>
      <c r="B266" s="51" t="s">
        <v>1607</v>
      </c>
      <c r="C266" s="22" t="s">
        <v>1608</v>
      </c>
      <c r="D266" s="23" t="s">
        <v>1609</v>
      </c>
      <c r="E266" s="22" t="s">
        <v>49</v>
      </c>
      <c r="F266" s="22" t="s">
        <v>269</v>
      </c>
      <c r="G266" s="22" t="s">
        <v>49</v>
      </c>
      <c r="H266" s="22" t="s">
        <v>126</v>
      </c>
      <c r="I266" s="22" t="s">
        <v>52</v>
      </c>
      <c r="J266" s="22" t="s">
        <v>127</v>
      </c>
      <c r="K266" s="22" t="s">
        <v>54</v>
      </c>
      <c r="L266" s="22" t="s">
        <v>55</v>
      </c>
      <c r="M266" s="22" t="s">
        <v>83</v>
      </c>
      <c r="N266" s="22" t="s">
        <v>348</v>
      </c>
      <c r="O266" s="22" t="s">
        <v>1224</v>
      </c>
      <c r="P266" s="22" t="s">
        <v>52</v>
      </c>
      <c r="Q266" s="22" t="s">
        <v>183</v>
      </c>
      <c r="R266" s="22" t="s">
        <v>60</v>
      </c>
      <c r="S266" s="22" t="s">
        <v>61</v>
      </c>
      <c r="T266" s="22" t="s">
        <v>62</v>
      </c>
      <c r="U266" s="22" t="s">
        <v>63</v>
      </c>
      <c r="V266" s="22" t="s">
        <v>64</v>
      </c>
      <c r="W266" s="25"/>
      <c r="X266" s="26" t="s">
        <v>1610</v>
      </c>
      <c r="Y266" s="68" t="s">
        <v>99</v>
      </c>
      <c r="Z266" s="22" t="s">
        <v>1611</v>
      </c>
      <c r="AA266" s="22" t="s">
        <v>1406</v>
      </c>
      <c r="AC266" s="22" t="s">
        <v>328</v>
      </c>
      <c r="AD266" s="27" t="s">
        <v>71</v>
      </c>
      <c r="AE266" s="22" t="s">
        <v>804</v>
      </c>
      <c r="AF266" s="34"/>
      <c r="AG266" s="34"/>
      <c r="AI266" s="25" t="str">
        <f ca="1">IFERROR(__xludf.DUMMYFUNCTION("""COMPUTED_VALUE"""),"611dfd3820aae23c2687367e")</f>
        <v>611dfd3820aae23c2687367e</v>
      </c>
      <c r="AJ266" s="25">
        <f t="shared" ca="1" si="0"/>
        <v>1</v>
      </c>
    </row>
    <row r="267" spans="1:36" ht="46.5">
      <c r="A267" s="51" t="s">
        <v>1482</v>
      </c>
      <c r="B267" s="51" t="s">
        <v>1612</v>
      </c>
      <c r="C267" s="22" t="s">
        <v>1613</v>
      </c>
      <c r="D267" s="23" t="s">
        <v>1614</v>
      </c>
      <c r="E267" s="22" t="s">
        <v>49</v>
      </c>
      <c r="F267" s="22" t="s">
        <v>50</v>
      </c>
      <c r="G267" s="22" t="s">
        <v>49</v>
      </c>
      <c r="H267" s="22" t="s">
        <v>126</v>
      </c>
      <c r="I267" s="47" t="s">
        <v>307</v>
      </c>
      <c r="J267" s="22" t="s">
        <v>53</v>
      </c>
      <c r="K267" s="22" t="s">
        <v>182</v>
      </c>
      <c r="L267" s="22" t="s">
        <v>53</v>
      </c>
      <c r="M267" s="22" t="s">
        <v>171</v>
      </c>
      <c r="N267" s="22" t="s">
        <v>59</v>
      </c>
      <c r="O267" s="22" t="s">
        <v>84</v>
      </c>
      <c r="P267" s="22" t="s">
        <v>348</v>
      </c>
      <c r="Q267" s="22" t="s">
        <v>60</v>
      </c>
      <c r="R267" s="25"/>
      <c r="S267" s="22" t="s">
        <v>85</v>
      </c>
      <c r="T267" s="22" t="s">
        <v>62</v>
      </c>
      <c r="U267" s="22" t="s">
        <v>63</v>
      </c>
      <c r="V267" s="22" t="s">
        <v>64</v>
      </c>
      <c r="W267" s="25"/>
      <c r="X267" s="26" t="s">
        <v>1615</v>
      </c>
      <c r="Y267" s="68" t="s">
        <v>357</v>
      </c>
      <c r="Z267" s="22" t="s">
        <v>461</v>
      </c>
      <c r="AA267" s="22" t="s">
        <v>242</v>
      </c>
      <c r="AC267" s="22" t="s">
        <v>328</v>
      </c>
      <c r="AD267" s="27" t="s">
        <v>71</v>
      </c>
      <c r="AE267" s="22" t="s">
        <v>804</v>
      </c>
      <c r="AF267" s="34"/>
      <c r="AG267" s="34"/>
      <c r="AI267" s="25" t="str">
        <f ca="1">IFERROR(__xludf.DUMMYFUNCTION("""COMPUTED_VALUE"""),"611e38d520aae23c26874473")</f>
        <v>611e38d520aae23c26874473</v>
      </c>
      <c r="AJ267" s="25">
        <f t="shared" ca="1" si="0"/>
        <v>1</v>
      </c>
    </row>
    <row r="268" spans="1:36" ht="46.5">
      <c r="A268" s="51" t="s">
        <v>1482</v>
      </c>
      <c r="B268" s="51" t="s">
        <v>1616</v>
      </c>
      <c r="C268" s="22" t="s">
        <v>1617</v>
      </c>
      <c r="D268" s="23" t="s">
        <v>1618</v>
      </c>
      <c r="E268" s="22" t="s">
        <v>49</v>
      </c>
      <c r="F268" s="22" t="s">
        <v>269</v>
      </c>
      <c r="G268" s="22" t="s">
        <v>49</v>
      </c>
      <c r="H268" s="22" t="s">
        <v>51</v>
      </c>
      <c r="I268" s="22" t="s">
        <v>81</v>
      </c>
      <c r="J268" s="22" t="s">
        <v>501</v>
      </c>
      <c r="K268" s="22" t="s">
        <v>856</v>
      </c>
      <c r="L268" s="22" t="s">
        <v>53</v>
      </c>
      <c r="M268" s="22" t="s">
        <v>171</v>
      </c>
      <c r="N268" s="22" t="s">
        <v>59</v>
      </c>
      <c r="O268" s="22" t="s">
        <v>84</v>
      </c>
      <c r="P268" s="22" t="s">
        <v>137</v>
      </c>
      <c r="Q268" s="22" t="s">
        <v>60</v>
      </c>
      <c r="R268" s="25"/>
      <c r="S268" s="22" t="s">
        <v>85</v>
      </c>
      <c r="T268" s="22" t="s">
        <v>62</v>
      </c>
      <c r="U268" s="22" t="s">
        <v>63</v>
      </c>
      <c r="V268" s="22" t="s">
        <v>64</v>
      </c>
      <c r="W268" s="25"/>
      <c r="X268" s="26" t="s">
        <v>1619</v>
      </c>
      <c r="Y268" s="68" t="s">
        <v>67</v>
      </c>
      <c r="Z268" s="22" t="s">
        <v>68</v>
      </c>
      <c r="AA268" s="22" t="s">
        <v>69</v>
      </c>
      <c r="AC268" s="22" t="s">
        <v>328</v>
      </c>
      <c r="AD268" s="27" t="s">
        <v>71</v>
      </c>
      <c r="AE268" s="22" t="s">
        <v>804</v>
      </c>
      <c r="AF268" s="34"/>
      <c r="AG268" s="34"/>
      <c r="AI268" s="25" t="str">
        <f ca="1">IFERROR(__xludf.DUMMYFUNCTION("""COMPUTED_VALUE"""),"611f4717a5724a164b81cf18")</f>
        <v>611f4717a5724a164b81cf18</v>
      </c>
      <c r="AJ268" s="25">
        <f t="shared" ca="1" si="0"/>
        <v>1</v>
      </c>
    </row>
    <row r="269" spans="1:36" ht="46.5">
      <c r="A269" s="51" t="s">
        <v>1482</v>
      </c>
      <c r="B269" s="51" t="s">
        <v>1620</v>
      </c>
      <c r="C269" s="22" t="s">
        <v>1621</v>
      </c>
      <c r="D269" s="23" t="s">
        <v>1622</v>
      </c>
      <c r="E269" s="22" t="s">
        <v>49</v>
      </c>
      <c r="F269" s="22" t="s">
        <v>95</v>
      </c>
      <c r="G269" s="22" t="s">
        <v>79</v>
      </c>
      <c r="H269" s="22" t="s">
        <v>126</v>
      </c>
      <c r="I269" s="22" t="s">
        <v>81</v>
      </c>
      <c r="J269" s="22" t="s">
        <v>107</v>
      </c>
      <c r="K269" s="22" t="s">
        <v>856</v>
      </c>
      <c r="L269" s="22" t="s">
        <v>53</v>
      </c>
      <c r="M269" s="22" t="s">
        <v>83</v>
      </c>
      <c r="N269" s="22" t="s">
        <v>59</v>
      </c>
      <c r="O269" s="22" t="s">
        <v>84</v>
      </c>
      <c r="P269" s="22" t="s">
        <v>137</v>
      </c>
      <c r="Q269" s="22" t="s">
        <v>60</v>
      </c>
      <c r="R269" s="25"/>
      <c r="S269" s="22" t="s">
        <v>85</v>
      </c>
      <c r="T269" s="22" t="s">
        <v>62</v>
      </c>
      <c r="U269" s="22" t="s">
        <v>63</v>
      </c>
      <c r="V269" s="22" t="s">
        <v>64</v>
      </c>
      <c r="W269" s="25"/>
      <c r="X269" s="35" t="s">
        <v>1623</v>
      </c>
      <c r="Y269" s="68" t="s">
        <v>231</v>
      </c>
      <c r="Z269" s="22">
        <v>0</v>
      </c>
      <c r="AA269" s="22" t="s">
        <v>556</v>
      </c>
      <c r="AC269" s="22" t="s">
        <v>328</v>
      </c>
      <c r="AD269" s="27" t="s">
        <v>71</v>
      </c>
      <c r="AE269" s="22" t="s">
        <v>804</v>
      </c>
      <c r="AF269" s="34"/>
      <c r="AG269" s="34"/>
      <c r="AI269" s="25" t="str">
        <f ca="1">IFERROR(__xludf.DUMMYFUNCTION("""COMPUTED_VALUE"""),"611f78e4a5724a164b81cf22")</f>
        <v>611f78e4a5724a164b81cf22</v>
      </c>
      <c r="AJ269" s="25">
        <f t="shared" ca="1" si="0"/>
        <v>1</v>
      </c>
    </row>
    <row r="270" spans="1:36" ht="46.5">
      <c r="A270" s="51" t="s">
        <v>1482</v>
      </c>
      <c r="B270" s="51" t="s">
        <v>1624</v>
      </c>
      <c r="C270" s="22" t="s">
        <v>1625</v>
      </c>
      <c r="D270" s="23" t="s">
        <v>1626</v>
      </c>
      <c r="E270" s="22" t="s">
        <v>49</v>
      </c>
      <c r="F270" s="22" t="s">
        <v>618</v>
      </c>
      <c r="G270" s="22" t="s">
        <v>49</v>
      </c>
      <c r="H270" s="22" t="s">
        <v>126</v>
      </c>
      <c r="I270" s="22" t="s">
        <v>307</v>
      </c>
      <c r="J270" s="22" t="s">
        <v>53</v>
      </c>
      <c r="K270" s="22" t="s">
        <v>128</v>
      </c>
      <c r="L270" s="22" t="s">
        <v>53</v>
      </c>
      <c r="M270" s="22" t="s">
        <v>171</v>
      </c>
      <c r="N270" s="22" t="s">
        <v>59</v>
      </c>
      <c r="O270" s="22" t="s">
        <v>84</v>
      </c>
      <c r="P270" s="22" t="s">
        <v>52</v>
      </c>
      <c r="Q270" s="22" t="s">
        <v>60</v>
      </c>
      <c r="R270" s="25"/>
      <c r="S270" s="22" t="s">
        <v>85</v>
      </c>
      <c r="T270" s="22" t="s">
        <v>62</v>
      </c>
      <c r="U270" s="22" t="s">
        <v>63</v>
      </c>
      <c r="V270" s="22" t="s">
        <v>64</v>
      </c>
      <c r="W270" s="25"/>
      <c r="X270" s="26" t="s">
        <v>1627</v>
      </c>
      <c r="Y270" s="68" t="s">
        <v>876</v>
      </c>
      <c r="Z270" s="22" t="s">
        <v>1628</v>
      </c>
      <c r="AA270" s="22" t="s">
        <v>1629</v>
      </c>
      <c r="AC270" s="22" t="s">
        <v>328</v>
      </c>
      <c r="AD270" s="27" t="s">
        <v>71</v>
      </c>
      <c r="AE270" s="22" t="s">
        <v>804</v>
      </c>
      <c r="AF270" s="34"/>
      <c r="AG270" s="34"/>
      <c r="AI270" s="25" t="str">
        <f ca="1">IFERROR(__xludf.DUMMYFUNCTION("""COMPUTED_VALUE"""),"611f7cfaa5724a164b81cf25")</f>
        <v>611f7cfaa5724a164b81cf25</v>
      </c>
      <c r="AJ270" s="25">
        <f t="shared" ca="1" si="0"/>
        <v>1</v>
      </c>
    </row>
    <row r="271" spans="1:36" ht="31">
      <c r="A271" s="51" t="s">
        <v>1482</v>
      </c>
      <c r="B271" s="51" t="s">
        <v>1630</v>
      </c>
      <c r="C271" s="22" t="s">
        <v>1631</v>
      </c>
      <c r="D271" s="23" t="s">
        <v>1632</v>
      </c>
      <c r="E271" s="22" t="s">
        <v>49</v>
      </c>
      <c r="F271" s="22" t="s">
        <v>78</v>
      </c>
      <c r="G271" s="22" t="s">
        <v>79</v>
      </c>
      <c r="H271" s="22" t="s">
        <v>126</v>
      </c>
      <c r="I271" s="22" t="s">
        <v>52</v>
      </c>
      <c r="J271" s="22" t="s">
        <v>127</v>
      </c>
      <c r="K271" s="22" t="s">
        <v>54</v>
      </c>
      <c r="L271" s="22" t="s">
        <v>55</v>
      </c>
      <c r="M271" s="22" t="s">
        <v>171</v>
      </c>
      <c r="N271" s="22" t="s">
        <v>59</v>
      </c>
      <c r="O271" s="22" t="s">
        <v>84</v>
      </c>
      <c r="P271" s="22" t="s">
        <v>59</v>
      </c>
      <c r="Q271" s="22" t="s">
        <v>86</v>
      </c>
      <c r="R271" s="22" t="s">
        <v>60</v>
      </c>
      <c r="S271" s="22" t="s">
        <v>388</v>
      </c>
      <c r="T271" s="22" t="s">
        <v>62</v>
      </c>
      <c r="U271" s="22" t="s">
        <v>515</v>
      </c>
      <c r="V271" s="22" t="s">
        <v>64</v>
      </c>
      <c r="W271" s="25"/>
      <c r="X271" s="69" t="s">
        <v>1633</v>
      </c>
      <c r="Y271" s="68" t="s">
        <v>131</v>
      </c>
      <c r="Z271" s="22" t="s">
        <v>1413</v>
      </c>
      <c r="AA271" s="22" t="s">
        <v>1634</v>
      </c>
      <c r="AC271" s="22" t="s">
        <v>70</v>
      </c>
      <c r="AD271" s="27" t="s">
        <v>71</v>
      </c>
      <c r="AE271" s="22" t="s">
        <v>804</v>
      </c>
      <c r="AF271" s="34"/>
      <c r="AG271" s="33" t="s">
        <v>103</v>
      </c>
      <c r="AI271" s="25" t="str">
        <f ca="1">IFERROR(__xludf.DUMMYFUNCTION("""COMPUTED_VALUE"""),"611f825320aae23c268749a4")</f>
        <v>611f825320aae23c268749a4</v>
      </c>
      <c r="AJ271" s="25">
        <f t="shared" ca="1" si="0"/>
        <v>1</v>
      </c>
    </row>
    <row r="272" spans="1:36" ht="46.5">
      <c r="A272" s="51" t="s">
        <v>1482</v>
      </c>
      <c r="B272" s="51" t="s">
        <v>1635</v>
      </c>
      <c r="C272" s="22" t="s">
        <v>1636</v>
      </c>
      <c r="D272" s="23" t="s">
        <v>1637</v>
      </c>
      <c r="E272" s="22" t="s">
        <v>49</v>
      </c>
      <c r="F272" s="22" t="s">
        <v>50</v>
      </c>
      <c r="G272" s="22" t="s">
        <v>79</v>
      </c>
      <c r="H272" s="22" t="s">
        <v>126</v>
      </c>
      <c r="I272" s="22" t="s">
        <v>307</v>
      </c>
      <c r="J272" s="22" t="s">
        <v>53</v>
      </c>
      <c r="K272" s="22" t="s">
        <v>144</v>
      </c>
      <c r="L272" s="22" t="s">
        <v>53</v>
      </c>
      <c r="M272" s="22" t="s">
        <v>171</v>
      </c>
      <c r="N272" s="22" t="s">
        <v>59</v>
      </c>
      <c r="O272" s="22" t="s">
        <v>1224</v>
      </c>
      <c r="P272" s="22" t="s">
        <v>348</v>
      </c>
      <c r="Q272" s="22" t="s">
        <v>183</v>
      </c>
      <c r="R272" s="25"/>
      <c r="S272" s="22" t="s">
        <v>61</v>
      </c>
      <c r="T272" s="22" t="s">
        <v>62</v>
      </c>
      <c r="U272" s="22" t="s">
        <v>63</v>
      </c>
      <c r="V272" s="22" t="s">
        <v>64</v>
      </c>
      <c r="W272" s="25"/>
      <c r="X272" s="69" t="s">
        <v>1633</v>
      </c>
      <c r="Y272" s="68" t="s">
        <v>89</v>
      </c>
      <c r="Z272" s="22" t="s">
        <v>527</v>
      </c>
      <c r="AA272" s="22" t="s">
        <v>1606</v>
      </c>
      <c r="AC272" s="22" t="s">
        <v>70</v>
      </c>
      <c r="AD272" s="27" t="s">
        <v>71</v>
      </c>
      <c r="AE272" s="22" t="s">
        <v>804</v>
      </c>
      <c r="AF272" s="34"/>
      <c r="AG272" s="33" t="s">
        <v>1638</v>
      </c>
      <c r="AI272" s="25" t="str">
        <f ca="1">IFERROR(__xludf.DUMMYFUNCTION("""COMPUTED_VALUE"""),"61235115e6f4a36d18742fd6")</f>
        <v>61235115e6f4a36d18742fd6</v>
      </c>
      <c r="AJ272" s="25">
        <f t="shared" ca="1" si="0"/>
        <v>1</v>
      </c>
    </row>
    <row r="273" spans="1:36" ht="46.5">
      <c r="A273" s="51" t="s">
        <v>1482</v>
      </c>
      <c r="B273" s="51" t="s">
        <v>1639</v>
      </c>
      <c r="C273" s="22" t="s">
        <v>1640</v>
      </c>
      <c r="D273" s="23" t="s">
        <v>1641</v>
      </c>
      <c r="E273" s="22" t="s">
        <v>53</v>
      </c>
      <c r="F273" s="22" t="s">
        <v>269</v>
      </c>
      <c r="G273" s="22" t="s">
        <v>49</v>
      </c>
      <c r="H273" s="22" t="s">
        <v>51</v>
      </c>
      <c r="I273" s="22" t="s">
        <v>52</v>
      </c>
      <c r="J273" s="22" t="s">
        <v>127</v>
      </c>
      <c r="K273" s="22" t="s">
        <v>182</v>
      </c>
      <c r="L273" s="22" t="s">
        <v>55</v>
      </c>
      <c r="M273" s="22" t="s">
        <v>83</v>
      </c>
      <c r="N273" s="22" t="s">
        <v>59</v>
      </c>
      <c r="O273" s="22" t="s">
        <v>84</v>
      </c>
      <c r="P273" s="22" t="s">
        <v>85</v>
      </c>
      <c r="Q273" s="22" t="s">
        <v>183</v>
      </c>
      <c r="R273" s="22" t="s">
        <v>60</v>
      </c>
      <c r="S273" s="22" t="s">
        <v>85</v>
      </c>
      <c r="T273" s="22" t="s">
        <v>62</v>
      </c>
      <c r="U273" s="22" t="s">
        <v>63</v>
      </c>
      <c r="V273" s="22" t="s">
        <v>64</v>
      </c>
      <c r="W273" s="25"/>
      <c r="X273" s="69" t="s">
        <v>1642</v>
      </c>
      <c r="Y273" s="68"/>
      <c r="Z273" s="22" t="s">
        <v>1362</v>
      </c>
      <c r="AA273" s="22" t="s">
        <v>1643</v>
      </c>
      <c r="AC273" s="22" t="s">
        <v>70</v>
      </c>
      <c r="AD273" s="27" t="s">
        <v>71</v>
      </c>
      <c r="AE273" s="22" t="s">
        <v>804</v>
      </c>
      <c r="AF273" s="34"/>
      <c r="AG273" s="33" t="s">
        <v>1644</v>
      </c>
      <c r="AI273" s="25" t="str">
        <f ca="1">IFERROR(__xludf.DUMMYFUNCTION("""COMPUTED_VALUE"""),"612457e48299e360810ab292")</f>
        <v>612457e48299e360810ab292</v>
      </c>
      <c r="AJ273" s="25">
        <f t="shared" ca="1" si="0"/>
        <v>1</v>
      </c>
    </row>
    <row r="274" spans="1:36" ht="31">
      <c r="A274" s="51" t="s">
        <v>1482</v>
      </c>
      <c r="B274" s="51" t="s">
        <v>1645</v>
      </c>
      <c r="C274" s="22" t="s">
        <v>1646</v>
      </c>
      <c r="D274" s="23" t="s">
        <v>1647</v>
      </c>
      <c r="E274" s="22" t="s">
        <v>49</v>
      </c>
      <c r="F274" s="22" t="s">
        <v>50</v>
      </c>
      <c r="G274" s="22" t="s">
        <v>79</v>
      </c>
      <c r="H274" s="22" t="s">
        <v>51</v>
      </c>
      <c r="I274" s="22" t="s">
        <v>52</v>
      </c>
      <c r="J274" s="22" t="s">
        <v>53</v>
      </c>
      <c r="K274" s="22" t="s">
        <v>54</v>
      </c>
      <c r="L274" s="22" t="s">
        <v>55</v>
      </c>
      <c r="M274" s="22" t="s">
        <v>83</v>
      </c>
      <c r="N274" s="22" t="s">
        <v>348</v>
      </c>
      <c r="O274" s="22" t="s">
        <v>84</v>
      </c>
      <c r="P274" s="22" t="s">
        <v>85</v>
      </c>
      <c r="Q274" s="22" t="s">
        <v>60</v>
      </c>
      <c r="R274" s="22" t="s">
        <v>238</v>
      </c>
      <c r="S274" s="22" t="s">
        <v>61</v>
      </c>
      <c r="T274" s="22" t="s">
        <v>62</v>
      </c>
      <c r="U274" s="22" t="s">
        <v>63</v>
      </c>
      <c r="V274" s="22" t="s">
        <v>172</v>
      </c>
      <c r="W274" s="25"/>
      <c r="X274" s="69" t="s">
        <v>1648</v>
      </c>
      <c r="Y274" s="68" t="s">
        <v>240</v>
      </c>
      <c r="Z274" s="22" t="s">
        <v>702</v>
      </c>
      <c r="AA274" s="22" t="s">
        <v>1649</v>
      </c>
      <c r="AC274" s="22" t="s">
        <v>70</v>
      </c>
      <c r="AD274" s="27" t="s">
        <v>71</v>
      </c>
      <c r="AE274" s="22" t="s">
        <v>804</v>
      </c>
      <c r="AF274" s="34"/>
      <c r="AG274" s="33" t="s">
        <v>1650</v>
      </c>
      <c r="AI274" s="25" t="str">
        <f ca="1">IFERROR(__xludf.DUMMYFUNCTION("""COMPUTED_VALUE"""),"6124b195a5724a164b81d030")</f>
        <v>6124b195a5724a164b81d030</v>
      </c>
      <c r="AJ274" s="25">
        <f t="shared" ca="1" si="0"/>
        <v>1</v>
      </c>
    </row>
    <row r="275" spans="1:36" ht="31">
      <c r="A275" s="51" t="s">
        <v>1482</v>
      </c>
      <c r="B275" s="51" t="s">
        <v>1651</v>
      </c>
      <c r="C275" s="22" t="s">
        <v>1652</v>
      </c>
      <c r="D275" s="23" t="s">
        <v>1653</v>
      </c>
      <c r="E275" s="22" t="s">
        <v>49</v>
      </c>
      <c r="F275" s="22" t="s">
        <v>228</v>
      </c>
      <c r="G275" s="22" t="s">
        <v>49</v>
      </c>
      <c r="H275" s="22" t="s">
        <v>126</v>
      </c>
      <c r="I275" s="22" t="s">
        <v>52</v>
      </c>
      <c r="J275" s="22" t="s">
        <v>53</v>
      </c>
      <c r="K275" s="22" t="s">
        <v>170</v>
      </c>
      <c r="L275" s="22" t="s">
        <v>55</v>
      </c>
      <c r="M275" s="22" t="s">
        <v>83</v>
      </c>
      <c r="N275" s="22" t="s">
        <v>59</v>
      </c>
      <c r="O275" s="22" t="s">
        <v>84</v>
      </c>
      <c r="P275" s="22" t="s">
        <v>57</v>
      </c>
      <c r="Q275" s="22" t="s">
        <v>60</v>
      </c>
      <c r="R275" s="25"/>
      <c r="S275" s="22" t="s">
        <v>61</v>
      </c>
      <c r="T275" s="22" t="s">
        <v>62</v>
      </c>
      <c r="U275" s="22" t="s">
        <v>63</v>
      </c>
      <c r="V275" s="22" t="s">
        <v>87</v>
      </c>
      <c r="W275" s="25"/>
      <c r="X275" s="69" t="s">
        <v>1633</v>
      </c>
      <c r="Y275" s="68" t="s">
        <v>363</v>
      </c>
      <c r="Z275" s="22" t="s">
        <v>1654</v>
      </c>
      <c r="AA275" s="22" t="s">
        <v>1655</v>
      </c>
      <c r="AC275" s="22" t="s">
        <v>70</v>
      </c>
      <c r="AD275" s="27" t="s">
        <v>71</v>
      </c>
      <c r="AE275" s="22" t="s">
        <v>804</v>
      </c>
      <c r="AF275" s="34"/>
      <c r="AG275" s="34"/>
      <c r="AI275" s="25" t="str">
        <f ca="1">IFERROR(__xludf.DUMMYFUNCTION("""COMPUTED_VALUE"""),"6124b1de8299e360810ab8ac")</f>
        <v>6124b1de8299e360810ab8ac</v>
      </c>
      <c r="AJ275" s="25">
        <f t="shared" ca="1" si="0"/>
        <v>1</v>
      </c>
    </row>
    <row r="276" spans="1:36" ht="46.5">
      <c r="A276" s="51" t="s">
        <v>1482</v>
      </c>
      <c r="B276" s="51" t="s">
        <v>1656</v>
      </c>
      <c r="C276" s="22" t="s">
        <v>1657</v>
      </c>
      <c r="D276" s="23" t="s">
        <v>1658</v>
      </c>
      <c r="E276" s="22" t="s">
        <v>53</v>
      </c>
      <c r="F276" s="22" t="s">
        <v>269</v>
      </c>
      <c r="G276" s="22" t="s">
        <v>79</v>
      </c>
      <c r="H276" s="22" t="s">
        <v>192</v>
      </c>
      <c r="I276" s="22" t="s">
        <v>81</v>
      </c>
      <c r="J276" s="22" t="s">
        <v>127</v>
      </c>
      <c r="K276" s="22" t="s">
        <v>856</v>
      </c>
      <c r="L276" s="22" t="s">
        <v>53</v>
      </c>
      <c r="M276" s="22" t="s">
        <v>83</v>
      </c>
      <c r="N276" s="22" t="s">
        <v>59</v>
      </c>
      <c r="O276" s="22" t="s">
        <v>84</v>
      </c>
      <c r="P276" s="22" t="s">
        <v>137</v>
      </c>
      <c r="Q276" s="22" t="s">
        <v>183</v>
      </c>
      <c r="R276" s="22" t="s">
        <v>60</v>
      </c>
      <c r="S276" s="22" t="s">
        <v>388</v>
      </c>
      <c r="T276" s="22" t="s">
        <v>62</v>
      </c>
      <c r="U276" s="22" t="s">
        <v>63</v>
      </c>
      <c r="V276" s="22" t="s">
        <v>64</v>
      </c>
      <c r="W276" s="25"/>
      <c r="X276" s="69" t="s">
        <v>1648</v>
      </c>
      <c r="Y276" s="68" t="s">
        <v>357</v>
      </c>
      <c r="Z276" s="22" t="s">
        <v>1649</v>
      </c>
      <c r="AA276" s="22" t="s">
        <v>1659</v>
      </c>
      <c r="AC276" s="22" t="s">
        <v>70</v>
      </c>
      <c r="AD276" s="27" t="s">
        <v>71</v>
      </c>
      <c r="AE276" s="22" t="s">
        <v>804</v>
      </c>
      <c r="AF276" s="34"/>
      <c r="AG276" s="33" t="s">
        <v>1660</v>
      </c>
      <c r="AI276" s="25" t="str">
        <f ca="1">IFERROR(__xludf.DUMMYFUNCTION("""COMPUTED_VALUE"""),"6125a44820aae23c2687576a")</f>
        <v>6125a44820aae23c2687576a</v>
      </c>
      <c r="AJ276" s="25">
        <f t="shared" ca="1" si="0"/>
        <v>1</v>
      </c>
    </row>
    <row r="277" spans="1:36" ht="46.5">
      <c r="A277" s="51" t="s">
        <v>1482</v>
      </c>
      <c r="B277" s="51" t="s">
        <v>1661</v>
      </c>
      <c r="C277" s="22" t="s">
        <v>1662</v>
      </c>
      <c r="D277" s="23" t="s">
        <v>1663</v>
      </c>
      <c r="E277" s="22" t="s">
        <v>49</v>
      </c>
      <c r="F277" s="22" t="s">
        <v>50</v>
      </c>
      <c r="G277" s="22" t="s">
        <v>49</v>
      </c>
      <c r="H277" s="22" t="s">
        <v>51</v>
      </c>
      <c r="I277" s="22" t="s">
        <v>52</v>
      </c>
      <c r="J277" s="22" t="s">
        <v>501</v>
      </c>
      <c r="K277" s="22" t="s">
        <v>82</v>
      </c>
      <c r="L277" s="22" t="s">
        <v>55</v>
      </c>
      <c r="M277" s="22" t="s">
        <v>83</v>
      </c>
      <c r="N277" s="22" t="s">
        <v>348</v>
      </c>
      <c r="O277" s="22" t="s">
        <v>84</v>
      </c>
      <c r="P277" s="22" t="s">
        <v>57</v>
      </c>
      <c r="Q277" s="22" t="s">
        <v>183</v>
      </c>
      <c r="R277" s="22" t="s">
        <v>60</v>
      </c>
      <c r="S277" s="22" t="s">
        <v>85</v>
      </c>
      <c r="T277" s="22" t="s">
        <v>62</v>
      </c>
      <c r="U277" s="22" t="s">
        <v>63</v>
      </c>
      <c r="V277" s="22" t="s">
        <v>64</v>
      </c>
      <c r="W277" s="25"/>
      <c r="X277" s="69" t="s">
        <v>1664</v>
      </c>
      <c r="Y277" s="68" t="s">
        <v>925</v>
      </c>
      <c r="Z277" s="22" t="s">
        <v>1665</v>
      </c>
      <c r="AA277" s="22" t="s">
        <v>1666</v>
      </c>
      <c r="AC277" s="22" t="s">
        <v>70</v>
      </c>
      <c r="AD277" s="27" t="s">
        <v>71</v>
      </c>
      <c r="AE277" s="22" t="s">
        <v>859</v>
      </c>
      <c r="AF277" s="33" t="s">
        <v>1667</v>
      </c>
      <c r="AG277" s="33" t="s">
        <v>103</v>
      </c>
      <c r="AI277" s="25" t="str">
        <f ca="1">IFERROR(__xludf.DUMMYFUNCTION("""COMPUTED_VALUE"""),"6125b2d620aae23c26875890")</f>
        <v>6125b2d620aae23c26875890</v>
      </c>
      <c r="AJ277" s="25">
        <f t="shared" ca="1" si="0"/>
        <v>1</v>
      </c>
    </row>
    <row r="278" spans="1:36" ht="31">
      <c r="A278" s="51" t="s">
        <v>1482</v>
      </c>
      <c r="B278" s="51" t="s">
        <v>1668</v>
      </c>
      <c r="C278" s="22" t="s">
        <v>1669</v>
      </c>
      <c r="D278" s="23" t="s">
        <v>1670</v>
      </c>
      <c r="E278" s="22" t="s">
        <v>49</v>
      </c>
      <c r="F278" s="22" t="s">
        <v>95</v>
      </c>
      <c r="G278" s="22" t="s">
        <v>49</v>
      </c>
      <c r="H278" s="22" t="s">
        <v>126</v>
      </c>
      <c r="I278" s="22" t="s">
        <v>307</v>
      </c>
      <c r="J278" s="22" t="s">
        <v>53</v>
      </c>
      <c r="K278" s="22" t="s">
        <v>170</v>
      </c>
      <c r="L278" s="22" t="s">
        <v>53</v>
      </c>
      <c r="M278" s="22" t="s">
        <v>83</v>
      </c>
      <c r="N278" s="22" t="s">
        <v>59</v>
      </c>
      <c r="O278" s="22" t="s">
        <v>84</v>
      </c>
      <c r="P278" s="22" t="s">
        <v>348</v>
      </c>
      <c r="Q278" s="22" t="s">
        <v>63</v>
      </c>
      <c r="R278" s="25"/>
      <c r="S278" s="22" t="s">
        <v>61</v>
      </c>
      <c r="T278" s="22" t="s">
        <v>62</v>
      </c>
      <c r="U278" s="22" t="s">
        <v>63</v>
      </c>
      <c r="V278" s="22" t="s">
        <v>64</v>
      </c>
      <c r="W278" s="25"/>
      <c r="X278" s="68" t="s">
        <v>1664</v>
      </c>
      <c r="Y278" s="68" t="s">
        <v>120</v>
      </c>
      <c r="Z278" s="22" t="s">
        <v>733</v>
      </c>
      <c r="AA278" s="22" t="s">
        <v>626</v>
      </c>
      <c r="AC278" s="22" t="s">
        <v>70</v>
      </c>
      <c r="AD278" s="27" t="s">
        <v>71</v>
      </c>
      <c r="AE278" s="22" t="s">
        <v>859</v>
      </c>
      <c r="AF278" s="34"/>
      <c r="AG278" s="34"/>
      <c r="AI278" s="25" t="str">
        <f ca="1">IFERROR(__xludf.DUMMYFUNCTION("""COMPUTED_VALUE"""),"6125d75f20aae23c26875961")</f>
        <v>6125d75f20aae23c26875961</v>
      </c>
      <c r="AJ278" s="25">
        <f t="shared" ca="1" si="0"/>
        <v>1</v>
      </c>
    </row>
    <row r="279" spans="1:36" ht="46.5">
      <c r="A279" s="51" t="s">
        <v>1482</v>
      </c>
      <c r="B279" s="51" t="s">
        <v>1671</v>
      </c>
      <c r="C279" s="22" t="s">
        <v>1672</v>
      </c>
      <c r="D279" s="23" t="s">
        <v>1673</v>
      </c>
      <c r="E279" s="22" t="s">
        <v>49</v>
      </c>
      <c r="F279" s="22" t="s">
        <v>78</v>
      </c>
      <c r="G279" s="22" t="s">
        <v>49</v>
      </c>
      <c r="H279" s="22" t="s">
        <v>126</v>
      </c>
      <c r="I279" s="22" t="s">
        <v>52</v>
      </c>
      <c r="J279" s="22" t="s">
        <v>53</v>
      </c>
      <c r="K279" s="22" t="s">
        <v>170</v>
      </c>
      <c r="L279" s="22" t="s">
        <v>53</v>
      </c>
      <c r="M279" s="22" t="s">
        <v>83</v>
      </c>
      <c r="N279" s="22" t="s">
        <v>57</v>
      </c>
      <c r="O279" s="22" t="s">
        <v>84</v>
      </c>
      <c r="P279" s="22" t="s">
        <v>422</v>
      </c>
      <c r="Q279" s="22" t="s">
        <v>60</v>
      </c>
      <c r="R279" s="25"/>
      <c r="S279" s="22" t="s">
        <v>61</v>
      </c>
      <c r="T279" s="22" t="s">
        <v>62</v>
      </c>
      <c r="U279" s="22" t="s">
        <v>63</v>
      </c>
      <c r="V279" s="22" t="s">
        <v>64</v>
      </c>
      <c r="W279" s="25"/>
      <c r="X279" s="69" t="s">
        <v>1664</v>
      </c>
      <c r="Y279" s="68" t="s">
        <v>131</v>
      </c>
      <c r="Z279" s="22" t="s">
        <v>278</v>
      </c>
      <c r="AA279" s="22" t="s">
        <v>1674</v>
      </c>
      <c r="AC279" s="22" t="s">
        <v>70</v>
      </c>
      <c r="AD279" s="27" t="s">
        <v>71</v>
      </c>
      <c r="AE279" s="22" t="s">
        <v>859</v>
      </c>
      <c r="AF279" s="33" t="s">
        <v>1675</v>
      </c>
      <c r="AG279" s="33" t="s">
        <v>103</v>
      </c>
      <c r="AI279" s="25" t="str">
        <f ca="1">IFERROR(__xludf.DUMMYFUNCTION("""COMPUTED_VALUE"""),"6125dd0ab4eb2caea1826743")</f>
        <v>6125dd0ab4eb2caea1826743</v>
      </c>
      <c r="AJ279" s="25">
        <f t="shared" ca="1" si="0"/>
        <v>1</v>
      </c>
    </row>
    <row r="280" spans="1:36" ht="31">
      <c r="A280" s="51" t="s">
        <v>1482</v>
      </c>
      <c r="B280" s="51" t="s">
        <v>1676</v>
      </c>
      <c r="C280" s="22" t="s">
        <v>1677</v>
      </c>
      <c r="D280" s="23" t="s">
        <v>1678</v>
      </c>
      <c r="E280" s="22" t="s">
        <v>53</v>
      </c>
      <c r="F280" s="22" t="s">
        <v>269</v>
      </c>
      <c r="G280" s="22" t="s">
        <v>79</v>
      </c>
      <c r="H280" s="22" t="s">
        <v>126</v>
      </c>
      <c r="I280" s="22" t="s">
        <v>307</v>
      </c>
      <c r="J280" s="22" t="s">
        <v>53</v>
      </c>
      <c r="K280" s="22" t="s">
        <v>144</v>
      </c>
      <c r="L280" s="22" t="s">
        <v>53</v>
      </c>
      <c r="M280" s="22" t="s">
        <v>83</v>
      </c>
      <c r="N280" s="22" t="s">
        <v>59</v>
      </c>
      <c r="O280" s="22" t="s">
        <v>84</v>
      </c>
      <c r="P280" s="22" t="s">
        <v>348</v>
      </c>
      <c r="Q280" s="22" t="s">
        <v>153</v>
      </c>
      <c r="R280" s="25"/>
      <c r="S280" s="22" t="s">
        <v>61</v>
      </c>
      <c r="T280" s="22" t="s">
        <v>62</v>
      </c>
      <c r="U280" s="22" t="s">
        <v>63</v>
      </c>
      <c r="V280" s="22" t="s">
        <v>64</v>
      </c>
      <c r="W280" s="25"/>
      <c r="X280" s="68" t="s">
        <v>1664</v>
      </c>
      <c r="Y280" s="68" t="s">
        <v>357</v>
      </c>
      <c r="Z280" s="22" t="s">
        <v>358</v>
      </c>
      <c r="AA280" s="22" t="s">
        <v>365</v>
      </c>
      <c r="AC280" s="22" t="s">
        <v>70</v>
      </c>
      <c r="AD280" s="27" t="s">
        <v>71</v>
      </c>
      <c r="AE280" s="22" t="s">
        <v>859</v>
      </c>
      <c r="AF280" s="34"/>
      <c r="AG280" s="34"/>
      <c r="AI280" s="25" t="str">
        <f ca="1">IFERROR(__xludf.DUMMYFUNCTION("""COMPUTED_VALUE"""),"6125e78bbc511c59f47d3e44")</f>
        <v>6125e78bbc511c59f47d3e44</v>
      </c>
      <c r="AJ280" s="25">
        <f t="shared" ca="1" si="0"/>
        <v>1</v>
      </c>
    </row>
    <row r="281" spans="1:36" ht="31">
      <c r="A281" s="51" t="s">
        <v>1482</v>
      </c>
      <c r="B281" s="51" t="s">
        <v>1679</v>
      </c>
      <c r="C281" s="22" t="s">
        <v>1680</v>
      </c>
      <c r="D281" s="23" t="s">
        <v>1681</v>
      </c>
      <c r="E281" s="22" t="s">
        <v>49</v>
      </c>
      <c r="F281" s="22" t="s">
        <v>228</v>
      </c>
      <c r="G281" s="22" t="s">
        <v>49</v>
      </c>
      <c r="H281" s="22" t="s">
        <v>126</v>
      </c>
      <c r="I281" s="22" t="s">
        <v>52</v>
      </c>
      <c r="J281" s="22" t="s">
        <v>53</v>
      </c>
      <c r="K281" s="22" t="s">
        <v>144</v>
      </c>
      <c r="L281" s="22" t="s">
        <v>55</v>
      </c>
      <c r="M281" s="22" t="s">
        <v>83</v>
      </c>
      <c r="N281" s="22" t="s">
        <v>57</v>
      </c>
      <c r="O281" s="22" t="s">
        <v>84</v>
      </c>
      <c r="P281" s="22" t="s">
        <v>537</v>
      </c>
      <c r="Q281" s="22" t="s">
        <v>203</v>
      </c>
      <c r="R281" s="25"/>
      <c r="S281" s="22" t="s">
        <v>85</v>
      </c>
      <c r="T281" s="22" t="s">
        <v>62</v>
      </c>
      <c r="U281" s="22" t="s">
        <v>63</v>
      </c>
      <c r="V281" s="22" t="s">
        <v>64</v>
      </c>
      <c r="W281" s="25"/>
      <c r="X281" s="68" t="s">
        <v>1682</v>
      </c>
      <c r="Y281" s="68" t="s">
        <v>357</v>
      </c>
      <c r="Z281" s="22" t="s">
        <v>1659</v>
      </c>
      <c r="AA281" s="22" t="s">
        <v>1683</v>
      </c>
      <c r="AC281" s="22" t="s">
        <v>70</v>
      </c>
      <c r="AD281" s="27" t="s">
        <v>71</v>
      </c>
      <c r="AE281" s="22" t="s">
        <v>859</v>
      </c>
      <c r="AF281" s="34"/>
      <c r="AG281" s="34"/>
      <c r="AI281" s="25" t="str">
        <f ca="1">IFERROR(__xludf.DUMMYFUNCTION("""COMPUTED_VALUE"""),"6125f0e7bc511c59f47d41f2")</f>
        <v>6125f0e7bc511c59f47d41f2</v>
      </c>
      <c r="AJ281" s="25">
        <f t="shared" ca="1" si="0"/>
        <v>1</v>
      </c>
    </row>
    <row r="282" spans="1:36" ht="28.5">
      <c r="A282" s="51" t="s">
        <v>1482</v>
      </c>
      <c r="B282" s="51" t="s">
        <v>1684</v>
      </c>
      <c r="C282" s="80" t="s">
        <v>1685</v>
      </c>
      <c r="D282" s="80" t="s">
        <v>1686</v>
      </c>
      <c r="E282" s="22" t="s">
        <v>49</v>
      </c>
      <c r="F282" s="22" t="s">
        <v>95</v>
      </c>
      <c r="G282" s="22" t="s">
        <v>49</v>
      </c>
      <c r="H282" s="22" t="s">
        <v>51</v>
      </c>
      <c r="I282" s="22" t="s">
        <v>81</v>
      </c>
      <c r="J282" s="22" t="s">
        <v>53</v>
      </c>
      <c r="K282" s="22" t="s">
        <v>54</v>
      </c>
      <c r="L282" s="22" t="s">
        <v>53</v>
      </c>
      <c r="M282" s="22" t="s">
        <v>83</v>
      </c>
      <c r="N282" s="22" t="s">
        <v>59</v>
      </c>
      <c r="O282" s="22" t="s">
        <v>84</v>
      </c>
      <c r="P282" s="22" t="s">
        <v>137</v>
      </c>
      <c r="Q282" s="22" t="s">
        <v>60</v>
      </c>
      <c r="R282" s="25"/>
      <c r="S282" s="22" t="s">
        <v>85</v>
      </c>
      <c r="T282" s="22" t="s">
        <v>62</v>
      </c>
      <c r="U282" s="22" t="s">
        <v>63</v>
      </c>
      <c r="V282" s="22" t="s">
        <v>64</v>
      </c>
      <c r="W282" s="25"/>
      <c r="X282" s="68" t="s">
        <v>1682</v>
      </c>
      <c r="Y282" s="68" t="s">
        <v>248</v>
      </c>
      <c r="Z282" s="22" t="s">
        <v>407</v>
      </c>
      <c r="AA282" s="22" t="s">
        <v>250</v>
      </c>
      <c r="AC282" s="22" t="s">
        <v>70</v>
      </c>
      <c r="AD282" s="27" t="s">
        <v>71</v>
      </c>
      <c r="AE282" s="22" t="s">
        <v>859</v>
      </c>
      <c r="AF282" s="34"/>
      <c r="AG282" s="34"/>
      <c r="AI282" s="25" t="str">
        <f ca="1">IFERROR(__xludf.DUMMYFUNCTION("""COMPUTED_VALUE"""),"6125f976bc511c59f47d44e2")</f>
        <v>6125f976bc511c59f47d44e2</v>
      </c>
      <c r="AJ282" s="25">
        <f t="shared" ca="1" si="0"/>
        <v>1</v>
      </c>
    </row>
    <row r="283" spans="1:36" ht="31">
      <c r="A283" s="51" t="s">
        <v>1482</v>
      </c>
      <c r="B283" s="51" t="s">
        <v>1687</v>
      </c>
      <c r="C283" s="22" t="s">
        <v>1677</v>
      </c>
      <c r="D283" s="23" t="s">
        <v>1688</v>
      </c>
      <c r="E283" s="22" t="s">
        <v>49</v>
      </c>
      <c r="F283" s="22" t="s">
        <v>50</v>
      </c>
      <c r="G283" s="22" t="s">
        <v>79</v>
      </c>
      <c r="H283" s="22" t="s">
        <v>126</v>
      </c>
      <c r="I283" s="22" t="s">
        <v>307</v>
      </c>
      <c r="J283" s="22" t="s">
        <v>53</v>
      </c>
      <c r="K283" s="22" t="s">
        <v>144</v>
      </c>
      <c r="L283" s="22" t="s">
        <v>53</v>
      </c>
      <c r="M283" s="22" t="s">
        <v>56</v>
      </c>
      <c r="N283" s="22" t="s">
        <v>59</v>
      </c>
      <c r="O283" s="22" t="s">
        <v>84</v>
      </c>
      <c r="P283" s="22" t="s">
        <v>348</v>
      </c>
      <c r="Q283" s="22" t="s">
        <v>203</v>
      </c>
      <c r="R283" s="25"/>
      <c r="S283" s="22" t="s">
        <v>61</v>
      </c>
      <c r="T283" s="22" t="s">
        <v>62</v>
      </c>
      <c r="U283" s="22" t="s">
        <v>63</v>
      </c>
      <c r="V283" s="22" t="s">
        <v>64</v>
      </c>
      <c r="W283" s="25"/>
      <c r="X283" s="68" t="s">
        <v>1682</v>
      </c>
      <c r="Y283" s="68" t="s">
        <v>288</v>
      </c>
      <c r="Z283" s="22" t="s">
        <v>319</v>
      </c>
      <c r="AA283" s="22" t="s">
        <v>1689</v>
      </c>
      <c r="AC283" s="22" t="s">
        <v>70</v>
      </c>
      <c r="AD283" s="27" t="s">
        <v>71</v>
      </c>
      <c r="AE283" s="22" t="s">
        <v>859</v>
      </c>
      <c r="AF283" s="34"/>
      <c r="AG283" s="34"/>
      <c r="AI283" s="25" t="str">
        <f ca="1">IFERROR(__xludf.DUMMYFUNCTION("""COMPUTED_VALUE"""),"61261ea5b4eb2caea1826fe4")</f>
        <v>61261ea5b4eb2caea1826fe4</v>
      </c>
      <c r="AJ283" s="25">
        <f t="shared" ca="1" si="0"/>
        <v>1</v>
      </c>
    </row>
    <row r="284" spans="1:36" ht="46.5">
      <c r="A284" s="51" t="s">
        <v>1482</v>
      </c>
      <c r="B284" s="7" t="s">
        <v>1690</v>
      </c>
      <c r="C284" s="22" t="s">
        <v>1691</v>
      </c>
      <c r="D284" s="23" t="s">
        <v>1692</v>
      </c>
      <c r="E284" s="22" t="s">
        <v>49</v>
      </c>
      <c r="F284" s="22" t="s">
        <v>95</v>
      </c>
      <c r="G284" s="22" t="s">
        <v>79</v>
      </c>
      <c r="H284" s="22" t="s">
        <v>126</v>
      </c>
      <c r="I284" s="22" t="s">
        <v>52</v>
      </c>
      <c r="J284" s="22" t="s">
        <v>53</v>
      </c>
      <c r="K284" s="22" t="s">
        <v>54</v>
      </c>
      <c r="L284" s="22" t="s">
        <v>55</v>
      </c>
      <c r="M284" s="22" t="s">
        <v>83</v>
      </c>
      <c r="N284" s="22" t="s">
        <v>312</v>
      </c>
      <c r="O284" s="22" t="s">
        <v>84</v>
      </c>
      <c r="P284" s="22" t="s">
        <v>59</v>
      </c>
      <c r="Q284" s="22" t="s">
        <v>98</v>
      </c>
      <c r="R284" s="25"/>
      <c r="S284" s="22" t="s">
        <v>61</v>
      </c>
      <c r="T284" s="22" t="s">
        <v>62</v>
      </c>
      <c r="U284" s="22" t="s">
        <v>63</v>
      </c>
      <c r="V284" s="22" t="s">
        <v>64</v>
      </c>
      <c r="W284" s="25"/>
      <c r="X284" s="69" t="s">
        <v>1664</v>
      </c>
      <c r="Y284" s="68" t="s">
        <v>204</v>
      </c>
      <c r="Z284" s="22" t="s">
        <v>756</v>
      </c>
      <c r="AA284" s="22" t="s">
        <v>1261</v>
      </c>
      <c r="AC284" s="22" t="s">
        <v>70</v>
      </c>
      <c r="AD284" s="27" t="s">
        <v>71</v>
      </c>
      <c r="AE284" s="22" t="s">
        <v>859</v>
      </c>
      <c r="AF284" s="33" t="s">
        <v>1693</v>
      </c>
      <c r="AG284" s="34"/>
      <c r="AI284" s="25" t="str">
        <f ca="1">IFERROR(__xludf.DUMMYFUNCTION("""COMPUTED_VALUE"""),"6126facaa5724a164b81d083")</f>
        <v>6126facaa5724a164b81d083</v>
      </c>
      <c r="AJ284" s="25">
        <f t="shared" ca="1" si="0"/>
        <v>1</v>
      </c>
    </row>
    <row r="285" spans="1:36" ht="31">
      <c r="A285" s="51" t="s">
        <v>1482</v>
      </c>
      <c r="B285" s="51" t="s">
        <v>1694</v>
      </c>
      <c r="C285" s="22" t="s">
        <v>1695</v>
      </c>
      <c r="D285" s="23" t="s">
        <v>1696</v>
      </c>
      <c r="E285" s="22" t="s">
        <v>97</v>
      </c>
      <c r="F285" s="22" t="s">
        <v>95</v>
      </c>
      <c r="G285" s="22" t="s">
        <v>97</v>
      </c>
      <c r="H285" s="22" t="s">
        <v>126</v>
      </c>
      <c r="I285" s="22" t="s">
        <v>52</v>
      </c>
      <c r="J285" s="22" t="s">
        <v>53</v>
      </c>
      <c r="K285" s="22" t="s">
        <v>54</v>
      </c>
      <c r="L285" s="22" t="s">
        <v>55</v>
      </c>
      <c r="M285" s="22" t="s">
        <v>83</v>
      </c>
      <c r="N285" s="22" t="s">
        <v>59</v>
      </c>
      <c r="O285" s="22" t="s">
        <v>97</v>
      </c>
      <c r="P285" s="22" t="s">
        <v>59</v>
      </c>
      <c r="Q285" s="22" t="s">
        <v>98</v>
      </c>
      <c r="R285" s="25"/>
      <c r="S285" s="22" t="s">
        <v>61</v>
      </c>
      <c r="T285" s="22" t="s">
        <v>62</v>
      </c>
      <c r="U285" s="22" t="s">
        <v>63</v>
      </c>
      <c r="V285" s="22" t="s">
        <v>64</v>
      </c>
      <c r="W285" s="25"/>
      <c r="X285" s="68" t="s">
        <v>1664</v>
      </c>
      <c r="Y285" s="68" t="s">
        <v>67</v>
      </c>
      <c r="Z285" s="22" t="s">
        <v>1697</v>
      </c>
      <c r="AA285" s="22" t="s">
        <v>802</v>
      </c>
      <c r="AC285" s="22" t="s">
        <v>70</v>
      </c>
      <c r="AD285" s="27" t="s">
        <v>71</v>
      </c>
      <c r="AE285" s="22" t="s">
        <v>859</v>
      </c>
      <c r="AF285" s="34"/>
      <c r="AG285" s="34"/>
      <c r="AI285" s="25" t="str">
        <f ca="1">IFERROR(__xludf.DUMMYFUNCTION("""COMPUTED_VALUE"""),"6126fde7a5724a164b81d087")</f>
        <v>6126fde7a5724a164b81d087</v>
      </c>
      <c r="AJ285" s="25">
        <f t="shared" ca="1" si="0"/>
        <v>1</v>
      </c>
    </row>
    <row r="286" spans="1:36" ht="46.5">
      <c r="A286" s="51" t="s">
        <v>1482</v>
      </c>
      <c r="B286" s="51" t="s">
        <v>1698</v>
      </c>
      <c r="C286" s="22" t="s">
        <v>1699</v>
      </c>
      <c r="D286" s="23" t="s">
        <v>1700</v>
      </c>
      <c r="E286" s="22" t="s">
        <v>53</v>
      </c>
      <c r="F286" s="22" t="s">
        <v>269</v>
      </c>
      <c r="G286" s="22" t="s">
        <v>49</v>
      </c>
      <c r="H286" s="22" t="s">
        <v>126</v>
      </c>
      <c r="I286" s="22" t="s">
        <v>307</v>
      </c>
      <c r="J286" s="22" t="s">
        <v>53</v>
      </c>
      <c r="K286" s="22" t="s">
        <v>144</v>
      </c>
      <c r="L286" s="22" t="s">
        <v>53</v>
      </c>
      <c r="M286" s="22" t="s">
        <v>83</v>
      </c>
      <c r="N286" s="22" t="s">
        <v>59</v>
      </c>
      <c r="O286" s="22" t="s">
        <v>1116</v>
      </c>
      <c r="P286" s="22" t="s">
        <v>348</v>
      </c>
      <c r="Q286" s="22" t="s">
        <v>183</v>
      </c>
      <c r="R286" s="25"/>
      <c r="S286" s="22" t="s">
        <v>85</v>
      </c>
      <c r="T286" s="22" t="s">
        <v>62</v>
      </c>
      <c r="U286" s="22" t="s">
        <v>63</v>
      </c>
      <c r="V286" s="22" t="s">
        <v>64</v>
      </c>
      <c r="W286" s="25"/>
      <c r="X286" s="35" t="s">
        <v>1664</v>
      </c>
      <c r="Y286" s="22" t="s">
        <v>1701</v>
      </c>
      <c r="Z286" s="22" t="s">
        <v>1294</v>
      </c>
      <c r="AA286" s="22" t="s">
        <v>1702</v>
      </c>
      <c r="AC286" s="22" t="s">
        <v>475</v>
      </c>
      <c r="AD286" s="27" t="s">
        <v>71</v>
      </c>
      <c r="AE286" s="22" t="s">
        <v>859</v>
      </c>
      <c r="AF286" s="34"/>
      <c r="AG286" s="34"/>
      <c r="AI286" s="25" t="str">
        <f ca="1">IFERROR(__xludf.DUMMYFUNCTION("""COMPUTED_VALUE"""),"612caf2f20aae23c268771d6")</f>
        <v>612caf2f20aae23c268771d6</v>
      </c>
      <c r="AJ286" s="25">
        <f t="shared" ca="1" si="0"/>
        <v>1</v>
      </c>
    </row>
    <row r="287" spans="1:36" ht="62">
      <c r="A287" s="51" t="s">
        <v>1482</v>
      </c>
      <c r="B287" s="51" t="s">
        <v>1703</v>
      </c>
      <c r="C287" s="22" t="s">
        <v>1704</v>
      </c>
      <c r="D287" s="23" t="s">
        <v>1705</v>
      </c>
      <c r="E287" s="22" t="s">
        <v>49</v>
      </c>
      <c r="F287" s="22" t="s">
        <v>95</v>
      </c>
      <c r="G287" s="22" t="s">
        <v>49</v>
      </c>
      <c r="H287" s="22" t="s">
        <v>51</v>
      </c>
      <c r="I287" s="22" t="s">
        <v>81</v>
      </c>
      <c r="J287" s="22" t="s">
        <v>107</v>
      </c>
      <c r="K287" s="22" t="s">
        <v>856</v>
      </c>
      <c r="L287" s="22" t="s">
        <v>53</v>
      </c>
      <c r="M287" s="22" t="s">
        <v>83</v>
      </c>
      <c r="N287" s="22" t="s">
        <v>59</v>
      </c>
      <c r="O287" s="22" t="s">
        <v>84</v>
      </c>
      <c r="P287" s="22" t="s">
        <v>52</v>
      </c>
      <c r="Q287" s="22" t="s">
        <v>60</v>
      </c>
      <c r="R287" s="22" t="s">
        <v>153</v>
      </c>
      <c r="S287" s="22" t="s">
        <v>85</v>
      </c>
      <c r="T287" s="22" t="s">
        <v>62</v>
      </c>
      <c r="U287" s="22" t="s">
        <v>63</v>
      </c>
      <c r="V287" s="22" t="s">
        <v>64</v>
      </c>
      <c r="W287" s="25"/>
      <c r="X287" s="26" t="s">
        <v>1633</v>
      </c>
      <c r="Y287" s="22" t="s">
        <v>231</v>
      </c>
      <c r="Z287" s="22" t="s">
        <v>232</v>
      </c>
      <c r="AA287" s="22" t="s">
        <v>147</v>
      </c>
      <c r="AC287" s="22" t="s">
        <v>475</v>
      </c>
      <c r="AD287" s="27" t="s">
        <v>71</v>
      </c>
      <c r="AE287" s="22" t="s">
        <v>859</v>
      </c>
      <c r="AF287" s="33" t="s">
        <v>1706</v>
      </c>
      <c r="AG287" s="33" t="s">
        <v>352</v>
      </c>
      <c r="AI287" s="25" t="str">
        <f ca="1">IFERROR(__xludf.DUMMYFUNCTION("""COMPUTED_VALUE"""),"612f213720aae23c2687802d")</f>
        <v>612f213720aae23c2687802d</v>
      </c>
      <c r="AJ287" s="25">
        <f t="shared" ca="1" si="0"/>
        <v>1</v>
      </c>
    </row>
    <row r="288" spans="1:36" ht="31">
      <c r="A288" s="51" t="s">
        <v>1482</v>
      </c>
      <c r="B288" s="51" t="s">
        <v>1707</v>
      </c>
      <c r="C288" s="22" t="s">
        <v>1708</v>
      </c>
      <c r="D288" s="23" t="s">
        <v>1709</v>
      </c>
      <c r="E288" s="22" t="s">
        <v>49</v>
      </c>
      <c r="F288" s="22" t="s">
        <v>95</v>
      </c>
      <c r="G288" s="22" t="s">
        <v>79</v>
      </c>
      <c r="H288" s="22" t="s">
        <v>126</v>
      </c>
      <c r="I288" s="22" t="s">
        <v>52</v>
      </c>
      <c r="J288" s="22" t="s">
        <v>53</v>
      </c>
      <c r="K288" s="22" t="s">
        <v>856</v>
      </c>
      <c r="L288" s="22" t="s">
        <v>55</v>
      </c>
      <c r="M288" s="22" t="s">
        <v>83</v>
      </c>
      <c r="N288" s="22" t="s">
        <v>59</v>
      </c>
      <c r="O288" s="22" t="s">
        <v>84</v>
      </c>
      <c r="P288" s="22" t="s">
        <v>59</v>
      </c>
      <c r="Q288" s="22" t="s">
        <v>98</v>
      </c>
      <c r="R288" s="25"/>
      <c r="S288" s="22" t="s">
        <v>61</v>
      </c>
      <c r="T288" s="22" t="s">
        <v>62</v>
      </c>
      <c r="U288" s="22" t="s">
        <v>63</v>
      </c>
      <c r="V288" s="22" t="s">
        <v>64</v>
      </c>
      <c r="W288" s="25"/>
      <c r="X288" s="26" t="s">
        <v>1710</v>
      </c>
      <c r="Y288" s="22" t="s">
        <v>792</v>
      </c>
      <c r="Z288" s="22" t="s">
        <v>156</v>
      </c>
      <c r="AA288" s="22" t="s">
        <v>337</v>
      </c>
      <c r="AC288" s="22" t="s">
        <v>475</v>
      </c>
      <c r="AD288" s="27" t="s">
        <v>71</v>
      </c>
      <c r="AE288" s="22" t="s">
        <v>859</v>
      </c>
      <c r="AF288" s="34"/>
      <c r="AG288" s="34"/>
      <c r="AI288" s="25" t="str">
        <f ca="1">IFERROR(__xludf.DUMMYFUNCTION("""COMPUTED_VALUE"""),"612f2872a5724a164b81d257")</f>
        <v>612f2872a5724a164b81d257</v>
      </c>
      <c r="AJ288" s="25">
        <f t="shared" ca="1" si="0"/>
        <v>1</v>
      </c>
    </row>
    <row r="289" spans="1:36" ht="46.5">
      <c r="A289" s="51" t="s">
        <v>1482</v>
      </c>
      <c r="B289" s="51" t="s">
        <v>1711</v>
      </c>
      <c r="C289" s="22" t="s">
        <v>1712</v>
      </c>
      <c r="D289" s="23" t="s">
        <v>1713</v>
      </c>
      <c r="E289" s="22" t="s">
        <v>79</v>
      </c>
      <c r="F289" s="22" t="s">
        <v>95</v>
      </c>
      <c r="G289" s="22" t="s">
        <v>79</v>
      </c>
      <c r="H289" s="22" t="s">
        <v>126</v>
      </c>
      <c r="I289" s="22" t="s">
        <v>81</v>
      </c>
      <c r="J289" s="22" t="s">
        <v>53</v>
      </c>
      <c r="K289" s="22" t="s">
        <v>144</v>
      </c>
      <c r="L289" s="22" t="s">
        <v>53</v>
      </c>
      <c r="M289" s="22" t="s">
        <v>83</v>
      </c>
      <c r="N289" s="22" t="s">
        <v>59</v>
      </c>
      <c r="O289" s="22" t="s">
        <v>84</v>
      </c>
      <c r="P289" s="22" t="s">
        <v>52</v>
      </c>
      <c r="Q289" s="22" t="s">
        <v>60</v>
      </c>
      <c r="R289" s="22" t="s">
        <v>153</v>
      </c>
      <c r="S289" s="22" t="s">
        <v>85</v>
      </c>
      <c r="T289" s="22" t="s">
        <v>62</v>
      </c>
      <c r="U289" s="22" t="s">
        <v>63</v>
      </c>
      <c r="V289" s="22" t="s">
        <v>64</v>
      </c>
      <c r="W289" s="25"/>
      <c r="X289" s="26" t="s">
        <v>1710</v>
      </c>
      <c r="Y289" s="22" t="s">
        <v>277</v>
      </c>
      <c r="Z289" s="22" t="s">
        <v>1406</v>
      </c>
      <c r="AA289" s="22" t="s">
        <v>196</v>
      </c>
      <c r="AC289" s="22" t="s">
        <v>475</v>
      </c>
      <c r="AD289" s="27" t="s">
        <v>71</v>
      </c>
      <c r="AE289" s="22" t="s">
        <v>859</v>
      </c>
      <c r="AF289" s="33" t="s">
        <v>1714</v>
      </c>
      <c r="AG289" s="33" t="s">
        <v>352</v>
      </c>
      <c r="AI289" s="25" t="str">
        <f ca="1">IFERROR(__xludf.DUMMYFUNCTION("""COMPUTED_VALUE"""),"612f2f9320aae23c268780d6")</f>
        <v>612f2f9320aae23c268780d6</v>
      </c>
      <c r="AJ289" s="25">
        <f t="shared" ca="1" si="0"/>
        <v>1</v>
      </c>
    </row>
    <row r="290" spans="1:36" ht="31">
      <c r="A290" s="51" t="s">
        <v>1482</v>
      </c>
      <c r="B290" s="51" t="s">
        <v>1715</v>
      </c>
      <c r="C290" s="22" t="s">
        <v>1716</v>
      </c>
      <c r="D290" s="23" t="s">
        <v>1717</v>
      </c>
      <c r="E290" s="22" t="s">
        <v>49</v>
      </c>
      <c r="F290" s="22" t="s">
        <v>95</v>
      </c>
      <c r="G290" s="22" t="s">
        <v>49</v>
      </c>
      <c r="H290" s="22" t="s">
        <v>237</v>
      </c>
      <c r="I290" s="22" t="s">
        <v>81</v>
      </c>
      <c r="J290" s="22" t="s">
        <v>109</v>
      </c>
      <c r="K290" s="22" t="s">
        <v>1411</v>
      </c>
      <c r="L290" s="22" t="s">
        <v>53</v>
      </c>
      <c r="M290" s="22" t="s">
        <v>83</v>
      </c>
      <c r="N290" s="22" t="s">
        <v>59</v>
      </c>
      <c r="O290" s="22" t="s">
        <v>84</v>
      </c>
      <c r="P290" s="22" t="s">
        <v>109</v>
      </c>
      <c r="Q290" s="22" t="s">
        <v>60</v>
      </c>
      <c r="R290" s="25"/>
      <c r="S290" s="22" t="s">
        <v>109</v>
      </c>
      <c r="T290" s="22" t="s">
        <v>62</v>
      </c>
      <c r="U290" s="22" t="s">
        <v>63</v>
      </c>
      <c r="V290" s="22" t="s">
        <v>64</v>
      </c>
      <c r="W290" s="25"/>
      <c r="X290" s="26" t="s">
        <v>1710</v>
      </c>
      <c r="Y290" s="22" t="s">
        <v>342</v>
      </c>
      <c r="Z290" s="22" t="s">
        <v>689</v>
      </c>
      <c r="AA290" s="22" t="s">
        <v>460</v>
      </c>
      <c r="AC290" s="22" t="s">
        <v>475</v>
      </c>
      <c r="AD290" s="27" t="s">
        <v>71</v>
      </c>
      <c r="AE290" s="22" t="s">
        <v>859</v>
      </c>
      <c r="AF290" s="34"/>
      <c r="AG290" s="34"/>
      <c r="AI290" s="25" t="str">
        <f ca="1">IFERROR(__xludf.DUMMYFUNCTION("""COMPUTED_VALUE"""),"612f37f320aae23c26878120")</f>
        <v>612f37f320aae23c26878120</v>
      </c>
      <c r="AJ290" s="25">
        <f t="shared" ca="1" si="0"/>
        <v>1</v>
      </c>
    </row>
    <row r="291" spans="1:36" ht="31">
      <c r="A291" s="51" t="s">
        <v>1482</v>
      </c>
      <c r="B291" s="51" t="s">
        <v>1718</v>
      </c>
      <c r="C291" s="22" t="s">
        <v>1719</v>
      </c>
      <c r="D291" s="23" t="s">
        <v>1720</v>
      </c>
      <c r="E291" s="22" t="s">
        <v>49</v>
      </c>
      <c r="F291" s="22" t="s">
        <v>50</v>
      </c>
      <c r="G291" s="22" t="s">
        <v>49</v>
      </c>
      <c r="H291" s="22" t="s">
        <v>126</v>
      </c>
      <c r="I291" s="22" t="s">
        <v>81</v>
      </c>
      <c r="J291" s="22" t="s">
        <v>53</v>
      </c>
      <c r="K291" s="22" t="s">
        <v>144</v>
      </c>
      <c r="L291" s="22" t="s">
        <v>53</v>
      </c>
      <c r="M291" s="22" t="s">
        <v>83</v>
      </c>
      <c r="N291" s="22" t="s">
        <v>59</v>
      </c>
      <c r="O291" s="22" t="s">
        <v>490</v>
      </c>
      <c r="P291" s="22" t="s">
        <v>85</v>
      </c>
      <c r="Q291" s="22" t="s">
        <v>60</v>
      </c>
      <c r="R291" s="25"/>
      <c r="S291" s="22" t="s">
        <v>85</v>
      </c>
      <c r="T291" s="22" t="s">
        <v>62</v>
      </c>
      <c r="U291" s="22" t="s">
        <v>515</v>
      </c>
      <c r="V291" s="22" t="s">
        <v>64</v>
      </c>
      <c r="W291" s="25"/>
      <c r="X291" s="26" t="s">
        <v>1710</v>
      </c>
      <c r="Y291" s="22" t="s">
        <v>240</v>
      </c>
      <c r="Z291" s="22" t="s">
        <v>460</v>
      </c>
      <c r="AA291" s="22" t="s">
        <v>349</v>
      </c>
      <c r="AC291" s="22" t="s">
        <v>475</v>
      </c>
      <c r="AD291" s="27" t="s">
        <v>71</v>
      </c>
      <c r="AE291" s="22" t="s">
        <v>859</v>
      </c>
      <c r="AF291" s="33" t="s">
        <v>1721</v>
      </c>
      <c r="AG291" s="33" t="s">
        <v>352</v>
      </c>
      <c r="AI291" s="25" t="str">
        <f ca="1">IFERROR(__xludf.DUMMYFUNCTION("""COMPUTED_VALUE"""),"612f4363a5724a164b81d285")</f>
        <v>612f4363a5724a164b81d285</v>
      </c>
      <c r="AJ291" s="25">
        <f t="shared" ca="1" si="0"/>
        <v>1</v>
      </c>
    </row>
    <row r="292" spans="1:36" ht="46.5">
      <c r="A292" s="51" t="s">
        <v>1482</v>
      </c>
      <c r="B292" s="51" t="s">
        <v>1722</v>
      </c>
      <c r="C292" s="22" t="s">
        <v>1723</v>
      </c>
      <c r="D292" s="23" t="s">
        <v>1724</v>
      </c>
      <c r="E292" s="22" t="s">
        <v>49</v>
      </c>
      <c r="F292" s="22" t="s">
        <v>50</v>
      </c>
      <c r="G292" s="22" t="s">
        <v>49</v>
      </c>
      <c r="H292" s="22" t="s">
        <v>126</v>
      </c>
      <c r="I292" s="22" t="s">
        <v>81</v>
      </c>
      <c r="J292" s="22" t="s">
        <v>53</v>
      </c>
      <c r="K292" s="22" t="s">
        <v>144</v>
      </c>
      <c r="L292" s="22" t="s">
        <v>53</v>
      </c>
      <c r="M292" s="22" t="s">
        <v>83</v>
      </c>
      <c r="N292" s="22" t="s">
        <v>59</v>
      </c>
      <c r="O292" s="22" t="s">
        <v>490</v>
      </c>
      <c r="P292" s="22" t="s">
        <v>85</v>
      </c>
      <c r="Q292" s="22" t="s">
        <v>60</v>
      </c>
      <c r="R292" s="25"/>
      <c r="S292" s="22" t="s">
        <v>85</v>
      </c>
      <c r="T292" s="22" t="s">
        <v>62</v>
      </c>
      <c r="U292" s="22" t="s">
        <v>63</v>
      </c>
      <c r="V292" s="22" t="s">
        <v>64</v>
      </c>
      <c r="W292" s="25"/>
      <c r="X292" s="26" t="s">
        <v>1710</v>
      </c>
      <c r="Y292" s="22" t="s">
        <v>357</v>
      </c>
      <c r="Z292" s="22" t="s">
        <v>349</v>
      </c>
      <c r="AA292" s="22" t="s">
        <v>364</v>
      </c>
      <c r="AC292" s="22" t="s">
        <v>475</v>
      </c>
      <c r="AD292" s="27" t="s">
        <v>71</v>
      </c>
      <c r="AE292" s="22" t="s">
        <v>859</v>
      </c>
      <c r="AF292" s="34"/>
      <c r="AG292" s="34"/>
      <c r="AI292" s="25" t="str">
        <f ca="1">IFERROR(__xludf.DUMMYFUNCTION("""COMPUTED_VALUE"""),"612f6818a5724a164b81d298")</f>
        <v>612f6818a5724a164b81d298</v>
      </c>
      <c r="AJ292" s="25">
        <f t="shared" ca="1" si="0"/>
        <v>1</v>
      </c>
    </row>
    <row r="293" spans="1:36" ht="46.5">
      <c r="A293" s="51" t="s">
        <v>1482</v>
      </c>
      <c r="B293" s="51" t="s">
        <v>1725</v>
      </c>
      <c r="C293" s="22" t="s">
        <v>1726</v>
      </c>
      <c r="D293" s="23" t="s">
        <v>1727</v>
      </c>
      <c r="E293" s="22" t="s">
        <v>79</v>
      </c>
      <c r="F293" s="22" t="s">
        <v>78</v>
      </c>
      <c r="G293" s="22" t="s">
        <v>79</v>
      </c>
      <c r="H293" s="22" t="s">
        <v>80</v>
      </c>
      <c r="I293" s="22" t="s">
        <v>81</v>
      </c>
      <c r="J293" s="22" t="s">
        <v>53</v>
      </c>
      <c r="K293" s="22" t="s">
        <v>856</v>
      </c>
      <c r="L293" s="22" t="s">
        <v>53</v>
      </c>
      <c r="M293" s="22" t="s">
        <v>83</v>
      </c>
      <c r="N293" s="22" t="s">
        <v>59</v>
      </c>
      <c r="O293" s="22" t="s">
        <v>84</v>
      </c>
      <c r="P293" s="22" t="s">
        <v>194</v>
      </c>
      <c r="Q293" s="22" t="s">
        <v>86</v>
      </c>
      <c r="R293" s="25"/>
      <c r="S293" s="22" t="s">
        <v>388</v>
      </c>
      <c r="T293" s="22" t="s">
        <v>62</v>
      </c>
      <c r="U293" s="22" t="s">
        <v>63</v>
      </c>
      <c r="V293" s="22" t="s">
        <v>64</v>
      </c>
      <c r="W293" s="25"/>
      <c r="X293" s="26" t="s">
        <v>1728</v>
      </c>
      <c r="Y293" s="22" t="s">
        <v>120</v>
      </c>
      <c r="Z293" s="22" t="s">
        <v>138</v>
      </c>
      <c r="AA293" s="22" t="s">
        <v>734</v>
      </c>
      <c r="AC293" s="22" t="s">
        <v>475</v>
      </c>
      <c r="AD293" s="27" t="s">
        <v>71</v>
      </c>
      <c r="AE293" s="22" t="s">
        <v>859</v>
      </c>
      <c r="AF293" s="33" t="s">
        <v>1729</v>
      </c>
      <c r="AG293" s="33" t="s">
        <v>352</v>
      </c>
      <c r="AI293" s="25" t="str">
        <f ca="1">IFERROR(__xludf.DUMMYFUNCTION("""COMPUTED_VALUE"""),"612f733120aae23c268782bb")</f>
        <v>612f733120aae23c268782bb</v>
      </c>
      <c r="AJ293" s="25">
        <f t="shared" ca="1" si="0"/>
        <v>1</v>
      </c>
    </row>
    <row r="294" spans="1:36" ht="46.5">
      <c r="A294" s="51" t="s">
        <v>1482</v>
      </c>
      <c r="B294" s="51" t="s">
        <v>1730</v>
      </c>
      <c r="C294" s="22" t="s">
        <v>1731</v>
      </c>
      <c r="D294" s="23" t="s">
        <v>1732</v>
      </c>
      <c r="E294" s="22" t="s">
        <v>49</v>
      </c>
      <c r="F294" s="22" t="s">
        <v>50</v>
      </c>
      <c r="G294" s="22" t="s">
        <v>49</v>
      </c>
      <c r="H294" s="22" t="s">
        <v>51</v>
      </c>
      <c r="I294" s="22" t="s">
        <v>81</v>
      </c>
      <c r="J294" s="22" t="s">
        <v>53</v>
      </c>
      <c r="K294" s="22" t="s">
        <v>856</v>
      </c>
      <c r="L294" s="22" t="s">
        <v>53</v>
      </c>
      <c r="M294" s="22" t="s">
        <v>83</v>
      </c>
      <c r="N294" s="22" t="s">
        <v>59</v>
      </c>
      <c r="O294" s="22" t="s">
        <v>84</v>
      </c>
      <c r="P294" s="22" t="s">
        <v>85</v>
      </c>
      <c r="Q294" s="22" t="s">
        <v>60</v>
      </c>
      <c r="R294" s="25"/>
      <c r="S294" s="22" t="s">
        <v>85</v>
      </c>
      <c r="T294" s="22" t="s">
        <v>62</v>
      </c>
      <c r="U294" s="22" t="s">
        <v>63</v>
      </c>
      <c r="V294" s="22" t="s">
        <v>64</v>
      </c>
      <c r="W294" s="25"/>
      <c r="X294" s="26" t="s">
        <v>1728</v>
      </c>
      <c r="Y294" s="22" t="s">
        <v>89</v>
      </c>
      <c r="Z294" s="22" t="s">
        <v>1274</v>
      </c>
      <c r="AA294" s="22" t="s">
        <v>866</v>
      </c>
      <c r="AC294" s="22" t="s">
        <v>475</v>
      </c>
      <c r="AD294" s="27" t="s">
        <v>71</v>
      </c>
      <c r="AE294" s="22" t="s">
        <v>859</v>
      </c>
      <c r="AF294" s="34"/>
      <c r="AG294" s="34"/>
      <c r="AI294" s="25" t="str">
        <f ca="1">IFERROR(__xludf.DUMMYFUNCTION("""COMPUTED_VALUE"""),"612f791aa5724a164b81d2a0")</f>
        <v>612f791aa5724a164b81d2a0</v>
      </c>
      <c r="AJ294" s="25">
        <f t="shared" ca="1" si="0"/>
        <v>1</v>
      </c>
    </row>
    <row r="295" spans="1:36" ht="62">
      <c r="A295" s="51" t="s">
        <v>1482</v>
      </c>
      <c r="B295" s="51" t="s">
        <v>1733</v>
      </c>
      <c r="C295" s="22" t="s">
        <v>1734</v>
      </c>
      <c r="D295" s="23" t="s">
        <v>1735</v>
      </c>
      <c r="E295" s="22" t="s">
        <v>49</v>
      </c>
      <c r="F295" s="22" t="s">
        <v>50</v>
      </c>
      <c r="G295" s="22" t="s">
        <v>49</v>
      </c>
      <c r="H295" s="22" t="s">
        <v>51</v>
      </c>
      <c r="I295" s="22" t="s">
        <v>307</v>
      </c>
      <c r="J295" s="22" t="s">
        <v>53</v>
      </c>
      <c r="K295" s="22" t="s">
        <v>96</v>
      </c>
      <c r="L295" s="22" t="s">
        <v>53</v>
      </c>
      <c r="M295" s="22" t="s">
        <v>83</v>
      </c>
      <c r="N295" s="22" t="s">
        <v>59</v>
      </c>
      <c r="O295" s="22" t="s">
        <v>84</v>
      </c>
      <c r="P295" s="22" t="s">
        <v>348</v>
      </c>
      <c r="Q295" s="22" t="s">
        <v>60</v>
      </c>
      <c r="R295" s="25"/>
      <c r="S295" s="22" t="s">
        <v>61</v>
      </c>
      <c r="T295" s="22" t="s">
        <v>62</v>
      </c>
      <c r="U295" s="22" t="s">
        <v>63</v>
      </c>
      <c r="V295" s="22" t="s">
        <v>64</v>
      </c>
      <c r="W295" s="25"/>
      <c r="X295" s="26" t="s">
        <v>1728</v>
      </c>
      <c r="Y295" s="22" t="s">
        <v>99</v>
      </c>
      <c r="Z295" s="22" t="s">
        <v>1736</v>
      </c>
      <c r="AA295" s="22" t="s">
        <v>1737</v>
      </c>
      <c r="AC295" s="22" t="s">
        <v>475</v>
      </c>
      <c r="AD295" s="27" t="s">
        <v>71</v>
      </c>
      <c r="AE295" s="22" t="s">
        <v>669</v>
      </c>
      <c r="AF295" s="34"/>
      <c r="AG295" s="34"/>
      <c r="AI295" s="25" t="str">
        <f ca="1">IFERROR(__xludf.DUMMYFUNCTION("""COMPUTED_VALUE"""),"612f7f6d20aae23c2687830e")</f>
        <v>612f7f6d20aae23c2687830e</v>
      </c>
      <c r="AJ295" s="25">
        <f t="shared" ca="1" si="0"/>
        <v>1</v>
      </c>
    </row>
    <row r="296" spans="1:36" ht="46.5">
      <c r="A296" s="51" t="s">
        <v>1482</v>
      </c>
      <c r="B296" s="51" t="s">
        <v>1738</v>
      </c>
      <c r="C296" s="22" t="s">
        <v>1739</v>
      </c>
      <c r="D296" s="23" t="s">
        <v>1740</v>
      </c>
      <c r="E296" s="22" t="s">
        <v>49</v>
      </c>
      <c r="F296" s="22" t="s">
        <v>95</v>
      </c>
      <c r="G296" s="22" t="s">
        <v>49</v>
      </c>
      <c r="H296" s="22" t="s">
        <v>51</v>
      </c>
      <c r="I296" s="22" t="s">
        <v>81</v>
      </c>
      <c r="J296" s="22" t="s">
        <v>53</v>
      </c>
      <c r="K296" s="22" t="s">
        <v>54</v>
      </c>
      <c r="L296" s="22" t="s">
        <v>53</v>
      </c>
      <c r="M296" s="22" t="s">
        <v>83</v>
      </c>
      <c r="N296" s="22" t="s">
        <v>59</v>
      </c>
      <c r="O296" s="22" t="s">
        <v>84</v>
      </c>
      <c r="P296" s="22" t="s">
        <v>85</v>
      </c>
      <c r="Q296" s="22" t="s">
        <v>60</v>
      </c>
      <c r="R296" s="25"/>
      <c r="S296" s="22" t="s">
        <v>85</v>
      </c>
      <c r="T296" s="22" t="s">
        <v>62</v>
      </c>
      <c r="U296" s="22" t="s">
        <v>515</v>
      </c>
      <c r="V296" s="22" t="s">
        <v>64</v>
      </c>
      <c r="W296" s="25"/>
      <c r="X296" s="26" t="s">
        <v>1728</v>
      </c>
      <c r="Y296" s="22" t="s">
        <v>131</v>
      </c>
      <c r="Z296" s="22" t="s">
        <v>1110</v>
      </c>
      <c r="AA296" s="22" t="s">
        <v>1111</v>
      </c>
      <c r="AC296" s="22" t="s">
        <v>475</v>
      </c>
      <c r="AD296" s="27" t="s">
        <v>71</v>
      </c>
      <c r="AE296" s="22" t="s">
        <v>669</v>
      </c>
      <c r="AF296" s="34"/>
      <c r="AG296" s="34"/>
      <c r="AI296" s="25" t="str">
        <f ca="1">IFERROR(__xludf.DUMMYFUNCTION("""COMPUTED_VALUE"""),"6130620720aae23c268784c4")</f>
        <v>6130620720aae23c268784c4</v>
      </c>
      <c r="AJ296" s="25">
        <f t="shared" ca="1" si="0"/>
        <v>1</v>
      </c>
    </row>
    <row r="297" spans="1:36" ht="46.5">
      <c r="A297" s="51" t="s">
        <v>1482</v>
      </c>
      <c r="B297" s="51" t="s">
        <v>1741</v>
      </c>
      <c r="C297" s="22" t="s">
        <v>1742</v>
      </c>
      <c r="D297" s="23" t="s">
        <v>1743</v>
      </c>
      <c r="E297" s="22" t="s">
        <v>53</v>
      </c>
      <c r="F297" s="22" t="s">
        <v>269</v>
      </c>
      <c r="G297" s="22" t="s">
        <v>49</v>
      </c>
      <c r="H297" s="22" t="s">
        <v>51</v>
      </c>
      <c r="I297" s="22" t="s">
        <v>81</v>
      </c>
      <c r="J297" s="22" t="s">
        <v>501</v>
      </c>
      <c r="K297" s="22" t="s">
        <v>82</v>
      </c>
      <c r="L297" s="22" t="s">
        <v>53</v>
      </c>
      <c r="M297" s="22" t="s">
        <v>83</v>
      </c>
      <c r="N297" s="22" t="s">
        <v>59</v>
      </c>
      <c r="O297" s="22" t="s">
        <v>84</v>
      </c>
      <c r="P297" s="22" t="s">
        <v>137</v>
      </c>
      <c r="Q297" s="22" t="s">
        <v>60</v>
      </c>
      <c r="R297" s="22" t="s">
        <v>153</v>
      </c>
      <c r="S297" s="22" t="s">
        <v>85</v>
      </c>
      <c r="T297" s="22" t="s">
        <v>62</v>
      </c>
      <c r="U297" s="22" t="s">
        <v>63</v>
      </c>
      <c r="V297" s="22" t="s">
        <v>64</v>
      </c>
      <c r="W297" s="25"/>
      <c r="X297" s="26" t="s">
        <v>1728</v>
      </c>
      <c r="Y297" s="22" t="s">
        <v>1744</v>
      </c>
      <c r="Z297" s="22" t="s">
        <v>400</v>
      </c>
      <c r="AA297" s="22" t="s">
        <v>1339</v>
      </c>
      <c r="AC297" s="22" t="s">
        <v>475</v>
      </c>
      <c r="AD297" s="27" t="s">
        <v>71</v>
      </c>
      <c r="AE297" s="22" t="s">
        <v>669</v>
      </c>
      <c r="AF297" s="33" t="s">
        <v>1745</v>
      </c>
      <c r="AG297" s="34"/>
      <c r="AI297" s="25" t="str">
        <f ca="1">IFERROR(__xludf.DUMMYFUNCTION("""COMPUTED_VALUE"""),"613078f88bf264ee02cc661c")</f>
        <v>613078f88bf264ee02cc661c</v>
      </c>
      <c r="AJ297" s="25">
        <f t="shared" ca="1" si="0"/>
        <v>1</v>
      </c>
    </row>
    <row r="298" spans="1:36" ht="31">
      <c r="A298" s="51" t="s">
        <v>1482</v>
      </c>
      <c r="B298" s="51" t="s">
        <v>1746</v>
      </c>
      <c r="C298" s="22" t="s">
        <v>1747</v>
      </c>
      <c r="D298" s="23" t="s">
        <v>1748</v>
      </c>
      <c r="E298" s="22" t="s">
        <v>49</v>
      </c>
      <c r="F298" s="22" t="s">
        <v>50</v>
      </c>
      <c r="G298" s="22" t="s">
        <v>49</v>
      </c>
      <c r="H298" s="22" t="s">
        <v>51</v>
      </c>
      <c r="I298" s="22" t="s">
        <v>81</v>
      </c>
      <c r="J298" s="22" t="s">
        <v>53</v>
      </c>
      <c r="K298" s="22" t="s">
        <v>856</v>
      </c>
      <c r="L298" s="22" t="s">
        <v>55</v>
      </c>
      <c r="M298" s="22" t="s">
        <v>83</v>
      </c>
      <c r="N298" s="22" t="s">
        <v>348</v>
      </c>
      <c r="O298" s="22" t="s">
        <v>84</v>
      </c>
      <c r="P298" s="22" t="s">
        <v>85</v>
      </c>
      <c r="Q298" s="22" t="s">
        <v>60</v>
      </c>
      <c r="R298" s="22" t="s">
        <v>183</v>
      </c>
      <c r="S298" s="22" t="s">
        <v>85</v>
      </c>
      <c r="T298" s="22" t="s">
        <v>62</v>
      </c>
      <c r="U298" s="22" t="s">
        <v>63</v>
      </c>
      <c r="V298" s="22" t="s">
        <v>64</v>
      </c>
      <c r="W298" s="25"/>
      <c r="X298" s="26" t="s">
        <v>1749</v>
      </c>
      <c r="Y298" s="22" t="s">
        <v>89</v>
      </c>
      <c r="Z298" s="22" t="s">
        <v>1027</v>
      </c>
      <c r="AA298" s="22" t="s">
        <v>1388</v>
      </c>
      <c r="AC298" s="22" t="s">
        <v>475</v>
      </c>
      <c r="AD298" s="27" t="s">
        <v>71</v>
      </c>
      <c r="AE298" s="22" t="s">
        <v>669</v>
      </c>
      <c r="AF298" s="33" t="s">
        <v>1750</v>
      </c>
      <c r="AG298" s="34"/>
      <c r="AI298" s="25" t="str">
        <f ca="1">IFERROR(__xludf.DUMMYFUNCTION("""COMPUTED_VALUE"""),"61307cac8bf264ee02cc661f")</f>
        <v>61307cac8bf264ee02cc661f</v>
      </c>
      <c r="AJ298" s="25">
        <f t="shared" ca="1" si="0"/>
        <v>1</v>
      </c>
    </row>
    <row r="299" spans="1:36" ht="31">
      <c r="A299" s="51" t="s">
        <v>1482</v>
      </c>
      <c r="B299" s="51" t="s">
        <v>1751</v>
      </c>
      <c r="C299" s="22" t="s">
        <v>1752</v>
      </c>
      <c r="D299" s="23" t="s">
        <v>1753</v>
      </c>
      <c r="E299" s="22" t="s">
        <v>49</v>
      </c>
      <c r="F299" s="22" t="s">
        <v>50</v>
      </c>
      <c r="G299" s="22" t="s">
        <v>49</v>
      </c>
      <c r="H299" s="22" t="s">
        <v>169</v>
      </c>
      <c r="I299" s="22" t="s">
        <v>52</v>
      </c>
      <c r="J299" s="22" t="s">
        <v>53</v>
      </c>
      <c r="K299" s="22" t="s">
        <v>170</v>
      </c>
      <c r="L299" s="22" t="s">
        <v>55</v>
      </c>
      <c r="M299" s="22" t="s">
        <v>83</v>
      </c>
      <c r="N299" s="22" t="s">
        <v>57</v>
      </c>
      <c r="O299" s="22" t="s">
        <v>84</v>
      </c>
      <c r="P299" s="22" t="s">
        <v>59</v>
      </c>
      <c r="Q299" s="22" t="s">
        <v>183</v>
      </c>
      <c r="R299" s="25"/>
      <c r="S299" s="22" t="s">
        <v>61</v>
      </c>
      <c r="T299" s="22" t="s">
        <v>62</v>
      </c>
      <c r="U299" s="22" t="s">
        <v>63</v>
      </c>
      <c r="V299" s="22" t="s">
        <v>118</v>
      </c>
      <c r="W299" s="25"/>
      <c r="X299" s="26" t="s">
        <v>1749</v>
      </c>
      <c r="Y299" s="22" t="s">
        <v>925</v>
      </c>
      <c r="Z299" s="22" t="s">
        <v>1131</v>
      </c>
      <c r="AA299" s="22" t="s">
        <v>1754</v>
      </c>
      <c r="AC299" s="22" t="s">
        <v>475</v>
      </c>
      <c r="AD299" s="27" t="s">
        <v>71</v>
      </c>
      <c r="AE299" s="22" t="s">
        <v>669</v>
      </c>
      <c r="AF299" s="33" t="s">
        <v>1755</v>
      </c>
      <c r="AG299" s="34"/>
      <c r="AI299" s="25" t="str">
        <f ca="1">IFERROR(__xludf.DUMMYFUNCTION("""COMPUTED_VALUE"""),"6130921620aae23c268787db")</f>
        <v>6130921620aae23c268787db</v>
      </c>
      <c r="AJ299" s="25">
        <f t="shared" ca="1" si="0"/>
        <v>1</v>
      </c>
    </row>
    <row r="300" spans="1:36" ht="31">
      <c r="A300" s="51" t="s">
        <v>1482</v>
      </c>
      <c r="B300" s="51" t="s">
        <v>1756</v>
      </c>
      <c r="C300" s="22" t="s">
        <v>1757</v>
      </c>
      <c r="D300" s="23" t="s">
        <v>1758</v>
      </c>
      <c r="E300" s="22" t="s">
        <v>49</v>
      </c>
      <c r="F300" s="22" t="s">
        <v>95</v>
      </c>
      <c r="G300" s="22" t="s">
        <v>49</v>
      </c>
      <c r="H300" s="22" t="s">
        <v>51</v>
      </c>
      <c r="I300" s="22" t="s">
        <v>52</v>
      </c>
      <c r="J300" s="22" t="s">
        <v>53</v>
      </c>
      <c r="K300" s="22" t="s">
        <v>856</v>
      </c>
      <c r="L300" s="22" t="s">
        <v>55</v>
      </c>
      <c r="M300" s="22" t="s">
        <v>83</v>
      </c>
      <c r="N300" s="22" t="s">
        <v>59</v>
      </c>
      <c r="O300" s="22" t="s">
        <v>84</v>
      </c>
      <c r="P300" s="22" t="s">
        <v>108</v>
      </c>
      <c r="Q300" s="22" t="s">
        <v>203</v>
      </c>
      <c r="R300" s="22" t="s">
        <v>130</v>
      </c>
      <c r="S300" s="22" t="s">
        <v>61</v>
      </c>
      <c r="T300" s="22" t="s">
        <v>62</v>
      </c>
      <c r="U300" s="22" t="s">
        <v>63</v>
      </c>
      <c r="V300" s="22" t="s">
        <v>64</v>
      </c>
      <c r="W300" s="25"/>
      <c r="X300" s="26" t="s">
        <v>1749</v>
      </c>
      <c r="Y300" s="22" t="s">
        <v>195</v>
      </c>
      <c r="Z300" s="22" t="s">
        <v>1736</v>
      </c>
      <c r="AA300" s="22" t="s">
        <v>186</v>
      </c>
      <c r="AC300" s="22" t="s">
        <v>475</v>
      </c>
      <c r="AD300" s="27" t="s">
        <v>71</v>
      </c>
      <c r="AE300" s="22" t="s">
        <v>669</v>
      </c>
      <c r="AF300" s="33" t="s">
        <v>1759</v>
      </c>
      <c r="AG300" s="34"/>
      <c r="AI300" s="25" t="str">
        <f ca="1">IFERROR(__xludf.DUMMYFUNCTION("""COMPUTED_VALUE"""),"6130a2d58bf264ee02cc6655")</f>
        <v>6130a2d58bf264ee02cc6655</v>
      </c>
      <c r="AJ300" s="25">
        <f t="shared" ca="1" si="0"/>
        <v>1</v>
      </c>
    </row>
    <row r="301" spans="1:36" ht="46.5">
      <c r="A301" s="51" t="s">
        <v>1482</v>
      </c>
      <c r="B301" s="51" t="s">
        <v>1760</v>
      </c>
      <c r="C301" s="22" t="s">
        <v>1761</v>
      </c>
      <c r="D301" s="23" t="s">
        <v>1762</v>
      </c>
      <c r="E301" s="22" t="s">
        <v>53</v>
      </c>
      <c r="F301" s="22" t="s">
        <v>269</v>
      </c>
      <c r="G301" s="22" t="s">
        <v>49</v>
      </c>
      <c r="H301" s="22" t="s">
        <v>192</v>
      </c>
      <c r="I301" s="22" t="s">
        <v>81</v>
      </c>
      <c r="J301" s="22" t="s">
        <v>501</v>
      </c>
      <c r="K301" s="22" t="s">
        <v>82</v>
      </c>
      <c r="L301" s="22" t="s">
        <v>53</v>
      </c>
      <c r="M301" s="22" t="s">
        <v>1763</v>
      </c>
      <c r="N301" s="22" t="s">
        <v>59</v>
      </c>
      <c r="O301" s="22" t="s">
        <v>84</v>
      </c>
      <c r="P301" s="22" t="s">
        <v>85</v>
      </c>
      <c r="Q301" s="22" t="s">
        <v>60</v>
      </c>
      <c r="R301" s="22" t="s">
        <v>86</v>
      </c>
      <c r="S301" s="22" t="s">
        <v>85</v>
      </c>
      <c r="T301" s="22" t="s">
        <v>62</v>
      </c>
      <c r="U301" s="22" t="s">
        <v>63</v>
      </c>
      <c r="V301" s="22" t="s">
        <v>64</v>
      </c>
      <c r="W301" s="25"/>
      <c r="X301" s="26" t="s">
        <v>1749</v>
      </c>
      <c r="Y301" s="22" t="s">
        <v>288</v>
      </c>
      <c r="Z301" s="22" t="s">
        <v>1764</v>
      </c>
      <c r="AA301" s="22" t="s">
        <v>834</v>
      </c>
      <c r="AC301" s="22" t="s">
        <v>265</v>
      </c>
      <c r="AD301" s="27" t="s">
        <v>71</v>
      </c>
      <c r="AE301" s="22" t="s">
        <v>669</v>
      </c>
      <c r="AF301" s="33" t="s">
        <v>1765</v>
      </c>
      <c r="AG301" s="34"/>
      <c r="AI301" s="25" t="str">
        <f ca="1">IFERROR(__xludf.DUMMYFUNCTION("""COMPUTED_VALUE"""),"6135866720aae23c2687923a")</f>
        <v>6135866720aae23c2687923a</v>
      </c>
      <c r="AJ301" s="25">
        <f t="shared" ca="1" si="0"/>
        <v>1</v>
      </c>
    </row>
    <row r="302" spans="1:36" ht="46.5">
      <c r="A302" s="51" t="s">
        <v>1482</v>
      </c>
      <c r="B302" s="51" t="s">
        <v>1766</v>
      </c>
      <c r="C302" s="22" t="s">
        <v>1767</v>
      </c>
      <c r="D302" s="23" t="s">
        <v>1768</v>
      </c>
      <c r="E302" s="22" t="s">
        <v>49</v>
      </c>
      <c r="F302" s="22" t="s">
        <v>95</v>
      </c>
      <c r="G302" s="22" t="s">
        <v>49</v>
      </c>
      <c r="H302" s="22" t="s">
        <v>51</v>
      </c>
      <c r="I302" s="22" t="s">
        <v>81</v>
      </c>
      <c r="J302" s="22" t="s">
        <v>53</v>
      </c>
      <c r="K302" s="22" t="s">
        <v>128</v>
      </c>
      <c r="L302" s="22" t="s">
        <v>53</v>
      </c>
      <c r="M302" s="22" t="s">
        <v>398</v>
      </c>
      <c r="N302" s="22" t="s">
        <v>59</v>
      </c>
      <c r="O302" s="22" t="s">
        <v>84</v>
      </c>
      <c r="P302" s="22" t="s">
        <v>194</v>
      </c>
      <c r="Q302" s="22" t="s">
        <v>60</v>
      </c>
      <c r="R302" s="25"/>
      <c r="S302" s="22" t="s">
        <v>388</v>
      </c>
      <c r="T302" s="22" t="s">
        <v>62</v>
      </c>
      <c r="U302" s="22" t="s">
        <v>63</v>
      </c>
      <c r="V302" s="22" t="s">
        <v>118</v>
      </c>
      <c r="W302" s="25"/>
      <c r="X302" s="26" t="s">
        <v>1769</v>
      </c>
      <c r="Y302" s="22" t="s">
        <v>876</v>
      </c>
      <c r="Z302" s="22" t="s">
        <v>1754</v>
      </c>
      <c r="AA302" s="22" t="s">
        <v>733</v>
      </c>
      <c r="AC302" s="22" t="s">
        <v>265</v>
      </c>
      <c r="AD302" s="27" t="s">
        <v>71</v>
      </c>
      <c r="AE302" s="22" t="s">
        <v>669</v>
      </c>
      <c r="AF302" s="33" t="s">
        <v>1770</v>
      </c>
      <c r="AG302" s="34"/>
      <c r="AI302" s="25" t="str">
        <f ca="1">IFERROR(__xludf.DUMMYFUNCTION("""COMPUTED_VALUE"""),"61370b378bf264ee02cc67f1")</f>
        <v>61370b378bf264ee02cc67f1</v>
      </c>
      <c r="AJ302" s="25">
        <f t="shared" ca="1" si="0"/>
        <v>1</v>
      </c>
    </row>
    <row r="303" spans="1:36" ht="62">
      <c r="A303" s="51" t="s">
        <v>1482</v>
      </c>
      <c r="B303" s="51" t="s">
        <v>1771</v>
      </c>
      <c r="C303" s="22" t="s">
        <v>1772</v>
      </c>
      <c r="D303" s="23" t="s">
        <v>1773</v>
      </c>
      <c r="E303" s="22" t="s">
        <v>49</v>
      </c>
      <c r="F303" s="22" t="s">
        <v>78</v>
      </c>
      <c r="G303" s="22" t="s">
        <v>49</v>
      </c>
      <c r="H303" s="22" t="s">
        <v>51</v>
      </c>
      <c r="I303" s="22" t="s">
        <v>81</v>
      </c>
      <c r="J303" s="22" t="s">
        <v>107</v>
      </c>
      <c r="K303" s="22" t="s">
        <v>54</v>
      </c>
      <c r="L303" s="22" t="s">
        <v>53</v>
      </c>
      <c r="M303" s="22" t="s">
        <v>398</v>
      </c>
      <c r="N303" s="22" t="s">
        <v>59</v>
      </c>
      <c r="O303" s="22" t="s">
        <v>84</v>
      </c>
      <c r="P303" s="22" t="s">
        <v>108</v>
      </c>
      <c r="Q303" s="22" t="s">
        <v>130</v>
      </c>
      <c r="R303" s="22" t="s">
        <v>60</v>
      </c>
      <c r="S303" s="22" t="s">
        <v>85</v>
      </c>
      <c r="T303" s="22" t="s">
        <v>62</v>
      </c>
      <c r="U303" s="22" t="s">
        <v>63</v>
      </c>
      <c r="V303" s="22" t="s">
        <v>64</v>
      </c>
      <c r="W303" s="25"/>
      <c r="X303" s="26" t="s">
        <v>1769</v>
      </c>
      <c r="Y303" s="22" t="s">
        <v>792</v>
      </c>
      <c r="Z303" s="22" t="s">
        <v>793</v>
      </c>
      <c r="AA303" s="22" t="s">
        <v>852</v>
      </c>
      <c r="AC303" s="22" t="s">
        <v>265</v>
      </c>
      <c r="AD303" s="27" t="s">
        <v>71</v>
      </c>
      <c r="AE303" s="22" t="s">
        <v>669</v>
      </c>
      <c r="AF303" s="33" t="s">
        <v>1774</v>
      </c>
      <c r="AG303" s="34"/>
      <c r="AI303" s="25" t="str">
        <f ca="1">IFERROR(__xludf.DUMMYFUNCTION("""COMPUTED_VALUE"""),"6137259820aae23c2687a253")</f>
        <v>6137259820aae23c2687a253</v>
      </c>
      <c r="AJ303" s="25">
        <f t="shared" ca="1" si="0"/>
        <v>1</v>
      </c>
    </row>
    <row r="304" spans="1:36" ht="62">
      <c r="A304" s="51" t="s">
        <v>1482</v>
      </c>
      <c r="B304" s="51" t="s">
        <v>1775</v>
      </c>
      <c r="C304" s="22" t="s">
        <v>1776</v>
      </c>
      <c r="D304" s="23" t="s">
        <v>1777</v>
      </c>
      <c r="E304" s="22" t="s">
        <v>49</v>
      </c>
      <c r="F304" s="22" t="s">
        <v>618</v>
      </c>
      <c r="G304" s="22" t="s">
        <v>49</v>
      </c>
      <c r="H304" s="22" t="s">
        <v>126</v>
      </c>
      <c r="I304" s="22" t="s">
        <v>52</v>
      </c>
      <c r="J304" s="22" t="s">
        <v>127</v>
      </c>
      <c r="K304" s="22" t="s">
        <v>170</v>
      </c>
      <c r="L304" s="22" t="s">
        <v>55</v>
      </c>
      <c r="M304" s="22" t="s">
        <v>398</v>
      </c>
      <c r="N304" s="22" t="s">
        <v>59</v>
      </c>
      <c r="O304" s="22" t="s">
        <v>84</v>
      </c>
      <c r="P304" s="22" t="s">
        <v>348</v>
      </c>
      <c r="Q304" s="22" t="s">
        <v>130</v>
      </c>
      <c r="R304" s="22" t="s">
        <v>60</v>
      </c>
      <c r="S304" s="22" t="s">
        <v>61</v>
      </c>
      <c r="T304" s="22" t="s">
        <v>62</v>
      </c>
      <c r="U304" s="22" t="s">
        <v>63</v>
      </c>
      <c r="V304" s="22" t="s">
        <v>64</v>
      </c>
      <c r="W304" s="25"/>
      <c r="X304" s="26" t="s">
        <v>1769</v>
      </c>
      <c r="Y304" s="22" t="s">
        <v>248</v>
      </c>
      <c r="Z304" s="22" t="s">
        <v>1261</v>
      </c>
      <c r="AA304" s="22" t="s">
        <v>314</v>
      </c>
      <c r="AC304" s="22" t="s">
        <v>265</v>
      </c>
      <c r="AD304" s="27" t="s">
        <v>71</v>
      </c>
      <c r="AE304" s="22" t="s">
        <v>669</v>
      </c>
      <c r="AF304" s="33" t="s">
        <v>1778</v>
      </c>
      <c r="AG304" s="34"/>
      <c r="AI304" s="25" t="str">
        <f ca="1">IFERROR(__xludf.DUMMYFUNCTION("""COMPUTED_VALUE"""),"613730c120aae23c2687a4f9")</f>
        <v>613730c120aae23c2687a4f9</v>
      </c>
      <c r="AJ304" s="25">
        <f t="shared" ca="1" si="0"/>
        <v>1</v>
      </c>
    </row>
    <row r="305" spans="1:36" ht="46.5">
      <c r="A305" s="51" t="s">
        <v>1482</v>
      </c>
      <c r="B305" s="51" t="s">
        <v>1779</v>
      </c>
      <c r="C305" s="22" t="s">
        <v>1780</v>
      </c>
      <c r="D305" s="23" t="s">
        <v>1781</v>
      </c>
      <c r="E305" s="22" t="s">
        <v>49</v>
      </c>
      <c r="F305" s="22" t="s">
        <v>618</v>
      </c>
      <c r="G305" s="22" t="s">
        <v>49</v>
      </c>
      <c r="H305" s="22" t="s">
        <v>169</v>
      </c>
      <c r="I305" s="22" t="s">
        <v>307</v>
      </c>
      <c r="J305" s="22" t="s">
        <v>127</v>
      </c>
      <c r="K305" s="22" t="s">
        <v>170</v>
      </c>
      <c r="L305" s="22" t="s">
        <v>53</v>
      </c>
      <c r="M305" s="22" t="s">
        <v>83</v>
      </c>
      <c r="N305" s="22" t="s">
        <v>59</v>
      </c>
      <c r="O305" s="22" t="s">
        <v>84</v>
      </c>
      <c r="P305" s="22" t="s">
        <v>348</v>
      </c>
      <c r="Q305" s="22" t="s">
        <v>130</v>
      </c>
      <c r="R305" s="22" t="s">
        <v>60</v>
      </c>
      <c r="S305" s="22" t="s">
        <v>85</v>
      </c>
      <c r="T305" s="22" t="s">
        <v>62</v>
      </c>
      <c r="U305" s="22" t="s">
        <v>63</v>
      </c>
      <c r="V305" s="22" t="s">
        <v>64</v>
      </c>
      <c r="W305" s="25"/>
      <c r="X305" s="26" t="s">
        <v>1769</v>
      </c>
      <c r="Y305" s="22" t="s">
        <v>590</v>
      </c>
      <c r="Z305" s="22" t="s">
        <v>1070</v>
      </c>
      <c r="AA305" s="22" t="s">
        <v>720</v>
      </c>
      <c r="AC305" s="22" t="s">
        <v>265</v>
      </c>
      <c r="AD305" s="27" t="s">
        <v>71</v>
      </c>
      <c r="AE305" s="22" t="s">
        <v>669</v>
      </c>
      <c r="AF305" s="33" t="s">
        <v>1782</v>
      </c>
      <c r="AG305" s="34"/>
      <c r="AI305" s="25" t="str">
        <f ca="1">IFERROR(__xludf.DUMMYFUNCTION("""COMPUTED_VALUE"""),"6137562120aae23c2687aa3d")</f>
        <v>6137562120aae23c2687aa3d</v>
      </c>
      <c r="AJ305" s="25">
        <f t="shared" ca="1" si="0"/>
        <v>1</v>
      </c>
    </row>
    <row r="306" spans="1:36" ht="46.5">
      <c r="A306" s="51" t="s">
        <v>1482</v>
      </c>
      <c r="B306" s="51" t="s">
        <v>1783</v>
      </c>
      <c r="C306" s="22" t="s">
        <v>1784</v>
      </c>
      <c r="D306" s="23" t="s">
        <v>1785</v>
      </c>
      <c r="E306" s="22" t="s">
        <v>49</v>
      </c>
      <c r="F306" s="22" t="s">
        <v>50</v>
      </c>
      <c r="G306" s="22" t="s">
        <v>79</v>
      </c>
      <c r="H306" s="22" t="s">
        <v>192</v>
      </c>
      <c r="I306" s="22" t="s">
        <v>81</v>
      </c>
      <c r="J306" s="22" t="s">
        <v>53</v>
      </c>
      <c r="K306" s="22" t="s">
        <v>82</v>
      </c>
      <c r="L306" s="22" t="s">
        <v>53</v>
      </c>
      <c r="M306" s="22" t="s">
        <v>83</v>
      </c>
      <c r="N306" s="22" t="s">
        <v>59</v>
      </c>
      <c r="O306" s="22" t="s">
        <v>84</v>
      </c>
      <c r="P306" s="22" t="s">
        <v>85</v>
      </c>
      <c r="Q306" s="22" t="s">
        <v>60</v>
      </c>
      <c r="R306" s="25"/>
      <c r="S306" s="22" t="s">
        <v>85</v>
      </c>
      <c r="T306" s="22" t="s">
        <v>62</v>
      </c>
      <c r="U306" s="22" t="s">
        <v>63</v>
      </c>
      <c r="V306" s="22" t="s">
        <v>64</v>
      </c>
      <c r="W306" s="25"/>
      <c r="X306" s="26" t="s">
        <v>1769</v>
      </c>
      <c r="Y306" s="22" t="s">
        <v>120</v>
      </c>
      <c r="Z306" s="22" t="s">
        <v>932</v>
      </c>
      <c r="AA306" s="22" t="s">
        <v>734</v>
      </c>
      <c r="AC306" s="22" t="s">
        <v>265</v>
      </c>
      <c r="AD306" s="27" t="s">
        <v>71</v>
      </c>
      <c r="AE306" s="22" t="s">
        <v>669</v>
      </c>
      <c r="AF306" s="33" t="s">
        <v>1786</v>
      </c>
      <c r="AG306" s="34"/>
      <c r="AI306" s="25" t="str">
        <f ca="1">IFERROR(__xludf.DUMMYFUNCTION("""COMPUTED_VALUE"""),"61382bdb20aae23c2687ac63")</f>
        <v>61382bdb20aae23c2687ac63</v>
      </c>
      <c r="AJ306" s="25">
        <f t="shared" ca="1" si="0"/>
        <v>1</v>
      </c>
    </row>
    <row r="307" spans="1:36" ht="46.5">
      <c r="A307" s="51" t="s">
        <v>1482</v>
      </c>
      <c r="B307" s="51" t="s">
        <v>1787</v>
      </c>
      <c r="C307" s="22" t="s">
        <v>1788</v>
      </c>
      <c r="D307" s="23" t="s">
        <v>1789</v>
      </c>
      <c r="E307" s="22" t="s">
        <v>49</v>
      </c>
      <c r="F307" s="22" t="s">
        <v>228</v>
      </c>
      <c r="G307" s="22" t="s">
        <v>49</v>
      </c>
      <c r="H307" s="22" t="s">
        <v>126</v>
      </c>
      <c r="I307" s="22" t="s">
        <v>52</v>
      </c>
      <c r="J307" s="22" t="s">
        <v>53</v>
      </c>
      <c r="K307" s="22" t="s">
        <v>170</v>
      </c>
      <c r="L307" s="22" t="s">
        <v>53</v>
      </c>
      <c r="M307" s="22" t="s">
        <v>83</v>
      </c>
      <c r="N307" s="22" t="s">
        <v>59</v>
      </c>
      <c r="O307" s="22" t="s">
        <v>84</v>
      </c>
      <c r="P307" s="22" t="s">
        <v>59</v>
      </c>
      <c r="Q307" s="22" t="s">
        <v>153</v>
      </c>
      <c r="R307" s="25"/>
      <c r="S307" s="22" t="s">
        <v>61</v>
      </c>
      <c r="T307" s="22" t="s">
        <v>62</v>
      </c>
      <c r="U307" s="22" t="s">
        <v>63</v>
      </c>
      <c r="V307" s="22" t="s">
        <v>64</v>
      </c>
      <c r="W307" s="25"/>
      <c r="X307" s="35" t="s">
        <v>1790</v>
      </c>
      <c r="Y307" s="22" t="s">
        <v>195</v>
      </c>
      <c r="Z307" s="22" t="s">
        <v>441</v>
      </c>
      <c r="AA307" s="22" t="s">
        <v>283</v>
      </c>
      <c r="AC307" s="22" t="s">
        <v>265</v>
      </c>
      <c r="AD307" s="27" t="s">
        <v>71</v>
      </c>
      <c r="AE307" s="22" t="s">
        <v>669</v>
      </c>
      <c r="AF307" s="33" t="s">
        <v>1791</v>
      </c>
      <c r="AG307" s="34"/>
      <c r="AI307" s="25" t="str">
        <f ca="1">IFERROR(__xludf.DUMMYFUNCTION("""COMPUTED_VALUE"""),"613835098bf264ee02cc6900")</f>
        <v>613835098bf264ee02cc6900</v>
      </c>
      <c r="AJ307" s="25">
        <f t="shared" ca="1" si="0"/>
        <v>1</v>
      </c>
    </row>
    <row r="308" spans="1:36" ht="62">
      <c r="A308" s="51" t="s">
        <v>1482</v>
      </c>
      <c r="B308" s="51" t="s">
        <v>1792</v>
      </c>
      <c r="C308" s="22" t="s">
        <v>1793</v>
      </c>
      <c r="D308" s="23" t="s">
        <v>1794</v>
      </c>
      <c r="E308" s="22" t="s">
        <v>49</v>
      </c>
      <c r="F308" s="22" t="s">
        <v>95</v>
      </c>
      <c r="G308" s="22" t="s">
        <v>49</v>
      </c>
      <c r="H308" s="22" t="s">
        <v>126</v>
      </c>
      <c r="I308" s="22" t="s">
        <v>307</v>
      </c>
      <c r="J308" s="22" t="s">
        <v>53</v>
      </c>
      <c r="K308" s="22" t="s">
        <v>144</v>
      </c>
      <c r="L308" s="22" t="s">
        <v>53</v>
      </c>
      <c r="M308" s="22" t="s">
        <v>83</v>
      </c>
      <c r="N308" s="22" t="s">
        <v>59</v>
      </c>
      <c r="O308" s="22" t="s">
        <v>84</v>
      </c>
      <c r="P308" s="22" t="s">
        <v>85</v>
      </c>
      <c r="Q308" s="22" t="s">
        <v>60</v>
      </c>
      <c r="R308" s="25"/>
      <c r="S308" s="22" t="s">
        <v>85</v>
      </c>
      <c r="T308" s="22" t="s">
        <v>62</v>
      </c>
      <c r="U308" s="22" t="s">
        <v>63</v>
      </c>
      <c r="V308" s="22" t="s">
        <v>64</v>
      </c>
      <c r="W308" s="25"/>
      <c r="X308" s="35" t="s">
        <v>1790</v>
      </c>
      <c r="Y308" s="22" t="s">
        <v>89</v>
      </c>
      <c r="Z308" s="22" t="s">
        <v>155</v>
      </c>
      <c r="AA308" s="22" t="s">
        <v>156</v>
      </c>
      <c r="AC308" s="22" t="s">
        <v>265</v>
      </c>
      <c r="AD308" s="27" t="s">
        <v>71</v>
      </c>
      <c r="AE308" s="22" t="s">
        <v>669</v>
      </c>
      <c r="AF308" s="33" t="s">
        <v>1795</v>
      </c>
      <c r="AG308" s="34"/>
      <c r="AI308" s="25" t="str">
        <f ca="1">IFERROR(__xludf.DUMMYFUNCTION("""COMPUTED_VALUE"""),"6138413d20aae23c2687ace3")</f>
        <v>6138413d20aae23c2687ace3</v>
      </c>
      <c r="AJ308" s="25">
        <f t="shared" ca="1" si="0"/>
        <v>1</v>
      </c>
    </row>
    <row r="309" spans="1:36" ht="46.5">
      <c r="A309" s="51" t="s">
        <v>1482</v>
      </c>
      <c r="B309" s="51" t="s">
        <v>1796</v>
      </c>
      <c r="C309" s="22" t="s">
        <v>1797</v>
      </c>
      <c r="D309" s="23" t="s">
        <v>1798</v>
      </c>
      <c r="E309" s="22" t="s">
        <v>49</v>
      </c>
      <c r="F309" s="22" t="s">
        <v>50</v>
      </c>
      <c r="G309" s="22" t="s">
        <v>49</v>
      </c>
      <c r="H309" s="22" t="s">
        <v>126</v>
      </c>
      <c r="I309" s="22" t="s">
        <v>52</v>
      </c>
      <c r="J309" s="22" t="s">
        <v>53</v>
      </c>
      <c r="K309" s="22" t="s">
        <v>182</v>
      </c>
      <c r="L309" s="22" t="s">
        <v>55</v>
      </c>
      <c r="M309" s="22" t="s">
        <v>83</v>
      </c>
      <c r="N309" s="22" t="s">
        <v>59</v>
      </c>
      <c r="O309" s="22" t="s">
        <v>84</v>
      </c>
      <c r="P309" s="22" t="s">
        <v>348</v>
      </c>
      <c r="Q309" s="22" t="s">
        <v>60</v>
      </c>
      <c r="R309" s="25"/>
      <c r="S309" s="22" t="s">
        <v>61</v>
      </c>
      <c r="T309" s="22" t="s">
        <v>62</v>
      </c>
      <c r="U309" s="22" t="s">
        <v>63</v>
      </c>
      <c r="V309" s="22" t="s">
        <v>64</v>
      </c>
      <c r="W309" s="25"/>
      <c r="X309" s="35" t="s">
        <v>1790</v>
      </c>
      <c r="Y309" s="22" t="s">
        <v>67</v>
      </c>
      <c r="Z309" s="22" t="s">
        <v>1799</v>
      </c>
      <c r="AA309" s="22" t="s">
        <v>1800</v>
      </c>
      <c r="AC309" s="22" t="s">
        <v>265</v>
      </c>
      <c r="AD309" s="27" t="s">
        <v>71</v>
      </c>
      <c r="AE309" s="22" t="s">
        <v>669</v>
      </c>
      <c r="AF309" s="33" t="s">
        <v>1801</v>
      </c>
      <c r="AG309" s="34"/>
      <c r="AI309" s="25" t="str">
        <f ca="1">IFERROR(__xludf.DUMMYFUNCTION("""COMPUTED_VALUE"""),"613866fa8bf264ee02cc692c")</f>
        <v>613866fa8bf264ee02cc692c</v>
      </c>
      <c r="AJ309" s="25">
        <f t="shared" ca="1" si="0"/>
        <v>1</v>
      </c>
    </row>
    <row r="310" spans="1:36" ht="62">
      <c r="A310" s="51" t="s">
        <v>1482</v>
      </c>
      <c r="B310" s="51" t="s">
        <v>1802</v>
      </c>
      <c r="C310" s="22" t="s">
        <v>1803</v>
      </c>
      <c r="D310" s="23" t="s">
        <v>1804</v>
      </c>
      <c r="E310" s="22" t="s">
        <v>49</v>
      </c>
      <c r="F310" s="22" t="s">
        <v>50</v>
      </c>
      <c r="G310" s="22" t="s">
        <v>49</v>
      </c>
      <c r="H310" s="22" t="s">
        <v>126</v>
      </c>
      <c r="I310" s="22" t="s">
        <v>307</v>
      </c>
      <c r="J310" s="22" t="s">
        <v>53</v>
      </c>
      <c r="K310" s="22" t="s">
        <v>144</v>
      </c>
      <c r="L310" s="22" t="s">
        <v>53</v>
      </c>
      <c r="M310" s="22" t="s">
        <v>83</v>
      </c>
      <c r="N310" s="22" t="s">
        <v>348</v>
      </c>
      <c r="O310" s="22" t="s">
        <v>84</v>
      </c>
      <c r="P310" s="22" t="s">
        <v>59</v>
      </c>
      <c r="Q310" s="22" t="s">
        <v>153</v>
      </c>
      <c r="R310" s="25"/>
      <c r="S310" s="22" t="s">
        <v>61</v>
      </c>
      <c r="T310" s="22" t="s">
        <v>62</v>
      </c>
      <c r="U310" s="22" t="s">
        <v>63</v>
      </c>
      <c r="V310" s="22" t="s">
        <v>64</v>
      </c>
      <c r="W310" s="25"/>
      <c r="X310" s="35" t="s">
        <v>1790</v>
      </c>
      <c r="Y310" s="22" t="s">
        <v>770</v>
      </c>
      <c r="Z310" s="22" t="s">
        <v>1419</v>
      </c>
      <c r="AA310" s="22" t="s">
        <v>1805</v>
      </c>
      <c r="AC310" s="22" t="s">
        <v>265</v>
      </c>
      <c r="AD310" s="27" t="s">
        <v>71</v>
      </c>
      <c r="AE310" s="22" t="s">
        <v>669</v>
      </c>
      <c r="AF310" s="33" t="s">
        <v>1791</v>
      </c>
      <c r="AG310" s="34"/>
      <c r="AI310" s="25" t="str">
        <f ca="1">IFERROR(__xludf.DUMMYFUNCTION("""COMPUTED_VALUE"""),"61386f2020aae23c2687b03c")</f>
        <v>61386f2020aae23c2687b03c</v>
      </c>
      <c r="AJ310" s="25">
        <f t="shared" ca="1" si="0"/>
        <v>1</v>
      </c>
    </row>
    <row r="311" spans="1:36" ht="62">
      <c r="A311" s="51" t="s">
        <v>1482</v>
      </c>
      <c r="B311" s="51" t="s">
        <v>1806</v>
      </c>
      <c r="C311" s="22" t="s">
        <v>1807</v>
      </c>
      <c r="D311" s="23" t="s">
        <v>1808</v>
      </c>
      <c r="E311" s="22" t="s">
        <v>49</v>
      </c>
      <c r="F311" s="22" t="s">
        <v>95</v>
      </c>
      <c r="G311" s="22" t="s">
        <v>49</v>
      </c>
      <c r="H311" s="22" t="s">
        <v>126</v>
      </c>
      <c r="I311" s="22" t="s">
        <v>307</v>
      </c>
      <c r="J311" s="22" t="s">
        <v>53</v>
      </c>
      <c r="K311" s="22" t="s">
        <v>54</v>
      </c>
      <c r="L311" s="22" t="s">
        <v>55</v>
      </c>
      <c r="M311" s="22" t="s">
        <v>83</v>
      </c>
      <c r="N311" s="22" t="s">
        <v>59</v>
      </c>
      <c r="O311" s="22" t="s">
        <v>84</v>
      </c>
      <c r="P311" s="22" t="s">
        <v>85</v>
      </c>
      <c r="Q311" s="22" t="s">
        <v>60</v>
      </c>
      <c r="R311" s="22" t="s">
        <v>183</v>
      </c>
      <c r="S311" s="22" t="s">
        <v>85</v>
      </c>
      <c r="T311" s="22" t="s">
        <v>62</v>
      </c>
      <c r="U311" s="22" t="s">
        <v>63</v>
      </c>
      <c r="V311" s="22" t="s">
        <v>64</v>
      </c>
      <c r="W311" s="25"/>
      <c r="X311" s="35" t="s">
        <v>1790</v>
      </c>
      <c r="Y311" s="22" t="s">
        <v>222</v>
      </c>
      <c r="Z311" s="22" t="s">
        <v>295</v>
      </c>
      <c r="AA311" s="22" t="s">
        <v>1809</v>
      </c>
      <c r="AC311" s="22" t="s">
        <v>265</v>
      </c>
      <c r="AD311" s="27" t="s">
        <v>71</v>
      </c>
      <c r="AE311" s="22" t="s">
        <v>669</v>
      </c>
      <c r="AF311" s="33" t="s">
        <v>1810</v>
      </c>
      <c r="AG311" s="34"/>
      <c r="AI311" s="25" t="str">
        <f ca="1">IFERROR(__xludf.DUMMYFUNCTION("""COMPUTED_VALUE"""),"615ff0cda64eeb339ff6056d")</f>
        <v>615ff0cda64eeb339ff6056d</v>
      </c>
      <c r="AJ311" s="25">
        <f t="shared" ca="1" si="0"/>
        <v>1</v>
      </c>
    </row>
    <row r="312" spans="1:36" ht="31">
      <c r="A312" s="51" t="s">
        <v>1482</v>
      </c>
      <c r="B312" s="51" t="s">
        <v>1811</v>
      </c>
      <c r="C312" s="22" t="s">
        <v>1812</v>
      </c>
      <c r="D312" s="23" t="s">
        <v>1813</v>
      </c>
      <c r="E312" s="22" t="s">
        <v>53</v>
      </c>
      <c r="F312" s="22" t="s">
        <v>269</v>
      </c>
      <c r="G312" s="22" t="s">
        <v>49</v>
      </c>
      <c r="H312" s="22" t="s">
        <v>80</v>
      </c>
      <c r="I312" s="22" t="s">
        <v>81</v>
      </c>
      <c r="J312" s="22" t="s">
        <v>501</v>
      </c>
      <c r="K312" s="22" t="s">
        <v>356</v>
      </c>
      <c r="L312" s="22" t="s">
        <v>53</v>
      </c>
      <c r="M312" s="22" t="s">
        <v>83</v>
      </c>
      <c r="N312" s="22" t="s">
        <v>59</v>
      </c>
      <c r="O312" s="22" t="s">
        <v>84</v>
      </c>
      <c r="P312" s="22" t="s">
        <v>137</v>
      </c>
      <c r="Q312" s="22" t="s">
        <v>183</v>
      </c>
      <c r="R312" s="25"/>
      <c r="S312" s="22" t="s">
        <v>85</v>
      </c>
      <c r="T312" s="22" t="s">
        <v>62</v>
      </c>
      <c r="U312" s="22" t="s">
        <v>63</v>
      </c>
      <c r="V312" s="22" t="s">
        <v>64</v>
      </c>
      <c r="W312" s="25"/>
      <c r="X312" s="26" t="s">
        <v>1036</v>
      </c>
      <c r="Y312" s="22" t="s">
        <v>262</v>
      </c>
      <c r="Z312" s="22" t="s">
        <v>965</v>
      </c>
      <c r="AA312" s="22" t="s">
        <v>1814</v>
      </c>
      <c r="AC312" s="22" t="s">
        <v>265</v>
      </c>
      <c r="AD312" s="27" t="s">
        <v>71</v>
      </c>
      <c r="AE312" s="22" t="s">
        <v>669</v>
      </c>
      <c r="AF312" s="33" t="s">
        <v>1815</v>
      </c>
      <c r="AG312" s="34"/>
      <c r="AI312" s="25" t="str">
        <f ca="1">IFERROR(__xludf.DUMMYFUNCTION("""COMPUTED_VALUE"""),"6160317dfc4ece2fb9fcba54")</f>
        <v>6160317dfc4ece2fb9fcba54</v>
      </c>
      <c r="AJ312" s="25">
        <f t="shared" ca="1" si="0"/>
        <v>1</v>
      </c>
    </row>
    <row r="313" spans="1:36" ht="31">
      <c r="A313" s="51" t="s">
        <v>1482</v>
      </c>
      <c r="B313" s="51" t="s">
        <v>1816</v>
      </c>
      <c r="C313" s="22" t="s">
        <v>1817</v>
      </c>
      <c r="D313" s="23" t="s">
        <v>1818</v>
      </c>
      <c r="E313" s="22" t="s">
        <v>49</v>
      </c>
      <c r="F313" s="22" t="s">
        <v>618</v>
      </c>
      <c r="G313" s="22" t="s">
        <v>49</v>
      </c>
      <c r="H313" s="22" t="s">
        <v>169</v>
      </c>
      <c r="I313" s="22" t="s">
        <v>307</v>
      </c>
      <c r="J313" s="22" t="s">
        <v>53</v>
      </c>
      <c r="K313" s="22" t="s">
        <v>128</v>
      </c>
      <c r="L313" s="22" t="s">
        <v>53</v>
      </c>
      <c r="M313" s="22" t="s">
        <v>398</v>
      </c>
      <c r="N313" s="22" t="s">
        <v>348</v>
      </c>
      <c r="O313" s="22" t="s">
        <v>84</v>
      </c>
      <c r="P313" s="22" t="s">
        <v>59</v>
      </c>
      <c r="Q313" s="22" t="s">
        <v>153</v>
      </c>
      <c r="R313" s="7" t="s">
        <v>63</v>
      </c>
      <c r="S313" s="22" t="s">
        <v>61</v>
      </c>
      <c r="T313" s="22" t="s">
        <v>62</v>
      </c>
      <c r="U313" s="22" t="s">
        <v>63</v>
      </c>
      <c r="V313" s="22" t="s">
        <v>64</v>
      </c>
      <c r="W313" s="25"/>
      <c r="X313" s="26" t="s">
        <v>1819</v>
      </c>
      <c r="Y313" s="22" t="s">
        <v>496</v>
      </c>
      <c r="Z313" s="22" t="s">
        <v>1820</v>
      </c>
      <c r="AA313" s="22" t="s">
        <v>416</v>
      </c>
      <c r="AC313" s="22" t="s">
        <v>265</v>
      </c>
      <c r="AD313" s="27" t="s">
        <v>71</v>
      </c>
      <c r="AE313" s="22" t="s">
        <v>928</v>
      </c>
      <c r="AF313" s="33" t="s">
        <v>1821</v>
      </c>
      <c r="AG313" s="34"/>
      <c r="AI313" s="25" t="str">
        <f ca="1">IFERROR(__xludf.DUMMYFUNCTION("""COMPUTED_VALUE"""),"61610609a64eeb339ff605f5")</f>
        <v>61610609a64eeb339ff605f5</v>
      </c>
      <c r="AJ313" s="25">
        <f t="shared" ca="1" si="0"/>
        <v>1</v>
      </c>
    </row>
    <row r="314" spans="1:36" ht="31">
      <c r="A314" s="51" t="s">
        <v>1482</v>
      </c>
      <c r="B314" s="51" t="s">
        <v>1822</v>
      </c>
      <c r="C314" s="22" t="s">
        <v>1817</v>
      </c>
      <c r="D314" s="23" t="s">
        <v>1818</v>
      </c>
      <c r="E314" s="22" t="s">
        <v>49</v>
      </c>
      <c r="F314" s="22" t="s">
        <v>95</v>
      </c>
      <c r="G314" s="22" t="s">
        <v>49</v>
      </c>
      <c r="H314" s="22" t="s">
        <v>169</v>
      </c>
      <c r="I314" s="22" t="s">
        <v>307</v>
      </c>
      <c r="J314" s="22" t="s">
        <v>53</v>
      </c>
      <c r="K314" s="22" t="s">
        <v>128</v>
      </c>
      <c r="L314" s="22" t="s">
        <v>53</v>
      </c>
      <c r="M314" s="22" t="s">
        <v>398</v>
      </c>
      <c r="N314" s="22" t="s">
        <v>348</v>
      </c>
      <c r="O314" s="22" t="s">
        <v>84</v>
      </c>
      <c r="P314" s="22" t="s">
        <v>59</v>
      </c>
      <c r="Q314" s="22" t="s">
        <v>153</v>
      </c>
      <c r="R314" s="22" t="s">
        <v>63</v>
      </c>
      <c r="S314" s="22" t="s">
        <v>61</v>
      </c>
      <c r="T314" s="22" t="s">
        <v>62</v>
      </c>
      <c r="U314" s="22" t="s">
        <v>63</v>
      </c>
      <c r="V314" s="22" t="s">
        <v>64</v>
      </c>
      <c r="W314" s="25"/>
      <c r="X314" s="26" t="s">
        <v>1819</v>
      </c>
      <c r="Y314" s="22" t="s">
        <v>496</v>
      </c>
      <c r="Z314" s="22" t="s">
        <v>1820</v>
      </c>
      <c r="AA314" s="22" t="s">
        <v>416</v>
      </c>
      <c r="AC314" s="22" t="s">
        <v>265</v>
      </c>
      <c r="AD314" s="27" t="s">
        <v>71</v>
      </c>
      <c r="AE314" s="22" t="s">
        <v>928</v>
      </c>
      <c r="AF314" s="33" t="s">
        <v>1823</v>
      </c>
      <c r="AG314" s="34"/>
      <c r="AI314" s="25" t="str">
        <f ca="1">IFERROR(__xludf.DUMMYFUNCTION("""COMPUTED_VALUE"""),"61614218a64eeb339ff606b5")</f>
        <v>61614218a64eeb339ff606b5</v>
      </c>
      <c r="AJ314" s="25">
        <f t="shared" ca="1" si="0"/>
        <v>1</v>
      </c>
    </row>
    <row r="315" spans="1:36" ht="46.5">
      <c r="A315" s="51" t="s">
        <v>1482</v>
      </c>
      <c r="B315" s="81" t="s">
        <v>1824</v>
      </c>
      <c r="C315" s="22" t="s">
        <v>1825</v>
      </c>
      <c r="D315" s="23" t="s">
        <v>1826</v>
      </c>
      <c r="E315" s="22" t="s">
        <v>53</v>
      </c>
      <c r="F315" s="22" t="s">
        <v>269</v>
      </c>
      <c r="G315" s="22" t="s">
        <v>49</v>
      </c>
      <c r="H315" s="22" t="s">
        <v>126</v>
      </c>
      <c r="I315" s="22" t="s">
        <v>307</v>
      </c>
      <c r="J315" s="22" t="s">
        <v>53</v>
      </c>
      <c r="K315" s="22" t="s">
        <v>144</v>
      </c>
      <c r="L315" s="22" t="s">
        <v>53</v>
      </c>
      <c r="M315" s="22" t="s">
        <v>129</v>
      </c>
      <c r="N315" s="22" t="s">
        <v>348</v>
      </c>
      <c r="O315" s="22" t="s">
        <v>1827</v>
      </c>
      <c r="P315" s="22" t="s">
        <v>293</v>
      </c>
      <c r="Q315" s="22" t="s">
        <v>183</v>
      </c>
      <c r="R315" s="25"/>
      <c r="S315" s="22" t="s">
        <v>61</v>
      </c>
      <c r="T315" s="22" t="s">
        <v>62</v>
      </c>
      <c r="U315" s="22" t="s">
        <v>63</v>
      </c>
      <c r="V315" s="22" t="s">
        <v>64</v>
      </c>
      <c r="W315" s="25"/>
      <c r="X315" s="26" t="s">
        <v>986</v>
      </c>
      <c r="Y315" s="22" t="s">
        <v>376</v>
      </c>
      <c r="Z315" s="22" t="s">
        <v>575</v>
      </c>
      <c r="AA315" s="22" t="s">
        <v>1537</v>
      </c>
      <c r="AC315" s="22" t="s">
        <v>265</v>
      </c>
      <c r="AD315" s="27" t="s">
        <v>71</v>
      </c>
      <c r="AE315" s="22" t="s">
        <v>928</v>
      </c>
      <c r="AF315" s="82" t="s">
        <v>2328</v>
      </c>
      <c r="AG315" s="34"/>
      <c r="AI315" s="25" t="str">
        <f ca="1">IFERROR(__xludf.DUMMYFUNCTION("""COMPUTED_VALUE"""),"6184d9528792675cf734a50c")</f>
        <v>6184d9528792675cf734a50c</v>
      </c>
      <c r="AJ315" s="25">
        <f t="shared" ca="1" si="0"/>
        <v>1</v>
      </c>
    </row>
    <row r="316" spans="1:36" ht="46.5">
      <c r="A316" s="51" t="s">
        <v>1482</v>
      </c>
      <c r="B316" s="51" t="s">
        <v>1829</v>
      </c>
      <c r="C316" s="22" t="s">
        <v>1830</v>
      </c>
      <c r="D316" s="23" t="s">
        <v>1831</v>
      </c>
      <c r="E316" s="22" t="s">
        <v>49</v>
      </c>
      <c r="F316" s="22" t="s">
        <v>50</v>
      </c>
      <c r="G316" s="22" t="s">
        <v>49</v>
      </c>
      <c r="H316" s="22" t="s">
        <v>80</v>
      </c>
      <c r="I316" s="22" t="s">
        <v>81</v>
      </c>
      <c r="J316" s="7" t="s">
        <v>109</v>
      </c>
      <c r="K316" s="22" t="s">
        <v>1832</v>
      </c>
      <c r="L316" s="22" t="s">
        <v>53</v>
      </c>
      <c r="M316" s="22" t="s">
        <v>83</v>
      </c>
      <c r="N316" s="22" t="s">
        <v>59</v>
      </c>
      <c r="O316" s="22" t="s">
        <v>490</v>
      </c>
      <c r="P316" s="22" t="s">
        <v>137</v>
      </c>
      <c r="Q316" s="22" t="s">
        <v>183</v>
      </c>
      <c r="R316" s="22" t="s">
        <v>60</v>
      </c>
      <c r="S316" s="22" t="s">
        <v>85</v>
      </c>
      <c r="T316" s="22" t="s">
        <v>62</v>
      </c>
      <c r="U316" s="22" t="s">
        <v>63</v>
      </c>
      <c r="V316" s="22" t="s">
        <v>64</v>
      </c>
      <c r="W316" s="25"/>
      <c r="X316" s="35" t="s">
        <v>1833</v>
      </c>
      <c r="Y316" s="22" t="s">
        <v>89</v>
      </c>
      <c r="Z316" s="22" t="s">
        <v>865</v>
      </c>
      <c r="AA316" s="22" t="s">
        <v>851</v>
      </c>
      <c r="AC316" s="22" t="s">
        <v>176</v>
      </c>
      <c r="AD316" s="27" t="s">
        <v>71</v>
      </c>
      <c r="AE316" s="22" t="s">
        <v>928</v>
      </c>
      <c r="AF316" s="33" t="s">
        <v>1834</v>
      </c>
      <c r="AG316" s="33" t="s">
        <v>352</v>
      </c>
      <c r="AI316" s="25" t="str">
        <f ca="1">IFERROR(__xludf.DUMMYFUNCTION("""COMPUTED_VALUE"""),"6184e410663bbe3bf5cf3ce0")</f>
        <v>6184e410663bbe3bf5cf3ce0</v>
      </c>
      <c r="AJ316" s="25">
        <f t="shared" ca="1" si="0"/>
        <v>1</v>
      </c>
    </row>
    <row r="317" spans="1:36" ht="62">
      <c r="A317" s="51" t="s">
        <v>1482</v>
      </c>
      <c r="B317" s="51" t="s">
        <v>1835</v>
      </c>
      <c r="C317" s="22" t="s">
        <v>1836</v>
      </c>
      <c r="D317" s="42" t="s">
        <v>1837</v>
      </c>
      <c r="E317" s="22" t="s">
        <v>49</v>
      </c>
      <c r="F317" s="22" t="s">
        <v>50</v>
      </c>
      <c r="G317" s="22" t="s">
        <v>49</v>
      </c>
      <c r="H317" s="22" t="s">
        <v>51</v>
      </c>
      <c r="I317" s="22" t="s">
        <v>81</v>
      </c>
      <c r="J317" s="22" t="s">
        <v>501</v>
      </c>
      <c r="K317" s="22" t="s">
        <v>96</v>
      </c>
      <c r="L317" s="22" t="s">
        <v>53</v>
      </c>
      <c r="M317" s="22" t="s">
        <v>912</v>
      </c>
      <c r="N317" s="22" t="s">
        <v>59</v>
      </c>
      <c r="O317" s="22" t="s">
        <v>84</v>
      </c>
      <c r="P317" s="22" t="s">
        <v>85</v>
      </c>
      <c r="Q317" s="22" t="s">
        <v>60</v>
      </c>
      <c r="R317" s="25"/>
      <c r="S317" s="22" t="s">
        <v>85</v>
      </c>
      <c r="T317" s="22" t="s">
        <v>62</v>
      </c>
      <c r="U317" s="22" t="s">
        <v>63</v>
      </c>
      <c r="V317" s="22" t="s">
        <v>64</v>
      </c>
      <c r="W317" s="25"/>
      <c r="X317" s="35" t="s">
        <v>924</v>
      </c>
      <c r="Y317" s="22" t="s">
        <v>925</v>
      </c>
      <c r="Z317" s="22" t="s">
        <v>1838</v>
      </c>
      <c r="AA317" s="22" t="s">
        <v>391</v>
      </c>
      <c r="AC317" s="22" t="s">
        <v>176</v>
      </c>
      <c r="AD317" s="27" t="s">
        <v>71</v>
      </c>
      <c r="AE317" s="22" t="s">
        <v>928</v>
      </c>
      <c r="AF317" s="33" t="s">
        <v>1839</v>
      </c>
      <c r="AG317" s="33" t="s">
        <v>352</v>
      </c>
      <c r="AI317" s="25" t="str">
        <f ca="1">IFERROR(__xludf.DUMMYFUNCTION("""COMPUTED_VALUE"""),"618e1075663bbe3bf5cf46d9")</f>
        <v>618e1075663bbe3bf5cf46d9</v>
      </c>
      <c r="AJ317" s="25">
        <f t="shared" ca="1" si="0"/>
        <v>1</v>
      </c>
    </row>
    <row r="318" spans="1:36" ht="46.5">
      <c r="A318" s="51" t="s">
        <v>1482</v>
      </c>
      <c r="B318" s="51" t="s">
        <v>1840</v>
      </c>
      <c r="C318" s="22" t="s">
        <v>1841</v>
      </c>
      <c r="D318" s="42" t="s">
        <v>1842</v>
      </c>
      <c r="E318" s="22" t="s">
        <v>49</v>
      </c>
      <c r="F318" s="22" t="s">
        <v>228</v>
      </c>
      <c r="G318" s="22" t="s">
        <v>49</v>
      </c>
      <c r="H318" s="22" t="s">
        <v>51</v>
      </c>
      <c r="I318" s="22" t="s">
        <v>81</v>
      </c>
      <c r="J318" s="22" t="s">
        <v>107</v>
      </c>
      <c r="K318" s="22" t="s">
        <v>182</v>
      </c>
      <c r="L318" s="22" t="s">
        <v>53</v>
      </c>
      <c r="M318" s="22" t="s">
        <v>912</v>
      </c>
      <c r="N318" s="22" t="s">
        <v>59</v>
      </c>
      <c r="O318" s="22" t="s">
        <v>84</v>
      </c>
      <c r="P318" s="22" t="s">
        <v>108</v>
      </c>
      <c r="Q318" s="22" t="s">
        <v>130</v>
      </c>
      <c r="R318" s="25"/>
      <c r="S318" s="22" t="s">
        <v>85</v>
      </c>
      <c r="T318" s="22" t="s">
        <v>62</v>
      </c>
      <c r="U318" s="22" t="s">
        <v>63</v>
      </c>
      <c r="V318" s="22" t="s">
        <v>64</v>
      </c>
      <c r="W318" s="25"/>
      <c r="X318" s="26" t="s">
        <v>924</v>
      </c>
      <c r="Y318" s="22" t="s">
        <v>262</v>
      </c>
      <c r="Z318" s="22" t="s">
        <v>1362</v>
      </c>
      <c r="AA318" s="22" t="s">
        <v>937</v>
      </c>
      <c r="AC318" s="22" t="s">
        <v>176</v>
      </c>
      <c r="AD318" s="27" t="s">
        <v>71</v>
      </c>
      <c r="AE318" s="22" t="s">
        <v>928</v>
      </c>
      <c r="AF318" s="33" t="s">
        <v>1843</v>
      </c>
      <c r="AG318" s="33" t="s">
        <v>352</v>
      </c>
      <c r="AI318" s="25" t="str">
        <f ca="1">IFERROR(__xludf.DUMMYFUNCTION("""COMPUTED_VALUE"""),"619365ac14833860d2663737")</f>
        <v>619365ac14833860d2663737</v>
      </c>
      <c r="AJ318" s="25">
        <f t="shared" ca="1" si="0"/>
        <v>1</v>
      </c>
    </row>
    <row r="319" spans="1:36" ht="46.5">
      <c r="A319" s="51" t="s">
        <v>1482</v>
      </c>
      <c r="B319" s="51" t="s">
        <v>1844</v>
      </c>
      <c r="C319" s="22" t="s">
        <v>1845</v>
      </c>
      <c r="D319" s="23" t="s">
        <v>1846</v>
      </c>
      <c r="E319" s="22" t="s">
        <v>97</v>
      </c>
      <c r="F319" s="22" t="s">
        <v>50</v>
      </c>
      <c r="G319" s="22" t="s">
        <v>97</v>
      </c>
      <c r="H319" s="22" t="s">
        <v>51</v>
      </c>
      <c r="I319" s="22" t="s">
        <v>81</v>
      </c>
      <c r="J319" s="22" t="s">
        <v>53</v>
      </c>
      <c r="K319" s="22" t="s">
        <v>96</v>
      </c>
      <c r="L319" s="22" t="s">
        <v>53</v>
      </c>
      <c r="M319" s="22" t="s">
        <v>912</v>
      </c>
      <c r="N319" s="22" t="s">
        <v>59</v>
      </c>
      <c r="O319" s="7" t="s">
        <v>1224</v>
      </c>
      <c r="P319" s="22" t="s">
        <v>293</v>
      </c>
      <c r="Q319" s="22" t="s">
        <v>183</v>
      </c>
      <c r="R319" s="22" t="s">
        <v>1847</v>
      </c>
      <c r="S319" s="22" t="s">
        <v>194</v>
      </c>
      <c r="T319" s="22" t="s">
        <v>62</v>
      </c>
      <c r="U319" s="22" t="s">
        <v>63</v>
      </c>
      <c r="V319" s="22" t="s">
        <v>64</v>
      </c>
      <c r="W319" s="25"/>
      <c r="X319" s="35" t="s">
        <v>917</v>
      </c>
      <c r="Y319" s="22" t="s">
        <v>792</v>
      </c>
      <c r="Z319" s="22" t="s">
        <v>913</v>
      </c>
      <c r="AA319" s="22" t="s">
        <v>793</v>
      </c>
      <c r="AC319" s="22" t="s">
        <v>176</v>
      </c>
      <c r="AD319" s="27" t="s">
        <v>71</v>
      </c>
      <c r="AE319" s="22" t="s">
        <v>928</v>
      </c>
      <c r="AF319" s="33" t="s">
        <v>1848</v>
      </c>
      <c r="AG319" s="33" t="s">
        <v>1849</v>
      </c>
      <c r="AI319" s="25" t="str">
        <f ca="1">IFERROR(__xludf.DUMMYFUNCTION("""COMPUTED_VALUE"""),"6194941d8792675cf73588fc")</f>
        <v>6194941d8792675cf73588fc</v>
      </c>
      <c r="AJ319" s="25">
        <f t="shared" ca="1" si="0"/>
        <v>1</v>
      </c>
    </row>
    <row r="320" spans="1:36" ht="46.5">
      <c r="A320" s="51" t="s">
        <v>1482</v>
      </c>
      <c r="B320" s="51" t="s">
        <v>1850</v>
      </c>
      <c r="C320" s="22" t="s">
        <v>1851</v>
      </c>
      <c r="D320" s="23" t="s">
        <v>1852</v>
      </c>
      <c r="E320" s="22" t="s">
        <v>49</v>
      </c>
      <c r="F320" s="22" t="s">
        <v>50</v>
      </c>
      <c r="G320" s="22" t="s">
        <v>79</v>
      </c>
      <c r="H320" s="22" t="s">
        <v>51</v>
      </c>
      <c r="I320" s="22" t="s">
        <v>52</v>
      </c>
      <c r="J320" s="22" t="s">
        <v>53</v>
      </c>
      <c r="K320" s="22" t="s">
        <v>182</v>
      </c>
      <c r="L320" s="22" t="s">
        <v>55</v>
      </c>
      <c r="M320" s="22" t="s">
        <v>56</v>
      </c>
      <c r="N320" s="22" t="s">
        <v>348</v>
      </c>
      <c r="O320" s="22" t="s">
        <v>490</v>
      </c>
      <c r="P320" s="22" t="s">
        <v>59</v>
      </c>
      <c r="Q320" s="22" t="s">
        <v>153</v>
      </c>
      <c r="R320" s="22" t="s">
        <v>458</v>
      </c>
      <c r="S320" s="22" t="s">
        <v>61</v>
      </c>
      <c r="T320" s="22" t="s">
        <v>62</v>
      </c>
      <c r="U320" s="22" t="s">
        <v>63</v>
      </c>
      <c r="V320" s="22" t="s">
        <v>64</v>
      </c>
      <c r="W320" s="25"/>
      <c r="X320" s="35" t="s">
        <v>917</v>
      </c>
      <c r="Y320" s="40" t="s">
        <v>67</v>
      </c>
      <c r="Z320" s="22" t="s">
        <v>1155</v>
      </c>
      <c r="AA320" s="22" t="s">
        <v>1853</v>
      </c>
      <c r="AC320" s="22" t="s">
        <v>176</v>
      </c>
      <c r="AD320" s="27" t="s">
        <v>71</v>
      </c>
      <c r="AE320" s="22" t="s">
        <v>928</v>
      </c>
      <c r="AF320" s="33" t="s">
        <v>1854</v>
      </c>
      <c r="AG320" s="33" t="s">
        <v>1855</v>
      </c>
      <c r="AI320" s="25" t="str">
        <f ca="1">IFERROR(__xludf.DUMMYFUNCTION("""COMPUTED_VALUE"""),"619b58a90b711214af97a66e")</f>
        <v>619b58a90b711214af97a66e</v>
      </c>
      <c r="AJ320" s="25">
        <f t="shared" ca="1" si="0"/>
        <v>1</v>
      </c>
    </row>
    <row r="321" spans="1:36" ht="46.5">
      <c r="A321" s="51" t="s">
        <v>1482</v>
      </c>
      <c r="B321" s="51" t="s">
        <v>1856</v>
      </c>
      <c r="C321" s="83" t="s">
        <v>1857</v>
      </c>
      <c r="D321" s="23" t="s">
        <v>2329</v>
      </c>
      <c r="E321" s="22" t="s">
        <v>49</v>
      </c>
      <c r="F321" s="22" t="s">
        <v>95</v>
      </c>
      <c r="G321" s="22" t="s">
        <v>49</v>
      </c>
      <c r="H321" s="22" t="s">
        <v>192</v>
      </c>
      <c r="I321" s="22" t="s">
        <v>81</v>
      </c>
      <c r="J321" s="22" t="s">
        <v>53</v>
      </c>
      <c r="K321" s="22" t="s">
        <v>182</v>
      </c>
      <c r="L321" s="22" t="s">
        <v>53</v>
      </c>
      <c r="M321" s="22" t="s">
        <v>83</v>
      </c>
      <c r="N321" s="22" t="s">
        <v>59</v>
      </c>
      <c r="O321" s="22" t="s">
        <v>84</v>
      </c>
      <c r="P321" s="22" t="s">
        <v>59</v>
      </c>
      <c r="Q321" s="7" t="s">
        <v>86</v>
      </c>
      <c r="R321" s="25"/>
      <c r="S321" s="22" t="s">
        <v>85</v>
      </c>
      <c r="T321" s="22" t="s">
        <v>62</v>
      </c>
      <c r="U321" s="22" t="s">
        <v>63</v>
      </c>
      <c r="V321" s="22" t="s">
        <v>64</v>
      </c>
      <c r="W321" s="25"/>
      <c r="X321" s="35" t="s">
        <v>924</v>
      </c>
      <c r="Y321" s="22" t="s">
        <v>302</v>
      </c>
      <c r="Z321" s="22" t="s">
        <v>942</v>
      </c>
      <c r="AA321" s="22" t="s">
        <v>943</v>
      </c>
      <c r="AC321" s="22" t="s">
        <v>176</v>
      </c>
      <c r="AD321" s="27" t="s">
        <v>71</v>
      </c>
      <c r="AE321" s="22" t="s">
        <v>928</v>
      </c>
      <c r="AF321" s="33" t="s">
        <v>1859</v>
      </c>
      <c r="AG321" s="33" t="s">
        <v>2330</v>
      </c>
      <c r="AI321" s="25" t="str">
        <f ca="1">IFERROR(__xludf.DUMMYFUNCTION("""COMPUTED_VALUE"""),"61aecc8d2691f142c6bbb30a")</f>
        <v>61aecc8d2691f142c6bbb30a</v>
      </c>
      <c r="AJ321" s="25">
        <f t="shared" ca="1" si="0"/>
        <v>1</v>
      </c>
    </row>
    <row r="322" spans="1:36" ht="46.5">
      <c r="A322" s="51" t="s">
        <v>1482</v>
      </c>
      <c r="B322" s="51" t="s">
        <v>1861</v>
      </c>
      <c r="C322" s="7" t="s">
        <v>1862</v>
      </c>
      <c r="D322" s="23" t="s">
        <v>1863</v>
      </c>
      <c r="E322" s="22" t="s">
        <v>49</v>
      </c>
      <c r="F322" s="22" t="s">
        <v>228</v>
      </c>
      <c r="G322" s="22" t="s">
        <v>79</v>
      </c>
      <c r="H322" s="22" t="s">
        <v>126</v>
      </c>
      <c r="I322" s="22" t="s">
        <v>307</v>
      </c>
      <c r="J322" s="22" t="s">
        <v>53</v>
      </c>
      <c r="K322" s="22" t="s">
        <v>54</v>
      </c>
      <c r="L322" s="22" t="s">
        <v>53</v>
      </c>
      <c r="M322" s="22" t="s">
        <v>912</v>
      </c>
      <c r="N322" s="22" t="s">
        <v>59</v>
      </c>
      <c r="O322" s="22" t="s">
        <v>84</v>
      </c>
      <c r="P322" s="22" t="s">
        <v>57</v>
      </c>
      <c r="Q322" s="22" t="s">
        <v>63</v>
      </c>
      <c r="R322" s="25"/>
      <c r="S322" s="22" t="s">
        <v>61</v>
      </c>
      <c r="T322" s="22" t="s">
        <v>62</v>
      </c>
      <c r="U322" s="22" t="s">
        <v>63</v>
      </c>
      <c r="V322" s="22" t="s">
        <v>64</v>
      </c>
      <c r="W322" s="25"/>
      <c r="X322" s="35" t="s">
        <v>917</v>
      </c>
      <c r="Y322" s="22" t="s">
        <v>376</v>
      </c>
      <c r="Z322" s="22" t="s">
        <v>1864</v>
      </c>
      <c r="AA322" s="22" t="s">
        <v>272</v>
      </c>
      <c r="AC322" s="22" t="s">
        <v>176</v>
      </c>
      <c r="AD322" s="27" t="s">
        <v>71</v>
      </c>
      <c r="AE322" s="22" t="s">
        <v>928</v>
      </c>
      <c r="AF322" s="33" t="s">
        <v>1865</v>
      </c>
      <c r="AG322" s="33" t="s">
        <v>352</v>
      </c>
      <c r="AI322" s="25" t="str">
        <f ca="1">IFERROR(__xludf.DUMMYFUNCTION("""COMPUTED_VALUE"""),"61aed8ba2691f142c6bbb543")</f>
        <v>61aed8ba2691f142c6bbb543</v>
      </c>
      <c r="AJ322" s="25">
        <f t="shared" ca="1" si="0"/>
        <v>1</v>
      </c>
    </row>
    <row r="323" spans="1:36" ht="46.5">
      <c r="A323" s="51" t="s">
        <v>1482</v>
      </c>
      <c r="B323" s="51" t="s">
        <v>1866</v>
      </c>
      <c r="C323" s="22" t="s">
        <v>1867</v>
      </c>
      <c r="D323" s="23" t="s">
        <v>1868</v>
      </c>
      <c r="E323" s="22" t="s">
        <v>49</v>
      </c>
      <c r="F323" s="22" t="s">
        <v>50</v>
      </c>
      <c r="G323" s="22" t="s">
        <v>49</v>
      </c>
      <c r="H323" s="22" t="s">
        <v>51</v>
      </c>
      <c r="I323" s="22" t="s">
        <v>81</v>
      </c>
      <c r="J323" s="22" t="s">
        <v>107</v>
      </c>
      <c r="K323" s="22" t="s">
        <v>856</v>
      </c>
      <c r="L323" s="22" t="s">
        <v>53</v>
      </c>
      <c r="M323" s="22" t="s">
        <v>83</v>
      </c>
      <c r="N323" s="22" t="s">
        <v>59</v>
      </c>
      <c r="O323" s="22" t="s">
        <v>84</v>
      </c>
      <c r="P323" s="22" t="s">
        <v>85</v>
      </c>
      <c r="Q323" s="22" t="s">
        <v>238</v>
      </c>
      <c r="R323" s="7" t="s">
        <v>60</v>
      </c>
      <c r="S323" s="22" t="s">
        <v>61</v>
      </c>
      <c r="T323" s="22" t="s">
        <v>62</v>
      </c>
      <c r="U323" s="22" t="s">
        <v>63</v>
      </c>
      <c r="V323" s="22" t="s">
        <v>64</v>
      </c>
      <c r="W323" s="25"/>
      <c r="X323" s="35" t="s">
        <v>1869</v>
      </c>
      <c r="Y323" s="22" t="s">
        <v>569</v>
      </c>
      <c r="Z323" s="22" t="s">
        <v>416</v>
      </c>
      <c r="AA323" s="22" t="s">
        <v>425</v>
      </c>
      <c r="AC323" s="22" t="s">
        <v>176</v>
      </c>
      <c r="AD323" s="27" t="s">
        <v>71</v>
      </c>
      <c r="AE323" s="22" t="s">
        <v>928</v>
      </c>
      <c r="AF323" s="33" t="s">
        <v>1870</v>
      </c>
      <c r="AG323" s="33" t="s">
        <v>2331</v>
      </c>
      <c r="AI323" s="25" t="str">
        <f ca="1">IFERROR(__xludf.DUMMYFUNCTION("""COMPUTED_VALUE"""),"61b825ba722dff5a3a8aa9bc")</f>
        <v>61b825ba722dff5a3a8aa9bc</v>
      </c>
      <c r="AJ323" s="25">
        <f t="shared" ca="1" si="0"/>
        <v>1</v>
      </c>
    </row>
    <row r="324" spans="1:36" ht="46.5">
      <c r="A324" s="51" t="s">
        <v>1482</v>
      </c>
      <c r="B324" s="51" t="s">
        <v>1872</v>
      </c>
      <c r="C324" s="22" t="s">
        <v>1873</v>
      </c>
      <c r="D324" s="23" t="s">
        <v>2332</v>
      </c>
      <c r="E324" s="22" t="s">
        <v>49</v>
      </c>
      <c r="F324" s="22" t="s">
        <v>50</v>
      </c>
      <c r="G324" s="22" t="s">
        <v>49</v>
      </c>
      <c r="H324" s="22" t="s">
        <v>80</v>
      </c>
      <c r="I324" s="22" t="s">
        <v>81</v>
      </c>
      <c r="J324" s="22" t="s">
        <v>53</v>
      </c>
      <c r="K324" s="22" t="s">
        <v>856</v>
      </c>
      <c r="L324" s="22" t="s">
        <v>53</v>
      </c>
      <c r="M324" s="22" t="s">
        <v>83</v>
      </c>
      <c r="N324" s="22" t="s">
        <v>59</v>
      </c>
      <c r="O324" s="22" t="s">
        <v>84</v>
      </c>
      <c r="P324" s="22" t="s">
        <v>85</v>
      </c>
      <c r="Q324" s="22" t="s">
        <v>60</v>
      </c>
      <c r="R324" s="25"/>
      <c r="S324" s="22" t="s">
        <v>85</v>
      </c>
      <c r="T324" s="22" t="s">
        <v>62</v>
      </c>
      <c r="U324" s="22" t="s">
        <v>63</v>
      </c>
      <c r="V324" s="22" t="s">
        <v>64</v>
      </c>
      <c r="W324" s="25"/>
      <c r="X324" s="26" t="s">
        <v>1875</v>
      </c>
      <c r="Y324" s="22" t="s">
        <v>302</v>
      </c>
      <c r="Z324" s="22" t="s">
        <v>1057</v>
      </c>
      <c r="AA324" s="22" t="s">
        <v>1876</v>
      </c>
      <c r="AC324" s="22" t="s">
        <v>176</v>
      </c>
      <c r="AD324" s="27" t="s">
        <v>71</v>
      </c>
      <c r="AE324" s="22" t="s">
        <v>928</v>
      </c>
      <c r="AF324" s="33" t="s">
        <v>1843</v>
      </c>
      <c r="AG324" s="33" t="s">
        <v>352</v>
      </c>
      <c r="AI324" s="25" t="str">
        <f ca="1">IFERROR(__xludf.DUMMYFUNCTION("""COMPUTED_VALUE"""),"61b9d8e62062486b33489fa5")</f>
        <v>61b9d8e62062486b33489fa5</v>
      </c>
      <c r="AJ324" s="25">
        <f t="shared" ca="1" si="0"/>
        <v>1</v>
      </c>
    </row>
    <row r="325" spans="1:36" ht="46.5">
      <c r="A325" s="51" t="s">
        <v>1482</v>
      </c>
      <c r="B325" s="51" t="s">
        <v>1877</v>
      </c>
      <c r="C325" s="22" t="s">
        <v>1878</v>
      </c>
      <c r="D325" s="23" t="s">
        <v>1879</v>
      </c>
      <c r="E325" s="22" t="s">
        <v>49</v>
      </c>
      <c r="F325" s="22" t="s">
        <v>95</v>
      </c>
      <c r="G325" s="22" t="s">
        <v>79</v>
      </c>
      <c r="H325" s="22" t="s">
        <v>51</v>
      </c>
      <c r="I325" s="22" t="s">
        <v>52</v>
      </c>
      <c r="J325" s="22" t="s">
        <v>53</v>
      </c>
      <c r="K325" s="22" t="s">
        <v>182</v>
      </c>
      <c r="L325" s="22" t="s">
        <v>55</v>
      </c>
      <c r="M325" s="22" t="s">
        <v>83</v>
      </c>
      <c r="N325" s="22" t="s">
        <v>59</v>
      </c>
      <c r="O325" s="22" t="s">
        <v>84</v>
      </c>
      <c r="P325" s="22" t="s">
        <v>59</v>
      </c>
      <c r="Q325" s="7" t="s">
        <v>98</v>
      </c>
      <c r="R325" s="22" t="s">
        <v>153</v>
      </c>
      <c r="S325" s="22" t="s">
        <v>61</v>
      </c>
      <c r="T325" s="22" t="s">
        <v>62</v>
      </c>
      <c r="U325" s="22" t="s">
        <v>63</v>
      </c>
      <c r="V325" s="22" t="s">
        <v>64</v>
      </c>
      <c r="W325" s="25"/>
      <c r="X325" s="26" t="s">
        <v>1438</v>
      </c>
      <c r="Y325" s="22" t="s">
        <v>792</v>
      </c>
      <c r="Z325" s="22" t="s">
        <v>866</v>
      </c>
      <c r="AA325" s="22" t="s">
        <v>1474</v>
      </c>
      <c r="AC325" s="22" t="s">
        <v>176</v>
      </c>
      <c r="AD325" s="27" t="s">
        <v>71</v>
      </c>
      <c r="AE325" s="22" t="s">
        <v>928</v>
      </c>
      <c r="AF325" s="33" t="s">
        <v>1880</v>
      </c>
      <c r="AG325" s="33" t="s">
        <v>352</v>
      </c>
      <c r="AI325" s="25" t="str">
        <f ca="1">IFERROR(__xludf.DUMMYFUNCTION("""COMPUTED_VALUE"""),"61bc3b9568efc0b7ed0331ff")</f>
        <v>61bc3b9568efc0b7ed0331ff</v>
      </c>
      <c r="AJ325" s="25">
        <f t="shared" ca="1" si="0"/>
        <v>1</v>
      </c>
    </row>
    <row r="326" spans="1:36" ht="96" customHeight="1">
      <c r="A326" s="51" t="s">
        <v>1482</v>
      </c>
      <c r="B326" s="51" t="s">
        <v>1881</v>
      </c>
      <c r="C326" s="22" t="s">
        <v>1882</v>
      </c>
      <c r="D326" s="23" t="s">
        <v>2333</v>
      </c>
      <c r="E326" s="22" t="s">
        <v>49</v>
      </c>
      <c r="F326" s="22" t="s">
        <v>50</v>
      </c>
      <c r="G326" s="22" t="s">
        <v>79</v>
      </c>
      <c r="H326" s="22" t="s">
        <v>169</v>
      </c>
      <c r="I326" s="22" t="s">
        <v>81</v>
      </c>
      <c r="J326" s="22" t="s">
        <v>53</v>
      </c>
      <c r="K326" s="22" t="s">
        <v>144</v>
      </c>
      <c r="L326" s="22" t="s">
        <v>53</v>
      </c>
      <c r="M326" s="22" t="s">
        <v>83</v>
      </c>
      <c r="N326" s="22" t="s">
        <v>537</v>
      </c>
      <c r="O326" s="22" t="s">
        <v>84</v>
      </c>
      <c r="P326" s="22" t="s">
        <v>59</v>
      </c>
      <c r="Q326" s="22" t="s">
        <v>203</v>
      </c>
      <c r="R326" s="25"/>
      <c r="S326" s="22" t="s">
        <v>537</v>
      </c>
      <c r="T326" s="22" t="s">
        <v>62</v>
      </c>
      <c r="U326" s="22" t="s">
        <v>63</v>
      </c>
      <c r="V326" s="22" t="s">
        <v>64</v>
      </c>
      <c r="W326" s="25"/>
      <c r="X326" s="26" t="s">
        <v>154</v>
      </c>
      <c r="Y326" s="22" t="s">
        <v>277</v>
      </c>
      <c r="Z326" s="22" t="s">
        <v>1406</v>
      </c>
      <c r="AA326" s="22" t="s">
        <v>1412</v>
      </c>
      <c r="AC326" s="22" t="s">
        <v>176</v>
      </c>
      <c r="AD326" s="27" t="s">
        <v>71</v>
      </c>
      <c r="AE326" s="22" t="s">
        <v>928</v>
      </c>
      <c r="AF326" s="33" t="s">
        <v>1843</v>
      </c>
      <c r="AG326" s="33" t="s">
        <v>1884</v>
      </c>
      <c r="AI326" s="25" t="str">
        <f ca="1">IFERROR(__xludf.DUMMYFUNCTION("""COMPUTED_VALUE"""),"61c1a317ecd51546a324ce94")</f>
        <v>61c1a317ecd51546a324ce94</v>
      </c>
      <c r="AJ326" s="25">
        <f t="shared" ca="1" si="0"/>
        <v>1</v>
      </c>
    </row>
    <row r="327" spans="1:36" ht="31">
      <c r="A327" s="51" t="s">
        <v>1482</v>
      </c>
      <c r="B327" s="51" t="s">
        <v>1885</v>
      </c>
      <c r="C327" s="22" t="s">
        <v>1886</v>
      </c>
      <c r="D327" s="23" t="s">
        <v>2334</v>
      </c>
      <c r="E327" s="22" t="s">
        <v>49</v>
      </c>
      <c r="F327" s="22" t="s">
        <v>50</v>
      </c>
      <c r="G327" s="22" t="s">
        <v>49</v>
      </c>
      <c r="H327" s="22" t="s">
        <v>51</v>
      </c>
      <c r="I327" s="22" t="s">
        <v>81</v>
      </c>
      <c r="J327" s="7" t="s">
        <v>109</v>
      </c>
      <c r="K327" s="22" t="s">
        <v>856</v>
      </c>
      <c r="L327" s="22" t="s">
        <v>53</v>
      </c>
      <c r="M327" s="22" t="s">
        <v>912</v>
      </c>
      <c r="N327" s="22" t="s">
        <v>59</v>
      </c>
      <c r="O327" s="22" t="s">
        <v>84</v>
      </c>
      <c r="P327" s="22" t="s">
        <v>85</v>
      </c>
      <c r="Q327" s="22" t="s">
        <v>203</v>
      </c>
      <c r="R327" s="25"/>
      <c r="S327" s="22" t="s">
        <v>85</v>
      </c>
      <c r="T327" s="22" t="s">
        <v>62</v>
      </c>
      <c r="U327" s="22" t="s">
        <v>63</v>
      </c>
      <c r="V327" s="22" t="s">
        <v>64</v>
      </c>
      <c r="W327" s="25"/>
      <c r="X327" s="35" t="s">
        <v>1888</v>
      </c>
      <c r="Y327" s="22" t="s">
        <v>204</v>
      </c>
      <c r="Z327" s="22" t="s">
        <v>205</v>
      </c>
      <c r="AA327" s="22" t="s">
        <v>206</v>
      </c>
      <c r="AC327" s="22" t="s">
        <v>176</v>
      </c>
      <c r="AD327" s="27" t="s">
        <v>71</v>
      </c>
      <c r="AE327" s="22" t="s">
        <v>928</v>
      </c>
      <c r="AF327" s="33" t="s">
        <v>1889</v>
      </c>
      <c r="AG327" s="33" t="s">
        <v>2335</v>
      </c>
      <c r="AI327" s="25" t="str">
        <f ca="1">IFERROR(__xludf.DUMMYFUNCTION("""COMPUTED_VALUE"""),"61ce9bac914dd1f25be5d543")</f>
        <v>61ce9bac914dd1f25be5d543</v>
      </c>
      <c r="AJ327" s="25">
        <f t="shared" ca="1" si="0"/>
        <v>1</v>
      </c>
    </row>
    <row r="328" spans="1:36" ht="62">
      <c r="A328" s="51" t="s">
        <v>1482</v>
      </c>
      <c r="B328" s="51" t="s">
        <v>1891</v>
      </c>
      <c r="C328" s="22" t="s">
        <v>1892</v>
      </c>
      <c r="D328" s="23" t="s">
        <v>2336</v>
      </c>
      <c r="E328" s="22" t="s">
        <v>49</v>
      </c>
      <c r="F328" s="22" t="s">
        <v>618</v>
      </c>
      <c r="G328" s="22" t="s">
        <v>49</v>
      </c>
      <c r="H328" s="22" t="s">
        <v>51</v>
      </c>
      <c r="I328" s="22" t="s">
        <v>52</v>
      </c>
      <c r="J328" s="22" t="s">
        <v>53</v>
      </c>
      <c r="K328" s="22" t="s">
        <v>182</v>
      </c>
      <c r="L328" s="22" t="s">
        <v>55</v>
      </c>
      <c r="M328" s="22" t="s">
        <v>56</v>
      </c>
      <c r="N328" s="22" t="s">
        <v>59</v>
      </c>
      <c r="O328" s="22" t="s">
        <v>490</v>
      </c>
      <c r="P328" s="22" t="s">
        <v>59</v>
      </c>
      <c r="Q328" s="22" t="s">
        <v>60</v>
      </c>
      <c r="R328" s="25"/>
      <c r="S328" s="22" t="s">
        <v>294</v>
      </c>
      <c r="T328" s="22" t="s">
        <v>62</v>
      </c>
      <c r="U328" s="22" t="s">
        <v>63</v>
      </c>
      <c r="V328" s="22" t="s">
        <v>64</v>
      </c>
      <c r="W328" s="25"/>
      <c r="X328" s="35" t="s">
        <v>145</v>
      </c>
      <c r="Y328" s="22" t="s">
        <v>99</v>
      </c>
      <c r="Z328" s="22" t="s">
        <v>1406</v>
      </c>
      <c r="AA328" s="22" t="s">
        <v>1517</v>
      </c>
      <c r="AC328" s="22" t="s">
        <v>176</v>
      </c>
      <c r="AD328" s="27" t="s">
        <v>71</v>
      </c>
      <c r="AE328" s="22" t="s">
        <v>928</v>
      </c>
      <c r="AF328" s="33" t="s">
        <v>1843</v>
      </c>
      <c r="AG328" s="33" t="s">
        <v>1894</v>
      </c>
      <c r="AI328" s="25" t="str">
        <f ca="1">IFERROR(__xludf.DUMMYFUNCTION("""COMPUTED_VALUE"""),"61d56d9acb66143a80107869")</f>
        <v>61d56d9acb66143a80107869</v>
      </c>
      <c r="AJ328" s="25">
        <f t="shared" ca="1" si="0"/>
        <v>1</v>
      </c>
    </row>
    <row r="329" spans="1:36" ht="46.5">
      <c r="A329" s="51" t="s">
        <v>1482</v>
      </c>
      <c r="B329" s="51" t="s">
        <v>1895</v>
      </c>
      <c r="C329" s="22" t="s">
        <v>1896</v>
      </c>
      <c r="D329" s="23" t="s">
        <v>1897</v>
      </c>
      <c r="E329" s="22" t="s">
        <v>49</v>
      </c>
      <c r="F329" s="22" t="s">
        <v>95</v>
      </c>
      <c r="G329" s="22" t="s">
        <v>49</v>
      </c>
      <c r="H329" s="22" t="s">
        <v>169</v>
      </c>
      <c r="I329" s="22" t="s">
        <v>307</v>
      </c>
      <c r="J329" s="22" t="s">
        <v>53</v>
      </c>
      <c r="K329" s="22" t="s">
        <v>144</v>
      </c>
      <c r="L329" s="22" t="s">
        <v>53</v>
      </c>
      <c r="M329" s="22" t="s">
        <v>83</v>
      </c>
      <c r="N329" s="22" t="s">
        <v>57</v>
      </c>
      <c r="O329" s="22" t="s">
        <v>84</v>
      </c>
      <c r="P329" s="22" t="s">
        <v>85</v>
      </c>
      <c r="Q329" s="22" t="s">
        <v>86</v>
      </c>
      <c r="R329" s="84"/>
      <c r="S329" s="22" t="s">
        <v>61</v>
      </c>
      <c r="T329" s="22" t="s">
        <v>62</v>
      </c>
      <c r="U329" s="22" t="s">
        <v>515</v>
      </c>
      <c r="V329" s="22" t="s">
        <v>118</v>
      </c>
      <c r="W329" s="25"/>
      <c r="X329" s="35" t="s">
        <v>1338</v>
      </c>
      <c r="Y329" s="22" t="s">
        <v>357</v>
      </c>
      <c r="Z329" s="22" t="s">
        <v>461</v>
      </c>
      <c r="AA329" s="22" t="s">
        <v>997</v>
      </c>
      <c r="AC329" s="22" t="s">
        <v>176</v>
      </c>
      <c r="AD329" s="27" t="s">
        <v>71</v>
      </c>
      <c r="AE329" s="22" t="s">
        <v>928</v>
      </c>
      <c r="AF329" s="33" t="s">
        <v>1898</v>
      </c>
      <c r="AG329" s="33" t="s">
        <v>2337</v>
      </c>
      <c r="AI329" s="25"/>
    </row>
    <row r="330" spans="1:36" ht="46.5">
      <c r="A330" s="51" t="s">
        <v>1482</v>
      </c>
      <c r="B330" s="51" t="s">
        <v>1900</v>
      </c>
      <c r="C330" s="22" t="s">
        <v>1901</v>
      </c>
      <c r="D330" s="23" t="s">
        <v>1902</v>
      </c>
      <c r="E330" s="22" t="s">
        <v>53</v>
      </c>
      <c r="F330" s="22" t="s">
        <v>269</v>
      </c>
      <c r="G330" s="22" t="s">
        <v>49</v>
      </c>
      <c r="H330" s="22" t="s">
        <v>192</v>
      </c>
      <c r="I330" s="22" t="s">
        <v>81</v>
      </c>
      <c r="J330" s="22" t="s">
        <v>501</v>
      </c>
      <c r="K330" s="22" t="s">
        <v>96</v>
      </c>
      <c r="L330" s="22" t="s">
        <v>53</v>
      </c>
      <c r="M330" s="22" t="s">
        <v>56</v>
      </c>
      <c r="N330" s="22" t="s">
        <v>59</v>
      </c>
      <c r="O330" s="22" t="s">
        <v>84</v>
      </c>
      <c r="P330" s="22" t="s">
        <v>85</v>
      </c>
      <c r="Q330" s="22" t="s">
        <v>60</v>
      </c>
      <c r="R330" s="25"/>
      <c r="S330" s="22" t="s">
        <v>85</v>
      </c>
      <c r="T330" s="22" t="s">
        <v>62</v>
      </c>
      <c r="U330" s="22" t="s">
        <v>63</v>
      </c>
      <c r="V330" s="22" t="s">
        <v>64</v>
      </c>
      <c r="W330" s="25"/>
      <c r="X330" s="35" t="s">
        <v>1523</v>
      </c>
      <c r="Y330" s="22" t="s">
        <v>1903</v>
      </c>
      <c r="Z330" s="22" t="s">
        <v>1537</v>
      </c>
      <c r="AA330" s="22" t="s">
        <v>272</v>
      </c>
      <c r="AC330" s="22" t="s">
        <v>176</v>
      </c>
      <c r="AD330" s="27" t="s">
        <v>71</v>
      </c>
      <c r="AE330" s="22" t="s">
        <v>928</v>
      </c>
      <c r="AF330" s="33" t="s">
        <v>1904</v>
      </c>
      <c r="AG330" s="33" t="s">
        <v>352</v>
      </c>
    </row>
    <row r="331" spans="1:36" ht="42.5">
      <c r="A331" s="51" t="s">
        <v>1482</v>
      </c>
      <c r="B331" s="51" t="s">
        <v>1905</v>
      </c>
      <c r="C331" s="22" t="s">
        <v>1906</v>
      </c>
      <c r="D331" s="80" t="s">
        <v>1907</v>
      </c>
      <c r="E331" s="22" t="s">
        <v>49</v>
      </c>
      <c r="F331" s="22" t="s">
        <v>78</v>
      </c>
      <c r="G331" s="22" t="s">
        <v>49</v>
      </c>
      <c r="H331" s="22" t="s">
        <v>51</v>
      </c>
      <c r="I331" s="22" t="s">
        <v>52</v>
      </c>
      <c r="J331" s="22" t="s">
        <v>501</v>
      </c>
      <c r="K331" s="22" t="s">
        <v>182</v>
      </c>
      <c r="L331" s="22" t="s">
        <v>55</v>
      </c>
      <c r="M331" s="22" t="s">
        <v>83</v>
      </c>
      <c r="N331" s="22" t="s">
        <v>59</v>
      </c>
      <c r="O331" s="22" t="s">
        <v>84</v>
      </c>
      <c r="P331" s="22" t="s">
        <v>85</v>
      </c>
      <c r="Q331" s="22" t="s">
        <v>60</v>
      </c>
      <c r="R331" s="25"/>
      <c r="S331" s="22" t="s">
        <v>85</v>
      </c>
      <c r="T331" s="22" t="s">
        <v>62</v>
      </c>
      <c r="U331" s="22" t="s">
        <v>63</v>
      </c>
      <c r="V331" s="22" t="s">
        <v>64</v>
      </c>
      <c r="W331" s="25"/>
      <c r="X331" s="69" t="s">
        <v>154</v>
      </c>
      <c r="Y331" s="68" t="s">
        <v>770</v>
      </c>
      <c r="Z331" s="22" t="s">
        <v>1419</v>
      </c>
      <c r="AA331" s="22" t="s">
        <v>1420</v>
      </c>
      <c r="AC331" s="22" t="s">
        <v>70</v>
      </c>
      <c r="AD331" s="27" t="s">
        <v>71</v>
      </c>
      <c r="AE331" s="22" t="s">
        <v>928</v>
      </c>
      <c r="AF331" s="34"/>
      <c r="AG331" s="34"/>
    </row>
    <row r="332" spans="1:36" ht="15.5">
      <c r="A332" s="45"/>
      <c r="B332" s="45"/>
      <c r="D332" s="85"/>
      <c r="AD332" s="34"/>
      <c r="AE332" s="34"/>
      <c r="AF332" s="34"/>
      <c r="AG332" s="34"/>
    </row>
    <row r="333" spans="1:36" ht="15.5">
      <c r="A333" s="45"/>
      <c r="B333" s="45"/>
      <c r="D333" s="85"/>
      <c r="AD333" s="34"/>
      <c r="AE333" s="34"/>
      <c r="AF333" s="34"/>
      <c r="AG333" s="34"/>
    </row>
    <row r="334" spans="1:36" ht="15.5">
      <c r="A334" s="45"/>
      <c r="B334" s="45"/>
      <c r="D334" s="85"/>
      <c r="AD334" s="34"/>
      <c r="AE334" s="34"/>
      <c r="AF334" s="34"/>
      <c r="AG334" s="34"/>
    </row>
    <row r="335" spans="1:36" ht="15.5">
      <c r="A335" s="45"/>
      <c r="B335" s="45"/>
      <c r="D335" s="85"/>
      <c r="AD335" s="34"/>
      <c r="AE335" s="34"/>
      <c r="AF335" s="34"/>
      <c r="AG335" s="34"/>
    </row>
    <row r="336" spans="1:36" ht="15.5">
      <c r="A336" s="45"/>
      <c r="B336" s="45"/>
      <c r="D336" s="85"/>
      <c r="AD336" s="34"/>
      <c r="AE336" s="34"/>
      <c r="AF336" s="34"/>
      <c r="AG336" s="34"/>
    </row>
    <row r="337" spans="1:33" ht="15.5">
      <c r="A337" s="45"/>
      <c r="B337" s="45"/>
      <c r="D337" s="85"/>
      <c r="AD337" s="34"/>
      <c r="AE337" s="34"/>
      <c r="AF337" s="34"/>
      <c r="AG337" s="34"/>
    </row>
    <row r="338" spans="1:33" ht="15.5">
      <c r="A338" s="45"/>
      <c r="B338" s="45"/>
      <c r="D338" s="85"/>
      <c r="AD338" s="34"/>
      <c r="AE338" s="34"/>
      <c r="AF338" s="34"/>
      <c r="AG338" s="34"/>
    </row>
    <row r="339" spans="1:33" ht="15.5">
      <c r="A339" s="45"/>
      <c r="B339" s="45"/>
      <c r="D339" s="85"/>
      <c r="AD339" s="34"/>
      <c r="AE339" s="34"/>
      <c r="AF339" s="34"/>
      <c r="AG339" s="34"/>
    </row>
    <row r="340" spans="1:33" ht="15.5">
      <c r="A340" s="45"/>
      <c r="B340" s="45"/>
      <c r="D340" s="85"/>
      <c r="AD340" s="34"/>
      <c r="AE340" s="34"/>
      <c r="AF340" s="34"/>
      <c r="AG340" s="34"/>
    </row>
    <row r="341" spans="1:33" ht="15.5">
      <c r="A341" s="45"/>
      <c r="B341" s="45"/>
      <c r="D341" s="85"/>
      <c r="AD341" s="34"/>
      <c r="AE341" s="34"/>
      <c r="AF341" s="34"/>
      <c r="AG341" s="34"/>
    </row>
    <row r="342" spans="1:33" ht="15.5">
      <c r="A342" s="45"/>
      <c r="B342" s="45"/>
      <c r="D342" s="85"/>
      <c r="AD342" s="34"/>
      <c r="AE342" s="34"/>
      <c r="AF342" s="34"/>
      <c r="AG342" s="34"/>
    </row>
    <row r="343" spans="1:33" ht="15.5">
      <c r="A343" s="45"/>
      <c r="B343" s="45"/>
      <c r="D343" s="85"/>
      <c r="AD343" s="34"/>
      <c r="AE343" s="34"/>
      <c r="AF343" s="34"/>
      <c r="AG343" s="34"/>
    </row>
    <row r="344" spans="1:33" ht="15.5">
      <c r="A344" s="45"/>
      <c r="B344" s="45"/>
      <c r="D344" s="85"/>
      <c r="AD344" s="34"/>
      <c r="AE344" s="34"/>
      <c r="AF344" s="34"/>
      <c r="AG344" s="34"/>
    </row>
    <row r="345" spans="1:33" ht="15.5">
      <c r="A345" s="45"/>
      <c r="B345" s="45"/>
      <c r="D345" s="85"/>
      <c r="AD345" s="34"/>
      <c r="AE345" s="34"/>
      <c r="AF345" s="34"/>
      <c r="AG345" s="34"/>
    </row>
    <row r="346" spans="1:33" ht="15.5">
      <c r="A346" s="45"/>
      <c r="B346" s="45"/>
      <c r="D346" s="85"/>
      <c r="AD346" s="34"/>
      <c r="AE346" s="34"/>
      <c r="AF346" s="34"/>
      <c r="AG346" s="34"/>
    </row>
    <row r="347" spans="1:33" ht="15.5">
      <c r="A347" s="45"/>
      <c r="B347" s="45"/>
      <c r="D347" s="85"/>
      <c r="AD347" s="34"/>
      <c r="AE347" s="34"/>
      <c r="AF347" s="34"/>
      <c r="AG347" s="34"/>
    </row>
    <row r="348" spans="1:33" ht="15.5">
      <c r="A348" s="45"/>
      <c r="B348" s="45"/>
      <c r="D348" s="85"/>
      <c r="AD348" s="34"/>
      <c r="AE348" s="34"/>
      <c r="AF348" s="34"/>
      <c r="AG348" s="34"/>
    </row>
    <row r="349" spans="1:33" ht="15.5">
      <c r="A349" s="45"/>
      <c r="B349" s="45"/>
      <c r="D349" s="85"/>
      <c r="AD349" s="34"/>
      <c r="AE349" s="34"/>
      <c r="AF349" s="34"/>
      <c r="AG349" s="34"/>
    </row>
    <row r="350" spans="1:33" ht="15.5">
      <c r="A350" s="45"/>
      <c r="B350" s="45"/>
      <c r="D350" s="85"/>
      <c r="AD350" s="34"/>
      <c r="AE350" s="34"/>
      <c r="AF350" s="34"/>
      <c r="AG350" s="34"/>
    </row>
    <row r="351" spans="1:33" ht="15.5">
      <c r="A351" s="45"/>
      <c r="B351" s="45"/>
      <c r="D351" s="85"/>
      <c r="AD351" s="34"/>
      <c r="AE351" s="34"/>
      <c r="AF351" s="34"/>
      <c r="AG351" s="34"/>
    </row>
    <row r="352" spans="1:33" ht="15.5">
      <c r="A352" s="45"/>
      <c r="B352" s="45"/>
      <c r="D352" s="85"/>
      <c r="AD352" s="34"/>
      <c r="AE352" s="34"/>
      <c r="AF352" s="34"/>
      <c r="AG352" s="34"/>
    </row>
    <row r="353" spans="1:33" ht="15.5">
      <c r="A353" s="45"/>
      <c r="B353" s="45"/>
      <c r="D353" s="85"/>
      <c r="AD353" s="34"/>
      <c r="AE353" s="34"/>
      <c r="AF353" s="34"/>
      <c r="AG353" s="34"/>
    </row>
    <row r="354" spans="1:33" ht="15.5">
      <c r="A354" s="45"/>
      <c r="B354" s="45"/>
      <c r="D354" s="85"/>
      <c r="AD354" s="34"/>
      <c r="AE354" s="34"/>
      <c r="AF354" s="34"/>
      <c r="AG354" s="34"/>
    </row>
    <row r="355" spans="1:33" ht="15.5">
      <c r="A355" s="45"/>
      <c r="B355" s="45"/>
      <c r="D355" s="85"/>
      <c r="AD355" s="34"/>
      <c r="AE355" s="34"/>
      <c r="AF355" s="34"/>
      <c r="AG355" s="34"/>
    </row>
    <row r="356" spans="1:33" ht="15.5">
      <c r="A356" s="45"/>
      <c r="B356" s="45"/>
      <c r="D356" s="85"/>
      <c r="AD356" s="34"/>
      <c r="AE356" s="34"/>
      <c r="AF356" s="34"/>
      <c r="AG356" s="34"/>
    </row>
    <row r="357" spans="1:33" ht="15.5">
      <c r="A357" s="45"/>
      <c r="B357" s="45"/>
      <c r="D357" s="85"/>
      <c r="AD357" s="34"/>
      <c r="AE357" s="34"/>
      <c r="AF357" s="34"/>
      <c r="AG357" s="34"/>
    </row>
    <row r="358" spans="1:33" ht="15.5">
      <c r="A358" s="45"/>
      <c r="B358" s="45"/>
      <c r="D358" s="85"/>
      <c r="AD358" s="34"/>
      <c r="AE358" s="34"/>
      <c r="AF358" s="34"/>
      <c r="AG358" s="34"/>
    </row>
    <row r="359" spans="1:33" ht="15.5">
      <c r="A359" s="45"/>
      <c r="B359" s="45"/>
      <c r="D359" s="85"/>
      <c r="AD359" s="34"/>
      <c r="AE359" s="34"/>
      <c r="AF359" s="34"/>
      <c r="AG359" s="34"/>
    </row>
    <row r="360" spans="1:33" ht="15.5">
      <c r="A360" s="45"/>
      <c r="B360" s="45"/>
      <c r="D360" s="85"/>
      <c r="AD360" s="34"/>
      <c r="AE360" s="34"/>
      <c r="AF360" s="34"/>
      <c r="AG360" s="34"/>
    </row>
    <row r="361" spans="1:33" ht="15.5">
      <c r="A361" s="45"/>
      <c r="B361" s="45"/>
      <c r="D361" s="85"/>
      <c r="AD361" s="34"/>
      <c r="AE361" s="34"/>
      <c r="AF361" s="34"/>
      <c r="AG361" s="34"/>
    </row>
    <row r="362" spans="1:33" ht="15.5">
      <c r="A362" s="45"/>
      <c r="B362" s="45"/>
      <c r="D362" s="85"/>
      <c r="AD362" s="34"/>
      <c r="AE362" s="34"/>
      <c r="AF362" s="34"/>
      <c r="AG362" s="34"/>
    </row>
    <row r="363" spans="1:33" ht="15.5">
      <c r="A363" s="45"/>
      <c r="B363" s="45"/>
      <c r="D363" s="85"/>
      <c r="AD363" s="34"/>
      <c r="AE363" s="34"/>
      <c r="AF363" s="34"/>
      <c r="AG363" s="34"/>
    </row>
    <row r="364" spans="1:33" ht="15.5">
      <c r="A364" s="45"/>
      <c r="B364" s="45"/>
      <c r="D364" s="85"/>
      <c r="AD364" s="34"/>
      <c r="AE364" s="34"/>
      <c r="AF364" s="34"/>
      <c r="AG364" s="34"/>
    </row>
    <row r="365" spans="1:33" ht="15.5">
      <c r="A365" s="45"/>
      <c r="B365" s="45"/>
      <c r="D365" s="85"/>
      <c r="AD365" s="34"/>
      <c r="AE365" s="34"/>
      <c r="AF365" s="34"/>
      <c r="AG365" s="34"/>
    </row>
    <row r="366" spans="1:33" ht="15.5">
      <c r="A366" s="45"/>
      <c r="B366" s="45"/>
      <c r="D366" s="85"/>
      <c r="AD366" s="34"/>
      <c r="AE366" s="34"/>
      <c r="AF366" s="34"/>
      <c r="AG366" s="34"/>
    </row>
    <row r="367" spans="1:33" ht="15.5">
      <c r="A367" s="45"/>
      <c r="B367" s="45"/>
      <c r="D367" s="85"/>
      <c r="AD367" s="34"/>
      <c r="AE367" s="34"/>
      <c r="AF367" s="34"/>
      <c r="AG367" s="34"/>
    </row>
    <row r="368" spans="1:33" ht="15.5">
      <c r="A368" s="45"/>
      <c r="B368" s="45"/>
      <c r="D368" s="85"/>
      <c r="AD368" s="34"/>
      <c r="AE368" s="34"/>
      <c r="AF368" s="34"/>
      <c r="AG368" s="34"/>
    </row>
    <row r="369" spans="1:33" ht="15.5">
      <c r="A369" s="45"/>
      <c r="B369" s="45"/>
      <c r="D369" s="85"/>
      <c r="AD369" s="34"/>
      <c r="AE369" s="34"/>
      <c r="AF369" s="34"/>
      <c r="AG369" s="34"/>
    </row>
    <row r="370" spans="1:33" ht="15.5">
      <c r="A370" s="45"/>
      <c r="B370" s="45"/>
      <c r="D370" s="85"/>
      <c r="AD370" s="34"/>
      <c r="AE370" s="34"/>
      <c r="AF370" s="34"/>
      <c r="AG370" s="34"/>
    </row>
    <row r="371" spans="1:33" ht="15.5">
      <c r="A371" s="45"/>
      <c r="B371" s="45"/>
      <c r="D371" s="85"/>
      <c r="AD371" s="34"/>
      <c r="AE371" s="34"/>
      <c r="AF371" s="34"/>
      <c r="AG371" s="34"/>
    </row>
    <row r="372" spans="1:33" ht="15.5">
      <c r="A372" s="45"/>
      <c r="B372" s="45"/>
      <c r="D372" s="85"/>
      <c r="AD372" s="34"/>
      <c r="AE372" s="34"/>
      <c r="AF372" s="34"/>
      <c r="AG372" s="34"/>
    </row>
    <row r="373" spans="1:33" ht="15.5">
      <c r="A373" s="45"/>
      <c r="B373" s="45"/>
      <c r="D373" s="85"/>
      <c r="AD373" s="34"/>
      <c r="AE373" s="34"/>
      <c r="AF373" s="34"/>
      <c r="AG373" s="34"/>
    </row>
    <row r="374" spans="1:33" ht="15.5">
      <c r="A374" s="45"/>
      <c r="B374" s="45"/>
      <c r="D374" s="85"/>
      <c r="AD374" s="34"/>
      <c r="AE374" s="34"/>
      <c r="AF374" s="34"/>
      <c r="AG374" s="34"/>
    </row>
    <row r="375" spans="1:33" ht="15.5">
      <c r="A375" s="45"/>
      <c r="B375" s="45"/>
      <c r="D375" s="85"/>
      <c r="AD375" s="34"/>
      <c r="AE375" s="34"/>
      <c r="AF375" s="34"/>
      <c r="AG375" s="34"/>
    </row>
    <row r="376" spans="1:33" ht="15.5">
      <c r="A376" s="45"/>
      <c r="B376" s="45"/>
      <c r="D376" s="85"/>
      <c r="AD376" s="34"/>
      <c r="AE376" s="34"/>
      <c r="AF376" s="34"/>
      <c r="AG376" s="34"/>
    </row>
    <row r="377" spans="1:33" ht="15.5">
      <c r="A377" s="45"/>
      <c r="B377" s="45"/>
      <c r="D377" s="85"/>
      <c r="AD377" s="34"/>
      <c r="AE377" s="34"/>
      <c r="AF377" s="34"/>
      <c r="AG377" s="34"/>
    </row>
    <row r="378" spans="1:33" ht="15.5">
      <c r="A378" s="45"/>
      <c r="B378" s="45"/>
      <c r="D378" s="85"/>
      <c r="AD378" s="34"/>
      <c r="AE378" s="34"/>
      <c r="AF378" s="34"/>
      <c r="AG378" s="34"/>
    </row>
    <row r="379" spans="1:33" ht="15.5">
      <c r="A379" s="45"/>
      <c r="B379" s="45"/>
      <c r="D379" s="85"/>
      <c r="AD379" s="34"/>
      <c r="AE379" s="34"/>
      <c r="AF379" s="34"/>
      <c r="AG379" s="34"/>
    </row>
    <row r="380" spans="1:33" ht="15.5">
      <c r="A380" s="45"/>
      <c r="B380" s="45"/>
      <c r="D380" s="85"/>
      <c r="AD380" s="34"/>
      <c r="AE380" s="34"/>
      <c r="AF380" s="34"/>
      <c r="AG380" s="34"/>
    </row>
    <row r="381" spans="1:33" ht="15.5">
      <c r="A381" s="45"/>
      <c r="B381" s="45"/>
      <c r="D381" s="85"/>
      <c r="AD381" s="34"/>
      <c r="AE381" s="34"/>
      <c r="AF381" s="34"/>
      <c r="AG381" s="34"/>
    </row>
    <row r="382" spans="1:33" ht="15.5">
      <c r="A382" s="45"/>
      <c r="B382" s="45"/>
      <c r="D382" s="85"/>
      <c r="AD382" s="34"/>
      <c r="AE382" s="34"/>
      <c r="AF382" s="34"/>
      <c r="AG382" s="34"/>
    </row>
    <row r="383" spans="1:33" ht="15.5">
      <c r="A383" s="45"/>
      <c r="B383" s="45"/>
      <c r="D383" s="85"/>
      <c r="AD383" s="34"/>
      <c r="AE383" s="34"/>
      <c r="AF383" s="34"/>
      <c r="AG383" s="34"/>
    </row>
    <row r="384" spans="1:33" ht="15.5">
      <c r="A384" s="45"/>
      <c r="B384" s="45"/>
      <c r="D384" s="85"/>
      <c r="AD384" s="34"/>
      <c r="AE384" s="34"/>
      <c r="AF384" s="34"/>
      <c r="AG384" s="34"/>
    </row>
    <row r="385" spans="1:33" ht="15.5">
      <c r="A385" s="45"/>
      <c r="B385" s="45"/>
      <c r="D385" s="85"/>
      <c r="AD385" s="34"/>
      <c r="AE385" s="34"/>
      <c r="AF385" s="34"/>
      <c r="AG385" s="34"/>
    </row>
    <row r="386" spans="1:33" ht="15.5">
      <c r="A386" s="45"/>
      <c r="B386" s="45"/>
      <c r="D386" s="85"/>
      <c r="AD386" s="34"/>
      <c r="AE386" s="34"/>
      <c r="AF386" s="34"/>
      <c r="AG386" s="34"/>
    </row>
    <row r="387" spans="1:33" ht="15.5">
      <c r="A387" s="45"/>
      <c r="B387" s="45"/>
      <c r="D387" s="85"/>
      <c r="AD387" s="34"/>
      <c r="AE387" s="34"/>
      <c r="AF387" s="34"/>
      <c r="AG387" s="34"/>
    </row>
    <row r="388" spans="1:33" ht="15.5">
      <c r="A388" s="45"/>
      <c r="B388" s="45"/>
      <c r="D388" s="85"/>
      <c r="AD388" s="34"/>
      <c r="AE388" s="34"/>
      <c r="AF388" s="34"/>
      <c r="AG388" s="34"/>
    </row>
    <row r="389" spans="1:33" ht="15.5">
      <c r="A389" s="45"/>
      <c r="B389" s="45"/>
      <c r="D389" s="85"/>
      <c r="AD389" s="34"/>
      <c r="AE389" s="34"/>
      <c r="AF389" s="34"/>
      <c r="AG389" s="34"/>
    </row>
    <row r="390" spans="1:33" ht="15.5">
      <c r="A390" s="45"/>
      <c r="B390" s="45"/>
      <c r="D390" s="85"/>
      <c r="AD390" s="34"/>
      <c r="AE390" s="34"/>
      <c r="AF390" s="34"/>
      <c r="AG390" s="34"/>
    </row>
    <row r="391" spans="1:33" ht="15.5">
      <c r="A391" s="45"/>
      <c r="B391" s="45"/>
      <c r="D391" s="85"/>
      <c r="AD391" s="34"/>
      <c r="AE391" s="34"/>
      <c r="AF391" s="34"/>
      <c r="AG391" s="34"/>
    </row>
    <row r="392" spans="1:33" ht="15.5">
      <c r="A392" s="45"/>
      <c r="B392" s="45"/>
      <c r="D392" s="85"/>
      <c r="AD392" s="34"/>
      <c r="AE392" s="34"/>
      <c r="AF392" s="34"/>
      <c r="AG392" s="34"/>
    </row>
    <row r="393" spans="1:33" ht="15.5">
      <c r="A393" s="45"/>
      <c r="B393" s="45"/>
      <c r="D393" s="85"/>
      <c r="AD393" s="34"/>
      <c r="AE393" s="34"/>
      <c r="AF393" s="34"/>
      <c r="AG393" s="34"/>
    </row>
    <row r="394" spans="1:33" ht="15.5">
      <c r="A394" s="45"/>
      <c r="B394" s="45"/>
      <c r="D394" s="85"/>
      <c r="AD394" s="34"/>
      <c r="AE394" s="34"/>
      <c r="AF394" s="34"/>
      <c r="AG394" s="34"/>
    </row>
    <row r="395" spans="1:33" ht="15.5">
      <c r="A395" s="45"/>
      <c r="B395" s="45"/>
      <c r="D395" s="85"/>
      <c r="AD395" s="34"/>
      <c r="AE395" s="34"/>
      <c r="AF395" s="34"/>
      <c r="AG395" s="34"/>
    </row>
    <row r="396" spans="1:33" ht="15.5">
      <c r="A396" s="45"/>
      <c r="B396" s="45"/>
      <c r="D396" s="85"/>
      <c r="AD396" s="34"/>
      <c r="AE396" s="34"/>
      <c r="AF396" s="34"/>
      <c r="AG396" s="34"/>
    </row>
    <row r="397" spans="1:33" ht="15.5">
      <c r="A397" s="45"/>
      <c r="B397" s="45"/>
      <c r="D397" s="85"/>
      <c r="AD397" s="34"/>
      <c r="AE397" s="34"/>
      <c r="AF397" s="34"/>
      <c r="AG397" s="34"/>
    </row>
    <row r="398" spans="1:33" ht="15.5">
      <c r="A398" s="45"/>
      <c r="B398" s="45"/>
      <c r="D398" s="85"/>
      <c r="AD398" s="34"/>
      <c r="AE398" s="34"/>
      <c r="AF398" s="34"/>
      <c r="AG398" s="34"/>
    </row>
    <row r="399" spans="1:33" ht="15.5">
      <c r="A399" s="45"/>
      <c r="B399" s="45"/>
      <c r="D399" s="85"/>
      <c r="AD399" s="34"/>
      <c r="AE399" s="34"/>
      <c r="AF399" s="34"/>
      <c r="AG399" s="34"/>
    </row>
    <row r="400" spans="1:33" ht="15.5">
      <c r="A400" s="45"/>
      <c r="B400" s="45"/>
      <c r="D400" s="85"/>
      <c r="AD400" s="34"/>
      <c r="AE400" s="34"/>
      <c r="AF400" s="34"/>
      <c r="AG400" s="34"/>
    </row>
    <row r="401" spans="1:33" ht="15.5">
      <c r="A401" s="45"/>
      <c r="B401" s="45"/>
      <c r="D401" s="85"/>
      <c r="AD401" s="34"/>
      <c r="AE401" s="34"/>
      <c r="AF401" s="34"/>
      <c r="AG401" s="34"/>
    </row>
    <row r="402" spans="1:33" ht="15.5">
      <c r="A402" s="45"/>
      <c r="B402" s="45"/>
      <c r="D402" s="85"/>
      <c r="AD402" s="34"/>
      <c r="AE402" s="34"/>
      <c r="AF402" s="34"/>
      <c r="AG402" s="34"/>
    </row>
    <row r="403" spans="1:33" ht="15.5">
      <c r="A403" s="45"/>
      <c r="B403" s="45"/>
      <c r="D403" s="85"/>
      <c r="AD403" s="34"/>
      <c r="AE403" s="34"/>
      <c r="AF403" s="34"/>
      <c r="AG403" s="34"/>
    </row>
    <row r="404" spans="1:33" ht="15.5">
      <c r="A404" s="45"/>
      <c r="B404" s="45"/>
      <c r="D404" s="85"/>
      <c r="AD404" s="34"/>
      <c r="AE404" s="34"/>
      <c r="AF404" s="34"/>
      <c r="AG404" s="34"/>
    </row>
    <row r="405" spans="1:33" ht="15.5">
      <c r="A405" s="45"/>
      <c r="B405" s="45"/>
      <c r="D405" s="85"/>
      <c r="AD405" s="34"/>
      <c r="AE405" s="34"/>
      <c r="AF405" s="34"/>
      <c r="AG405" s="34"/>
    </row>
    <row r="406" spans="1:33" ht="15.5">
      <c r="A406" s="45"/>
      <c r="B406" s="45"/>
      <c r="D406" s="85"/>
      <c r="AD406" s="34"/>
      <c r="AE406" s="34"/>
      <c r="AF406" s="34"/>
      <c r="AG406" s="34"/>
    </row>
    <row r="407" spans="1:33" ht="15.5">
      <c r="A407" s="45"/>
      <c r="B407" s="45"/>
      <c r="D407" s="85"/>
      <c r="AD407" s="34"/>
      <c r="AE407" s="34"/>
      <c r="AF407" s="34"/>
      <c r="AG407" s="34"/>
    </row>
    <row r="408" spans="1:33" ht="15.5">
      <c r="A408" s="45"/>
      <c r="B408" s="45"/>
      <c r="D408" s="85"/>
      <c r="AD408" s="34"/>
      <c r="AE408" s="34"/>
      <c r="AF408" s="34"/>
      <c r="AG408" s="34"/>
    </row>
    <row r="409" spans="1:33" ht="15.5">
      <c r="A409" s="45"/>
      <c r="B409" s="45"/>
      <c r="D409" s="85"/>
      <c r="AD409" s="34"/>
      <c r="AE409" s="34"/>
      <c r="AF409" s="34"/>
      <c r="AG409" s="34"/>
    </row>
    <row r="410" spans="1:33" ht="15.5">
      <c r="A410" s="45"/>
      <c r="B410" s="45"/>
      <c r="D410" s="85"/>
      <c r="AD410" s="34"/>
      <c r="AE410" s="34"/>
      <c r="AF410" s="34"/>
      <c r="AG410" s="34"/>
    </row>
    <row r="411" spans="1:33" ht="15.5">
      <c r="A411" s="45"/>
      <c r="B411" s="45"/>
      <c r="D411" s="85"/>
      <c r="AD411" s="34"/>
      <c r="AE411" s="34"/>
      <c r="AF411" s="34"/>
      <c r="AG411" s="34"/>
    </row>
    <row r="412" spans="1:33" ht="15.5">
      <c r="A412" s="45"/>
      <c r="B412" s="45"/>
      <c r="D412" s="85"/>
      <c r="AD412" s="34"/>
      <c r="AE412" s="34"/>
      <c r="AF412" s="34"/>
      <c r="AG412" s="34"/>
    </row>
    <row r="413" spans="1:33" ht="15.5">
      <c r="A413" s="45"/>
      <c r="B413" s="45"/>
      <c r="D413" s="85"/>
      <c r="AD413" s="34"/>
      <c r="AE413" s="34"/>
      <c r="AF413" s="34"/>
      <c r="AG413" s="34"/>
    </row>
    <row r="414" spans="1:33" ht="15.5">
      <c r="A414" s="45"/>
      <c r="B414" s="45"/>
      <c r="D414" s="85"/>
      <c r="AD414" s="34"/>
      <c r="AE414" s="34"/>
      <c r="AF414" s="34"/>
      <c r="AG414" s="34"/>
    </row>
    <row r="415" spans="1:33" ht="15.5">
      <c r="A415" s="45"/>
      <c r="B415" s="45"/>
      <c r="D415" s="85"/>
      <c r="AD415" s="34"/>
      <c r="AE415" s="34"/>
      <c r="AF415" s="34"/>
      <c r="AG415" s="34"/>
    </row>
    <row r="416" spans="1:33" ht="15.5">
      <c r="A416" s="45"/>
      <c r="B416" s="45"/>
      <c r="D416" s="85"/>
      <c r="AD416" s="34"/>
      <c r="AE416" s="34"/>
      <c r="AF416" s="34"/>
      <c r="AG416" s="34"/>
    </row>
    <row r="417" spans="1:33" ht="15.5">
      <c r="A417" s="45"/>
      <c r="B417" s="45"/>
      <c r="D417" s="85"/>
      <c r="AD417" s="34"/>
      <c r="AE417" s="34"/>
      <c r="AF417" s="34"/>
      <c r="AG417" s="34"/>
    </row>
    <row r="418" spans="1:33" ht="15.5">
      <c r="A418" s="45"/>
      <c r="B418" s="45"/>
      <c r="D418" s="85"/>
      <c r="AD418" s="34"/>
      <c r="AE418" s="34"/>
      <c r="AF418" s="34"/>
      <c r="AG418" s="34"/>
    </row>
    <row r="419" spans="1:33" ht="15.5">
      <c r="A419" s="45"/>
      <c r="B419" s="45"/>
      <c r="D419" s="85"/>
      <c r="AD419" s="34"/>
      <c r="AE419" s="34"/>
      <c r="AF419" s="34"/>
      <c r="AG419" s="34"/>
    </row>
    <row r="420" spans="1:33" ht="15.5">
      <c r="A420" s="45"/>
      <c r="B420" s="45"/>
      <c r="D420" s="85"/>
      <c r="AD420" s="34"/>
      <c r="AE420" s="34"/>
      <c r="AF420" s="34"/>
      <c r="AG420" s="34"/>
    </row>
    <row r="421" spans="1:33" ht="15.5">
      <c r="A421" s="45"/>
      <c r="B421" s="45"/>
      <c r="D421" s="85"/>
      <c r="AD421" s="34"/>
      <c r="AE421" s="34"/>
      <c r="AF421" s="34"/>
      <c r="AG421" s="34"/>
    </row>
    <row r="422" spans="1:33" ht="15.5">
      <c r="A422" s="45"/>
      <c r="B422" s="45"/>
      <c r="D422" s="85"/>
      <c r="AD422" s="34"/>
      <c r="AE422" s="34"/>
      <c r="AF422" s="34"/>
      <c r="AG422" s="34"/>
    </row>
    <row r="423" spans="1:33" ht="15.5">
      <c r="A423" s="45"/>
      <c r="B423" s="45"/>
      <c r="D423" s="85"/>
      <c r="AD423" s="34"/>
      <c r="AE423" s="34"/>
      <c r="AF423" s="34"/>
      <c r="AG423" s="34"/>
    </row>
    <row r="424" spans="1:33" ht="15.5">
      <c r="A424" s="45"/>
      <c r="B424" s="45"/>
      <c r="D424" s="85"/>
      <c r="AD424" s="34"/>
      <c r="AE424" s="34"/>
      <c r="AF424" s="34"/>
      <c r="AG424" s="34"/>
    </row>
    <row r="425" spans="1:33" ht="15.5">
      <c r="A425" s="45"/>
      <c r="B425" s="45"/>
      <c r="D425" s="85"/>
      <c r="AD425" s="34"/>
      <c r="AE425" s="34"/>
      <c r="AF425" s="34"/>
      <c r="AG425" s="34"/>
    </row>
    <row r="426" spans="1:33" ht="15.5">
      <c r="A426" s="45"/>
      <c r="B426" s="45"/>
      <c r="D426" s="85"/>
      <c r="AD426" s="34"/>
      <c r="AE426" s="34"/>
      <c r="AF426" s="34"/>
      <c r="AG426" s="34"/>
    </row>
    <row r="427" spans="1:33" ht="15.5">
      <c r="A427" s="45"/>
      <c r="B427" s="45"/>
      <c r="D427" s="85"/>
      <c r="AD427" s="34"/>
      <c r="AE427" s="34"/>
      <c r="AF427" s="34"/>
      <c r="AG427" s="34"/>
    </row>
    <row r="428" spans="1:33" ht="15.5">
      <c r="A428" s="45"/>
      <c r="B428" s="45"/>
      <c r="D428" s="85"/>
      <c r="AD428" s="34"/>
      <c r="AE428" s="34"/>
      <c r="AF428" s="34"/>
      <c r="AG428" s="34"/>
    </row>
    <row r="429" spans="1:33" ht="15.5">
      <c r="A429" s="45"/>
      <c r="B429" s="45"/>
      <c r="D429" s="85"/>
      <c r="AD429" s="34"/>
      <c r="AE429" s="34"/>
      <c r="AF429" s="34"/>
      <c r="AG429" s="34"/>
    </row>
    <row r="430" spans="1:33" ht="15.5">
      <c r="A430" s="45"/>
      <c r="B430" s="45"/>
      <c r="D430" s="85"/>
      <c r="AD430" s="34"/>
      <c r="AE430" s="34"/>
      <c r="AF430" s="34"/>
      <c r="AG430" s="34"/>
    </row>
    <row r="431" spans="1:33" ht="15.5">
      <c r="A431" s="45"/>
      <c r="B431" s="45"/>
      <c r="D431" s="85"/>
      <c r="AD431" s="34"/>
      <c r="AE431" s="34"/>
      <c r="AF431" s="34"/>
      <c r="AG431" s="34"/>
    </row>
    <row r="432" spans="1:33" ht="15.5">
      <c r="A432" s="45"/>
      <c r="B432" s="45"/>
      <c r="D432" s="85"/>
      <c r="AD432" s="34"/>
      <c r="AE432" s="34"/>
      <c r="AF432" s="34"/>
      <c r="AG432" s="34"/>
    </row>
    <row r="433" spans="1:33" ht="15.5">
      <c r="A433" s="45"/>
      <c r="B433" s="45"/>
      <c r="D433" s="85"/>
      <c r="AD433" s="34"/>
      <c r="AE433" s="34"/>
      <c r="AF433" s="34"/>
      <c r="AG433" s="34"/>
    </row>
    <row r="434" spans="1:33" ht="15.5">
      <c r="A434" s="45"/>
      <c r="B434" s="45"/>
      <c r="D434" s="85"/>
      <c r="AD434" s="34"/>
      <c r="AE434" s="34"/>
      <c r="AF434" s="34"/>
      <c r="AG434" s="34"/>
    </row>
    <row r="435" spans="1:33" ht="15.5">
      <c r="A435" s="45"/>
      <c r="B435" s="45"/>
      <c r="D435" s="85"/>
      <c r="AD435" s="34"/>
      <c r="AE435" s="34"/>
      <c r="AF435" s="34"/>
      <c r="AG435" s="34"/>
    </row>
    <row r="436" spans="1:33" ht="15.5">
      <c r="A436" s="45"/>
      <c r="B436" s="45"/>
      <c r="D436" s="85"/>
      <c r="AD436" s="34"/>
      <c r="AE436" s="34"/>
      <c r="AF436" s="34"/>
      <c r="AG436" s="34"/>
    </row>
    <row r="437" spans="1:33" ht="15.5">
      <c r="A437" s="45"/>
      <c r="B437" s="45"/>
      <c r="D437" s="85"/>
      <c r="AD437" s="34"/>
      <c r="AE437" s="34"/>
      <c r="AF437" s="34"/>
      <c r="AG437" s="34"/>
    </row>
    <row r="438" spans="1:33" ht="15.5">
      <c r="A438" s="45"/>
      <c r="B438" s="45"/>
      <c r="D438" s="85"/>
      <c r="AD438" s="34"/>
      <c r="AE438" s="34"/>
      <c r="AF438" s="34"/>
      <c r="AG438" s="34"/>
    </row>
    <row r="439" spans="1:33" ht="15.5">
      <c r="A439" s="45"/>
      <c r="B439" s="45"/>
      <c r="D439" s="85"/>
      <c r="AD439" s="34"/>
      <c r="AE439" s="34"/>
      <c r="AF439" s="34"/>
      <c r="AG439" s="34"/>
    </row>
    <row r="440" spans="1:33" ht="15.5">
      <c r="A440" s="45"/>
      <c r="B440" s="45"/>
      <c r="D440" s="85"/>
      <c r="AD440" s="34"/>
      <c r="AE440" s="34"/>
      <c r="AF440" s="34"/>
      <c r="AG440" s="34"/>
    </row>
    <row r="441" spans="1:33" ht="15.5">
      <c r="A441" s="45"/>
      <c r="B441" s="45"/>
      <c r="D441" s="85"/>
      <c r="AD441" s="34"/>
      <c r="AE441" s="34"/>
      <c r="AF441" s="34"/>
      <c r="AG441" s="34"/>
    </row>
    <row r="442" spans="1:33" ht="15.5">
      <c r="A442" s="45"/>
      <c r="B442" s="45"/>
      <c r="D442" s="85"/>
      <c r="AD442" s="34"/>
      <c r="AE442" s="34"/>
      <c r="AF442" s="34"/>
      <c r="AG442" s="34"/>
    </row>
    <row r="443" spans="1:33" ht="15.5">
      <c r="A443" s="45"/>
      <c r="B443" s="45"/>
      <c r="D443" s="85"/>
      <c r="AD443" s="34"/>
      <c r="AE443" s="34"/>
      <c r="AF443" s="34"/>
      <c r="AG443" s="34"/>
    </row>
    <row r="444" spans="1:33" ht="15.5">
      <c r="A444" s="45"/>
      <c r="B444" s="45"/>
      <c r="D444" s="85"/>
      <c r="AD444" s="34"/>
      <c r="AE444" s="34"/>
      <c r="AF444" s="34"/>
      <c r="AG444" s="34"/>
    </row>
    <row r="445" spans="1:33" ht="15.5">
      <c r="A445" s="45"/>
      <c r="B445" s="45"/>
      <c r="D445" s="85"/>
      <c r="AD445" s="34"/>
      <c r="AE445" s="34"/>
      <c r="AF445" s="34"/>
      <c r="AG445" s="34"/>
    </row>
    <row r="446" spans="1:33" ht="15.5">
      <c r="A446" s="45"/>
      <c r="B446" s="45"/>
      <c r="D446" s="85"/>
      <c r="AD446" s="34"/>
      <c r="AE446" s="34"/>
      <c r="AF446" s="34"/>
      <c r="AG446" s="34"/>
    </row>
    <row r="447" spans="1:33" ht="15.5">
      <c r="A447" s="45"/>
      <c r="B447" s="45"/>
      <c r="D447" s="85"/>
      <c r="AD447" s="34"/>
      <c r="AE447" s="34"/>
      <c r="AF447" s="34"/>
      <c r="AG447" s="34"/>
    </row>
    <row r="448" spans="1:33" ht="15.5">
      <c r="A448" s="45"/>
      <c r="B448" s="45"/>
      <c r="D448" s="85"/>
      <c r="AD448" s="34"/>
      <c r="AE448" s="34"/>
      <c r="AF448" s="34"/>
      <c r="AG448" s="34"/>
    </row>
    <row r="449" spans="1:33" ht="15.5">
      <c r="A449" s="45"/>
      <c r="B449" s="45"/>
      <c r="D449" s="85"/>
      <c r="AD449" s="34"/>
      <c r="AE449" s="34"/>
      <c r="AF449" s="34"/>
      <c r="AG449" s="34"/>
    </row>
    <row r="450" spans="1:33" ht="15.5">
      <c r="A450" s="45"/>
      <c r="B450" s="45"/>
      <c r="D450" s="85"/>
      <c r="AD450" s="34"/>
      <c r="AE450" s="34"/>
      <c r="AF450" s="34"/>
      <c r="AG450" s="34"/>
    </row>
    <row r="451" spans="1:33" ht="15.5">
      <c r="A451" s="45"/>
      <c r="B451" s="45"/>
      <c r="D451" s="85"/>
      <c r="AD451" s="34"/>
      <c r="AE451" s="34"/>
      <c r="AF451" s="34"/>
      <c r="AG451" s="34"/>
    </row>
    <row r="452" spans="1:33" ht="15.5">
      <c r="A452" s="45"/>
      <c r="B452" s="45"/>
      <c r="D452" s="85"/>
      <c r="AD452" s="34"/>
      <c r="AE452" s="34"/>
      <c r="AF452" s="34"/>
      <c r="AG452" s="34"/>
    </row>
    <row r="453" spans="1:33" ht="15.5">
      <c r="A453" s="45"/>
      <c r="B453" s="45"/>
      <c r="D453" s="85"/>
      <c r="AD453" s="34"/>
      <c r="AE453" s="34"/>
      <c r="AF453" s="34"/>
      <c r="AG453" s="34"/>
    </row>
    <row r="454" spans="1:33" ht="15.5">
      <c r="A454" s="45"/>
      <c r="B454" s="45"/>
      <c r="D454" s="85"/>
      <c r="AD454" s="34"/>
      <c r="AE454" s="34"/>
      <c r="AF454" s="34"/>
      <c r="AG454" s="34"/>
    </row>
    <row r="455" spans="1:33" ht="15.5">
      <c r="A455" s="45"/>
      <c r="B455" s="45"/>
      <c r="D455" s="85"/>
      <c r="AD455" s="34"/>
      <c r="AE455" s="34"/>
      <c r="AF455" s="34"/>
      <c r="AG455" s="34"/>
    </row>
    <row r="456" spans="1:33" ht="15.5">
      <c r="A456" s="45"/>
      <c r="B456" s="45"/>
      <c r="D456" s="85"/>
      <c r="AD456" s="34"/>
      <c r="AE456" s="34"/>
      <c r="AF456" s="34"/>
      <c r="AG456" s="34"/>
    </row>
    <row r="457" spans="1:33" ht="15.5">
      <c r="A457" s="45"/>
      <c r="B457" s="45"/>
      <c r="D457" s="85"/>
      <c r="AD457" s="34"/>
      <c r="AE457" s="34"/>
      <c r="AF457" s="34"/>
      <c r="AG457" s="34"/>
    </row>
    <row r="458" spans="1:33" ht="15.5">
      <c r="A458" s="45"/>
      <c r="B458" s="45"/>
      <c r="D458" s="85"/>
      <c r="AD458" s="34"/>
      <c r="AE458" s="34"/>
      <c r="AF458" s="34"/>
      <c r="AG458" s="34"/>
    </row>
    <row r="459" spans="1:33" ht="15.5">
      <c r="A459" s="45"/>
      <c r="B459" s="45"/>
      <c r="D459" s="85"/>
      <c r="AD459" s="34"/>
      <c r="AE459" s="34"/>
      <c r="AF459" s="34"/>
      <c r="AG459" s="34"/>
    </row>
    <row r="460" spans="1:33" ht="15.5">
      <c r="A460" s="45"/>
      <c r="B460" s="45"/>
      <c r="D460" s="85"/>
      <c r="AD460" s="34"/>
      <c r="AE460" s="34"/>
      <c r="AF460" s="34"/>
      <c r="AG460" s="34"/>
    </row>
    <row r="461" spans="1:33" ht="15.5">
      <c r="A461" s="45"/>
      <c r="B461" s="45"/>
      <c r="D461" s="85"/>
      <c r="AD461" s="34"/>
      <c r="AE461" s="34"/>
      <c r="AF461" s="34"/>
      <c r="AG461" s="34"/>
    </row>
    <row r="462" spans="1:33" ht="15.5">
      <c r="A462" s="45"/>
      <c r="B462" s="45"/>
      <c r="D462" s="85"/>
      <c r="AD462" s="34"/>
      <c r="AE462" s="34"/>
      <c r="AF462" s="34"/>
      <c r="AG462" s="34"/>
    </row>
    <row r="463" spans="1:33" ht="15.5">
      <c r="A463" s="45"/>
      <c r="B463" s="45"/>
      <c r="D463" s="85"/>
      <c r="AD463" s="34"/>
      <c r="AE463" s="34"/>
      <c r="AF463" s="34"/>
      <c r="AG463" s="34"/>
    </row>
    <row r="464" spans="1:33" ht="15.5">
      <c r="A464" s="45"/>
      <c r="B464" s="45"/>
      <c r="D464" s="85"/>
      <c r="AD464" s="34"/>
      <c r="AE464" s="34"/>
      <c r="AF464" s="34"/>
      <c r="AG464" s="34"/>
    </row>
    <row r="465" spans="1:33" ht="15.5">
      <c r="A465" s="45"/>
      <c r="B465" s="45"/>
      <c r="D465" s="85"/>
      <c r="AD465" s="34"/>
      <c r="AE465" s="34"/>
      <c r="AF465" s="34"/>
      <c r="AG465" s="34"/>
    </row>
    <row r="466" spans="1:33" ht="15.5">
      <c r="A466" s="45"/>
      <c r="B466" s="45"/>
      <c r="D466" s="85"/>
      <c r="AD466" s="34"/>
      <c r="AE466" s="34"/>
      <c r="AF466" s="34"/>
      <c r="AG466" s="34"/>
    </row>
    <row r="467" spans="1:33" ht="15.5">
      <c r="A467" s="45"/>
      <c r="B467" s="45"/>
      <c r="D467" s="85"/>
      <c r="AD467" s="34"/>
      <c r="AE467" s="34"/>
      <c r="AF467" s="34"/>
      <c r="AG467" s="34"/>
    </row>
    <row r="468" spans="1:33" ht="15.5">
      <c r="A468" s="45"/>
      <c r="B468" s="45"/>
      <c r="D468" s="85"/>
      <c r="AD468" s="34"/>
      <c r="AE468" s="34"/>
      <c r="AF468" s="34"/>
      <c r="AG468" s="34"/>
    </row>
    <row r="469" spans="1:33" ht="15.5">
      <c r="A469" s="45"/>
      <c r="B469" s="45"/>
      <c r="D469" s="85"/>
      <c r="AD469" s="34"/>
      <c r="AE469" s="34"/>
      <c r="AF469" s="34"/>
      <c r="AG469" s="34"/>
    </row>
    <row r="470" spans="1:33" ht="15.5">
      <c r="A470" s="45"/>
      <c r="B470" s="45"/>
      <c r="D470" s="85"/>
      <c r="AD470" s="34"/>
      <c r="AE470" s="34"/>
      <c r="AF470" s="34"/>
      <c r="AG470" s="34"/>
    </row>
    <row r="471" spans="1:33" ht="15.5">
      <c r="A471" s="45"/>
      <c r="B471" s="45"/>
      <c r="D471" s="85"/>
      <c r="AD471" s="34"/>
      <c r="AE471" s="34"/>
      <c r="AF471" s="34"/>
      <c r="AG471" s="34"/>
    </row>
    <row r="472" spans="1:33" ht="15.5">
      <c r="A472" s="45"/>
      <c r="B472" s="45"/>
      <c r="D472" s="85"/>
      <c r="AD472" s="34"/>
      <c r="AE472" s="34"/>
      <c r="AF472" s="34"/>
      <c r="AG472" s="34"/>
    </row>
    <row r="473" spans="1:33" ht="15.5">
      <c r="A473" s="45"/>
      <c r="B473" s="45"/>
      <c r="D473" s="85"/>
      <c r="AD473" s="34"/>
      <c r="AE473" s="34"/>
      <c r="AF473" s="34"/>
      <c r="AG473" s="34"/>
    </row>
    <row r="474" spans="1:33" ht="15.5">
      <c r="A474" s="45"/>
      <c r="B474" s="45"/>
      <c r="D474" s="85"/>
      <c r="AD474" s="34"/>
      <c r="AE474" s="34"/>
      <c r="AF474" s="34"/>
      <c r="AG474" s="34"/>
    </row>
    <row r="475" spans="1:33" ht="15.5">
      <c r="A475" s="45"/>
      <c r="B475" s="45"/>
      <c r="D475" s="85"/>
      <c r="AD475" s="34"/>
      <c r="AE475" s="34"/>
      <c r="AF475" s="34"/>
      <c r="AG475" s="34"/>
    </row>
    <row r="476" spans="1:33" ht="15.5">
      <c r="A476" s="45"/>
      <c r="B476" s="45"/>
      <c r="D476" s="85"/>
      <c r="AD476" s="34"/>
      <c r="AE476" s="34"/>
      <c r="AF476" s="34"/>
      <c r="AG476" s="34"/>
    </row>
    <row r="477" spans="1:33" ht="15.5">
      <c r="A477" s="45"/>
      <c r="B477" s="45"/>
      <c r="D477" s="85"/>
      <c r="AD477" s="34"/>
      <c r="AE477" s="34"/>
      <c r="AF477" s="34"/>
      <c r="AG477" s="34"/>
    </row>
    <row r="478" spans="1:33" ht="15.5">
      <c r="A478" s="45"/>
      <c r="B478" s="45"/>
      <c r="D478" s="85"/>
      <c r="AD478" s="34"/>
      <c r="AE478" s="34"/>
      <c r="AF478" s="34"/>
      <c r="AG478" s="34"/>
    </row>
    <row r="479" spans="1:33" ht="15.5">
      <c r="A479" s="45"/>
      <c r="B479" s="45"/>
      <c r="D479" s="85"/>
      <c r="AD479" s="34"/>
      <c r="AE479" s="34"/>
      <c r="AF479" s="34"/>
      <c r="AG479" s="34"/>
    </row>
    <row r="480" spans="1:33" ht="15.5">
      <c r="A480" s="45"/>
      <c r="B480" s="45"/>
      <c r="D480" s="85"/>
      <c r="AD480" s="34"/>
      <c r="AE480" s="34"/>
      <c r="AF480" s="34"/>
      <c r="AG480" s="34"/>
    </row>
    <row r="481" spans="1:33" ht="15.5">
      <c r="A481" s="45"/>
      <c r="B481" s="45"/>
      <c r="D481" s="85"/>
      <c r="AD481" s="34"/>
      <c r="AE481" s="34"/>
      <c r="AF481" s="34"/>
      <c r="AG481" s="34"/>
    </row>
    <row r="482" spans="1:33" ht="15.5">
      <c r="A482" s="45"/>
      <c r="B482" s="45"/>
      <c r="D482" s="85"/>
      <c r="AD482" s="34"/>
      <c r="AE482" s="34"/>
      <c r="AF482" s="34"/>
      <c r="AG482" s="34"/>
    </row>
    <row r="483" spans="1:33" ht="15.5">
      <c r="A483" s="45"/>
      <c r="B483" s="45"/>
      <c r="D483" s="85"/>
      <c r="AD483" s="34"/>
      <c r="AE483" s="34"/>
      <c r="AF483" s="34"/>
      <c r="AG483" s="34"/>
    </row>
    <row r="484" spans="1:33" ht="15.5">
      <c r="A484" s="45"/>
      <c r="B484" s="45"/>
      <c r="D484" s="85"/>
      <c r="AD484" s="34"/>
      <c r="AE484" s="34"/>
      <c r="AF484" s="34"/>
      <c r="AG484" s="34"/>
    </row>
    <row r="485" spans="1:33" ht="15.5">
      <c r="A485" s="45"/>
      <c r="B485" s="45"/>
      <c r="D485" s="85"/>
      <c r="AD485" s="34"/>
      <c r="AE485" s="34"/>
      <c r="AF485" s="34"/>
      <c r="AG485" s="34"/>
    </row>
    <row r="486" spans="1:33" ht="15.5">
      <c r="A486" s="45"/>
      <c r="B486" s="45"/>
      <c r="D486" s="85"/>
      <c r="AD486" s="34"/>
      <c r="AE486" s="34"/>
      <c r="AF486" s="34"/>
      <c r="AG486" s="34"/>
    </row>
    <row r="487" spans="1:33" ht="15.5">
      <c r="A487" s="45"/>
      <c r="B487" s="45"/>
      <c r="D487" s="85"/>
      <c r="AD487" s="34"/>
      <c r="AE487" s="34"/>
      <c r="AF487" s="34"/>
      <c r="AG487" s="34"/>
    </row>
    <row r="488" spans="1:33" ht="15.5">
      <c r="A488" s="45"/>
      <c r="B488" s="45"/>
      <c r="D488" s="85"/>
      <c r="AD488" s="34"/>
      <c r="AE488" s="34"/>
      <c r="AF488" s="34"/>
      <c r="AG488" s="34"/>
    </row>
    <row r="489" spans="1:33" ht="15.5">
      <c r="A489" s="45"/>
      <c r="B489" s="45"/>
      <c r="D489" s="85"/>
      <c r="AD489" s="34"/>
      <c r="AE489" s="34"/>
      <c r="AF489" s="34"/>
      <c r="AG489" s="34"/>
    </row>
    <row r="490" spans="1:33" ht="15.5">
      <c r="A490" s="45"/>
      <c r="B490" s="45"/>
      <c r="D490" s="85"/>
      <c r="AD490" s="34"/>
      <c r="AE490" s="34"/>
      <c r="AF490" s="34"/>
      <c r="AG490" s="34"/>
    </row>
    <row r="491" spans="1:33" ht="15.5">
      <c r="A491" s="45"/>
      <c r="B491" s="45"/>
      <c r="D491" s="85"/>
      <c r="AD491" s="34"/>
      <c r="AE491" s="34"/>
      <c r="AF491" s="34"/>
      <c r="AG491" s="34"/>
    </row>
    <row r="492" spans="1:33" ht="15.5">
      <c r="A492" s="45"/>
      <c r="B492" s="45"/>
      <c r="D492" s="85"/>
      <c r="AD492" s="34"/>
      <c r="AE492" s="34"/>
      <c r="AF492" s="34"/>
      <c r="AG492" s="34"/>
    </row>
    <row r="493" spans="1:33" ht="15.5">
      <c r="A493" s="45"/>
      <c r="B493" s="45"/>
      <c r="D493" s="85"/>
      <c r="AD493" s="34"/>
      <c r="AE493" s="34"/>
      <c r="AF493" s="34"/>
      <c r="AG493" s="34"/>
    </row>
    <row r="494" spans="1:33" ht="15.5">
      <c r="A494" s="45"/>
      <c r="B494" s="45"/>
      <c r="D494" s="85"/>
      <c r="AD494" s="34"/>
      <c r="AE494" s="34"/>
      <c r="AF494" s="34"/>
      <c r="AG494" s="34"/>
    </row>
    <row r="495" spans="1:33" ht="15.5">
      <c r="A495" s="45"/>
      <c r="B495" s="45"/>
      <c r="D495" s="85"/>
      <c r="AD495" s="34"/>
      <c r="AE495" s="34"/>
      <c r="AF495" s="34"/>
      <c r="AG495" s="34"/>
    </row>
    <row r="496" spans="1:33" ht="15.5">
      <c r="A496" s="45"/>
      <c r="B496" s="45"/>
      <c r="D496" s="85"/>
      <c r="AD496" s="34"/>
      <c r="AE496" s="34"/>
      <c r="AF496" s="34"/>
      <c r="AG496" s="34"/>
    </row>
    <row r="497" spans="1:33" ht="15.5">
      <c r="A497" s="45"/>
      <c r="B497" s="45"/>
      <c r="D497" s="85"/>
      <c r="AD497" s="34"/>
      <c r="AE497" s="34"/>
      <c r="AF497" s="34"/>
      <c r="AG497" s="34"/>
    </row>
    <row r="498" spans="1:33" ht="15.5">
      <c r="A498" s="45"/>
      <c r="B498" s="45"/>
      <c r="D498" s="85"/>
      <c r="AD498" s="34"/>
      <c r="AE498" s="34"/>
      <c r="AF498" s="34"/>
      <c r="AG498" s="34"/>
    </row>
    <row r="499" spans="1:33" ht="15.5">
      <c r="A499" s="45"/>
      <c r="B499" s="45"/>
      <c r="D499" s="85"/>
      <c r="AD499" s="34"/>
      <c r="AE499" s="34"/>
      <c r="AF499" s="34"/>
      <c r="AG499" s="34"/>
    </row>
    <row r="500" spans="1:33" ht="15.5">
      <c r="A500" s="45"/>
      <c r="B500" s="45"/>
      <c r="D500" s="85"/>
      <c r="AD500" s="34"/>
      <c r="AE500" s="34"/>
      <c r="AF500" s="34"/>
      <c r="AG500" s="34"/>
    </row>
    <row r="501" spans="1:33" ht="15.5">
      <c r="A501" s="45"/>
      <c r="B501" s="45"/>
      <c r="D501" s="85"/>
      <c r="AD501" s="34"/>
      <c r="AE501" s="34"/>
      <c r="AF501" s="34"/>
      <c r="AG501" s="34"/>
    </row>
    <row r="502" spans="1:33" ht="15.5">
      <c r="A502" s="45"/>
      <c r="B502" s="45"/>
      <c r="D502" s="85"/>
      <c r="AD502" s="34"/>
      <c r="AE502" s="34"/>
      <c r="AF502" s="34"/>
      <c r="AG502" s="34"/>
    </row>
    <row r="503" spans="1:33" ht="15.5">
      <c r="A503" s="45"/>
      <c r="B503" s="45"/>
      <c r="D503" s="85"/>
      <c r="AD503" s="34"/>
      <c r="AE503" s="34"/>
      <c r="AF503" s="34"/>
      <c r="AG503" s="34"/>
    </row>
    <row r="504" spans="1:33" ht="15.5">
      <c r="A504" s="45"/>
      <c r="B504" s="45"/>
      <c r="D504" s="85"/>
      <c r="AD504" s="34"/>
      <c r="AE504" s="34"/>
      <c r="AF504" s="34"/>
      <c r="AG504" s="34"/>
    </row>
    <row r="505" spans="1:33" ht="15.5">
      <c r="A505" s="45"/>
      <c r="B505" s="45"/>
      <c r="D505" s="85"/>
      <c r="AD505" s="34"/>
      <c r="AE505" s="34"/>
      <c r="AF505" s="34"/>
      <c r="AG505" s="34"/>
    </row>
    <row r="506" spans="1:33" ht="15.5">
      <c r="A506" s="45"/>
      <c r="B506" s="45"/>
      <c r="D506" s="85"/>
      <c r="AD506" s="34"/>
      <c r="AE506" s="34"/>
      <c r="AF506" s="34"/>
      <c r="AG506" s="34"/>
    </row>
    <row r="507" spans="1:33" ht="15.5">
      <c r="A507" s="45"/>
      <c r="B507" s="45"/>
      <c r="D507" s="85"/>
      <c r="AD507" s="34"/>
      <c r="AE507" s="34"/>
      <c r="AF507" s="34"/>
      <c r="AG507" s="34"/>
    </row>
    <row r="508" spans="1:33" ht="15.5">
      <c r="A508" s="45"/>
      <c r="B508" s="45"/>
      <c r="D508" s="85"/>
      <c r="AD508" s="34"/>
      <c r="AE508" s="34"/>
      <c r="AF508" s="34"/>
      <c r="AG508" s="34"/>
    </row>
    <row r="509" spans="1:33" ht="15.5">
      <c r="A509" s="45"/>
      <c r="B509" s="45"/>
      <c r="D509" s="85"/>
      <c r="AD509" s="34"/>
      <c r="AE509" s="34"/>
      <c r="AF509" s="34"/>
      <c r="AG509" s="34"/>
    </row>
    <row r="510" spans="1:33" ht="15.5">
      <c r="A510" s="45"/>
      <c r="B510" s="45"/>
      <c r="D510" s="85"/>
      <c r="AD510" s="34"/>
      <c r="AE510" s="34"/>
      <c r="AF510" s="34"/>
      <c r="AG510" s="34"/>
    </row>
    <row r="511" spans="1:33" ht="15.5">
      <c r="A511" s="45"/>
      <c r="B511" s="45"/>
      <c r="D511" s="85"/>
      <c r="AD511" s="34"/>
      <c r="AE511" s="34"/>
      <c r="AF511" s="34"/>
      <c r="AG511" s="34"/>
    </row>
    <row r="512" spans="1:33" ht="15.5">
      <c r="A512" s="45"/>
      <c r="B512" s="45"/>
      <c r="D512" s="85"/>
      <c r="AD512" s="34"/>
      <c r="AE512" s="34"/>
      <c r="AF512" s="34"/>
      <c r="AG512" s="34"/>
    </row>
    <row r="513" spans="1:33" ht="15.5">
      <c r="A513" s="45"/>
      <c r="B513" s="45"/>
      <c r="D513" s="85"/>
      <c r="AD513" s="34"/>
      <c r="AE513" s="34"/>
      <c r="AF513" s="34"/>
      <c r="AG513" s="34"/>
    </row>
    <row r="514" spans="1:33" ht="15.5">
      <c r="A514" s="45"/>
      <c r="B514" s="45"/>
      <c r="D514" s="85"/>
      <c r="AD514" s="34"/>
      <c r="AE514" s="34"/>
      <c r="AF514" s="34"/>
      <c r="AG514" s="34"/>
    </row>
    <row r="515" spans="1:33" ht="15.5">
      <c r="A515" s="45"/>
      <c r="B515" s="45"/>
      <c r="D515" s="85"/>
      <c r="AD515" s="34"/>
      <c r="AE515" s="34"/>
      <c r="AF515" s="34"/>
      <c r="AG515" s="34"/>
    </row>
    <row r="516" spans="1:33" ht="15.5">
      <c r="A516" s="45"/>
      <c r="B516" s="45"/>
      <c r="D516" s="85"/>
      <c r="AD516" s="34"/>
      <c r="AE516" s="34"/>
      <c r="AF516" s="34"/>
      <c r="AG516" s="34"/>
    </row>
    <row r="517" spans="1:33" ht="15.5">
      <c r="A517" s="45"/>
      <c r="B517" s="45"/>
      <c r="D517" s="85"/>
      <c r="AD517" s="34"/>
      <c r="AE517" s="34"/>
      <c r="AF517" s="34"/>
      <c r="AG517" s="34"/>
    </row>
    <row r="518" spans="1:33" ht="15.5">
      <c r="A518" s="45"/>
      <c r="B518" s="45"/>
      <c r="D518" s="85"/>
      <c r="AD518" s="34"/>
      <c r="AE518" s="34"/>
      <c r="AF518" s="34"/>
      <c r="AG518" s="34"/>
    </row>
    <row r="519" spans="1:33" ht="15.5">
      <c r="A519" s="45"/>
      <c r="B519" s="45"/>
      <c r="D519" s="85"/>
      <c r="AD519" s="34"/>
      <c r="AE519" s="34"/>
      <c r="AF519" s="34"/>
      <c r="AG519" s="34"/>
    </row>
    <row r="520" spans="1:33" ht="15.5">
      <c r="A520" s="45"/>
      <c r="B520" s="45"/>
      <c r="D520" s="85"/>
      <c r="AD520" s="34"/>
      <c r="AE520" s="34"/>
      <c r="AF520" s="34"/>
      <c r="AG520" s="34"/>
    </row>
    <row r="521" spans="1:33" ht="15.5">
      <c r="A521" s="45"/>
      <c r="B521" s="45"/>
      <c r="D521" s="85"/>
      <c r="AD521" s="34"/>
      <c r="AE521" s="34"/>
      <c r="AF521" s="34"/>
      <c r="AG521" s="34"/>
    </row>
    <row r="522" spans="1:33" ht="15.5">
      <c r="A522" s="45"/>
      <c r="B522" s="45"/>
      <c r="D522" s="85"/>
      <c r="AD522" s="34"/>
      <c r="AE522" s="34"/>
      <c r="AF522" s="34"/>
      <c r="AG522" s="34"/>
    </row>
    <row r="523" spans="1:33" ht="15.5">
      <c r="A523" s="45"/>
      <c r="B523" s="45"/>
      <c r="D523" s="85"/>
      <c r="AD523" s="34"/>
      <c r="AE523" s="34"/>
      <c r="AF523" s="34"/>
      <c r="AG523" s="34"/>
    </row>
    <row r="524" spans="1:33" ht="15.5">
      <c r="A524" s="45"/>
      <c r="B524" s="45"/>
      <c r="D524" s="85"/>
      <c r="AD524" s="34"/>
      <c r="AE524" s="34"/>
      <c r="AF524" s="34"/>
      <c r="AG524" s="34"/>
    </row>
    <row r="525" spans="1:33" ht="15.5">
      <c r="A525" s="45"/>
      <c r="B525" s="45"/>
      <c r="D525" s="85"/>
      <c r="AD525" s="34"/>
      <c r="AE525" s="34"/>
      <c r="AF525" s="34"/>
      <c r="AG525" s="34"/>
    </row>
    <row r="526" spans="1:33" ht="15.5">
      <c r="A526" s="45"/>
      <c r="B526" s="45"/>
      <c r="D526" s="85"/>
      <c r="AD526" s="34"/>
      <c r="AE526" s="34"/>
      <c r="AF526" s="34"/>
      <c r="AG526" s="34"/>
    </row>
    <row r="527" spans="1:33" ht="15.5">
      <c r="A527" s="45"/>
      <c r="B527" s="45"/>
      <c r="D527" s="85"/>
      <c r="AD527" s="34"/>
      <c r="AE527" s="34"/>
      <c r="AF527" s="34"/>
      <c r="AG527" s="34"/>
    </row>
    <row r="528" spans="1:33" ht="15.5">
      <c r="A528" s="45"/>
      <c r="B528" s="45"/>
      <c r="D528" s="85"/>
      <c r="AD528" s="34"/>
      <c r="AE528" s="34"/>
      <c r="AF528" s="34"/>
      <c r="AG528" s="34"/>
    </row>
    <row r="529" spans="1:33" ht="15.5">
      <c r="A529" s="45"/>
      <c r="B529" s="45"/>
      <c r="D529" s="85"/>
      <c r="AD529" s="34"/>
      <c r="AE529" s="34"/>
      <c r="AF529" s="34"/>
      <c r="AG529" s="34"/>
    </row>
    <row r="530" spans="1:33" ht="15.5">
      <c r="A530" s="45"/>
      <c r="B530" s="45"/>
      <c r="D530" s="85"/>
      <c r="AD530" s="34"/>
      <c r="AE530" s="34"/>
      <c r="AF530" s="34"/>
      <c r="AG530" s="34"/>
    </row>
    <row r="531" spans="1:33" ht="15.5">
      <c r="A531" s="45"/>
      <c r="B531" s="45"/>
      <c r="D531" s="85"/>
      <c r="AD531" s="34"/>
      <c r="AE531" s="34"/>
      <c r="AF531" s="34"/>
      <c r="AG531" s="34"/>
    </row>
    <row r="532" spans="1:33" ht="15.5">
      <c r="A532" s="45"/>
      <c r="B532" s="45"/>
      <c r="D532" s="85"/>
      <c r="AD532" s="34"/>
      <c r="AE532" s="34"/>
      <c r="AF532" s="34"/>
      <c r="AG532" s="34"/>
    </row>
    <row r="533" spans="1:33" ht="15.5">
      <c r="A533" s="45"/>
      <c r="B533" s="45"/>
      <c r="D533" s="85"/>
      <c r="AD533" s="34"/>
      <c r="AE533" s="34"/>
      <c r="AF533" s="34"/>
      <c r="AG533" s="34"/>
    </row>
    <row r="534" spans="1:33" ht="15.5">
      <c r="A534" s="45"/>
      <c r="B534" s="45"/>
      <c r="D534" s="85"/>
      <c r="AD534" s="34"/>
      <c r="AE534" s="34"/>
      <c r="AF534" s="34"/>
      <c r="AG534" s="34"/>
    </row>
    <row r="535" spans="1:33" ht="15.5">
      <c r="A535" s="45"/>
      <c r="B535" s="45"/>
      <c r="D535" s="85"/>
      <c r="AD535" s="34"/>
      <c r="AE535" s="34"/>
      <c r="AF535" s="34"/>
      <c r="AG535" s="34"/>
    </row>
    <row r="536" spans="1:33" ht="15.5">
      <c r="A536" s="45"/>
      <c r="B536" s="45"/>
      <c r="D536" s="85"/>
      <c r="AD536" s="34"/>
      <c r="AE536" s="34"/>
      <c r="AF536" s="34"/>
      <c r="AG536" s="34"/>
    </row>
    <row r="537" spans="1:33" ht="15.5">
      <c r="A537" s="45"/>
      <c r="B537" s="45"/>
      <c r="D537" s="85"/>
      <c r="AD537" s="34"/>
      <c r="AE537" s="34"/>
      <c r="AF537" s="34"/>
      <c r="AG537" s="34"/>
    </row>
    <row r="538" spans="1:33" ht="15.5">
      <c r="A538" s="45"/>
      <c r="B538" s="45"/>
      <c r="D538" s="85"/>
      <c r="AD538" s="34"/>
      <c r="AE538" s="34"/>
      <c r="AF538" s="34"/>
      <c r="AG538" s="34"/>
    </row>
    <row r="539" spans="1:33" ht="15.5">
      <c r="A539" s="45"/>
      <c r="B539" s="45"/>
      <c r="D539" s="85"/>
      <c r="AD539" s="34"/>
      <c r="AE539" s="34"/>
      <c r="AF539" s="34"/>
      <c r="AG539" s="34"/>
    </row>
    <row r="540" spans="1:33" ht="15.5">
      <c r="A540" s="45"/>
      <c r="B540" s="45"/>
      <c r="D540" s="85"/>
      <c r="AD540" s="34"/>
      <c r="AE540" s="34"/>
      <c r="AF540" s="34"/>
      <c r="AG540" s="34"/>
    </row>
    <row r="541" spans="1:33" ht="15.5">
      <c r="A541" s="45"/>
      <c r="B541" s="45"/>
      <c r="D541" s="85"/>
      <c r="AD541" s="34"/>
      <c r="AE541" s="34"/>
      <c r="AF541" s="34"/>
      <c r="AG541" s="34"/>
    </row>
    <row r="542" spans="1:33" ht="15.5">
      <c r="A542" s="45"/>
      <c r="B542" s="45"/>
      <c r="D542" s="85"/>
      <c r="AD542" s="34"/>
      <c r="AE542" s="34"/>
      <c r="AF542" s="34"/>
      <c r="AG542" s="34"/>
    </row>
    <row r="543" spans="1:33" ht="15.5">
      <c r="A543" s="45"/>
      <c r="B543" s="45"/>
      <c r="D543" s="85"/>
      <c r="AD543" s="34"/>
      <c r="AE543" s="34"/>
      <c r="AF543" s="34"/>
      <c r="AG543" s="34"/>
    </row>
    <row r="544" spans="1:33" ht="15.5">
      <c r="A544" s="45"/>
      <c r="B544" s="45"/>
      <c r="D544" s="85"/>
      <c r="AD544" s="34"/>
      <c r="AE544" s="34"/>
      <c r="AF544" s="34"/>
      <c r="AG544" s="34"/>
    </row>
    <row r="545" spans="1:33" ht="15.5">
      <c r="A545" s="45"/>
      <c r="B545" s="45"/>
      <c r="D545" s="85"/>
      <c r="AD545" s="34"/>
      <c r="AE545" s="34"/>
      <c r="AF545" s="34"/>
      <c r="AG545" s="34"/>
    </row>
    <row r="546" spans="1:33" ht="15.5">
      <c r="A546" s="45"/>
      <c r="B546" s="45"/>
      <c r="D546" s="85"/>
      <c r="AD546" s="34"/>
      <c r="AE546" s="34"/>
      <c r="AF546" s="34"/>
      <c r="AG546" s="34"/>
    </row>
    <row r="547" spans="1:33" ht="15.5">
      <c r="A547" s="45"/>
      <c r="B547" s="45"/>
      <c r="D547" s="85"/>
      <c r="AD547" s="34"/>
      <c r="AE547" s="34"/>
      <c r="AF547" s="34"/>
      <c r="AG547" s="34"/>
    </row>
    <row r="548" spans="1:33" ht="15.5">
      <c r="A548" s="45"/>
      <c r="B548" s="45"/>
      <c r="D548" s="85"/>
      <c r="AD548" s="34"/>
      <c r="AE548" s="34"/>
      <c r="AF548" s="34"/>
      <c r="AG548" s="34"/>
    </row>
    <row r="549" spans="1:33" ht="15.5">
      <c r="A549" s="45"/>
      <c r="B549" s="45"/>
      <c r="D549" s="85"/>
      <c r="AD549" s="34"/>
      <c r="AE549" s="34"/>
      <c r="AF549" s="34"/>
      <c r="AG549" s="34"/>
    </row>
    <row r="550" spans="1:33" ht="15.5">
      <c r="A550" s="45"/>
      <c r="B550" s="45"/>
      <c r="D550" s="85"/>
      <c r="AD550" s="34"/>
      <c r="AE550" s="34"/>
      <c r="AF550" s="34"/>
      <c r="AG550" s="34"/>
    </row>
    <row r="551" spans="1:33" ht="15.5">
      <c r="A551" s="45"/>
      <c r="B551" s="45"/>
      <c r="D551" s="85"/>
      <c r="AD551" s="34"/>
      <c r="AE551" s="34"/>
      <c r="AF551" s="34"/>
      <c r="AG551" s="34"/>
    </row>
    <row r="552" spans="1:33" ht="15.5">
      <c r="A552" s="45"/>
      <c r="B552" s="45"/>
      <c r="D552" s="85"/>
      <c r="AD552" s="34"/>
      <c r="AE552" s="34"/>
      <c r="AF552" s="34"/>
      <c r="AG552" s="34"/>
    </row>
    <row r="553" spans="1:33" ht="15.5">
      <c r="A553" s="45"/>
      <c r="B553" s="45"/>
      <c r="D553" s="85"/>
      <c r="AD553" s="34"/>
      <c r="AE553" s="34"/>
      <c r="AF553" s="34"/>
      <c r="AG553" s="34"/>
    </row>
    <row r="554" spans="1:33" ht="15.5">
      <c r="A554" s="45"/>
      <c r="B554" s="45"/>
      <c r="D554" s="85"/>
      <c r="AD554" s="34"/>
      <c r="AE554" s="34"/>
      <c r="AF554" s="34"/>
      <c r="AG554" s="34"/>
    </row>
    <row r="555" spans="1:33" ht="15.5">
      <c r="A555" s="45"/>
      <c r="B555" s="45"/>
      <c r="D555" s="85"/>
      <c r="AD555" s="34"/>
      <c r="AE555" s="34"/>
      <c r="AF555" s="34"/>
      <c r="AG555" s="34"/>
    </row>
    <row r="556" spans="1:33" ht="15.5">
      <c r="A556" s="45"/>
      <c r="B556" s="45"/>
      <c r="D556" s="85"/>
      <c r="AD556" s="34"/>
      <c r="AE556" s="34"/>
      <c r="AF556" s="34"/>
      <c r="AG556" s="34"/>
    </row>
    <row r="557" spans="1:33" ht="15.5">
      <c r="A557" s="45"/>
      <c r="B557" s="45"/>
      <c r="D557" s="85"/>
      <c r="AD557" s="34"/>
      <c r="AE557" s="34"/>
      <c r="AF557" s="34"/>
      <c r="AG557" s="34"/>
    </row>
    <row r="558" spans="1:33" ht="15.5">
      <c r="A558" s="45"/>
      <c r="B558" s="45"/>
      <c r="D558" s="85"/>
      <c r="AD558" s="34"/>
      <c r="AE558" s="34"/>
      <c r="AF558" s="34"/>
      <c r="AG558" s="34"/>
    </row>
    <row r="559" spans="1:33" ht="15.5">
      <c r="A559" s="45"/>
      <c r="B559" s="45"/>
      <c r="D559" s="85"/>
      <c r="AD559" s="34"/>
      <c r="AE559" s="34"/>
      <c r="AF559" s="34"/>
      <c r="AG559" s="34"/>
    </row>
    <row r="560" spans="1:33" ht="15.5">
      <c r="A560" s="45"/>
      <c r="B560" s="45"/>
      <c r="D560" s="85"/>
      <c r="AD560" s="34"/>
      <c r="AE560" s="34"/>
      <c r="AF560" s="34"/>
      <c r="AG560" s="34"/>
    </row>
    <row r="561" spans="1:33" ht="15.5">
      <c r="A561" s="45"/>
      <c r="B561" s="45"/>
      <c r="D561" s="85"/>
      <c r="AD561" s="34"/>
      <c r="AE561" s="34"/>
      <c r="AF561" s="34"/>
      <c r="AG561" s="34"/>
    </row>
    <row r="562" spans="1:33" ht="15.5">
      <c r="A562" s="45"/>
      <c r="B562" s="45"/>
      <c r="D562" s="85"/>
      <c r="AD562" s="34"/>
      <c r="AE562" s="34"/>
      <c r="AF562" s="34"/>
      <c r="AG562" s="34"/>
    </row>
    <row r="563" spans="1:33" ht="15.5">
      <c r="A563" s="45"/>
      <c r="B563" s="45"/>
      <c r="D563" s="85"/>
      <c r="AD563" s="34"/>
      <c r="AE563" s="34"/>
      <c r="AF563" s="34"/>
      <c r="AG563" s="34"/>
    </row>
    <row r="564" spans="1:33" ht="15.5">
      <c r="A564" s="45"/>
      <c r="B564" s="45"/>
      <c r="D564" s="85"/>
      <c r="AD564" s="34"/>
      <c r="AE564" s="34"/>
      <c r="AF564" s="34"/>
      <c r="AG564" s="34"/>
    </row>
    <row r="565" spans="1:33" ht="15.5">
      <c r="A565" s="45"/>
      <c r="B565" s="45"/>
      <c r="D565" s="85"/>
      <c r="AD565" s="34"/>
      <c r="AE565" s="34"/>
      <c r="AF565" s="34"/>
      <c r="AG565" s="34"/>
    </row>
    <row r="566" spans="1:33" ht="15.5">
      <c r="A566" s="45"/>
      <c r="B566" s="45"/>
      <c r="D566" s="85"/>
      <c r="AD566" s="34"/>
      <c r="AE566" s="34"/>
      <c r="AF566" s="34"/>
      <c r="AG566" s="34"/>
    </row>
    <row r="567" spans="1:33" ht="15.5">
      <c r="A567" s="45"/>
      <c r="B567" s="45"/>
      <c r="D567" s="85"/>
      <c r="AD567" s="34"/>
      <c r="AE567" s="34"/>
      <c r="AF567" s="34"/>
      <c r="AG567" s="34"/>
    </row>
    <row r="568" spans="1:33" ht="15.5">
      <c r="A568" s="45"/>
      <c r="B568" s="45"/>
      <c r="D568" s="85"/>
      <c r="AD568" s="34"/>
      <c r="AE568" s="34"/>
      <c r="AF568" s="34"/>
      <c r="AG568" s="34"/>
    </row>
    <row r="569" spans="1:33" ht="15.5">
      <c r="A569" s="45"/>
      <c r="B569" s="45"/>
      <c r="D569" s="85"/>
      <c r="AD569" s="34"/>
      <c r="AE569" s="34"/>
      <c r="AF569" s="34"/>
      <c r="AG569" s="34"/>
    </row>
    <row r="570" spans="1:33" ht="15.5">
      <c r="A570" s="45"/>
      <c r="B570" s="45"/>
      <c r="D570" s="85"/>
      <c r="AD570" s="34"/>
      <c r="AE570" s="34"/>
      <c r="AF570" s="34"/>
      <c r="AG570" s="34"/>
    </row>
    <row r="571" spans="1:33" ht="15.5">
      <c r="A571" s="45"/>
      <c r="B571" s="45"/>
      <c r="D571" s="85"/>
      <c r="AD571" s="34"/>
      <c r="AE571" s="34"/>
      <c r="AF571" s="34"/>
      <c r="AG571" s="34"/>
    </row>
    <row r="572" spans="1:33" ht="15.5">
      <c r="A572" s="45"/>
      <c r="B572" s="45"/>
      <c r="D572" s="85"/>
      <c r="AD572" s="34"/>
      <c r="AE572" s="34"/>
      <c r="AF572" s="34"/>
      <c r="AG572" s="34"/>
    </row>
    <row r="573" spans="1:33" ht="15.5">
      <c r="A573" s="45"/>
      <c r="B573" s="45"/>
      <c r="D573" s="85"/>
      <c r="AD573" s="34"/>
      <c r="AE573" s="34"/>
      <c r="AF573" s="34"/>
      <c r="AG573" s="34"/>
    </row>
    <row r="574" spans="1:33" ht="15.5">
      <c r="A574" s="45"/>
      <c r="B574" s="45"/>
      <c r="D574" s="85"/>
      <c r="AD574" s="34"/>
      <c r="AE574" s="34"/>
      <c r="AF574" s="34"/>
      <c r="AG574" s="34"/>
    </row>
    <row r="575" spans="1:33" ht="15.5">
      <c r="A575" s="45"/>
      <c r="B575" s="45"/>
      <c r="D575" s="85"/>
      <c r="AD575" s="34"/>
      <c r="AE575" s="34"/>
      <c r="AF575" s="34"/>
      <c r="AG575" s="34"/>
    </row>
    <row r="576" spans="1:33" ht="15.5">
      <c r="A576" s="45"/>
      <c r="B576" s="45"/>
      <c r="D576" s="85"/>
      <c r="AD576" s="34"/>
      <c r="AE576" s="34"/>
      <c r="AF576" s="34"/>
      <c r="AG576" s="34"/>
    </row>
    <row r="577" spans="1:33" ht="15.5">
      <c r="A577" s="45"/>
      <c r="B577" s="45"/>
      <c r="D577" s="85"/>
      <c r="AD577" s="34"/>
      <c r="AE577" s="34"/>
      <c r="AF577" s="34"/>
      <c r="AG577" s="34"/>
    </row>
    <row r="578" spans="1:33" ht="15.5">
      <c r="A578" s="45"/>
      <c r="B578" s="45"/>
      <c r="D578" s="85"/>
      <c r="AD578" s="34"/>
      <c r="AE578" s="34"/>
      <c r="AF578" s="34"/>
      <c r="AG578" s="34"/>
    </row>
    <row r="579" spans="1:33" ht="15.5">
      <c r="A579" s="45"/>
      <c r="B579" s="45"/>
      <c r="D579" s="85"/>
      <c r="AD579" s="34"/>
      <c r="AE579" s="34"/>
      <c r="AF579" s="34"/>
      <c r="AG579" s="34"/>
    </row>
    <row r="580" spans="1:33" ht="15.5">
      <c r="A580" s="45"/>
      <c r="B580" s="45"/>
      <c r="D580" s="85"/>
      <c r="AD580" s="34"/>
      <c r="AE580" s="34"/>
      <c r="AF580" s="34"/>
      <c r="AG580" s="34"/>
    </row>
    <row r="581" spans="1:33" ht="15.5">
      <c r="A581" s="45"/>
      <c r="B581" s="45"/>
      <c r="D581" s="85"/>
      <c r="AD581" s="34"/>
      <c r="AE581" s="34"/>
      <c r="AF581" s="34"/>
      <c r="AG581" s="34"/>
    </row>
    <row r="582" spans="1:33" ht="15.5">
      <c r="A582" s="45"/>
      <c r="B582" s="45"/>
      <c r="D582" s="85"/>
      <c r="AD582" s="34"/>
      <c r="AE582" s="34"/>
      <c r="AF582" s="34"/>
      <c r="AG582" s="34"/>
    </row>
    <row r="583" spans="1:33" ht="15.5">
      <c r="A583" s="45"/>
      <c r="B583" s="45"/>
      <c r="D583" s="85"/>
      <c r="AD583" s="34"/>
      <c r="AE583" s="34"/>
      <c r="AF583" s="34"/>
      <c r="AG583" s="34"/>
    </row>
    <row r="584" spans="1:33" ht="15.5">
      <c r="A584" s="45"/>
      <c r="B584" s="45"/>
      <c r="D584" s="85"/>
      <c r="AD584" s="34"/>
      <c r="AE584" s="34"/>
      <c r="AF584" s="34"/>
      <c r="AG584" s="34"/>
    </row>
    <row r="585" spans="1:33" ht="15.5">
      <c r="A585" s="45"/>
      <c r="B585" s="45"/>
      <c r="D585" s="85"/>
      <c r="AD585" s="34"/>
      <c r="AE585" s="34"/>
      <c r="AF585" s="34"/>
      <c r="AG585" s="34"/>
    </row>
    <row r="586" spans="1:33" ht="15.5">
      <c r="A586" s="45"/>
      <c r="B586" s="45"/>
      <c r="D586" s="85"/>
      <c r="AD586" s="34"/>
      <c r="AE586" s="34"/>
      <c r="AF586" s="34"/>
      <c r="AG586" s="34"/>
    </row>
    <row r="587" spans="1:33" ht="15.5">
      <c r="A587" s="45"/>
      <c r="B587" s="45"/>
      <c r="D587" s="85"/>
      <c r="AD587" s="34"/>
      <c r="AE587" s="34"/>
      <c r="AF587" s="34"/>
      <c r="AG587" s="34"/>
    </row>
    <row r="588" spans="1:33" ht="15.5">
      <c r="A588" s="45"/>
      <c r="B588" s="45"/>
      <c r="D588" s="85"/>
      <c r="AD588" s="34"/>
      <c r="AE588" s="34"/>
      <c r="AF588" s="34"/>
      <c r="AG588" s="34"/>
    </row>
    <row r="589" spans="1:33" ht="15.5">
      <c r="A589" s="45"/>
      <c r="B589" s="45"/>
      <c r="D589" s="85"/>
      <c r="AD589" s="34"/>
      <c r="AE589" s="34"/>
      <c r="AF589" s="34"/>
      <c r="AG589" s="34"/>
    </row>
    <row r="590" spans="1:33" ht="15.5">
      <c r="A590" s="45"/>
      <c r="B590" s="45"/>
      <c r="D590" s="85"/>
      <c r="AD590" s="34"/>
      <c r="AE590" s="34"/>
      <c r="AF590" s="34"/>
      <c r="AG590" s="34"/>
    </row>
    <row r="591" spans="1:33" ht="15.5">
      <c r="A591" s="45"/>
      <c r="B591" s="45"/>
      <c r="D591" s="85"/>
      <c r="AD591" s="34"/>
      <c r="AE591" s="34"/>
      <c r="AF591" s="34"/>
      <c r="AG591" s="34"/>
    </row>
    <row r="592" spans="1:33" ht="15.5">
      <c r="A592" s="45"/>
      <c r="B592" s="45"/>
      <c r="D592" s="85"/>
      <c r="AD592" s="34"/>
      <c r="AE592" s="34"/>
      <c r="AF592" s="34"/>
      <c r="AG592" s="34"/>
    </row>
    <row r="593" spans="1:33" ht="15.5">
      <c r="A593" s="45"/>
      <c r="B593" s="45"/>
      <c r="D593" s="85"/>
      <c r="AD593" s="34"/>
      <c r="AE593" s="34"/>
      <c r="AF593" s="34"/>
      <c r="AG593" s="34"/>
    </row>
    <row r="594" spans="1:33" ht="15.5">
      <c r="A594" s="45"/>
      <c r="B594" s="45"/>
      <c r="D594" s="85"/>
      <c r="AD594" s="34"/>
      <c r="AE594" s="34"/>
      <c r="AF594" s="34"/>
      <c r="AG594" s="34"/>
    </row>
    <row r="595" spans="1:33" ht="15.5">
      <c r="A595" s="45"/>
      <c r="B595" s="45"/>
      <c r="D595" s="85"/>
      <c r="AD595" s="34"/>
      <c r="AE595" s="34"/>
      <c r="AF595" s="34"/>
      <c r="AG595" s="34"/>
    </row>
    <row r="596" spans="1:33" ht="15.5">
      <c r="A596" s="45"/>
      <c r="B596" s="45"/>
      <c r="D596" s="85"/>
      <c r="AD596" s="34"/>
      <c r="AE596" s="34"/>
      <c r="AF596" s="34"/>
      <c r="AG596" s="34"/>
    </row>
    <row r="597" spans="1:33" ht="15.5">
      <c r="A597" s="45"/>
      <c r="B597" s="45"/>
      <c r="D597" s="85"/>
      <c r="AD597" s="34"/>
      <c r="AE597" s="34"/>
      <c r="AF597" s="34"/>
      <c r="AG597" s="34"/>
    </row>
    <row r="598" spans="1:33" ht="15.5">
      <c r="A598" s="45"/>
      <c r="B598" s="45"/>
      <c r="D598" s="85"/>
      <c r="AD598" s="34"/>
      <c r="AE598" s="34"/>
      <c r="AF598" s="34"/>
      <c r="AG598" s="34"/>
    </row>
    <row r="599" spans="1:33" ht="15.5">
      <c r="A599" s="45"/>
      <c r="B599" s="45"/>
      <c r="D599" s="85"/>
      <c r="AD599" s="34"/>
      <c r="AE599" s="34"/>
      <c r="AF599" s="34"/>
      <c r="AG599" s="34"/>
    </row>
    <row r="600" spans="1:33" ht="15.5">
      <c r="A600" s="45"/>
      <c r="B600" s="45"/>
      <c r="D600" s="85"/>
      <c r="AD600" s="34"/>
      <c r="AE600" s="34"/>
      <c r="AF600" s="34"/>
      <c r="AG600" s="34"/>
    </row>
    <row r="601" spans="1:33" ht="15.5">
      <c r="A601" s="45"/>
      <c r="B601" s="45"/>
      <c r="D601" s="85"/>
      <c r="AD601" s="34"/>
      <c r="AE601" s="34"/>
      <c r="AF601" s="34"/>
      <c r="AG601" s="34"/>
    </row>
    <row r="602" spans="1:33" ht="15.5">
      <c r="A602" s="45"/>
      <c r="B602" s="45"/>
      <c r="D602" s="85"/>
      <c r="AD602" s="34"/>
      <c r="AE602" s="34"/>
      <c r="AF602" s="34"/>
      <c r="AG602" s="34"/>
    </row>
    <row r="603" spans="1:33" ht="15.5">
      <c r="A603" s="45"/>
      <c r="B603" s="45"/>
      <c r="D603" s="85"/>
      <c r="AD603" s="34"/>
      <c r="AE603" s="34"/>
      <c r="AF603" s="34"/>
      <c r="AG603" s="34"/>
    </row>
    <row r="604" spans="1:33" ht="15.5">
      <c r="A604" s="45"/>
      <c r="B604" s="45"/>
      <c r="D604" s="85"/>
      <c r="AD604" s="34"/>
      <c r="AE604" s="34"/>
      <c r="AF604" s="34"/>
      <c r="AG604" s="34"/>
    </row>
    <row r="605" spans="1:33" ht="15.5">
      <c r="A605" s="45"/>
      <c r="B605" s="45"/>
      <c r="D605" s="85"/>
      <c r="AD605" s="34"/>
      <c r="AE605" s="34"/>
      <c r="AF605" s="34"/>
      <c r="AG605" s="34"/>
    </row>
    <row r="606" spans="1:33" ht="15.5">
      <c r="A606" s="45"/>
      <c r="B606" s="45"/>
      <c r="D606" s="85"/>
      <c r="AD606" s="34"/>
      <c r="AE606" s="34"/>
      <c r="AF606" s="34"/>
      <c r="AG606" s="34"/>
    </row>
    <row r="607" spans="1:33" ht="15.5">
      <c r="A607" s="45"/>
      <c r="B607" s="45"/>
      <c r="D607" s="85"/>
      <c r="AD607" s="34"/>
      <c r="AE607" s="34"/>
      <c r="AF607" s="34"/>
      <c r="AG607" s="34"/>
    </row>
    <row r="608" spans="1:33" ht="15.5">
      <c r="A608" s="45"/>
      <c r="B608" s="45"/>
      <c r="D608" s="85"/>
      <c r="AD608" s="34"/>
      <c r="AE608" s="34"/>
      <c r="AF608" s="34"/>
      <c r="AG608" s="34"/>
    </row>
    <row r="609" spans="1:33" ht="15.5">
      <c r="A609" s="45"/>
      <c r="B609" s="45"/>
      <c r="D609" s="85"/>
      <c r="AD609" s="34"/>
      <c r="AE609" s="34"/>
      <c r="AF609" s="34"/>
      <c r="AG609" s="34"/>
    </row>
    <row r="610" spans="1:33" ht="15.5">
      <c r="A610" s="45"/>
      <c r="B610" s="45"/>
      <c r="D610" s="85"/>
      <c r="AD610" s="34"/>
      <c r="AE610" s="34"/>
      <c r="AF610" s="34"/>
      <c r="AG610" s="34"/>
    </row>
    <row r="611" spans="1:33" ht="15.5">
      <c r="A611" s="45"/>
      <c r="B611" s="45"/>
      <c r="D611" s="85"/>
      <c r="AD611" s="34"/>
      <c r="AE611" s="34"/>
      <c r="AF611" s="34"/>
      <c r="AG611" s="34"/>
    </row>
    <row r="612" spans="1:33" ht="15.5">
      <c r="A612" s="45"/>
      <c r="B612" s="45"/>
      <c r="D612" s="85"/>
      <c r="AD612" s="34"/>
      <c r="AE612" s="34"/>
      <c r="AF612" s="34"/>
      <c r="AG612" s="34"/>
    </row>
    <row r="613" spans="1:33" ht="15.5">
      <c r="A613" s="45"/>
      <c r="B613" s="45"/>
      <c r="D613" s="85"/>
      <c r="AD613" s="34"/>
      <c r="AE613" s="34"/>
      <c r="AF613" s="34"/>
      <c r="AG613" s="34"/>
    </row>
    <row r="614" spans="1:33" ht="15.5">
      <c r="A614" s="45"/>
      <c r="B614" s="45"/>
      <c r="D614" s="85"/>
      <c r="AD614" s="34"/>
      <c r="AE614" s="34"/>
      <c r="AF614" s="34"/>
      <c r="AG614" s="34"/>
    </row>
    <row r="615" spans="1:33" ht="15.5">
      <c r="A615" s="45"/>
      <c r="B615" s="45"/>
      <c r="D615" s="85"/>
      <c r="AD615" s="34"/>
      <c r="AE615" s="34"/>
      <c r="AF615" s="34"/>
      <c r="AG615" s="34"/>
    </row>
    <row r="616" spans="1:33" ht="15.5">
      <c r="A616" s="45"/>
      <c r="B616" s="45"/>
      <c r="D616" s="85"/>
      <c r="AD616" s="34"/>
      <c r="AE616" s="34"/>
      <c r="AF616" s="34"/>
      <c r="AG616" s="34"/>
    </row>
    <row r="617" spans="1:33" ht="15.5">
      <c r="A617" s="45"/>
      <c r="B617" s="45"/>
      <c r="D617" s="85"/>
      <c r="AD617" s="34"/>
      <c r="AE617" s="34"/>
      <c r="AF617" s="34"/>
      <c r="AG617" s="34"/>
    </row>
    <row r="618" spans="1:33" ht="15.5">
      <c r="A618" s="45"/>
      <c r="B618" s="45"/>
      <c r="D618" s="85"/>
      <c r="AD618" s="34"/>
      <c r="AE618" s="34"/>
      <c r="AF618" s="34"/>
      <c r="AG618" s="34"/>
    </row>
    <row r="619" spans="1:33" ht="15.5">
      <c r="A619" s="45"/>
      <c r="B619" s="45"/>
      <c r="D619" s="85"/>
      <c r="AD619" s="34"/>
      <c r="AE619" s="34"/>
      <c r="AF619" s="34"/>
      <c r="AG619" s="34"/>
    </row>
    <row r="620" spans="1:33" ht="15.5">
      <c r="A620" s="45"/>
      <c r="B620" s="45"/>
      <c r="D620" s="85"/>
      <c r="AD620" s="34"/>
      <c r="AE620" s="34"/>
      <c r="AF620" s="34"/>
      <c r="AG620" s="34"/>
    </row>
    <row r="621" spans="1:33" ht="15.5">
      <c r="A621" s="45"/>
      <c r="B621" s="45"/>
      <c r="D621" s="85"/>
      <c r="AD621" s="34"/>
      <c r="AE621" s="34"/>
      <c r="AF621" s="34"/>
      <c r="AG621" s="34"/>
    </row>
    <row r="622" spans="1:33" ht="15.5">
      <c r="A622" s="45"/>
      <c r="B622" s="45"/>
      <c r="D622" s="85"/>
      <c r="AD622" s="34"/>
      <c r="AE622" s="34"/>
      <c r="AF622" s="34"/>
      <c r="AG622" s="34"/>
    </row>
    <row r="623" spans="1:33" ht="15.5">
      <c r="A623" s="45"/>
      <c r="B623" s="45"/>
      <c r="D623" s="85"/>
      <c r="AD623" s="34"/>
      <c r="AE623" s="34"/>
      <c r="AF623" s="34"/>
      <c r="AG623" s="34"/>
    </row>
    <row r="624" spans="1:33" ht="15.5">
      <c r="A624" s="45"/>
      <c r="B624" s="45"/>
      <c r="D624" s="85"/>
      <c r="AD624" s="34"/>
      <c r="AE624" s="34"/>
      <c r="AF624" s="34"/>
      <c r="AG624" s="34"/>
    </row>
    <row r="625" spans="1:33" ht="15.5">
      <c r="A625" s="45"/>
      <c r="B625" s="45"/>
      <c r="D625" s="85"/>
      <c r="AD625" s="34"/>
      <c r="AE625" s="34"/>
      <c r="AF625" s="34"/>
      <c r="AG625" s="34"/>
    </row>
    <row r="626" spans="1:33" ht="15.5">
      <c r="A626" s="45"/>
      <c r="B626" s="45"/>
      <c r="D626" s="85"/>
      <c r="AD626" s="34"/>
      <c r="AE626" s="34"/>
      <c r="AF626" s="34"/>
      <c r="AG626" s="34"/>
    </row>
    <row r="627" spans="1:33" ht="15.5">
      <c r="A627" s="45"/>
      <c r="B627" s="45"/>
      <c r="D627" s="85"/>
      <c r="AD627" s="34"/>
      <c r="AE627" s="34"/>
      <c r="AF627" s="34"/>
      <c r="AG627" s="34"/>
    </row>
    <row r="628" spans="1:33" ht="15.5">
      <c r="A628" s="45"/>
      <c r="B628" s="45"/>
      <c r="D628" s="85"/>
      <c r="AD628" s="34"/>
      <c r="AE628" s="34"/>
      <c r="AF628" s="34"/>
      <c r="AG628" s="34"/>
    </row>
    <row r="629" spans="1:33" ht="15.5">
      <c r="A629" s="45"/>
      <c r="B629" s="45"/>
      <c r="D629" s="85"/>
      <c r="AD629" s="34"/>
      <c r="AE629" s="34"/>
      <c r="AF629" s="34"/>
      <c r="AG629" s="34"/>
    </row>
    <row r="630" spans="1:33" ht="15.5">
      <c r="A630" s="45"/>
      <c r="B630" s="45"/>
      <c r="D630" s="85"/>
      <c r="AD630" s="34"/>
      <c r="AE630" s="34"/>
      <c r="AF630" s="34"/>
      <c r="AG630" s="34"/>
    </row>
    <row r="631" spans="1:33" ht="15.5">
      <c r="A631" s="45"/>
      <c r="B631" s="45"/>
      <c r="D631" s="85"/>
      <c r="AD631" s="34"/>
      <c r="AE631" s="34"/>
      <c r="AF631" s="34"/>
      <c r="AG631" s="34"/>
    </row>
    <row r="632" spans="1:33" ht="15.5">
      <c r="A632" s="45"/>
      <c r="B632" s="45"/>
      <c r="D632" s="85"/>
      <c r="AD632" s="34"/>
      <c r="AE632" s="34"/>
      <c r="AF632" s="34"/>
      <c r="AG632" s="34"/>
    </row>
    <row r="633" spans="1:33" ht="15.5">
      <c r="A633" s="45"/>
      <c r="B633" s="45"/>
      <c r="D633" s="85"/>
      <c r="AD633" s="34"/>
      <c r="AE633" s="34"/>
      <c r="AF633" s="34"/>
      <c r="AG633" s="34"/>
    </row>
    <row r="634" spans="1:33" ht="15.5">
      <c r="A634" s="45"/>
      <c r="B634" s="45"/>
      <c r="D634" s="85"/>
      <c r="AD634" s="34"/>
      <c r="AE634" s="34"/>
      <c r="AF634" s="34"/>
      <c r="AG634" s="34"/>
    </row>
    <row r="635" spans="1:33" ht="15.5">
      <c r="A635" s="45"/>
      <c r="B635" s="45"/>
      <c r="D635" s="85"/>
      <c r="AD635" s="34"/>
      <c r="AE635" s="34"/>
      <c r="AF635" s="34"/>
      <c r="AG635" s="34"/>
    </row>
    <row r="636" spans="1:33" ht="15.5">
      <c r="A636" s="45"/>
      <c r="B636" s="45"/>
      <c r="D636" s="85"/>
      <c r="AD636" s="34"/>
      <c r="AE636" s="34"/>
      <c r="AF636" s="34"/>
      <c r="AG636" s="34"/>
    </row>
    <row r="637" spans="1:33" ht="15.5">
      <c r="A637" s="45"/>
      <c r="B637" s="45"/>
      <c r="D637" s="85"/>
      <c r="AD637" s="34"/>
      <c r="AE637" s="34"/>
      <c r="AF637" s="34"/>
      <c r="AG637" s="34"/>
    </row>
    <row r="638" spans="1:33" ht="15.5">
      <c r="A638" s="45"/>
      <c r="B638" s="45"/>
      <c r="D638" s="85"/>
      <c r="AD638" s="34"/>
      <c r="AE638" s="34"/>
      <c r="AF638" s="34"/>
      <c r="AG638" s="34"/>
    </row>
    <row r="639" spans="1:33" ht="15.5">
      <c r="A639" s="45"/>
      <c r="B639" s="45"/>
      <c r="D639" s="85"/>
      <c r="AD639" s="34"/>
      <c r="AE639" s="34"/>
      <c r="AF639" s="34"/>
      <c r="AG639" s="34"/>
    </row>
    <row r="640" spans="1:33" ht="15.5">
      <c r="A640" s="45"/>
      <c r="B640" s="45"/>
      <c r="D640" s="85"/>
      <c r="AD640" s="34"/>
      <c r="AE640" s="34"/>
      <c r="AF640" s="34"/>
      <c r="AG640" s="34"/>
    </row>
    <row r="641" spans="1:33" ht="15.5">
      <c r="A641" s="45"/>
      <c r="B641" s="45"/>
      <c r="D641" s="85"/>
      <c r="AD641" s="34"/>
      <c r="AE641" s="34"/>
      <c r="AF641" s="34"/>
      <c r="AG641" s="34"/>
    </row>
    <row r="642" spans="1:33" ht="15.5">
      <c r="A642" s="45"/>
      <c r="B642" s="45"/>
      <c r="D642" s="85"/>
      <c r="AD642" s="34"/>
      <c r="AE642" s="34"/>
      <c r="AF642" s="34"/>
      <c r="AG642" s="34"/>
    </row>
    <row r="643" spans="1:33" ht="15.5">
      <c r="A643" s="45"/>
      <c r="B643" s="45"/>
      <c r="D643" s="85"/>
      <c r="AD643" s="34"/>
      <c r="AE643" s="34"/>
      <c r="AF643" s="34"/>
      <c r="AG643" s="34"/>
    </row>
    <row r="644" spans="1:33" ht="15.5">
      <c r="A644" s="45"/>
      <c r="B644" s="45"/>
      <c r="D644" s="85"/>
      <c r="AD644" s="34"/>
      <c r="AE644" s="34"/>
      <c r="AF644" s="34"/>
      <c r="AG644" s="34"/>
    </row>
    <row r="645" spans="1:33" ht="15.5">
      <c r="A645" s="45"/>
      <c r="B645" s="45"/>
      <c r="D645" s="85"/>
      <c r="AD645" s="34"/>
      <c r="AE645" s="34"/>
      <c r="AF645" s="34"/>
      <c r="AG645" s="34"/>
    </row>
    <row r="646" spans="1:33" ht="15.5">
      <c r="A646" s="45"/>
      <c r="B646" s="45"/>
      <c r="D646" s="85"/>
      <c r="AD646" s="34"/>
      <c r="AE646" s="34"/>
      <c r="AF646" s="34"/>
      <c r="AG646" s="34"/>
    </row>
    <row r="647" spans="1:33" ht="15.5">
      <c r="A647" s="45"/>
      <c r="B647" s="45"/>
      <c r="D647" s="85"/>
      <c r="AD647" s="34"/>
      <c r="AE647" s="34"/>
      <c r="AF647" s="34"/>
      <c r="AG647" s="34"/>
    </row>
    <row r="648" spans="1:33" ht="15.5">
      <c r="A648" s="45"/>
      <c r="B648" s="45"/>
      <c r="D648" s="85"/>
      <c r="AD648" s="34"/>
      <c r="AE648" s="34"/>
      <c r="AF648" s="34"/>
      <c r="AG648" s="34"/>
    </row>
    <row r="649" spans="1:33" ht="15.5">
      <c r="A649" s="45"/>
      <c r="B649" s="45"/>
      <c r="D649" s="85"/>
      <c r="AD649" s="34"/>
      <c r="AE649" s="34"/>
      <c r="AF649" s="34"/>
      <c r="AG649" s="34"/>
    </row>
    <row r="650" spans="1:33" ht="15.5">
      <c r="A650" s="45"/>
      <c r="B650" s="45"/>
      <c r="D650" s="85"/>
      <c r="AD650" s="34"/>
      <c r="AE650" s="34"/>
      <c r="AF650" s="34"/>
      <c r="AG650" s="34"/>
    </row>
    <row r="651" spans="1:33" ht="15.5">
      <c r="A651" s="45"/>
      <c r="B651" s="45"/>
      <c r="D651" s="85"/>
      <c r="AD651" s="34"/>
      <c r="AE651" s="34"/>
      <c r="AF651" s="34"/>
      <c r="AG651" s="34"/>
    </row>
    <row r="652" spans="1:33" ht="15.5">
      <c r="A652" s="45"/>
      <c r="B652" s="45"/>
      <c r="D652" s="85"/>
      <c r="AD652" s="34"/>
      <c r="AE652" s="34"/>
      <c r="AF652" s="34"/>
      <c r="AG652" s="34"/>
    </row>
    <row r="653" spans="1:33" ht="15.5">
      <c r="A653" s="45"/>
      <c r="B653" s="45"/>
      <c r="D653" s="85"/>
      <c r="AD653" s="34"/>
      <c r="AE653" s="34"/>
      <c r="AF653" s="34"/>
      <c r="AG653" s="34"/>
    </row>
    <row r="654" spans="1:33" ht="15.5">
      <c r="A654" s="45"/>
      <c r="B654" s="45"/>
      <c r="D654" s="85"/>
      <c r="AD654" s="34"/>
      <c r="AE654" s="34"/>
      <c r="AF654" s="34"/>
      <c r="AG654" s="34"/>
    </row>
    <row r="655" spans="1:33" ht="15.5">
      <c r="A655" s="45"/>
      <c r="B655" s="45"/>
      <c r="D655" s="85"/>
      <c r="AD655" s="34"/>
      <c r="AE655" s="34"/>
      <c r="AF655" s="34"/>
      <c r="AG655" s="34"/>
    </row>
    <row r="656" spans="1:33" ht="15.5">
      <c r="A656" s="45"/>
      <c r="B656" s="45"/>
      <c r="D656" s="85"/>
      <c r="AD656" s="34"/>
      <c r="AE656" s="34"/>
      <c r="AF656" s="34"/>
      <c r="AG656" s="34"/>
    </row>
    <row r="657" spans="1:33" ht="15.5">
      <c r="A657" s="45"/>
      <c r="B657" s="45"/>
      <c r="D657" s="85"/>
      <c r="AD657" s="34"/>
      <c r="AE657" s="34"/>
      <c r="AF657" s="34"/>
      <c r="AG657" s="34"/>
    </row>
    <row r="658" spans="1:33" ht="15.5">
      <c r="A658" s="45"/>
      <c r="B658" s="45"/>
      <c r="D658" s="85"/>
      <c r="AD658" s="34"/>
      <c r="AE658" s="34"/>
      <c r="AF658" s="34"/>
      <c r="AG658" s="34"/>
    </row>
    <row r="659" spans="1:33" ht="15.5">
      <c r="A659" s="45"/>
      <c r="B659" s="45"/>
      <c r="D659" s="85"/>
      <c r="AD659" s="34"/>
      <c r="AE659" s="34"/>
      <c r="AF659" s="34"/>
      <c r="AG659" s="34"/>
    </row>
    <row r="660" spans="1:33" ht="15.5">
      <c r="A660" s="45"/>
      <c r="B660" s="45"/>
      <c r="D660" s="85"/>
      <c r="AD660" s="34"/>
      <c r="AE660" s="34"/>
      <c r="AF660" s="34"/>
      <c r="AG660" s="34"/>
    </row>
    <row r="661" spans="1:33" ht="15.5">
      <c r="A661" s="45"/>
      <c r="B661" s="45"/>
      <c r="D661" s="85"/>
      <c r="AD661" s="34"/>
      <c r="AE661" s="34"/>
      <c r="AF661" s="34"/>
      <c r="AG661" s="34"/>
    </row>
    <row r="662" spans="1:33" ht="15.5">
      <c r="A662" s="45"/>
      <c r="B662" s="45"/>
      <c r="D662" s="85"/>
      <c r="AD662" s="34"/>
      <c r="AE662" s="34"/>
      <c r="AF662" s="34"/>
      <c r="AG662" s="34"/>
    </row>
    <row r="663" spans="1:33" ht="15.5">
      <c r="A663" s="45"/>
      <c r="B663" s="45"/>
      <c r="D663" s="85"/>
      <c r="AD663" s="34"/>
      <c r="AE663" s="34"/>
      <c r="AF663" s="34"/>
      <c r="AG663" s="34"/>
    </row>
    <row r="664" spans="1:33" ht="15.5">
      <c r="A664" s="45"/>
      <c r="B664" s="45"/>
      <c r="D664" s="85"/>
      <c r="AD664" s="34"/>
      <c r="AE664" s="34"/>
      <c r="AF664" s="34"/>
      <c r="AG664" s="34"/>
    </row>
    <row r="665" spans="1:33" ht="15.5">
      <c r="A665" s="45"/>
      <c r="B665" s="45"/>
      <c r="D665" s="85"/>
      <c r="AD665" s="34"/>
      <c r="AE665" s="34"/>
      <c r="AF665" s="34"/>
      <c r="AG665" s="34"/>
    </row>
    <row r="666" spans="1:33" ht="15.5">
      <c r="A666" s="45"/>
      <c r="B666" s="45"/>
      <c r="D666" s="85"/>
      <c r="AD666" s="34"/>
      <c r="AE666" s="34"/>
      <c r="AF666" s="34"/>
      <c r="AG666" s="34"/>
    </row>
    <row r="667" spans="1:33" ht="15.5">
      <c r="A667" s="45"/>
      <c r="B667" s="45"/>
      <c r="D667" s="85"/>
      <c r="AD667" s="34"/>
      <c r="AE667" s="34"/>
      <c r="AF667" s="34"/>
      <c r="AG667" s="34"/>
    </row>
    <row r="668" spans="1:33" ht="15.5">
      <c r="A668" s="45"/>
      <c r="B668" s="45"/>
      <c r="D668" s="85"/>
      <c r="AD668" s="34"/>
      <c r="AE668" s="34"/>
      <c r="AF668" s="34"/>
      <c r="AG668" s="34"/>
    </row>
    <row r="669" spans="1:33" ht="15.5">
      <c r="A669" s="45"/>
      <c r="B669" s="45"/>
      <c r="D669" s="85"/>
      <c r="AD669" s="34"/>
      <c r="AE669" s="34"/>
      <c r="AF669" s="34"/>
      <c r="AG669" s="34"/>
    </row>
    <row r="670" spans="1:33" ht="15.5">
      <c r="A670" s="45"/>
      <c r="B670" s="45"/>
      <c r="D670" s="85"/>
      <c r="AD670" s="34"/>
      <c r="AE670" s="34"/>
      <c r="AF670" s="34"/>
      <c r="AG670" s="34"/>
    </row>
    <row r="671" spans="1:33" ht="15.5">
      <c r="A671" s="45"/>
      <c r="B671" s="45"/>
      <c r="D671" s="85"/>
      <c r="AD671" s="34"/>
      <c r="AE671" s="34"/>
      <c r="AF671" s="34"/>
      <c r="AG671" s="34"/>
    </row>
    <row r="672" spans="1:33" ht="15.5">
      <c r="A672" s="45"/>
      <c r="B672" s="45"/>
      <c r="D672" s="85"/>
      <c r="AD672" s="34"/>
      <c r="AE672" s="34"/>
      <c r="AF672" s="34"/>
      <c r="AG672" s="34"/>
    </row>
    <row r="673" spans="1:33" ht="15.5">
      <c r="A673" s="45"/>
      <c r="B673" s="45"/>
      <c r="D673" s="85"/>
      <c r="AD673" s="34"/>
      <c r="AE673" s="34"/>
      <c r="AF673" s="34"/>
      <c r="AG673" s="34"/>
    </row>
    <row r="674" spans="1:33" ht="15.5">
      <c r="A674" s="45"/>
      <c r="B674" s="45"/>
      <c r="D674" s="85"/>
      <c r="AD674" s="34"/>
      <c r="AE674" s="34"/>
      <c r="AF674" s="34"/>
      <c r="AG674" s="34"/>
    </row>
    <row r="675" spans="1:33" ht="15.5">
      <c r="A675" s="45"/>
      <c r="B675" s="45"/>
      <c r="D675" s="85"/>
      <c r="AD675" s="34"/>
      <c r="AE675" s="34"/>
      <c r="AF675" s="34"/>
      <c r="AG675" s="34"/>
    </row>
    <row r="676" spans="1:33" ht="15.5">
      <c r="A676" s="45"/>
      <c r="B676" s="45"/>
      <c r="D676" s="85"/>
      <c r="AD676" s="34"/>
      <c r="AE676" s="34"/>
      <c r="AF676" s="34"/>
      <c r="AG676" s="34"/>
    </row>
    <row r="677" spans="1:33" ht="15.5">
      <c r="A677" s="45"/>
      <c r="B677" s="45"/>
      <c r="D677" s="85"/>
      <c r="AD677" s="34"/>
      <c r="AE677" s="34"/>
      <c r="AF677" s="34"/>
      <c r="AG677" s="34"/>
    </row>
    <row r="678" spans="1:33" ht="15.5">
      <c r="A678" s="45"/>
      <c r="B678" s="45"/>
      <c r="D678" s="85"/>
      <c r="AD678" s="34"/>
      <c r="AE678" s="34"/>
      <c r="AF678" s="34"/>
      <c r="AG678" s="34"/>
    </row>
    <row r="679" spans="1:33" ht="15.5">
      <c r="A679" s="45"/>
      <c r="B679" s="45"/>
      <c r="D679" s="85"/>
      <c r="AD679" s="34"/>
      <c r="AE679" s="34"/>
      <c r="AF679" s="34"/>
      <c r="AG679" s="34"/>
    </row>
    <row r="680" spans="1:33" ht="15.5">
      <c r="A680" s="45"/>
      <c r="B680" s="45"/>
      <c r="D680" s="85"/>
      <c r="AD680" s="34"/>
      <c r="AE680" s="34"/>
      <c r="AF680" s="34"/>
      <c r="AG680" s="34"/>
    </row>
    <row r="681" spans="1:33" ht="15.5">
      <c r="A681" s="45"/>
      <c r="B681" s="45"/>
      <c r="D681" s="85"/>
      <c r="AD681" s="34"/>
      <c r="AE681" s="34"/>
      <c r="AF681" s="34"/>
      <c r="AG681" s="34"/>
    </row>
    <row r="682" spans="1:33" ht="15.5">
      <c r="A682" s="45"/>
      <c r="B682" s="45"/>
      <c r="D682" s="85"/>
      <c r="AD682" s="34"/>
      <c r="AE682" s="34"/>
      <c r="AF682" s="34"/>
      <c r="AG682" s="34"/>
    </row>
    <row r="683" spans="1:33" ht="15.5">
      <c r="A683" s="45"/>
      <c r="B683" s="45"/>
      <c r="D683" s="85"/>
      <c r="AD683" s="34"/>
      <c r="AE683" s="34"/>
      <c r="AF683" s="34"/>
      <c r="AG683" s="34"/>
    </row>
    <row r="684" spans="1:33" ht="15.5">
      <c r="A684" s="45"/>
      <c r="B684" s="45"/>
      <c r="D684" s="85"/>
      <c r="AD684" s="34"/>
      <c r="AE684" s="34"/>
      <c r="AF684" s="34"/>
      <c r="AG684" s="34"/>
    </row>
    <row r="685" spans="1:33" ht="15.5">
      <c r="A685" s="45"/>
      <c r="B685" s="45"/>
      <c r="D685" s="85"/>
      <c r="AD685" s="34"/>
      <c r="AE685" s="34"/>
      <c r="AF685" s="34"/>
      <c r="AG685" s="34"/>
    </row>
    <row r="686" spans="1:33" ht="15.5">
      <c r="A686" s="45"/>
      <c r="B686" s="45"/>
      <c r="D686" s="85"/>
      <c r="AD686" s="34"/>
      <c r="AE686" s="34"/>
      <c r="AF686" s="34"/>
      <c r="AG686" s="34"/>
    </row>
    <row r="687" spans="1:33" ht="15.5">
      <c r="A687" s="45"/>
      <c r="B687" s="45"/>
      <c r="D687" s="85"/>
      <c r="AD687" s="34"/>
      <c r="AE687" s="34"/>
      <c r="AF687" s="34"/>
      <c r="AG687" s="34"/>
    </row>
    <row r="688" spans="1:33" ht="15.5">
      <c r="A688" s="45"/>
      <c r="B688" s="45"/>
      <c r="D688" s="85"/>
      <c r="AD688" s="34"/>
      <c r="AE688" s="34"/>
      <c r="AF688" s="34"/>
      <c r="AG688" s="34"/>
    </row>
    <row r="689" spans="1:33" ht="15.5">
      <c r="A689" s="45"/>
      <c r="B689" s="45"/>
      <c r="D689" s="85"/>
      <c r="AD689" s="34"/>
      <c r="AE689" s="34"/>
      <c r="AF689" s="34"/>
      <c r="AG689" s="34"/>
    </row>
    <row r="690" spans="1:33" ht="15.5">
      <c r="A690" s="45"/>
      <c r="B690" s="45"/>
      <c r="D690" s="85"/>
      <c r="AD690" s="34"/>
      <c r="AE690" s="34"/>
      <c r="AF690" s="34"/>
      <c r="AG690" s="34"/>
    </row>
    <row r="691" spans="1:33" ht="15.5">
      <c r="A691" s="45"/>
      <c r="B691" s="45"/>
      <c r="D691" s="85"/>
      <c r="AD691" s="34"/>
      <c r="AE691" s="34"/>
      <c r="AF691" s="34"/>
      <c r="AG691" s="34"/>
    </row>
    <row r="692" spans="1:33" ht="15.5">
      <c r="A692" s="45"/>
      <c r="B692" s="45"/>
      <c r="D692" s="85"/>
      <c r="AD692" s="34"/>
      <c r="AE692" s="34"/>
      <c r="AF692" s="34"/>
      <c r="AG692" s="34"/>
    </row>
    <row r="693" spans="1:33" ht="15.5">
      <c r="A693" s="45"/>
      <c r="B693" s="45"/>
      <c r="D693" s="85"/>
      <c r="AD693" s="34"/>
      <c r="AE693" s="34"/>
      <c r="AF693" s="34"/>
      <c r="AG693" s="34"/>
    </row>
    <row r="694" spans="1:33" ht="15.5">
      <c r="A694" s="45"/>
      <c r="B694" s="45"/>
      <c r="D694" s="85"/>
      <c r="AD694" s="34"/>
      <c r="AE694" s="34"/>
      <c r="AF694" s="34"/>
      <c r="AG694" s="34"/>
    </row>
    <row r="695" spans="1:33" ht="15.5">
      <c r="A695" s="45"/>
      <c r="B695" s="45"/>
      <c r="D695" s="85"/>
      <c r="AD695" s="34"/>
      <c r="AE695" s="34"/>
      <c r="AF695" s="34"/>
      <c r="AG695" s="34"/>
    </row>
    <row r="696" spans="1:33" ht="15.5">
      <c r="A696" s="45"/>
      <c r="B696" s="45"/>
      <c r="D696" s="85"/>
      <c r="AD696" s="34"/>
      <c r="AE696" s="34"/>
      <c r="AF696" s="34"/>
      <c r="AG696" s="34"/>
    </row>
    <row r="697" spans="1:33" ht="15.5">
      <c r="A697" s="45"/>
      <c r="B697" s="45"/>
      <c r="D697" s="85"/>
      <c r="AD697" s="34"/>
      <c r="AE697" s="34"/>
      <c r="AF697" s="34"/>
      <c r="AG697" s="34"/>
    </row>
    <row r="698" spans="1:33" ht="15.5">
      <c r="A698" s="45"/>
      <c r="B698" s="45"/>
      <c r="D698" s="85"/>
      <c r="AD698" s="34"/>
      <c r="AE698" s="34"/>
      <c r="AF698" s="34"/>
      <c r="AG698" s="34"/>
    </row>
    <row r="699" spans="1:33" ht="15.5">
      <c r="A699" s="45"/>
      <c r="B699" s="45"/>
      <c r="D699" s="85"/>
      <c r="AD699" s="34"/>
      <c r="AE699" s="34"/>
      <c r="AF699" s="34"/>
      <c r="AG699" s="34"/>
    </row>
    <row r="700" spans="1:33" ht="15.5">
      <c r="A700" s="45"/>
      <c r="B700" s="45"/>
      <c r="D700" s="85"/>
      <c r="AD700" s="34"/>
      <c r="AE700" s="34"/>
      <c r="AF700" s="34"/>
      <c r="AG700" s="34"/>
    </row>
    <row r="701" spans="1:33" ht="15.5">
      <c r="A701" s="45"/>
      <c r="B701" s="45"/>
      <c r="D701" s="85"/>
      <c r="AD701" s="34"/>
      <c r="AE701" s="34"/>
      <c r="AF701" s="34"/>
      <c r="AG701" s="34"/>
    </row>
    <row r="702" spans="1:33" ht="15.5">
      <c r="A702" s="45"/>
      <c r="B702" s="45"/>
      <c r="D702" s="85"/>
      <c r="AD702" s="34"/>
      <c r="AE702" s="34"/>
      <c r="AF702" s="34"/>
      <c r="AG702" s="34"/>
    </row>
    <row r="703" spans="1:33" ht="15.5">
      <c r="A703" s="45"/>
      <c r="B703" s="45"/>
      <c r="D703" s="85"/>
      <c r="AD703" s="34"/>
      <c r="AE703" s="34"/>
      <c r="AF703" s="34"/>
      <c r="AG703" s="34"/>
    </row>
    <row r="704" spans="1:33" ht="15.5">
      <c r="A704" s="45"/>
      <c r="B704" s="45"/>
      <c r="D704" s="85"/>
      <c r="AD704" s="34"/>
      <c r="AE704" s="34"/>
      <c r="AF704" s="34"/>
      <c r="AG704" s="34"/>
    </row>
    <row r="705" spans="1:33" ht="15.5">
      <c r="A705" s="45"/>
      <c r="B705" s="45"/>
      <c r="D705" s="85"/>
      <c r="AD705" s="34"/>
      <c r="AE705" s="34"/>
      <c r="AF705" s="34"/>
      <c r="AG705" s="34"/>
    </row>
    <row r="706" spans="1:33" ht="15.5">
      <c r="A706" s="45"/>
      <c r="B706" s="45"/>
      <c r="D706" s="85"/>
      <c r="AD706" s="34"/>
      <c r="AE706" s="34"/>
      <c r="AF706" s="34"/>
      <c r="AG706" s="34"/>
    </row>
    <row r="707" spans="1:33" ht="15.5">
      <c r="A707" s="45"/>
      <c r="B707" s="45"/>
      <c r="D707" s="85"/>
      <c r="AD707" s="34"/>
      <c r="AE707" s="34"/>
      <c r="AF707" s="34"/>
      <c r="AG707" s="34"/>
    </row>
    <row r="708" spans="1:33" ht="15.5">
      <c r="A708" s="45"/>
      <c r="B708" s="45"/>
      <c r="D708" s="85"/>
      <c r="AD708" s="34"/>
      <c r="AE708" s="34"/>
      <c r="AF708" s="34"/>
      <c r="AG708" s="34"/>
    </row>
    <row r="709" spans="1:33" ht="15.5">
      <c r="A709" s="45"/>
      <c r="B709" s="45"/>
      <c r="D709" s="85"/>
      <c r="AD709" s="34"/>
      <c r="AE709" s="34"/>
      <c r="AF709" s="34"/>
      <c r="AG709" s="34"/>
    </row>
    <row r="710" spans="1:33" ht="15.5">
      <c r="A710" s="45"/>
      <c r="B710" s="45"/>
      <c r="D710" s="85"/>
      <c r="AD710" s="34"/>
      <c r="AE710" s="34"/>
      <c r="AF710" s="34"/>
      <c r="AG710" s="34"/>
    </row>
    <row r="711" spans="1:33" ht="15.5">
      <c r="A711" s="45"/>
      <c r="B711" s="45"/>
      <c r="D711" s="85"/>
      <c r="AD711" s="34"/>
      <c r="AE711" s="34"/>
      <c r="AF711" s="34"/>
      <c r="AG711" s="34"/>
    </row>
    <row r="712" spans="1:33" ht="15.5">
      <c r="A712" s="45"/>
      <c r="B712" s="45"/>
      <c r="D712" s="85"/>
      <c r="AD712" s="34"/>
      <c r="AE712" s="34"/>
      <c r="AF712" s="34"/>
      <c r="AG712" s="34"/>
    </row>
    <row r="713" spans="1:33" ht="15.5">
      <c r="A713" s="45"/>
      <c r="B713" s="45"/>
      <c r="D713" s="85"/>
      <c r="AD713" s="34"/>
      <c r="AE713" s="34"/>
      <c r="AF713" s="34"/>
      <c r="AG713" s="34"/>
    </row>
    <row r="714" spans="1:33" ht="15.5">
      <c r="A714" s="45"/>
      <c r="B714" s="45"/>
      <c r="D714" s="85"/>
      <c r="AD714" s="34"/>
      <c r="AE714" s="34"/>
      <c r="AF714" s="34"/>
      <c r="AG714" s="34"/>
    </row>
    <row r="715" spans="1:33" ht="15.5">
      <c r="A715" s="45"/>
      <c r="B715" s="45"/>
      <c r="D715" s="85"/>
      <c r="AD715" s="34"/>
      <c r="AE715" s="34"/>
      <c r="AF715" s="34"/>
      <c r="AG715" s="34"/>
    </row>
    <row r="716" spans="1:33" ht="15.5">
      <c r="A716" s="45"/>
      <c r="B716" s="45"/>
      <c r="D716" s="85"/>
      <c r="AD716" s="34"/>
      <c r="AE716" s="34"/>
      <c r="AF716" s="34"/>
      <c r="AG716" s="34"/>
    </row>
    <row r="717" spans="1:33" ht="15.5">
      <c r="A717" s="45"/>
      <c r="B717" s="45"/>
      <c r="D717" s="85"/>
      <c r="AD717" s="34"/>
      <c r="AE717" s="34"/>
      <c r="AF717" s="34"/>
      <c r="AG717" s="34"/>
    </row>
    <row r="718" spans="1:33" ht="15.5">
      <c r="A718" s="45"/>
      <c r="B718" s="45"/>
      <c r="D718" s="85"/>
      <c r="AD718" s="34"/>
      <c r="AE718" s="34"/>
      <c r="AF718" s="34"/>
      <c r="AG718" s="34"/>
    </row>
    <row r="719" spans="1:33" ht="15.5">
      <c r="A719" s="45"/>
      <c r="B719" s="45"/>
      <c r="D719" s="85"/>
      <c r="AD719" s="34"/>
      <c r="AE719" s="34"/>
      <c r="AF719" s="34"/>
      <c r="AG719" s="34"/>
    </row>
    <row r="720" spans="1:33" ht="15.5">
      <c r="A720" s="45"/>
      <c r="B720" s="45"/>
      <c r="D720" s="85"/>
      <c r="AD720" s="34"/>
      <c r="AE720" s="34"/>
      <c r="AF720" s="34"/>
      <c r="AG720" s="34"/>
    </row>
    <row r="721" spans="1:33" ht="15.5">
      <c r="A721" s="45"/>
      <c r="B721" s="45"/>
      <c r="D721" s="85"/>
      <c r="AD721" s="34"/>
      <c r="AE721" s="34"/>
      <c r="AF721" s="34"/>
      <c r="AG721" s="34"/>
    </row>
    <row r="722" spans="1:33" ht="15.5">
      <c r="A722" s="45"/>
      <c r="B722" s="45"/>
      <c r="D722" s="85"/>
      <c r="AD722" s="34"/>
      <c r="AE722" s="34"/>
      <c r="AF722" s="34"/>
      <c r="AG722" s="34"/>
    </row>
    <row r="723" spans="1:33" ht="15.5">
      <c r="A723" s="45"/>
      <c r="B723" s="45"/>
      <c r="D723" s="85"/>
      <c r="AD723" s="34"/>
      <c r="AE723" s="34"/>
      <c r="AF723" s="34"/>
      <c r="AG723" s="34"/>
    </row>
    <row r="724" spans="1:33" ht="15.5">
      <c r="A724" s="45"/>
      <c r="B724" s="45"/>
      <c r="D724" s="85"/>
      <c r="AD724" s="34"/>
      <c r="AE724" s="34"/>
      <c r="AF724" s="34"/>
      <c r="AG724" s="34"/>
    </row>
    <row r="725" spans="1:33" ht="15.5">
      <c r="A725" s="45"/>
      <c r="B725" s="45"/>
      <c r="D725" s="85"/>
      <c r="AD725" s="34"/>
      <c r="AE725" s="34"/>
      <c r="AF725" s="34"/>
      <c r="AG725" s="34"/>
    </row>
    <row r="726" spans="1:33" ht="15.5">
      <c r="A726" s="45"/>
      <c r="B726" s="45"/>
      <c r="D726" s="85"/>
      <c r="AD726" s="34"/>
      <c r="AE726" s="34"/>
      <c r="AF726" s="34"/>
      <c r="AG726" s="34"/>
    </row>
    <row r="727" spans="1:33" ht="15.5">
      <c r="A727" s="45"/>
      <c r="B727" s="45"/>
      <c r="D727" s="85"/>
      <c r="AD727" s="34"/>
      <c r="AE727" s="34"/>
      <c r="AF727" s="34"/>
      <c r="AG727" s="34"/>
    </row>
    <row r="728" spans="1:33" ht="15.5">
      <c r="A728" s="45"/>
      <c r="B728" s="45"/>
      <c r="D728" s="85"/>
      <c r="AD728" s="34"/>
      <c r="AE728" s="34"/>
      <c r="AF728" s="34"/>
      <c r="AG728" s="34"/>
    </row>
    <row r="729" spans="1:33" ht="15.5">
      <c r="A729" s="45"/>
      <c r="B729" s="45"/>
      <c r="D729" s="85"/>
      <c r="AD729" s="34"/>
      <c r="AE729" s="34"/>
      <c r="AF729" s="34"/>
      <c r="AG729" s="34"/>
    </row>
    <row r="730" spans="1:33" ht="15.5">
      <c r="A730" s="45"/>
      <c r="B730" s="45"/>
      <c r="D730" s="85"/>
      <c r="AD730" s="34"/>
      <c r="AE730" s="34"/>
      <c r="AF730" s="34"/>
      <c r="AG730" s="34"/>
    </row>
    <row r="731" spans="1:33" ht="15.5">
      <c r="A731" s="45"/>
      <c r="B731" s="45"/>
      <c r="D731" s="85"/>
      <c r="AD731" s="34"/>
      <c r="AE731" s="34"/>
      <c r="AF731" s="34"/>
      <c r="AG731" s="34"/>
    </row>
    <row r="732" spans="1:33" ht="15.5">
      <c r="A732" s="45"/>
      <c r="B732" s="45"/>
      <c r="D732" s="85"/>
      <c r="AD732" s="34"/>
      <c r="AE732" s="34"/>
      <c r="AF732" s="34"/>
      <c r="AG732" s="34"/>
    </row>
    <row r="733" spans="1:33" ht="15.5">
      <c r="A733" s="45"/>
      <c r="B733" s="45"/>
      <c r="D733" s="85"/>
      <c r="AD733" s="34"/>
      <c r="AE733" s="34"/>
      <c r="AF733" s="34"/>
      <c r="AG733" s="34"/>
    </row>
    <row r="734" spans="1:33" ht="15.5">
      <c r="A734" s="45"/>
      <c r="B734" s="45"/>
      <c r="D734" s="85"/>
      <c r="AD734" s="34"/>
      <c r="AE734" s="34"/>
      <c r="AF734" s="34"/>
      <c r="AG734" s="34"/>
    </row>
    <row r="735" spans="1:33" ht="15.5">
      <c r="A735" s="45"/>
      <c r="B735" s="45"/>
      <c r="D735" s="85"/>
      <c r="AD735" s="34"/>
      <c r="AE735" s="34"/>
      <c r="AF735" s="34"/>
      <c r="AG735" s="34"/>
    </row>
    <row r="736" spans="1:33" ht="15.5">
      <c r="A736" s="45"/>
      <c r="B736" s="45"/>
      <c r="D736" s="85"/>
      <c r="AD736" s="34"/>
      <c r="AE736" s="34"/>
      <c r="AF736" s="34"/>
      <c r="AG736" s="34"/>
    </row>
    <row r="737" spans="1:33" ht="15.5">
      <c r="A737" s="45"/>
      <c r="B737" s="45"/>
      <c r="D737" s="85"/>
      <c r="AD737" s="34"/>
      <c r="AE737" s="34"/>
      <c r="AF737" s="34"/>
      <c r="AG737" s="34"/>
    </row>
    <row r="738" spans="1:33" ht="15.5">
      <c r="A738" s="45"/>
      <c r="B738" s="45"/>
      <c r="D738" s="85"/>
      <c r="AD738" s="34"/>
      <c r="AE738" s="34"/>
      <c r="AF738" s="34"/>
      <c r="AG738" s="34"/>
    </row>
    <row r="739" spans="1:33" ht="15.5">
      <c r="A739" s="45"/>
      <c r="B739" s="45"/>
      <c r="D739" s="85"/>
      <c r="AD739" s="34"/>
      <c r="AE739" s="34"/>
      <c r="AF739" s="34"/>
      <c r="AG739" s="34"/>
    </row>
    <row r="740" spans="1:33" ht="15.5">
      <c r="A740" s="45"/>
      <c r="B740" s="45"/>
      <c r="D740" s="85"/>
      <c r="AD740" s="34"/>
      <c r="AE740" s="34"/>
      <c r="AF740" s="34"/>
      <c r="AG740" s="34"/>
    </row>
    <row r="741" spans="1:33" ht="15.5">
      <c r="A741" s="45"/>
      <c r="B741" s="45"/>
      <c r="D741" s="85"/>
      <c r="AD741" s="34"/>
      <c r="AE741" s="34"/>
      <c r="AF741" s="34"/>
      <c r="AG741" s="34"/>
    </row>
    <row r="742" spans="1:33" ht="15.5">
      <c r="A742" s="45"/>
      <c r="B742" s="45"/>
      <c r="D742" s="85"/>
      <c r="AD742" s="34"/>
      <c r="AE742" s="34"/>
      <c r="AF742" s="34"/>
      <c r="AG742" s="34"/>
    </row>
    <row r="743" spans="1:33" ht="15.5">
      <c r="A743" s="45"/>
      <c r="B743" s="45"/>
      <c r="D743" s="85"/>
      <c r="AD743" s="34"/>
      <c r="AE743" s="34"/>
      <c r="AF743" s="34"/>
      <c r="AG743" s="34"/>
    </row>
    <row r="744" spans="1:33" ht="15.5">
      <c r="A744" s="45"/>
      <c r="B744" s="45"/>
      <c r="D744" s="85"/>
      <c r="AD744" s="34"/>
      <c r="AE744" s="34"/>
      <c r="AF744" s="34"/>
      <c r="AG744" s="34"/>
    </row>
    <row r="745" spans="1:33" ht="15.5">
      <c r="A745" s="45"/>
      <c r="B745" s="45"/>
      <c r="D745" s="85"/>
      <c r="AD745" s="34"/>
      <c r="AE745" s="34"/>
      <c r="AF745" s="34"/>
      <c r="AG745" s="34"/>
    </row>
    <row r="746" spans="1:33" ht="15.5">
      <c r="A746" s="45"/>
      <c r="B746" s="45"/>
      <c r="D746" s="85"/>
      <c r="AD746" s="34"/>
      <c r="AE746" s="34"/>
      <c r="AF746" s="34"/>
      <c r="AG746" s="34"/>
    </row>
    <row r="747" spans="1:33" ht="15.5">
      <c r="A747" s="45"/>
      <c r="B747" s="45"/>
      <c r="D747" s="85"/>
      <c r="AD747" s="34"/>
      <c r="AE747" s="34"/>
      <c r="AF747" s="34"/>
      <c r="AG747" s="34"/>
    </row>
    <row r="748" spans="1:33" ht="15.5">
      <c r="A748" s="45"/>
      <c r="B748" s="45"/>
      <c r="D748" s="85"/>
      <c r="AD748" s="34"/>
      <c r="AE748" s="34"/>
      <c r="AF748" s="34"/>
      <c r="AG748" s="34"/>
    </row>
    <row r="749" spans="1:33" ht="15.5">
      <c r="A749" s="45"/>
      <c r="B749" s="45"/>
      <c r="D749" s="85"/>
      <c r="AD749" s="34"/>
      <c r="AE749" s="34"/>
      <c r="AF749" s="34"/>
      <c r="AG749" s="34"/>
    </row>
    <row r="750" spans="1:33" ht="15.5">
      <c r="A750" s="45"/>
      <c r="B750" s="45"/>
      <c r="D750" s="85"/>
      <c r="AD750" s="34"/>
      <c r="AE750" s="34"/>
      <c r="AF750" s="34"/>
      <c r="AG750" s="34"/>
    </row>
    <row r="751" spans="1:33" ht="15.5">
      <c r="A751" s="45"/>
      <c r="B751" s="45"/>
      <c r="D751" s="85"/>
      <c r="AD751" s="34"/>
      <c r="AE751" s="34"/>
      <c r="AF751" s="34"/>
      <c r="AG751" s="34"/>
    </row>
    <row r="752" spans="1:33" ht="15.5">
      <c r="A752" s="45"/>
      <c r="B752" s="45"/>
      <c r="D752" s="85"/>
      <c r="AD752" s="34"/>
      <c r="AE752" s="34"/>
      <c r="AF752" s="34"/>
      <c r="AG752" s="34"/>
    </row>
    <row r="753" spans="1:33" ht="15.5">
      <c r="A753" s="45"/>
      <c r="B753" s="45"/>
      <c r="D753" s="85"/>
      <c r="AD753" s="34"/>
      <c r="AE753" s="34"/>
      <c r="AF753" s="34"/>
      <c r="AG753" s="34"/>
    </row>
    <row r="754" spans="1:33" ht="15.5">
      <c r="A754" s="45"/>
      <c r="B754" s="45"/>
      <c r="D754" s="85"/>
      <c r="AD754" s="34"/>
      <c r="AE754" s="34"/>
      <c r="AF754" s="34"/>
      <c r="AG754" s="34"/>
    </row>
    <row r="755" spans="1:33" ht="15.5">
      <c r="A755" s="45"/>
      <c r="B755" s="45"/>
      <c r="D755" s="85"/>
      <c r="AD755" s="34"/>
      <c r="AE755" s="34"/>
      <c r="AF755" s="34"/>
      <c r="AG755" s="34"/>
    </row>
    <row r="756" spans="1:33" ht="15.5">
      <c r="A756" s="45"/>
      <c r="B756" s="45"/>
      <c r="D756" s="85"/>
      <c r="AD756" s="34"/>
      <c r="AE756" s="34"/>
      <c r="AF756" s="34"/>
      <c r="AG756" s="34"/>
    </row>
    <row r="757" spans="1:33" ht="15.5">
      <c r="A757" s="45"/>
      <c r="B757" s="45"/>
      <c r="D757" s="85"/>
      <c r="AD757" s="34"/>
      <c r="AE757" s="34"/>
      <c r="AF757" s="34"/>
      <c r="AG757" s="34"/>
    </row>
    <row r="758" spans="1:33" ht="15.5">
      <c r="A758" s="45"/>
      <c r="B758" s="45"/>
      <c r="D758" s="85"/>
      <c r="AD758" s="34"/>
      <c r="AE758" s="34"/>
      <c r="AF758" s="34"/>
      <c r="AG758" s="34"/>
    </row>
    <row r="759" spans="1:33" ht="15.5">
      <c r="A759" s="45"/>
      <c r="B759" s="45"/>
      <c r="D759" s="85"/>
      <c r="AD759" s="34"/>
      <c r="AE759" s="34"/>
      <c r="AF759" s="34"/>
      <c r="AG759" s="34"/>
    </row>
    <row r="760" spans="1:33" ht="15.5">
      <c r="A760" s="45"/>
      <c r="B760" s="45"/>
      <c r="D760" s="85"/>
      <c r="AD760" s="34"/>
      <c r="AE760" s="34"/>
      <c r="AF760" s="34"/>
      <c r="AG760" s="34"/>
    </row>
    <row r="761" spans="1:33" ht="15.5">
      <c r="A761" s="45"/>
      <c r="B761" s="45"/>
      <c r="D761" s="85"/>
      <c r="AD761" s="34"/>
      <c r="AE761" s="34"/>
      <c r="AF761" s="34"/>
      <c r="AG761" s="34"/>
    </row>
    <row r="762" spans="1:33" ht="15.5">
      <c r="A762" s="45"/>
      <c r="B762" s="45"/>
      <c r="D762" s="85"/>
      <c r="AD762" s="34"/>
      <c r="AE762" s="34"/>
      <c r="AF762" s="34"/>
      <c r="AG762" s="34"/>
    </row>
    <row r="763" spans="1:33" ht="15.5">
      <c r="A763" s="45"/>
      <c r="B763" s="45"/>
      <c r="D763" s="85"/>
      <c r="AD763" s="34"/>
      <c r="AE763" s="34"/>
      <c r="AF763" s="34"/>
      <c r="AG763" s="34"/>
    </row>
    <row r="764" spans="1:33" ht="15.5">
      <c r="A764" s="45"/>
      <c r="B764" s="45"/>
      <c r="D764" s="85"/>
      <c r="AD764" s="34"/>
      <c r="AE764" s="34"/>
      <c r="AF764" s="34"/>
      <c r="AG764" s="34"/>
    </row>
    <row r="765" spans="1:33" ht="15.5">
      <c r="A765" s="45"/>
      <c r="B765" s="45"/>
      <c r="D765" s="85"/>
      <c r="AD765" s="34"/>
      <c r="AE765" s="34"/>
      <c r="AF765" s="34"/>
      <c r="AG765" s="34"/>
    </row>
    <row r="766" spans="1:33" ht="15.5">
      <c r="A766" s="45"/>
      <c r="B766" s="45"/>
      <c r="D766" s="85"/>
      <c r="AD766" s="34"/>
      <c r="AE766" s="34"/>
      <c r="AF766" s="34"/>
      <c r="AG766" s="34"/>
    </row>
    <row r="767" spans="1:33" ht="15.5">
      <c r="A767" s="45"/>
      <c r="B767" s="45"/>
      <c r="D767" s="85"/>
      <c r="AD767" s="34"/>
      <c r="AE767" s="34"/>
      <c r="AF767" s="34"/>
      <c r="AG767" s="34"/>
    </row>
    <row r="768" spans="1:33" ht="15.5">
      <c r="A768" s="45"/>
      <c r="B768" s="45"/>
      <c r="D768" s="85"/>
      <c r="AD768" s="34"/>
      <c r="AE768" s="34"/>
      <c r="AF768" s="34"/>
      <c r="AG768" s="34"/>
    </row>
    <row r="769" spans="1:33" ht="15.5">
      <c r="A769" s="45"/>
      <c r="B769" s="45"/>
      <c r="D769" s="85"/>
      <c r="AD769" s="34"/>
      <c r="AE769" s="34"/>
      <c r="AF769" s="34"/>
      <c r="AG769" s="34"/>
    </row>
    <row r="770" spans="1:33" ht="15.5">
      <c r="A770" s="45"/>
      <c r="B770" s="45"/>
      <c r="D770" s="85"/>
      <c r="AD770" s="34"/>
      <c r="AE770" s="34"/>
      <c r="AF770" s="34"/>
      <c r="AG770" s="34"/>
    </row>
    <row r="771" spans="1:33" ht="15.5">
      <c r="A771" s="45"/>
      <c r="B771" s="45"/>
      <c r="D771" s="85"/>
      <c r="AD771" s="34"/>
      <c r="AE771" s="34"/>
      <c r="AF771" s="34"/>
      <c r="AG771" s="34"/>
    </row>
    <row r="772" spans="1:33" ht="15.5">
      <c r="A772" s="45"/>
      <c r="B772" s="45"/>
      <c r="D772" s="85"/>
      <c r="AD772" s="34"/>
      <c r="AE772" s="34"/>
      <c r="AF772" s="34"/>
      <c r="AG772" s="34"/>
    </row>
    <row r="773" spans="1:33" ht="15.5">
      <c r="A773" s="45"/>
      <c r="B773" s="45"/>
      <c r="D773" s="85"/>
      <c r="AD773" s="34"/>
      <c r="AE773" s="34"/>
      <c r="AF773" s="34"/>
      <c r="AG773" s="34"/>
    </row>
    <row r="774" spans="1:33" ht="15.5">
      <c r="A774" s="45"/>
      <c r="B774" s="45"/>
      <c r="D774" s="85"/>
      <c r="AD774" s="34"/>
      <c r="AE774" s="34"/>
      <c r="AF774" s="34"/>
      <c r="AG774" s="34"/>
    </row>
    <row r="775" spans="1:33" ht="15.5">
      <c r="A775" s="45"/>
      <c r="B775" s="45"/>
      <c r="D775" s="85"/>
      <c r="AD775" s="34"/>
      <c r="AE775" s="34"/>
      <c r="AF775" s="34"/>
      <c r="AG775" s="34"/>
    </row>
    <row r="776" spans="1:33" ht="15.5">
      <c r="A776" s="45"/>
      <c r="B776" s="45"/>
      <c r="D776" s="85"/>
      <c r="AD776" s="34"/>
      <c r="AE776" s="34"/>
      <c r="AF776" s="34"/>
      <c r="AG776" s="34"/>
    </row>
    <row r="777" spans="1:33" ht="15.5">
      <c r="A777" s="45"/>
      <c r="B777" s="45"/>
      <c r="D777" s="85"/>
      <c r="AD777" s="34"/>
      <c r="AE777" s="34"/>
      <c r="AF777" s="34"/>
      <c r="AG777" s="34"/>
    </row>
    <row r="778" spans="1:33" ht="15.5">
      <c r="A778" s="45"/>
      <c r="B778" s="45"/>
      <c r="D778" s="85"/>
      <c r="AD778" s="34"/>
      <c r="AE778" s="34"/>
      <c r="AF778" s="34"/>
      <c r="AG778" s="34"/>
    </row>
    <row r="779" spans="1:33" ht="15.5">
      <c r="A779" s="45"/>
      <c r="B779" s="45"/>
      <c r="D779" s="85"/>
      <c r="AD779" s="34"/>
      <c r="AE779" s="34"/>
      <c r="AF779" s="34"/>
      <c r="AG779" s="34"/>
    </row>
    <row r="780" spans="1:33" ht="15.5">
      <c r="A780" s="45"/>
      <c r="B780" s="45"/>
      <c r="D780" s="85"/>
      <c r="AD780" s="34"/>
      <c r="AE780" s="34"/>
      <c r="AF780" s="34"/>
      <c r="AG780" s="34"/>
    </row>
    <row r="781" spans="1:33" ht="15.5">
      <c r="A781" s="45"/>
      <c r="B781" s="45"/>
      <c r="D781" s="85"/>
      <c r="AD781" s="34"/>
      <c r="AE781" s="34"/>
      <c r="AF781" s="34"/>
      <c r="AG781" s="34"/>
    </row>
    <row r="782" spans="1:33" ht="15.5">
      <c r="A782" s="45"/>
      <c r="B782" s="45"/>
      <c r="D782" s="85"/>
      <c r="AD782" s="34"/>
      <c r="AE782" s="34"/>
      <c r="AF782" s="34"/>
      <c r="AG782" s="34"/>
    </row>
    <row r="783" spans="1:33" ht="15.5">
      <c r="A783" s="45"/>
      <c r="B783" s="45"/>
      <c r="D783" s="85"/>
      <c r="AD783" s="34"/>
      <c r="AE783" s="34"/>
      <c r="AF783" s="34"/>
      <c r="AG783" s="34"/>
    </row>
    <row r="784" spans="1:33" ht="15.5">
      <c r="A784" s="45"/>
      <c r="B784" s="45"/>
      <c r="D784" s="85"/>
      <c r="AD784" s="34"/>
      <c r="AE784" s="34"/>
      <c r="AF784" s="34"/>
      <c r="AG784" s="34"/>
    </row>
    <row r="785" spans="1:33" ht="15.5">
      <c r="A785" s="45"/>
      <c r="B785" s="45"/>
      <c r="D785" s="85"/>
      <c r="AD785" s="34"/>
      <c r="AE785" s="34"/>
      <c r="AF785" s="34"/>
      <c r="AG785" s="34"/>
    </row>
    <row r="786" spans="1:33" ht="15.5">
      <c r="A786" s="45"/>
      <c r="B786" s="45"/>
      <c r="D786" s="85"/>
      <c r="AD786" s="34"/>
      <c r="AE786" s="34"/>
      <c r="AF786" s="34"/>
      <c r="AG786" s="34"/>
    </row>
    <row r="787" spans="1:33" ht="15.5">
      <c r="A787" s="45"/>
      <c r="B787" s="45"/>
      <c r="D787" s="85"/>
      <c r="AD787" s="34"/>
      <c r="AE787" s="34"/>
      <c r="AF787" s="34"/>
      <c r="AG787" s="34"/>
    </row>
    <row r="788" spans="1:33" ht="15.5">
      <c r="A788" s="45"/>
      <c r="B788" s="45"/>
      <c r="D788" s="85"/>
      <c r="AD788" s="34"/>
      <c r="AE788" s="34"/>
      <c r="AF788" s="34"/>
      <c r="AG788" s="34"/>
    </row>
    <row r="789" spans="1:33" ht="15.5">
      <c r="A789" s="45"/>
      <c r="B789" s="45"/>
      <c r="D789" s="85"/>
      <c r="AD789" s="34"/>
      <c r="AE789" s="34"/>
      <c r="AF789" s="34"/>
      <c r="AG789" s="34"/>
    </row>
    <row r="790" spans="1:33" ht="15.5">
      <c r="A790" s="45"/>
      <c r="B790" s="45"/>
      <c r="D790" s="85"/>
      <c r="AD790" s="34"/>
      <c r="AE790" s="34"/>
      <c r="AF790" s="34"/>
      <c r="AG790" s="34"/>
    </row>
    <row r="791" spans="1:33" ht="15.5">
      <c r="A791" s="45"/>
      <c r="B791" s="45"/>
      <c r="D791" s="85"/>
      <c r="AD791" s="34"/>
      <c r="AE791" s="34"/>
      <c r="AF791" s="34"/>
      <c r="AG791" s="34"/>
    </row>
    <row r="792" spans="1:33" ht="15.5">
      <c r="A792" s="45"/>
      <c r="B792" s="45"/>
      <c r="D792" s="85"/>
      <c r="AD792" s="34"/>
      <c r="AE792" s="34"/>
      <c r="AF792" s="34"/>
      <c r="AG792" s="34"/>
    </row>
    <row r="793" spans="1:33" ht="15.5">
      <c r="A793" s="45"/>
      <c r="B793" s="45"/>
      <c r="D793" s="85"/>
      <c r="AD793" s="34"/>
      <c r="AE793" s="34"/>
      <c r="AF793" s="34"/>
      <c r="AG793" s="34"/>
    </row>
    <row r="794" spans="1:33" ht="15.5">
      <c r="A794" s="45"/>
      <c r="B794" s="45"/>
      <c r="D794" s="85"/>
      <c r="AD794" s="34"/>
      <c r="AE794" s="34"/>
      <c r="AF794" s="34"/>
      <c r="AG794" s="34"/>
    </row>
    <row r="795" spans="1:33" ht="15.5">
      <c r="A795" s="45"/>
      <c r="B795" s="45"/>
      <c r="D795" s="85"/>
      <c r="AD795" s="34"/>
      <c r="AE795" s="34"/>
      <c r="AF795" s="34"/>
      <c r="AG795" s="34"/>
    </row>
    <row r="796" spans="1:33" ht="15.5">
      <c r="A796" s="45"/>
      <c r="B796" s="45"/>
      <c r="D796" s="85"/>
      <c r="AD796" s="34"/>
      <c r="AE796" s="34"/>
      <c r="AF796" s="34"/>
      <c r="AG796" s="34"/>
    </row>
    <row r="797" spans="1:33" ht="15.5">
      <c r="A797" s="45"/>
      <c r="B797" s="45"/>
      <c r="D797" s="85"/>
      <c r="AD797" s="34"/>
      <c r="AE797" s="34"/>
      <c r="AF797" s="34"/>
      <c r="AG797" s="34"/>
    </row>
    <row r="798" spans="1:33" ht="15.5">
      <c r="A798" s="45"/>
      <c r="B798" s="45"/>
      <c r="D798" s="85"/>
      <c r="AD798" s="34"/>
      <c r="AE798" s="34"/>
      <c r="AF798" s="34"/>
      <c r="AG798" s="34"/>
    </row>
    <row r="799" spans="1:33" ht="15.5">
      <c r="A799" s="45"/>
      <c r="B799" s="45"/>
      <c r="D799" s="85"/>
      <c r="AD799" s="34"/>
      <c r="AE799" s="34"/>
      <c r="AF799" s="34"/>
      <c r="AG799" s="34"/>
    </row>
    <row r="800" spans="1:33" ht="15.5">
      <c r="A800" s="45"/>
      <c r="B800" s="45"/>
      <c r="D800" s="85"/>
      <c r="AD800" s="34"/>
      <c r="AE800" s="34"/>
      <c r="AF800" s="34"/>
      <c r="AG800" s="34"/>
    </row>
    <row r="801" spans="1:33" ht="15.5">
      <c r="A801" s="45"/>
      <c r="B801" s="45"/>
      <c r="D801" s="85"/>
      <c r="AD801" s="34"/>
      <c r="AE801" s="34"/>
      <c r="AF801" s="34"/>
      <c r="AG801" s="34"/>
    </row>
    <row r="802" spans="1:33" ht="15.5">
      <c r="A802" s="45"/>
      <c r="B802" s="45"/>
      <c r="D802" s="85"/>
      <c r="AD802" s="34"/>
      <c r="AE802" s="34"/>
      <c r="AF802" s="34"/>
      <c r="AG802" s="34"/>
    </row>
    <row r="803" spans="1:33" ht="15.5">
      <c r="A803" s="45"/>
      <c r="B803" s="45"/>
      <c r="D803" s="85"/>
      <c r="AD803" s="34"/>
      <c r="AE803" s="34"/>
      <c r="AF803" s="34"/>
      <c r="AG803" s="34"/>
    </row>
    <row r="804" spans="1:33" ht="15.5">
      <c r="A804" s="45"/>
      <c r="B804" s="45"/>
      <c r="D804" s="85"/>
      <c r="AD804" s="34"/>
      <c r="AE804" s="34"/>
      <c r="AF804" s="34"/>
      <c r="AG804" s="34"/>
    </row>
    <row r="805" spans="1:33" ht="15.5">
      <c r="A805" s="45"/>
      <c r="B805" s="45"/>
      <c r="D805" s="85"/>
      <c r="AD805" s="34"/>
      <c r="AE805" s="34"/>
      <c r="AF805" s="34"/>
      <c r="AG805" s="34"/>
    </row>
    <row r="806" spans="1:33" ht="15.5">
      <c r="A806" s="45"/>
      <c r="B806" s="45"/>
      <c r="D806" s="85"/>
      <c r="AD806" s="34"/>
      <c r="AE806" s="34"/>
      <c r="AF806" s="34"/>
      <c r="AG806" s="34"/>
    </row>
    <row r="807" spans="1:33" ht="15.5">
      <c r="A807" s="45"/>
      <c r="B807" s="45"/>
      <c r="D807" s="85"/>
      <c r="AD807" s="34"/>
      <c r="AE807" s="34"/>
      <c r="AF807" s="34"/>
      <c r="AG807" s="34"/>
    </row>
    <row r="808" spans="1:33" ht="15.5">
      <c r="A808" s="45"/>
      <c r="B808" s="45"/>
      <c r="D808" s="85"/>
      <c r="AD808" s="34"/>
      <c r="AE808" s="34"/>
      <c r="AF808" s="34"/>
      <c r="AG808" s="34"/>
    </row>
    <row r="809" spans="1:33" ht="15.5">
      <c r="A809" s="45"/>
      <c r="B809" s="45"/>
      <c r="D809" s="85"/>
      <c r="AD809" s="34"/>
      <c r="AE809" s="34"/>
      <c r="AF809" s="34"/>
      <c r="AG809" s="34"/>
    </row>
    <row r="810" spans="1:33" ht="15.5">
      <c r="A810" s="45"/>
      <c r="B810" s="45"/>
      <c r="D810" s="85"/>
      <c r="AD810" s="34"/>
      <c r="AE810" s="34"/>
      <c r="AF810" s="34"/>
      <c r="AG810" s="34"/>
    </row>
    <row r="811" spans="1:33" ht="15.5">
      <c r="A811" s="45"/>
      <c r="B811" s="45"/>
      <c r="D811" s="85"/>
      <c r="AD811" s="34"/>
      <c r="AE811" s="34"/>
      <c r="AF811" s="34"/>
      <c r="AG811" s="34"/>
    </row>
    <row r="812" spans="1:33" ht="15.5">
      <c r="A812" s="45"/>
      <c r="B812" s="45"/>
      <c r="D812" s="85"/>
      <c r="AD812" s="34"/>
      <c r="AE812" s="34"/>
      <c r="AF812" s="34"/>
      <c r="AG812" s="34"/>
    </row>
    <row r="813" spans="1:33" ht="15.5">
      <c r="A813" s="45"/>
      <c r="B813" s="45"/>
      <c r="D813" s="85"/>
      <c r="AD813" s="34"/>
      <c r="AE813" s="34"/>
      <c r="AF813" s="34"/>
      <c r="AG813" s="34"/>
    </row>
    <row r="814" spans="1:33" ht="15.5">
      <c r="A814" s="45"/>
      <c r="B814" s="45"/>
      <c r="D814" s="85"/>
      <c r="AD814" s="34"/>
      <c r="AE814" s="34"/>
      <c r="AF814" s="34"/>
      <c r="AG814" s="34"/>
    </row>
    <row r="815" spans="1:33" ht="15.5">
      <c r="A815" s="45"/>
      <c r="B815" s="45"/>
      <c r="D815" s="85"/>
      <c r="AD815" s="34"/>
      <c r="AE815" s="34"/>
      <c r="AF815" s="34"/>
      <c r="AG815" s="34"/>
    </row>
    <row r="816" spans="1:33" ht="15.5">
      <c r="A816" s="45"/>
      <c r="B816" s="45"/>
      <c r="D816" s="85"/>
      <c r="AD816" s="34"/>
      <c r="AE816" s="34"/>
      <c r="AF816" s="34"/>
      <c r="AG816" s="34"/>
    </row>
    <row r="817" spans="1:33" ht="15.5">
      <c r="A817" s="45"/>
      <c r="B817" s="45"/>
      <c r="D817" s="85"/>
      <c r="AD817" s="34"/>
      <c r="AE817" s="34"/>
      <c r="AF817" s="34"/>
      <c r="AG817" s="34"/>
    </row>
    <row r="818" spans="1:33" ht="15.5">
      <c r="A818" s="45"/>
      <c r="B818" s="45"/>
      <c r="D818" s="85"/>
      <c r="AD818" s="34"/>
      <c r="AE818" s="34"/>
      <c r="AF818" s="34"/>
      <c r="AG818" s="34"/>
    </row>
    <row r="819" spans="1:33" ht="15.5">
      <c r="A819" s="45"/>
      <c r="B819" s="45"/>
      <c r="D819" s="85"/>
      <c r="AD819" s="34"/>
      <c r="AE819" s="34"/>
      <c r="AF819" s="34"/>
      <c r="AG819" s="34"/>
    </row>
    <row r="820" spans="1:33" ht="15.5">
      <c r="A820" s="45"/>
      <c r="B820" s="45"/>
      <c r="D820" s="85"/>
      <c r="AD820" s="34"/>
      <c r="AE820" s="34"/>
      <c r="AF820" s="34"/>
      <c r="AG820" s="34"/>
    </row>
    <row r="821" spans="1:33" ht="15.5">
      <c r="A821" s="45"/>
      <c r="B821" s="45"/>
      <c r="D821" s="85"/>
      <c r="AD821" s="34"/>
      <c r="AE821" s="34"/>
      <c r="AF821" s="34"/>
      <c r="AG821" s="34"/>
    </row>
    <row r="822" spans="1:33" ht="15.5">
      <c r="A822" s="45"/>
      <c r="B822" s="45"/>
      <c r="D822" s="85"/>
      <c r="AD822" s="34"/>
      <c r="AE822" s="34"/>
      <c r="AF822" s="34"/>
      <c r="AG822" s="34"/>
    </row>
    <row r="823" spans="1:33" ht="15.5">
      <c r="A823" s="45"/>
      <c r="B823" s="45"/>
      <c r="D823" s="85"/>
      <c r="AD823" s="34"/>
      <c r="AE823" s="34"/>
      <c r="AF823" s="34"/>
      <c r="AG823" s="34"/>
    </row>
    <row r="824" spans="1:33" ht="15.5">
      <c r="A824" s="45"/>
      <c r="B824" s="45"/>
      <c r="D824" s="85"/>
      <c r="AD824" s="34"/>
      <c r="AE824" s="34"/>
      <c r="AF824" s="34"/>
      <c r="AG824" s="34"/>
    </row>
    <row r="825" spans="1:33" ht="15.5">
      <c r="A825" s="45"/>
      <c r="B825" s="45"/>
      <c r="D825" s="85"/>
      <c r="AD825" s="34"/>
      <c r="AE825" s="34"/>
      <c r="AF825" s="34"/>
      <c r="AG825" s="34"/>
    </row>
    <row r="826" spans="1:33" ht="15.5">
      <c r="A826" s="45"/>
      <c r="B826" s="45"/>
      <c r="D826" s="85"/>
      <c r="AD826" s="34"/>
      <c r="AE826" s="34"/>
      <c r="AF826" s="34"/>
      <c r="AG826" s="34"/>
    </row>
    <row r="827" spans="1:33" ht="15.5">
      <c r="A827" s="45"/>
      <c r="B827" s="45"/>
      <c r="D827" s="85"/>
      <c r="AD827" s="34"/>
      <c r="AE827" s="34"/>
      <c r="AF827" s="34"/>
      <c r="AG827" s="34"/>
    </row>
    <row r="828" spans="1:33" ht="15.5">
      <c r="A828" s="45"/>
      <c r="B828" s="45"/>
      <c r="D828" s="85"/>
      <c r="AD828" s="34"/>
      <c r="AE828" s="34"/>
      <c r="AF828" s="34"/>
      <c r="AG828" s="34"/>
    </row>
    <row r="829" spans="1:33" ht="15.5">
      <c r="A829" s="45"/>
      <c r="B829" s="45"/>
      <c r="D829" s="85"/>
      <c r="AD829" s="34"/>
      <c r="AE829" s="34"/>
      <c r="AF829" s="34"/>
      <c r="AG829" s="34"/>
    </row>
    <row r="830" spans="1:33" ht="15.5">
      <c r="A830" s="45"/>
      <c r="B830" s="45"/>
      <c r="D830" s="85"/>
      <c r="AD830" s="34"/>
      <c r="AE830" s="34"/>
      <c r="AF830" s="34"/>
      <c r="AG830" s="34"/>
    </row>
    <row r="831" spans="1:33" ht="15.5">
      <c r="A831" s="45"/>
      <c r="B831" s="45"/>
      <c r="D831" s="85"/>
      <c r="AD831" s="34"/>
      <c r="AE831" s="34"/>
      <c r="AF831" s="34"/>
      <c r="AG831" s="34"/>
    </row>
    <row r="832" spans="1:33" ht="15.5">
      <c r="A832" s="45"/>
      <c r="B832" s="45"/>
      <c r="D832" s="85"/>
      <c r="AD832" s="34"/>
      <c r="AE832" s="34"/>
      <c r="AF832" s="34"/>
      <c r="AG832" s="34"/>
    </row>
    <row r="833" spans="1:33" ht="15.5">
      <c r="A833" s="45"/>
      <c r="B833" s="45"/>
      <c r="D833" s="85"/>
      <c r="AD833" s="34"/>
      <c r="AE833" s="34"/>
      <c r="AF833" s="34"/>
      <c r="AG833" s="34"/>
    </row>
    <row r="834" spans="1:33" ht="15.5">
      <c r="A834" s="45"/>
      <c r="B834" s="45"/>
      <c r="D834" s="85"/>
      <c r="AD834" s="34"/>
      <c r="AE834" s="34"/>
      <c r="AF834" s="34"/>
      <c r="AG834" s="34"/>
    </row>
    <row r="835" spans="1:33" ht="15.5">
      <c r="A835" s="45"/>
      <c r="B835" s="45"/>
      <c r="D835" s="85"/>
      <c r="AD835" s="34"/>
      <c r="AE835" s="34"/>
      <c r="AF835" s="34"/>
      <c r="AG835" s="34"/>
    </row>
    <row r="836" spans="1:33" ht="15.5">
      <c r="A836" s="45"/>
      <c r="B836" s="45"/>
      <c r="D836" s="85"/>
      <c r="AD836" s="34"/>
      <c r="AE836" s="34"/>
      <c r="AF836" s="34"/>
      <c r="AG836" s="34"/>
    </row>
    <row r="837" spans="1:33" ht="15.5">
      <c r="A837" s="45"/>
      <c r="B837" s="45"/>
      <c r="D837" s="85"/>
      <c r="AD837" s="34"/>
      <c r="AE837" s="34"/>
      <c r="AF837" s="34"/>
      <c r="AG837" s="34"/>
    </row>
    <row r="838" spans="1:33" ht="15.5">
      <c r="A838" s="45"/>
      <c r="B838" s="45"/>
      <c r="D838" s="85"/>
      <c r="AD838" s="34"/>
      <c r="AE838" s="34"/>
      <c r="AF838" s="34"/>
      <c r="AG838" s="34"/>
    </row>
    <row r="839" spans="1:33" ht="15.5">
      <c r="A839" s="45"/>
      <c r="B839" s="45"/>
      <c r="D839" s="85"/>
      <c r="AD839" s="34"/>
      <c r="AE839" s="34"/>
      <c r="AF839" s="34"/>
      <c r="AG839" s="34"/>
    </row>
    <row r="840" spans="1:33" ht="15.5">
      <c r="A840" s="45"/>
      <c r="B840" s="45"/>
      <c r="D840" s="85"/>
      <c r="AD840" s="34"/>
      <c r="AE840" s="34"/>
      <c r="AF840" s="34"/>
      <c r="AG840" s="34"/>
    </row>
    <row r="841" spans="1:33" ht="15.5">
      <c r="A841" s="45"/>
      <c r="B841" s="45"/>
      <c r="D841" s="85"/>
      <c r="AD841" s="34"/>
      <c r="AE841" s="34"/>
      <c r="AF841" s="34"/>
      <c r="AG841" s="34"/>
    </row>
    <row r="842" spans="1:33" ht="15.5">
      <c r="A842" s="45"/>
      <c r="B842" s="45"/>
      <c r="D842" s="85"/>
      <c r="AD842" s="34"/>
      <c r="AE842" s="34"/>
      <c r="AF842" s="34"/>
      <c r="AG842" s="34"/>
    </row>
    <row r="843" spans="1:33" ht="15.5">
      <c r="A843" s="45"/>
      <c r="B843" s="45"/>
      <c r="D843" s="85"/>
      <c r="AD843" s="34"/>
      <c r="AE843" s="34"/>
      <c r="AF843" s="34"/>
      <c r="AG843" s="34"/>
    </row>
    <row r="844" spans="1:33" ht="15.5">
      <c r="A844" s="45"/>
      <c r="B844" s="45"/>
      <c r="D844" s="85"/>
      <c r="AD844" s="34"/>
      <c r="AE844" s="34"/>
      <c r="AF844" s="34"/>
      <c r="AG844" s="34"/>
    </row>
    <row r="845" spans="1:33" ht="15.5">
      <c r="A845" s="45"/>
      <c r="B845" s="45"/>
      <c r="D845" s="85"/>
      <c r="AD845" s="34"/>
      <c r="AE845" s="34"/>
      <c r="AF845" s="34"/>
      <c r="AG845" s="34"/>
    </row>
    <row r="846" spans="1:33" ht="15.5">
      <c r="A846" s="45"/>
      <c r="B846" s="45"/>
      <c r="D846" s="85"/>
      <c r="AD846" s="34"/>
      <c r="AE846" s="34"/>
      <c r="AF846" s="34"/>
      <c r="AG846" s="34"/>
    </row>
    <row r="847" spans="1:33" ht="15.5">
      <c r="A847" s="45"/>
      <c r="B847" s="45"/>
      <c r="D847" s="85"/>
      <c r="AD847" s="34"/>
      <c r="AE847" s="34"/>
      <c r="AF847" s="34"/>
      <c r="AG847" s="34"/>
    </row>
    <row r="848" spans="1:33" ht="15.5">
      <c r="A848" s="45"/>
      <c r="B848" s="45"/>
      <c r="D848" s="85"/>
      <c r="AD848" s="34"/>
      <c r="AE848" s="34"/>
      <c r="AF848" s="34"/>
      <c r="AG848" s="34"/>
    </row>
    <row r="849" spans="1:33" ht="15.5">
      <c r="A849" s="45"/>
      <c r="B849" s="45"/>
      <c r="D849" s="85"/>
      <c r="AD849" s="34"/>
      <c r="AE849" s="34"/>
      <c r="AF849" s="34"/>
      <c r="AG849" s="34"/>
    </row>
    <row r="850" spans="1:33" ht="15.5">
      <c r="A850" s="45"/>
      <c r="B850" s="45"/>
      <c r="D850" s="85"/>
      <c r="AD850" s="34"/>
      <c r="AE850" s="34"/>
      <c r="AF850" s="34"/>
      <c r="AG850" s="34"/>
    </row>
    <row r="851" spans="1:33" ht="15.5">
      <c r="A851" s="45"/>
      <c r="B851" s="45"/>
      <c r="D851" s="85"/>
      <c r="AD851" s="34"/>
      <c r="AE851" s="34"/>
      <c r="AF851" s="34"/>
      <c r="AG851" s="34"/>
    </row>
    <row r="852" spans="1:33" ht="15.5">
      <c r="A852" s="45"/>
      <c r="B852" s="45"/>
      <c r="D852" s="85"/>
      <c r="AD852" s="34"/>
      <c r="AE852" s="34"/>
      <c r="AF852" s="34"/>
      <c r="AG852" s="34"/>
    </row>
    <row r="853" spans="1:33" ht="15.5">
      <c r="A853" s="45"/>
      <c r="B853" s="45"/>
      <c r="D853" s="85"/>
      <c r="AD853" s="34"/>
      <c r="AE853" s="34"/>
      <c r="AF853" s="34"/>
      <c r="AG853" s="34"/>
    </row>
    <row r="854" spans="1:33" ht="15.5">
      <c r="A854" s="45"/>
      <c r="B854" s="45"/>
      <c r="D854" s="85"/>
      <c r="AD854" s="34"/>
      <c r="AE854" s="34"/>
      <c r="AF854" s="34"/>
      <c r="AG854" s="34"/>
    </row>
    <row r="855" spans="1:33" ht="15.5">
      <c r="A855" s="45"/>
      <c r="B855" s="45"/>
      <c r="D855" s="85"/>
      <c r="AD855" s="34"/>
      <c r="AE855" s="34"/>
      <c r="AF855" s="34"/>
      <c r="AG855" s="34"/>
    </row>
    <row r="856" spans="1:33" ht="15.5">
      <c r="A856" s="45"/>
      <c r="B856" s="45"/>
      <c r="D856" s="85"/>
      <c r="AD856" s="34"/>
      <c r="AE856" s="34"/>
      <c r="AF856" s="34"/>
      <c r="AG856" s="34"/>
    </row>
    <row r="857" spans="1:33" ht="15.5">
      <c r="A857" s="45"/>
      <c r="B857" s="45"/>
      <c r="D857" s="85"/>
      <c r="AD857" s="34"/>
      <c r="AE857" s="34"/>
      <c r="AF857" s="34"/>
      <c r="AG857" s="34"/>
    </row>
    <row r="858" spans="1:33" ht="15.5">
      <c r="A858" s="45"/>
      <c r="B858" s="45"/>
      <c r="D858" s="85"/>
      <c r="AD858" s="34"/>
      <c r="AE858" s="34"/>
      <c r="AF858" s="34"/>
      <c r="AG858" s="34"/>
    </row>
    <row r="859" spans="1:33" ht="15.5">
      <c r="A859" s="45"/>
      <c r="B859" s="45"/>
      <c r="D859" s="85"/>
      <c r="AD859" s="34"/>
      <c r="AE859" s="34"/>
      <c r="AF859" s="34"/>
      <c r="AG859" s="34"/>
    </row>
    <row r="860" spans="1:33" ht="15.5">
      <c r="A860" s="45"/>
      <c r="B860" s="45"/>
      <c r="D860" s="85"/>
      <c r="AD860" s="34"/>
      <c r="AE860" s="34"/>
      <c r="AF860" s="34"/>
      <c r="AG860" s="34"/>
    </row>
    <row r="861" spans="1:33" ht="15.5">
      <c r="A861" s="45"/>
      <c r="B861" s="45"/>
      <c r="D861" s="85"/>
      <c r="AD861" s="34"/>
      <c r="AE861" s="34"/>
      <c r="AF861" s="34"/>
      <c r="AG861" s="34"/>
    </row>
    <row r="862" spans="1:33" ht="15.5">
      <c r="A862" s="45"/>
      <c r="B862" s="45"/>
      <c r="D862" s="85"/>
      <c r="AD862" s="34"/>
      <c r="AE862" s="34"/>
      <c r="AF862" s="34"/>
      <c r="AG862" s="34"/>
    </row>
    <row r="863" spans="1:33" ht="15.5">
      <c r="A863" s="45"/>
      <c r="B863" s="45"/>
      <c r="D863" s="85"/>
      <c r="AD863" s="34"/>
      <c r="AE863" s="34"/>
      <c r="AF863" s="34"/>
      <c r="AG863" s="34"/>
    </row>
    <row r="864" spans="1:33" ht="15.5">
      <c r="A864" s="45"/>
      <c r="B864" s="45"/>
      <c r="D864" s="85"/>
      <c r="AD864" s="34"/>
      <c r="AE864" s="34"/>
      <c r="AF864" s="34"/>
      <c r="AG864" s="34"/>
    </row>
    <row r="865" spans="1:33" ht="15.5">
      <c r="A865" s="45"/>
      <c r="B865" s="45"/>
      <c r="D865" s="85"/>
      <c r="AD865" s="34"/>
      <c r="AE865" s="34"/>
      <c r="AF865" s="34"/>
      <c r="AG865" s="34"/>
    </row>
    <row r="866" spans="1:33" ht="15.5">
      <c r="A866" s="45"/>
      <c r="B866" s="45"/>
      <c r="D866" s="85"/>
      <c r="AD866" s="34"/>
      <c r="AE866" s="34"/>
      <c r="AF866" s="34"/>
      <c r="AG866" s="34"/>
    </row>
    <row r="867" spans="1:33" ht="15.5">
      <c r="A867" s="45"/>
      <c r="B867" s="45"/>
      <c r="D867" s="85"/>
      <c r="AD867" s="34"/>
      <c r="AE867" s="34"/>
      <c r="AF867" s="34"/>
      <c r="AG867" s="34"/>
    </row>
    <row r="868" spans="1:33" ht="15.5">
      <c r="A868" s="45"/>
      <c r="B868" s="45"/>
      <c r="D868" s="85"/>
      <c r="AD868" s="34"/>
      <c r="AE868" s="34"/>
      <c r="AF868" s="34"/>
      <c r="AG868" s="34"/>
    </row>
    <row r="869" spans="1:33" ht="15.5">
      <c r="A869" s="45"/>
      <c r="B869" s="45"/>
      <c r="D869" s="85"/>
      <c r="AD869" s="34"/>
      <c r="AE869" s="34"/>
      <c r="AF869" s="34"/>
      <c r="AG869" s="34"/>
    </row>
    <row r="870" spans="1:33" ht="15.5">
      <c r="A870" s="45"/>
      <c r="B870" s="45"/>
      <c r="D870" s="85"/>
      <c r="AD870" s="34"/>
      <c r="AE870" s="34"/>
      <c r="AF870" s="34"/>
      <c r="AG870" s="34"/>
    </row>
    <row r="871" spans="1:33" ht="15.5">
      <c r="A871" s="45"/>
      <c r="B871" s="45"/>
      <c r="D871" s="85"/>
      <c r="AD871" s="34"/>
      <c r="AE871" s="34"/>
      <c r="AF871" s="34"/>
      <c r="AG871" s="34"/>
    </row>
    <row r="872" spans="1:33" ht="15.5">
      <c r="A872" s="45"/>
      <c r="B872" s="45"/>
      <c r="D872" s="85"/>
      <c r="AD872" s="34"/>
      <c r="AE872" s="34"/>
      <c r="AF872" s="34"/>
      <c r="AG872" s="34"/>
    </row>
    <row r="873" spans="1:33" ht="15.5">
      <c r="A873" s="45"/>
      <c r="B873" s="45"/>
      <c r="D873" s="85"/>
      <c r="AD873" s="34"/>
      <c r="AE873" s="34"/>
      <c r="AF873" s="34"/>
      <c r="AG873" s="34"/>
    </row>
    <row r="874" spans="1:33" ht="15.5">
      <c r="A874" s="45"/>
      <c r="B874" s="45"/>
      <c r="D874" s="85"/>
      <c r="AD874" s="34"/>
      <c r="AE874" s="34"/>
      <c r="AF874" s="34"/>
      <c r="AG874" s="34"/>
    </row>
    <row r="875" spans="1:33" ht="15.5">
      <c r="A875" s="45"/>
      <c r="B875" s="45"/>
      <c r="D875" s="85"/>
      <c r="AD875" s="34"/>
      <c r="AE875" s="34"/>
      <c r="AF875" s="34"/>
      <c r="AG875" s="34"/>
    </row>
    <row r="876" spans="1:33" ht="15.5">
      <c r="A876" s="45"/>
      <c r="B876" s="45"/>
      <c r="D876" s="85"/>
      <c r="AD876" s="34"/>
      <c r="AE876" s="34"/>
      <c r="AF876" s="34"/>
      <c r="AG876" s="34"/>
    </row>
    <row r="877" spans="1:33" ht="15.5">
      <c r="A877" s="45"/>
      <c r="B877" s="45"/>
      <c r="D877" s="85"/>
      <c r="AD877" s="34"/>
      <c r="AE877" s="34"/>
      <c r="AF877" s="34"/>
      <c r="AG877" s="34"/>
    </row>
    <row r="878" spans="1:33" ht="15.5">
      <c r="A878" s="45"/>
      <c r="B878" s="45"/>
      <c r="D878" s="85"/>
      <c r="AD878" s="34"/>
      <c r="AE878" s="34"/>
      <c r="AF878" s="34"/>
      <c r="AG878" s="34"/>
    </row>
    <row r="879" spans="1:33" ht="15.5">
      <c r="A879" s="45"/>
      <c r="B879" s="45"/>
      <c r="D879" s="85"/>
      <c r="AD879" s="34"/>
      <c r="AE879" s="34"/>
      <c r="AF879" s="34"/>
      <c r="AG879" s="34"/>
    </row>
    <row r="880" spans="1:33" ht="15.5">
      <c r="A880" s="45"/>
      <c r="B880" s="45"/>
      <c r="D880" s="85"/>
      <c r="AD880" s="34"/>
      <c r="AE880" s="34"/>
      <c r="AF880" s="34"/>
      <c r="AG880" s="34"/>
    </row>
    <row r="881" spans="1:33" ht="15.5">
      <c r="A881" s="45"/>
      <c r="B881" s="45"/>
      <c r="D881" s="85"/>
      <c r="AD881" s="34"/>
      <c r="AE881" s="34"/>
      <c r="AF881" s="34"/>
      <c r="AG881" s="34"/>
    </row>
    <row r="882" spans="1:33" ht="15.5">
      <c r="A882" s="45"/>
      <c r="B882" s="45"/>
      <c r="D882" s="85"/>
      <c r="AD882" s="34"/>
      <c r="AE882" s="34"/>
      <c r="AF882" s="34"/>
      <c r="AG882" s="34"/>
    </row>
    <row r="883" spans="1:33" ht="15.5">
      <c r="A883" s="45"/>
      <c r="B883" s="45"/>
      <c r="D883" s="85"/>
      <c r="AD883" s="34"/>
      <c r="AE883" s="34"/>
      <c r="AF883" s="34"/>
      <c r="AG883" s="34"/>
    </row>
    <row r="884" spans="1:33" ht="15.5">
      <c r="A884" s="45"/>
      <c r="B884" s="45"/>
      <c r="D884" s="85"/>
      <c r="AD884" s="34"/>
      <c r="AE884" s="34"/>
      <c r="AF884" s="34"/>
      <c r="AG884" s="34"/>
    </row>
    <row r="885" spans="1:33" ht="15.5">
      <c r="A885" s="45"/>
      <c r="B885" s="45"/>
      <c r="D885" s="85"/>
      <c r="AD885" s="34"/>
      <c r="AE885" s="34"/>
      <c r="AF885" s="34"/>
      <c r="AG885" s="34"/>
    </row>
    <row r="886" spans="1:33" ht="15.5">
      <c r="A886" s="45"/>
      <c r="B886" s="45"/>
      <c r="D886" s="85"/>
      <c r="AD886" s="34"/>
      <c r="AE886" s="34"/>
      <c r="AF886" s="34"/>
      <c r="AG886" s="34"/>
    </row>
    <row r="887" spans="1:33" ht="15.5">
      <c r="A887" s="45"/>
      <c r="B887" s="45"/>
      <c r="D887" s="85"/>
      <c r="AD887" s="34"/>
      <c r="AE887" s="34"/>
      <c r="AF887" s="34"/>
      <c r="AG887" s="34"/>
    </row>
    <row r="888" spans="1:33" ht="15.5">
      <c r="A888" s="45"/>
      <c r="B888" s="45"/>
      <c r="D888" s="85"/>
      <c r="AD888" s="34"/>
      <c r="AE888" s="34"/>
      <c r="AF888" s="34"/>
      <c r="AG888" s="34"/>
    </row>
    <row r="889" spans="1:33" ht="15.5">
      <c r="A889" s="45"/>
      <c r="B889" s="45"/>
      <c r="D889" s="85"/>
      <c r="AD889" s="34"/>
      <c r="AE889" s="34"/>
      <c r="AF889" s="34"/>
      <c r="AG889" s="34"/>
    </row>
    <row r="890" spans="1:33" ht="15.5">
      <c r="A890" s="45"/>
      <c r="B890" s="45"/>
      <c r="D890" s="85"/>
      <c r="AD890" s="34"/>
      <c r="AE890" s="34"/>
      <c r="AF890" s="34"/>
      <c r="AG890" s="34"/>
    </row>
    <row r="891" spans="1:33" ht="15.5">
      <c r="A891" s="45"/>
      <c r="B891" s="45"/>
      <c r="D891" s="85"/>
      <c r="AD891" s="34"/>
      <c r="AE891" s="34"/>
      <c r="AF891" s="34"/>
      <c r="AG891" s="34"/>
    </row>
    <row r="892" spans="1:33" ht="15.5">
      <c r="A892" s="45"/>
      <c r="B892" s="45"/>
      <c r="D892" s="85"/>
      <c r="AD892" s="34"/>
      <c r="AE892" s="34"/>
      <c r="AF892" s="34"/>
      <c r="AG892" s="34"/>
    </row>
    <row r="893" spans="1:33" ht="15.5">
      <c r="A893" s="45"/>
      <c r="B893" s="45"/>
      <c r="D893" s="85"/>
      <c r="AD893" s="34"/>
      <c r="AE893" s="34"/>
      <c r="AF893" s="34"/>
      <c r="AG893" s="34"/>
    </row>
    <row r="894" spans="1:33" ht="15.5">
      <c r="A894" s="45"/>
      <c r="B894" s="45"/>
      <c r="D894" s="85"/>
      <c r="AD894" s="34"/>
      <c r="AE894" s="34"/>
      <c r="AF894" s="34"/>
      <c r="AG894" s="34"/>
    </row>
    <row r="895" spans="1:33" ht="15.5">
      <c r="A895" s="45"/>
      <c r="B895" s="45"/>
      <c r="D895" s="85"/>
      <c r="AD895" s="34"/>
      <c r="AE895" s="34"/>
      <c r="AF895" s="34"/>
      <c r="AG895" s="34"/>
    </row>
    <row r="896" spans="1:33" ht="15.5">
      <c r="A896" s="45"/>
      <c r="B896" s="45"/>
      <c r="D896" s="85"/>
      <c r="AD896" s="34"/>
      <c r="AE896" s="34"/>
      <c r="AF896" s="34"/>
      <c r="AG896" s="34"/>
    </row>
    <row r="897" spans="1:33" ht="15.5">
      <c r="A897" s="45"/>
      <c r="B897" s="45"/>
      <c r="D897" s="85"/>
      <c r="AD897" s="34"/>
      <c r="AE897" s="34"/>
      <c r="AF897" s="34"/>
      <c r="AG897" s="34"/>
    </row>
    <row r="898" spans="1:33" ht="15.5">
      <c r="A898" s="45"/>
      <c r="B898" s="45"/>
      <c r="D898" s="85"/>
      <c r="AD898" s="34"/>
      <c r="AE898" s="34"/>
      <c r="AF898" s="34"/>
      <c r="AG898" s="34"/>
    </row>
    <row r="899" spans="1:33" ht="15.5">
      <c r="A899" s="45"/>
      <c r="B899" s="45"/>
      <c r="D899" s="85"/>
      <c r="AD899" s="34"/>
      <c r="AE899" s="34"/>
      <c r="AF899" s="34"/>
      <c r="AG899" s="34"/>
    </row>
    <row r="900" spans="1:33" ht="15.5">
      <c r="A900" s="45"/>
      <c r="B900" s="45"/>
      <c r="D900" s="85"/>
      <c r="AD900" s="34"/>
      <c r="AE900" s="34"/>
      <c r="AF900" s="34"/>
      <c r="AG900" s="34"/>
    </row>
    <row r="901" spans="1:33" ht="15.5">
      <c r="A901" s="45"/>
      <c r="B901" s="45"/>
      <c r="D901" s="85"/>
      <c r="AD901" s="34"/>
      <c r="AE901" s="34"/>
      <c r="AF901" s="34"/>
      <c r="AG901" s="34"/>
    </row>
    <row r="902" spans="1:33" ht="15.5">
      <c r="A902" s="45"/>
      <c r="B902" s="45"/>
      <c r="D902" s="85"/>
      <c r="AD902" s="34"/>
      <c r="AE902" s="34"/>
      <c r="AF902" s="34"/>
      <c r="AG902" s="34"/>
    </row>
    <row r="903" spans="1:33" ht="15.5">
      <c r="A903" s="45"/>
      <c r="B903" s="45"/>
      <c r="D903" s="85"/>
      <c r="AD903" s="34"/>
      <c r="AE903" s="34"/>
      <c r="AF903" s="34"/>
      <c r="AG903" s="34"/>
    </row>
    <row r="904" spans="1:33" ht="15.5">
      <c r="A904" s="45"/>
      <c r="B904" s="45"/>
      <c r="D904" s="85"/>
      <c r="AD904" s="34"/>
      <c r="AE904" s="34"/>
      <c r="AF904" s="34"/>
      <c r="AG904" s="34"/>
    </row>
    <row r="905" spans="1:33" ht="15.5">
      <c r="A905" s="45"/>
      <c r="B905" s="45"/>
      <c r="D905" s="85"/>
      <c r="AD905" s="34"/>
      <c r="AE905" s="34"/>
      <c r="AF905" s="34"/>
      <c r="AG905" s="34"/>
    </row>
    <row r="906" spans="1:33" ht="15.5">
      <c r="A906" s="45"/>
      <c r="B906" s="45"/>
      <c r="D906" s="85"/>
      <c r="AD906" s="34"/>
      <c r="AE906" s="34"/>
      <c r="AF906" s="34"/>
      <c r="AG906" s="34"/>
    </row>
    <row r="907" spans="1:33" ht="15.5">
      <c r="A907" s="45"/>
      <c r="B907" s="45"/>
      <c r="D907" s="85"/>
      <c r="AD907" s="34"/>
      <c r="AE907" s="34"/>
      <c r="AF907" s="34"/>
      <c r="AG907" s="34"/>
    </row>
    <row r="908" spans="1:33" ht="15.5">
      <c r="A908" s="45"/>
      <c r="B908" s="45"/>
      <c r="D908" s="85"/>
      <c r="AD908" s="34"/>
      <c r="AE908" s="34"/>
      <c r="AF908" s="34"/>
      <c r="AG908" s="34"/>
    </row>
    <row r="909" spans="1:33" ht="15.5">
      <c r="A909" s="45"/>
      <c r="B909" s="45"/>
      <c r="D909" s="85"/>
      <c r="AD909" s="34"/>
      <c r="AE909" s="34"/>
      <c r="AF909" s="34"/>
      <c r="AG909" s="34"/>
    </row>
    <row r="910" spans="1:33" ht="15.5">
      <c r="A910" s="45"/>
      <c r="B910" s="45"/>
      <c r="D910" s="85"/>
      <c r="AD910" s="34"/>
      <c r="AE910" s="34"/>
      <c r="AF910" s="34"/>
      <c r="AG910" s="34"/>
    </row>
    <row r="911" spans="1:33" ht="15.5">
      <c r="A911" s="45"/>
      <c r="B911" s="45"/>
      <c r="D911" s="85"/>
      <c r="AD911" s="34"/>
      <c r="AE911" s="34"/>
      <c r="AF911" s="34"/>
      <c r="AG911" s="34"/>
    </row>
  </sheetData>
  <autoFilter ref="AD1:AD911" xr:uid="{00000000-0009-0000-0000-000007000000}"/>
  <customSheetViews>
    <customSheetView guid="{0986B57A-A09A-4F97-BC44-A5665F7874C0}" filter="1" showAutoFilter="1">
      <pageMargins left="0.7" right="0.7" top="0.75" bottom="0.75" header="0.3" footer="0.3"/>
      <autoFilter ref="AE1:AE911" xr:uid="{DF360D2E-4F97-43EE-85A1-2F4A4ED328F3}">
        <filterColumn colId="0">
          <filters>
            <filter val="Huajia Nie"/>
          </filters>
        </filterColumn>
      </autoFilter>
    </customSheetView>
    <customSheetView guid="{A3EAC07F-81BF-4BC3-9163-D7BB2B400FDD}" filter="1" showAutoFilter="1">
      <pageMargins left="0.7" right="0.7" top="0.75" bottom="0.75" header="0.3" footer="0.3"/>
      <autoFilter ref="AE1:AE911" xr:uid="{37A39661-DA37-4817-AC4C-42FA88F1EF2E}">
        <filterColumn colId="0">
          <filters>
            <filter val="Han Shen"/>
          </filters>
        </filterColumn>
      </autoFilter>
    </customSheetView>
    <customSheetView guid="{EFCA6297-B413-46AC-BD28-F984983EBE61}" filter="1" showAutoFilter="1">
      <pageMargins left="0.7" right="0.7" top="0.75" bottom="0.75" header="0.3" footer="0.3"/>
      <autoFilter ref="AE1:AE911" xr:uid="{8DDE60F6-0834-4BC3-8977-D938CAB1F5D1}">
        <filterColumn colId="0">
          <filters>
            <filter val="Han Shen"/>
          </filters>
        </filterColumn>
      </autoFilter>
    </customSheetView>
    <customSheetView guid="{C11143F3-5039-4616-8F54-5BB6F58E0A3F}" filter="1" showAutoFilter="1">
      <pageMargins left="0.7" right="0.7" top="0.75" bottom="0.75" header="0.3" footer="0.3"/>
      <autoFilter ref="AE1:AE911" xr:uid="{F5D6DC47-FB4B-41E2-8D34-4F9438784188}">
        <filterColumn colId="0">
          <filters>
            <filter val="Han Shen"/>
          </filters>
        </filterColumn>
      </autoFilter>
    </customSheetView>
    <customSheetView guid="{01571460-2DCB-42BD-A34A-0F0974471195}" filter="1" showAutoFilter="1">
      <pageMargins left="0.7" right="0.7" top="0.75" bottom="0.75" header="0.3" footer="0.3"/>
      <autoFilter ref="AE1:AE911" xr:uid="{3F848BDD-711D-4634-9D9C-3C2E1D6712C0}">
        <filterColumn colId="0">
          <filters>
            <filter val="Hepeng Wang"/>
          </filters>
        </filterColumn>
      </autoFilter>
    </customSheetView>
    <customSheetView guid="{DDA8AF42-7AE6-4886-96E5-A8B4CF0DB619}" filter="1" showAutoFilter="1">
      <pageMargins left="0.7" right="0.7" top="0.75" bottom="0.75" header="0.3" footer="0.3"/>
      <autoFilter ref="AE1:AE911" xr:uid="{A5F84662-D7D0-4C41-B2BE-194BA2535EFB}">
        <filterColumn colId="0">
          <filters>
            <filter val="Han Shen"/>
          </filters>
        </filterColumn>
      </autoFilter>
    </customSheetView>
    <customSheetView guid="{E52F6983-849E-4B78-A13A-F80E701FF56C}" filter="1" showAutoFilter="1">
      <pageMargins left="0.7" right="0.7" top="0.75" bottom="0.75" header="0.3" footer="0.3"/>
      <autoFilter ref="AE1:AE911" xr:uid="{770B1A49-2366-42E3-85B1-EDEF5E1E1648}">
        <filterColumn colId="0">
          <filters>
            <filter val="Han Shen"/>
          </filters>
        </filterColumn>
      </autoFilter>
    </customSheetView>
    <customSheetView guid="{7D1D0CFF-A21C-4D7C-B4BE-D6CB3FEE1491}" filter="1" showAutoFilter="1">
      <pageMargins left="0.7" right="0.7" top="0.75" bottom="0.75" header="0.3" footer="0.3"/>
      <autoFilter ref="AD1:AD911" xr:uid="{9311617E-E2A1-4715-A039-A180BC720CF3}"/>
    </customSheetView>
    <customSheetView guid="{E0DB8C99-D8E3-4531-BF97-BBACA0B76575}" filter="1" showAutoFilter="1">
      <pageMargins left="0.7" right="0.7" top="0.75" bottom="0.75" header="0.3" footer="0.3"/>
      <autoFilter ref="AD1:AD911" xr:uid="{B3524BEC-F6E9-4B89-B508-5448BDD9B0BD}">
        <filterColumn colId="0">
          <filters>
            <filter val="delete"/>
          </filters>
        </filterColumn>
      </autoFilter>
    </customSheetView>
    <customSheetView guid="{CA961114-8F4A-497C-BC45-660719605658}" filter="1" showAutoFilter="1">
      <pageMargins left="0.7" right="0.7" top="0.75" bottom="0.75" header="0.3" footer="0.3"/>
      <autoFilter ref="AD1:AD911" xr:uid="{A342E9C9-91C1-4527-9E71-E0B381FED7A8}"/>
    </customSheetView>
    <customSheetView guid="{70C2C3CB-9C77-45D0-92BF-083A1A89E2EC}" filter="1" showAutoFilter="1">
      <pageMargins left="0.7" right="0.7" top="0.75" bottom="0.75" header="0.3" footer="0.3"/>
      <autoFilter ref="AD1:AD911" xr:uid="{BC2A57A1-0255-43D0-97DC-544FD69D5AC9}">
        <filterColumn colId="0">
          <filters blank="1"/>
        </filterColumn>
      </autoFilter>
    </customSheetView>
    <customSheetView guid="{A4586E54-8C18-402A-88F5-A1D2BB888F5F}" filter="1" showAutoFilter="1">
      <pageMargins left="0.7" right="0.7" top="0.75" bottom="0.75" header="0.3" footer="0.3"/>
      <autoFilter ref="AD1:AD911" xr:uid="{028C56C2-B63B-4849-A69B-59AF47DE3FB4}">
        <filterColumn colId="0">
          <filters blank="1"/>
        </filterColumn>
      </autoFilter>
    </customSheetView>
    <customSheetView guid="{46A08C88-F057-4E77-84DA-41349FC9CF9F}" filter="1" showAutoFilter="1">
      <pageMargins left="0.7" right="0.7" top="0.75" bottom="0.75" header="0.3" footer="0.3"/>
      <autoFilter ref="AC1:AC911" xr:uid="{6375D049-5708-4B6C-A699-1049668F2CAC}">
        <filterColumn colId="0">
          <filters>
            <filter val="Da Xu 徐达"/>
          </filters>
        </filterColumn>
      </autoFilter>
    </customSheetView>
    <customSheetView guid="{30A25E70-968A-42D1-8004-AA7CAE7DDE4C}" filter="1" showAutoFilter="1">
      <pageMargins left="0.7" right="0.7" top="0.75" bottom="0.75" header="0.3" footer="0.3"/>
      <autoFilter ref="AC1:AC911" xr:uid="{F8A05372-B5D1-4762-A48D-F18111828397}">
        <filterColumn colId="0">
          <filters>
            <filter val="Hepeng Wang 王贺鹏"/>
          </filters>
        </filterColumn>
      </autoFilter>
    </customSheetView>
  </customSheetViews>
  <mergeCells count="1">
    <mergeCell ref="H1:V1"/>
  </mergeCells>
  <phoneticPr fontId="85" type="noConversion"/>
  <conditionalFormatting sqref="AJ1:AJ911">
    <cfRule type="cellIs" dxfId="0" priority="1" operator="greaterThan">
      <formula>1</formula>
    </cfRule>
  </conditionalFormatting>
  <dataValidations count="21">
    <dataValidation type="list" allowBlank="1" sqref="S3:S331" xr:uid="{00000000-0002-0000-0700-000000000000}">
      <formula1>"Lane Follow,Pull Over,Nudge,Side Pass,Crosswalk,Lane Change,Merge,Pull Out,Junction,Traffic Light,Dynamic  Routing,Occlusion,Cut In"</formula1>
    </dataValidation>
    <dataValidation type="list" allowBlank="1" sqref="U3:U331" xr:uid="{00000000-0002-0000-0700-000001000000}">
      <formula1>"Normal,Rain,Snow/Sleet,Fog"</formula1>
    </dataValidation>
    <dataValidation type="list" allowBlank="1" sqref="J3:J331" xr:uid="{00000000-0002-0000-0700-000002000000}">
      <formula1>"Exit,Entrance,Gap,Merge,Construction Zone,None"</formula1>
    </dataValidation>
    <dataValidation type="list" allowBlank="1" sqref="Q3:R331" xr:uid="{00000000-0002-0000-0700-000003000000}">
      <formula1>"Slowly,Quickly,Slow Down,Speed Up,Aggressively,Friendly,Small Radius,Large Radius,Low Priority,High Priority,Retrograde,Red Light,Illegal,Diagonally,Normal"</formula1>
    </dataValidation>
    <dataValidation type="list" allowBlank="1" sqref="F3:F331" xr:uid="{00000000-0002-0000-0700-000004000000}">
      <formula1>"Noncollision,Front,Left Front,Right Front,Left Rear,Right Rear,Rear"</formula1>
    </dataValidation>
    <dataValidation type="list" allowBlank="1" sqref="B237" xr:uid="{00000000-0002-0000-0700-000005000000}">
      <formula1>"U Turn,Left Turn,Right Turn,Cut In,Lane Change,Continuous Lane Change,Going Straight,Pull Over,Pull Out,Merge,Side Pass,Nudge,Borrow Lane,Backing Up,Stopped in Traffic Lane,Starting in Traffic Lane,Cross,Retrograde,Wrong-way Driving"</formula1>
    </dataValidation>
    <dataValidation type="list" allowBlank="1" sqref="H3:H331" xr:uid="{00000000-0002-0000-0700-000006000000}">
      <formula1>"Express,Principal Arterial,Minor Arterial,Branch,Frontage Road,Side Road,Urban,Highway,Rural"</formula1>
    </dataValidation>
    <dataValidation type="list" allowBlank="1" sqref="G3:G63 G278:G279 G281:G282 E3:E331" xr:uid="{00000000-0002-0000-0700-000007000000}">
      <formula1>"Double Vehicle,Multiple Vehicle,Pedestrian,Bicycle,Tricycle,Cones,Fence,None"</formula1>
    </dataValidation>
    <dataValidation type="list" allowBlank="1" sqref="P3:P331" xr:uid="{00000000-0002-0000-0700-000008000000}">
      <formula1>"U Turn,Left Turn,Right Turn,Cut In,Lane Change,Continuous Lane Change,Going Straight,Pull Over,Pull Out,Merge,Exit,Side Pass,Nudge,Borrow Lane,Backing Up,Stopped in Traffic Lane,Starting in Traffic Lane,Cross,Wrong-way Driving"</formula1>
    </dataValidation>
    <dataValidation type="list" allowBlank="1" sqref="AE3:AE331" xr:uid="{00000000-0002-0000-0700-000009000000}">
      <formula1>"Hepeng Wang,Da Xu,Lingyu Meng,Zhiang Shen,Zhiwen Wang,Wei Jin,Han Shen,Huajia Nie,Shuo Cheng,Nanshu Zhao"</formula1>
    </dataValidation>
    <dataValidation type="list" allowBlank="1" sqref="V3:V331" xr:uid="{00000000-0002-0000-0700-00000A000000}">
      <formula1>"Daylight,Dark but Lighted,Dark,Dawn or Dusk"</formula1>
    </dataValidation>
    <dataValidation type="list" allowBlank="1" sqref="AD3:AD331" xr:uid="{00000000-0002-0000-0700-00000B000000}">
      <formula1>"commited,reviewing,fixing,done,skip,delete"</formula1>
    </dataValidation>
    <dataValidation type="list" allowBlank="1" sqref="T3:T331" xr:uid="{00000000-0002-0000-0700-00000C000000}">
      <formula1>"TAADS,Virtual ADS,Logsim"</formula1>
    </dataValidation>
    <dataValidation type="list" allowBlank="1" sqref="W3:W218 W220:W331" xr:uid="{00000000-0002-0000-0700-00000D000000}">
      <formula1>"Yes,No"</formula1>
    </dataValidation>
    <dataValidation type="list" allowBlank="1" sqref="G64:G277 G280 G283:G331" xr:uid="{00000000-0002-0000-0700-00000E000000}">
      <formula1>"Double Vehicle,Multiple Vehicle,Pedestrian,Bicycle,Tricycle,Cones,Fence,Vehicle and Non-Vehicle,None"</formula1>
    </dataValidation>
    <dataValidation type="list" allowBlank="1" sqref="I3:I331" xr:uid="{00000000-0002-0000-0700-00000F000000}">
      <formula1>"Y,T,Cross,Star,Straight,Curve,Roundabout"</formula1>
    </dataValidation>
    <dataValidation type="list" allowBlank="1" sqref="L3:L331" xr:uid="{00000000-0002-0000-0700-000010000000}">
      <formula1>"Traffic Signal,Stop Sign,Other,None"</formula1>
    </dataValidation>
    <dataValidation type="list" allowBlank="1" sqref="AC3:AC331" xr:uid="{00000000-0002-0000-0700-000011000000}">
      <formula1>"Lingyu Meng 孟凌宇,Zhiwen Wang 王志文,Da Xu 徐达,Hepeng Wang 王贺鹏,Zhiang Shen 申志昂,Wei Jin 靳伟"</formula1>
    </dataValidation>
    <dataValidation type="list" allowBlank="1" sqref="K3:K331" xr:uid="{00000000-0002-0000-0700-000012000000}">
      <formula1>"Multi-Lane Dual-Way,10 Lane 1 Way,9 Lane 1 Way,8 Lane 1 Way,7 Lane 1 Way,6 Lane 1 Way,5 Lane 1 Way,4 Lane 1 Way,3 Lane 1 Way,2 Lane 1 Way,1 Lane 1 Way,10 Lane 2 Way,9 Lane 2 Way,8 Lane 2 Way,7 Lane 2 Way,6 Lane 2 Way,5 Lane 2 Way,4 Lane 2 Way,3 Lane 2 Way"&amp;",2 Lane 2 Way"</formula1>
    </dataValidation>
    <dataValidation type="list" allowBlank="1" sqref="N3:N331" xr:uid="{00000000-0002-0000-0700-000013000000}">
      <formula1>"U Turn,Left Turn,Right Turn,Lane Change,Going Straight,Pull Over,Pull Out,Merge,Exit,Side Pass,Nudge,Continuous Lane Change,Backing Up,Stopped in Traffic Lane,Starting in Traffic Lane"</formula1>
    </dataValidation>
    <dataValidation type="list" allowBlank="1" sqref="O3:O331" xr:uid="{00000000-0002-0000-0700-000014000000}">
      <formula1>"Car,Van,Truck,Trailer,Semitrailer,Bus,Motorbike,Bicycle,Train,Tram,Ambulance,Fire Truck,Police Car,Tricycle,Pedestrians,Wheelchair,Animal"</formula1>
    </dataValidation>
  </dataValidations>
  <hyperlinks>
    <hyperlink ref="X3" r:id="rId1" xr:uid="{00000000-0004-0000-0700-000000000000}"/>
    <hyperlink ref="X4" r:id="rId2" xr:uid="{00000000-0004-0000-0700-000001000000}"/>
    <hyperlink ref="X5" r:id="rId3" xr:uid="{00000000-0004-0000-0700-000002000000}"/>
    <hyperlink ref="X6" r:id="rId4" xr:uid="{00000000-0004-0000-0700-000003000000}"/>
    <hyperlink ref="X7" r:id="rId5" xr:uid="{00000000-0004-0000-0700-000004000000}"/>
    <hyperlink ref="X8" r:id="rId6" xr:uid="{00000000-0004-0000-0700-000005000000}"/>
    <hyperlink ref="X9" r:id="rId7" xr:uid="{00000000-0004-0000-0700-000006000000}"/>
    <hyperlink ref="X10" r:id="rId8" xr:uid="{00000000-0004-0000-0700-000007000000}"/>
    <hyperlink ref="X11" r:id="rId9" xr:uid="{00000000-0004-0000-0700-000008000000}"/>
    <hyperlink ref="X12" r:id="rId10" xr:uid="{00000000-0004-0000-0700-000009000000}"/>
    <hyperlink ref="X13" r:id="rId11" xr:uid="{00000000-0004-0000-0700-00000A000000}"/>
    <hyperlink ref="X14" r:id="rId12" xr:uid="{00000000-0004-0000-0700-00000B000000}"/>
    <hyperlink ref="X15" r:id="rId13" xr:uid="{00000000-0004-0000-0700-00000C000000}"/>
    <hyperlink ref="X16" r:id="rId14" xr:uid="{00000000-0004-0000-0700-00000D000000}"/>
    <hyperlink ref="X17" r:id="rId15" xr:uid="{00000000-0004-0000-0700-00000E000000}"/>
    <hyperlink ref="X18" r:id="rId16" xr:uid="{00000000-0004-0000-0700-00000F000000}"/>
    <hyperlink ref="X19" r:id="rId17" xr:uid="{00000000-0004-0000-0700-000010000000}"/>
    <hyperlink ref="X20" r:id="rId18" xr:uid="{00000000-0004-0000-0700-000011000000}"/>
    <hyperlink ref="X21" r:id="rId19" xr:uid="{00000000-0004-0000-0700-000012000000}"/>
    <hyperlink ref="X22" r:id="rId20" xr:uid="{00000000-0004-0000-0700-000013000000}"/>
    <hyperlink ref="X23" r:id="rId21" xr:uid="{00000000-0004-0000-0700-000014000000}"/>
    <hyperlink ref="X24" r:id="rId22" xr:uid="{00000000-0004-0000-0700-000015000000}"/>
    <hyperlink ref="X25" r:id="rId23" xr:uid="{00000000-0004-0000-0700-000016000000}"/>
    <hyperlink ref="X26" r:id="rId24" xr:uid="{00000000-0004-0000-0700-000017000000}"/>
    <hyperlink ref="X27" r:id="rId25" xr:uid="{00000000-0004-0000-0700-000018000000}"/>
    <hyperlink ref="X28" r:id="rId26" xr:uid="{00000000-0004-0000-0700-000019000000}"/>
    <hyperlink ref="X29" r:id="rId27" xr:uid="{00000000-0004-0000-0700-00001A000000}"/>
    <hyperlink ref="X30" r:id="rId28" xr:uid="{00000000-0004-0000-0700-00001B000000}"/>
    <hyperlink ref="X31" r:id="rId29" xr:uid="{00000000-0004-0000-0700-00001C000000}"/>
    <hyperlink ref="X32" r:id="rId30" xr:uid="{00000000-0004-0000-0700-00001D000000}"/>
    <hyperlink ref="X33" r:id="rId31" xr:uid="{00000000-0004-0000-0700-00001E000000}"/>
    <hyperlink ref="X34" r:id="rId32" xr:uid="{00000000-0004-0000-0700-00001F000000}"/>
    <hyperlink ref="X35" r:id="rId33" xr:uid="{00000000-0004-0000-0700-000020000000}"/>
    <hyperlink ref="X36" r:id="rId34" xr:uid="{00000000-0004-0000-0700-000021000000}"/>
    <hyperlink ref="X37" r:id="rId35" xr:uid="{00000000-0004-0000-0700-000022000000}"/>
    <hyperlink ref="X38" r:id="rId36" xr:uid="{00000000-0004-0000-0700-000023000000}"/>
    <hyperlink ref="X39" r:id="rId37" xr:uid="{00000000-0004-0000-0700-000024000000}"/>
    <hyperlink ref="X40" r:id="rId38" xr:uid="{00000000-0004-0000-0700-000025000000}"/>
    <hyperlink ref="X41" r:id="rId39" xr:uid="{00000000-0004-0000-0700-000026000000}"/>
    <hyperlink ref="X42" r:id="rId40" xr:uid="{00000000-0004-0000-0700-000027000000}"/>
    <hyperlink ref="X43" r:id="rId41" xr:uid="{00000000-0004-0000-0700-000028000000}"/>
    <hyperlink ref="X44" r:id="rId42" xr:uid="{00000000-0004-0000-0700-000029000000}"/>
    <hyperlink ref="X45" r:id="rId43" xr:uid="{00000000-0004-0000-0700-00002A000000}"/>
    <hyperlink ref="X46" r:id="rId44" xr:uid="{00000000-0004-0000-0700-00002B000000}"/>
    <hyperlink ref="X47" r:id="rId45" xr:uid="{00000000-0004-0000-0700-00002C000000}"/>
    <hyperlink ref="X48" r:id="rId46" xr:uid="{00000000-0004-0000-0700-00002D000000}"/>
    <hyperlink ref="X49" r:id="rId47" xr:uid="{00000000-0004-0000-0700-00002E000000}"/>
    <hyperlink ref="X50" r:id="rId48" xr:uid="{00000000-0004-0000-0700-00002F000000}"/>
    <hyperlink ref="X51" r:id="rId49" xr:uid="{00000000-0004-0000-0700-000030000000}"/>
    <hyperlink ref="X52" r:id="rId50" xr:uid="{00000000-0004-0000-0700-000031000000}"/>
    <hyperlink ref="X54" r:id="rId51" xr:uid="{00000000-0004-0000-0700-000032000000}"/>
    <hyperlink ref="X55" r:id="rId52" xr:uid="{00000000-0004-0000-0700-000033000000}"/>
    <hyperlink ref="X56" r:id="rId53" xr:uid="{00000000-0004-0000-0700-000034000000}"/>
    <hyperlink ref="X57" r:id="rId54" xr:uid="{00000000-0004-0000-0700-000035000000}"/>
    <hyperlink ref="X58" r:id="rId55" xr:uid="{00000000-0004-0000-0700-000036000000}"/>
    <hyperlink ref="X59" r:id="rId56" xr:uid="{00000000-0004-0000-0700-000037000000}"/>
    <hyperlink ref="X60" r:id="rId57" xr:uid="{00000000-0004-0000-0700-000038000000}"/>
    <hyperlink ref="X61" r:id="rId58" xr:uid="{00000000-0004-0000-0700-000039000000}"/>
    <hyperlink ref="X62" r:id="rId59" xr:uid="{00000000-0004-0000-0700-00003A000000}"/>
    <hyperlink ref="X63" r:id="rId60" xr:uid="{00000000-0004-0000-0700-00003B000000}"/>
    <hyperlink ref="X64" r:id="rId61" xr:uid="{00000000-0004-0000-0700-00003C000000}"/>
    <hyperlink ref="X65" r:id="rId62" xr:uid="{00000000-0004-0000-0700-00003D000000}"/>
    <hyperlink ref="X66" r:id="rId63" xr:uid="{00000000-0004-0000-0700-00003E000000}"/>
    <hyperlink ref="X67" r:id="rId64" xr:uid="{00000000-0004-0000-0700-00003F000000}"/>
    <hyperlink ref="X68" r:id="rId65" xr:uid="{00000000-0004-0000-0700-000040000000}"/>
    <hyperlink ref="X69" r:id="rId66" xr:uid="{00000000-0004-0000-0700-000041000000}"/>
    <hyperlink ref="X70" r:id="rId67" xr:uid="{00000000-0004-0000-0700-000042000000}"/>
    <hyperlink ref="X71" r:id="rId68" xr:uid="{00000000-0004-0000-0700-000043000000}"/>
    <hyperlink ref="X72" r:id="rId69" xr:uid="{00000000-0004-0000-0700-000044000000}"/>
    <hyperlink ref="X73" r:id="rId70" xr:uid="{00000000-0004-0000-0700-000045000000}"/>
    <hyperlink ref="X74" r:id="rId71" xr:uid="{00000000-0004-0000-0700-000046000000}"/>
    <hyperlink ref="X75" r:id="rId72" xr:uid="{00000000-0004-0000-0700-000047000000}"/>
    <hyperlink ref="X76" r:id="rId73" xr:uid="{00000000-0004-0000-0700-000048000000}"/>
    <hyperlink ref="X77" r:id="rId74" xr:uid="{00000000-0004-0000-0700-000049000000}"/>
    <hyperlink ref="X78" r:id="rId75" xr:uid="{00000000-0004-0000-0700-00004A000000}"/>
    <hyperlink ref="X79" r:id="rId76" xr:uid="{00000000-0004-0000-0700-00004B000000}"/>
    <hyperlink ref="X80" r:id="rId77" xr:uid="{00000000-0004-0000-0700-00004C000000}"/>
    <hyperlink ref="X81" r:id="rId78" xr:uid="{00000000-0004-0000-0700-00004D000000}"/>
    <hyperlink ref="X82" r:id="rId79" xr:uid="{00000000-0004-0000-0700-00004E000000}"/>
    <hyperlink ref="X83" r:id="rId80" xr:uid="{00000000-0004-0000-0700-00004F000000}"/>
    <hyperlink ref="X84" r:id="rId81" xr:uid="{00000000-0004-0000-0700-000050000000}"/>
    <hyperlink ref="X85" r:id="rId82" xr:uid="{00000000-0004-0000-0700-000051000000}"/>
    <hyperlink ref="X86" r:id="rId83" xr:uid="{00000000-0004-0000-0700-000052000000}"/>
    <hyperlink ref="X87" r:id="rId84" xr:uid="{00000000-0004-0000-0700-000053000000}"/>
    <hyperlink ref="X88" r:id="rId85" xr:uid="{00000000-0004-0000-0700-000054000000}"/>
    <hyperlink ref="X91" r:id="rId86" xr:uid="{00000000-0004-0000-0700-000055000000}"/>
    <hyperlink ref="X92" r:id="rId87" xr:uid="{00000000-0004-0000-0700-000056000000}"/>
    <hyperlink ref="X94" r:id="rId88" xr:uid="{00000000-0004-0000-0700-000057000000}"/>
    <hyperlink ref="X96" r:id="rId89" xr:uid="{00000000-0004-0000-0700-000058000000}"/>
    <hyperlink ref="X99" r:id="rId90" xr:uid="{00000000-0004-0000-0700-000059000000}"/>
    <hyperlink ref="X100" r:id="rId91" xr:uid="{00000000-0004-0000-0700-00005A000000}"/>
    <hyperlink ref="X101" r:id="rId92" xr:uid="{00000000-0004-0000-0700-00005B000000}"/>
    <hyperlink ref="X102" r:id="rId93" xr:uid="{00000000-0004-0000-0700-00005C000000}"/>
    <hyperlink ref="X103" r:id="rId94" xr:uid="{00000000-0004-0000-0700-00005D000000}"/>
    <hyperlink ref="X104" r:id="rId95" xr:uid="{00000000-0004-0000-0700-00005E000000}"/>
    <hyperlink ref="X105" r:id="rId96" xr:uid="{00000000-0004-0000-0700-00005F000000}"/>
    <hyperlink ref="X106" r:id="rId97" xr:uid="{00000000-0004-0000-0700-000060000000}"/>
    <hyperlink ref="X107" r:id="rId98" xr:uid="{00000000-0004-0000-0700-000061000000}"/>
    <hyperlink ref="X108" r:id="rId99" xr:uid="{00000000-0004-0000-0700-000062000000}"/>
    <hyperlink ref="X109" r:id="rId100" xr:uid="{00000000-0004-0000-0700-000063000000}"/>
    <hyperlink ref="X110" r:id="rId101" xr:uid="{00000000-0004-0000-0700-000064000000}"/>
    <hyperlink ref="X111" r:id="rId102" xr:uid="{00000000-0004-0000-0700-000065000000}"/>
    <hyperlink ref="X112" r:id="rId103" xr:uid="{00000000-0004-0000-0700-000066000000}"/>
    <hyperlink ref="X113" r:id="rId104" xr:uid="{00000000-0004-0000-0700-000067000000}"/>
    <hyperlink ref="X114" r:id="rId105" xr:uid="{00000000-0004-0000-0700-000068000000}"/>
    <hyperlink ref="X115" r:id="rId106" xr:uid="{00000000-0004-0000-0700-000069000000}"/>
    <hyperlink ref="X116" r:id="rId107" xr:uid="{00000000-0004-0000-0700-00006A000000}"/>
    <hyperlink ref="X117" r:id="rId108" xr:uid="{00000000-0004-0000-0700-00006B000000}"/>
    <hyperlink ref="X118" r:id="rId109" xr:uid="{00000000-0004-0000-0700-00006C000000}"/>
    <hyperlink ref="X119" r:id="rId110" xr:uid="{00000000-0004-0000-0700-00006D000000}"/>
    <hyperlink ref="X120" r:id="rId111" xr:uid="{00000000-0004-0000-0700-00006E000000}"/>
    <hyperlink ref="X121" r:id="rId112" xr:uid="{00000000-0004-0000-0700-00006F000000}"/>
    <hyperlink ref="X122" r:id="rId113" xr:uid="{00000000-0004-0000-0700-000070000000}"/>
    <hyperlink ref="X123" r:id="rId114" xr:uid="{00000000-0004-0000-0700-000071000000}"/>
    <hyperlink ref="X124" r:id="rId115" xr:uid="{00000000-0004-0000-0700-000072000000}"/>
    <hyperlink ref="X125" r:id="rId116" xr:uid="{00000000-0004-0000-0700-000073000000}"/>
    <hyperlink ref="X126" r:id="rId117" xr:uid="{00000000-0004-0000-0700-000074000000}"/>
    <hyperlink ref="X127" r:id="rId118" xr:uid="{00000000-0004-0000-0700-000075000000}"/>
    <hyperlink ref="X128" r:id="rId119" xr:uid="{00000000-0004-0000-0700-000076000000}"/>
    <hyperlink ref="X129" r:id="rId120" xr:uid="{00000000-0004-0000-0700-000077000000}"/>
    <hyperlink ref="X130" r:id="rId121" xr:uid="{00000000-0004-0000-0700-000078000000}"/>
    <hyperlink ref="X131" r:id="rId122" xr:uid="{00000000-0004-0000-0700-000079000000}"/>
    <hyperlink ref="X132" r:id="rId123" xr:uid="{00000000-0004-0000-0700-00007A000000}"/>
    <hyperlink ref="X134" r:id="rId124" xr:uid="{00000000-0004-0000-0700-00007B000000}"/>
    <hyperlink ref="X135" r:id="rId125" xr:uid="{00000000-0004-0000-0700-00007C000000}"/>
    <hyperlink ref="X136" r:id="rId126" xr:uid="{00000000-0004-0000-0700-00007D000000}"/>
    <hyperlink ref="X137" r:id="rId127" xr:uid="{00000000-0004-0000-0700-00007E000000}"/>
    <hyperlink ref="X138" r:id="rId128" xr:uid="{00000000-0004-0000-0700-00007F000000}"/>
    <hyperlink ref="X139" r:id="rId129" xr:uid="{00000000-0004-0000-0700-000080000000}"/>
    <hyperlink ref="X140" r:id="rId130" xr:uid="{00000000-0004-0000-0700-000081000000}"/>
    <hyperlink ref="X141" r:id="rId131" xr:uid="{00000000-0004-0000-0700-000082000000}"/>
    <hyperlink ref="X142" r:id="rId132" xr:uid="{00000000-0004-0000-0700-000083000000}"/>
    <hyperlink ref="X143" r:id="rId133" xr:uid="{00000000-0004-0000-0700-000084000000}"/>
    <hyperlink ref="X144" r:id="rId134" xr:uid="{00000000-0004-0000-0700-000085000000}"/>
    <hyperlink ref="X145" r:id="rId135" xr:uid="{00000000-0004-0000-0700-000086000000}"/>
    <hyperlink ref="X146" r:id="rId136" xr:uid="{00000000-0004-0000-0700-000087000000}"/>
    <hyperlink ref="X147" r:id="rId137" xr:uid="{00000000-0004-0000-0700-000088000000}"/>
    <hyperlink ref="X148" r:id="rId138" xr:uid="{00000000-0004-0000-0700-000089000000}"/>
    <hyperlink ref="X149" r:id="rId139" xr:uid="{00000000-0004-0000-0700-00008A000000}"/>
    <hyperlink ref="X150" r:id="rId140" xr:uid="{00000000-0004-0000-0700-00008B000000}"/>
    <hyperlink ref="X151" r:id="rId141" xr:uid="{00000000-0004-0000-0700-00008C000000}"/>
    <hyperlink ref="X152" r:id="rId142" xr:uid="{00000000-0004-0000-0700-00008D000000}"/>
    <hyperlink ref="X153" r:id="rId143" xr:uid="{00000000-0004-0000-0700-00008E000000}"/>
    <hyperlink ref="X155" r:id="rId144" xr:uid="{00000000-0004-0000-0700-00008F000000}"/>
    <hyperlink ref="X156" r:id="rId145" xr:uid="{00000000-0004-0000-0700-000090000000}"/>
    <hyperlink ref="X157" r:id="rId146" xr:uid="{00000000-0004-0000-0700-000091000000}"/>
    <hyperlink ref="X158" r:id="rId147" xr:uid="{00000000-0004-0000-0700-000092000000}"/>
    <hyperlink ref="X159" r:id="rId148" xr:uid="{00000000-0004-0000-0700-000093000000}"/>
    <hyperlink ref="X160" r:id="rId149" xr:uid="{00000000-0004-0000-0700-000094000000}"/>
    <hyperlink ref="X161" r:id="rId150" xr:uid="{00000000-0004-0000-0700-000095000000}"/>
    <hyperlink ref="X162" r:id="rId151" xr:uid="{00000000-0004-0000-0700-000096000000}"/>
    <hyperlink ref="X163" r:id="rId152" xr:uid="{00000000-0004-0000-0700-000097000000}"/>
    <hyperlink ref="X164" r:id="rId153" xr:uid="{00000000-0004-0000-0700-000098000000}"/>
    <hyperlink ref="X165" r:id="rId154" xr:uid="{00000000-0004-0000-0700-000099000000}"/>
    <hyperlink ref="X166" r:id="rId155" xr:uid="{00000000-0004-0000-0700-00009A000000}"/>
    <hyperlink ref="X167" r:id="rId156" xr:uid="{00000000-0004-0000-0700-00009B000000}"/>
    <hyperlink ref="X168" r:id="rId157" xr:uid="{00000000-0004-0000-0700-00009C000000}"/>
    <hyperlink ref="X169" r:id="rId158" xr:uid="{00000000-0004-0000-0700-00009D000000}"/>
    <hyperlink ref="X170" r:id="rId159" xr:uid="{00000000-0004-0000-0700-00009E000000}"/>
    <hyperlink ref="X171" r:id="rId160" xr:uid="{00000000-0004-0000-0700-00009F000000}"/>
    <hyperlink ref="X172" r:id="rId161" xr:uid="{00000000-0004-0000-0700-0000A0000000}"/>
    <hyperlink ref="X173" r:id="rId162" xr:uid="{00000000-0004-0000-0700-0000A1000000}"/>
    <hyperlink ref="X174" r:id="rId163" xr:uid="{00000000-0004-0000-0700-0000A2000000}"/>
    <hyperlink ref="X175" r:id="rId164" xr:uid="{00000000-0004-0000-0700-0000A3000000}"/>
    <hyperlink ref="X176" r:id="rId165" xr:uid="{00000000-0004-0000-0700-0000A4000000}"/>
    <hyperlink ref="X177" r:id="rId166" xr:uid="{00000000-0004-0000-0700-0000A5000000}"/>
    <hyperlink ref="X178" r:id="rId167" xr:uid="{00000000-0004-0000-0700-0000A6000000}"/>
    <hyperlink ref="X179" r:id="rId168" xr:uid="{00000000-0004-0000-0700-0000A7000000}"/>
    <hyperlink ref="X180" r:id="rId169" xr:uid="{00000000-0004-0000-0700-0000A8000000}"/>
    <hyperlink ref="X181" r:id="rId170" xr:uid="{00000000-0004-0000-0700-0000A9000000}"/>
    <hyperlink ref="X184" r:id="rId171" xr:uid="{00000000-0004-0000-0700-0000AA000000}"/>
    <hyperlink ref="X185" r:id="rId172" xr:uid="{00000000-0004-0000-0700-0000AB000000}"/>
    <hyperlink ref="X188" r:id="rId173" xr:uid="{00000000-0004-0000-0700-0000AC000000}"/>
    <hyperlink ref="X195" r:id="rId174" xr:uid="{00000000-0004-0000-0700-0000AD000000}"/>
    <hyperlink ref="X196" r:id="rId175" xr:uid="{00000000-0004-0000-0700-0000AE000000}"/>
    <hyperlink ref="X197" r:id="rId176" xr:uid="{00000000-0004-0000-0700-0000AF000000}"/>
    <hyperlink ref="X198" r:id="rId177" xr:uid="{00000000-0004-0000-0700-0000B0000000}"/>
    <hyperlink ref="X199" r:id="rId178" xr:uid="{00000000-0004-0000-0700-0000B1000000}"/>
    <hyperlink ref="X200" r:id="rId179" xr:uid="{00000000-0004-0000-0700-0000B2000000}"/>
    <hyperlink ref="X201" r:id="rId180" xr:uid="{00000000-0004-0000-0700-0000B3000000}"/>
    <hyperlink ref="X202" r:id="rId181" xr:uid="{00000000-0004-0000-0700-0000B4000000}"/>
    <hyperlink ref="X203" r:id="rId182" xr:uid="{00000000-0004-0000-0700-0000B5000000}"/>
    <hyperlink ref="X204" r:id="rId183" xr:uid="{00000000-0004-0000-0700-0000B6000000}"/>
    <hyperlink ref="X205" r:id="rId184" xr:uid="{00000000-0004-0000-0700-0000B7000000}"/>
    <hyperlink ref="X206" r:id="rId185" xr:uid="{00000000-0004-0000-0700-0000B8000000}"/>
    <hyperlink ref="X207" r:id="rId186" xr:uid="{00000000-0004-0000-0700-0000B9000000}"/>
    <hyperlink ref="X208" r:id="rId187" xr:uid="{00000000-0004-0000-0700-0000BA000000}"/>
    <hyperlink ref="X209" r:id="rId188" xr:uid="{00000000-0004-0000-0700-0000BB000000}"/>
    <hyperlink ref="X210" r:id="rId189" xr:uid="{00000000-0004-0000-0700-0000BC000000}"/>
    <hyperlink ref="X211" r:id="rId190" xr:uid="{00000000-0004-0000-0700-0000BD000000}"/>
    <hyperlink ref="X212" r:id="rId191" xr:uid="{00000000-0004-0000-0700-0000BE000000}"/>
    <hyperlink ref="X213" r:id="rId192" xr:uid="{00000000-0004-0000-0700-0000BF000000}"/>
    <hyperlink ref="X214" r:id="rId193" xr:uid="{00000000-0004-0000-0700-0000C0000000}"/>
    <hyperlink ref="X215" r:id="rId194" xr:uid="{00000000-0004-0000-0700-0000C1000000}"/>
    <hyperlink ref="X216" r:id="rId195" xr:uid="{00000000-0004-0000-0700-0000C2000000}"/>
    <hyperlink ref="X217" r:id="rId196" xr:uid="{00000000-0004-0000-0700-0000C3000000}"/>
    <hyperlink ref="X218" r:id="rId197" xr:uid="{00000000-0004-0000-0700-0000C4000000}"/>
    <hyperlink ref="X219" r:id="rId198" xr:uid="{00000000-0004-0000-0700-0000C5000000}"/>
    <hyperlink ref="X220" r:id="rId199" xr:uid="{00000000-0004-0000-0700-0000C6000000}"/>
    <hyperlink ref="X221" r:id="rId200" xr:uid="{00000000-0004-0000-0700-0000C7000000}"/>
    <hyperlink ref="X222" r:id="rId201" xr:uid="{00000000-0004-0000-0700-0000C8000000}"/>
    <hyperlink ref="X223" r:id="rId202" xr:uid="{00000000-0004-0000-0700-0000C9000000}"/>
    <hyperlink ref="X224" r:id="rId203" xr:uid="{00000000-0004-0000-0700-0000CA000000}"/>
    <hyperlink ref="X225" r:id="rId204" xr:uid="{00000000-0004-0000-0700-0000CB000000}"/>
    <hyperlink ref="X226" r:id="rId205" xr:uid="{00000000-0004-0000-0700-0000CC000000}"/>
    <hyperlink ref="X227" r:id="rId206" xr:uid="{00000000-0004-0000-0700-0000CD000000}"/>
    <hyperlink ref="X228" r:id="rId207" xr:uid="{00000000-0004-0000-0700-0000CE000000}"/>
    <hyperlink ref="X229" r:id="rId208" xr:uid="{00000000-0004-0000-0700-0000CF000000}"/>
    <hyperlink ref="X230" r:id="rId209" xr:uid="{00000000-0004-0000-0700-0000D0000000}"/>
    <hyperlink ref="X231" r:id="rId210" xr:uid="{00000000-0004-0000-0700-0000D1000000}"/>
    <hyperlink ref="X232" r:id="rId211" xr:uid="{00000000-0004-0000-0700-0000D2000000}"/>
    <hyperlink ref="X233" r:id="rId212" xr:uid="{00000000-0004-0000-0700-0000D3000000}"/>
    <hyperlink ref="X234" r:id="rId213" xr:uid="{00000000-0004-0000-0700-0000D4000000}"/>
    <hyperlink ref="X235" r:id="rId214" xr:uid="{00000000-0004-0000-0700-0000D5000000}"/>
    <hyperlink ref="X236" r:id="rId215" xr:uid="{00000000-0004-0000-0700-0000D6000000}"/>
    <hyperlink ref="X237" r:id="rId216" xr:uid="{00000000-0004-0000-0700-0000D7000000}"/>
    <hyperlink ref="X238" r:id="rId217" xr:uid="{00000000-0004-0000-0700-0000D8000000}"/>
    <hyperlink ref="X239" r:id="rId218" xr:uid="{00000000-0004-0000-0700-0000D9000000}"/>
    <hyperlink ref="X240" r:id="rId219" xr:uid="{00000000-0004-0000-0700-0000DA000000}"/>
    <hyperlink ref="X241" r:id="rId220" xr:uid="{00000000-0004-0000-0700-0000DB000000}"/>
    <hyperlink ref="X242" r:id="rId221" xr:uid="{00000000-0004-0000-0700-0000DC000000}"/>
    <hyperlink ref="X243" r:id="rId222" xr:uid="{00000000-0004-0000-0700-0000DD000000}"/>
    <hyperlink ref="X244" r:id="rId223" xr:uid="{00000000-0004-0000-0700-0000DE000000}"/>
    <hyperlink ref="X245" r:id="rId224" xr:uid="{00000000-0004-0000-0700-0000DF000000}"/>
    <hyperlink ref="X246" r:id="rId225" xr:uid="{00000000-0004-0000-0700-0000E0000000}"/>
    <hyperlink ref="X247" r:id="rId226" xr:uid="{00000000-0004-0000-0700-0000E1000000}"/>
    <hyperlink ref="X248" r:id="rId227" xr:uid="{00000000-0004-0000-0700-0000E2000000}"/>
    <hyperlink ref="X249" r:id="rId228" xr:uid="{00000000-0004-0000-0700-0000E3000000}"/>
    <hyperlink ref="X250" r:id="rId229" xr:uid="{00000000-0004-0000-0700-0000E4000000}"/>
    <hyperlink ref="X251" r:id="rId230" xr:uid="{00000000-0004-0000-0700-0000E5000000}"/>
    <hyperlink ref="X252" r:id="rId231" xr:uid="{00000000-0004-0000-0700-0000E6000000}"/>
    <hyperlink ref="X253" r:id="rId232" xr:uid="{00000000-0004-0000-0700-0000E7000000}"/>
    <hyperlink ref="X254" r:id="rId233" xr:uid="{00000000-0004-0000-0700-0000E8000000}"/>
    <hyperlink ref="AF254" r:id="rId234" xr:uid="{00000000-0004-0000-0700-0000E9000000}"/>
    <hyperlink ref="X255" r:id="rId235" xr:uid="{00000000-0004-0000-0700-0000EA000000}"/>
    <hyperlink ref="X256" r:id="rId236" xr:uid="{00000000-0004-0000-0700-0000EB000000}"/>
    <hyperlink ref="X257" r:id="rId237" xr:uid="{00000000-0004-0000-0700-0000EC000000}"/>
    <hyperlink ref="X258" r:id="rId238" xr:uid="{00000000-0004-0000-0700-0000ED000000}"/>
    <hyperlink ref="X259" r:id="rId239" xr:uid="{00000000-0004-0000-0700-0000EE000000}"/>
    <hyperlink ref="X260" r:id="rId240" xr:uid="{00000000-0004-0000-0700-0000EF000000}"/>
    <hyperlink ref="X261" r:id="rId241" xr:uid="{00000000-0004-0000-0700-0000F0000000}"/>
    <hyperlink ref="X262" r:id="rId242" xr:uid="{00000000-0004-0000-0700-0000F1000000}"/>
    <hyperlink ref="X263" r:id="rId243" xr:uid="{00000000-0004-0000-0700-0000F2000000}"/>
    <hyperlink ref="X264" r:id="rId244" xr:uid="{00000000-0004-0000-0700-0000F3000000}"/>
    <hyperlink ref="X265" r:id="rId245" xr:uid="{00000000-0004-0000-0700-0000F4000000}"/>
    <hyperlink ref="X266" r:id="rId246" xr:uid="{00000000-0004-0000-0700-0000F5000000}"/>
    <hyperlink ref="X267" r:id="rId247" xr:uid="{00000000-0004-0000-0700-0000F6000000}"/>
    <hyperlink ref="X268" r:id="rId248" xr:uid="{00000000-0004-0000-0700-0000F7000000}"/>
    <hyperlink ref="X269" r:id="rId249" xr:uid="{00000000-0004-0000-0700-0000F8000000}"/>
    <hyperlink ref="X270" r:id="rId250" xr:uid="{00000000-0004-0000-0700-0000F9000000}"/>
    <hyperlink ref="X271" r:id="rId251" xr:uid="{00000000-0004-0000-0700-0000FA000000}"/>
    <hyperlink ref="X272" r:id="rId252" xr:uid="{00000000-0004-0000-0700-0000FB000000}"/>
    <hyperlink ref="X273" r:id="rId253" xr:uid="{00000000-0004-0000-0700-0000FC000000}"/>
    <hyperlink ref="X274" r:id="rId254" xr:uid="{00000000-0004-0000-0700-0000FD000000}"/>
    <hyperlink ref="X275" r:id="rId255" xr:uid="{00000000-0004-0000-0700-0000FE000000}"/>
    <hyperlink ref="X276" r:id="rId256" xr:uid="{00000000-0004-0000-0700-0000FF000000}"/>
    <hyperlink ref="X277" r:id="rId257" xr:uid="{00000000-0004-0000-0700-000000010000}"/>
    <hyperlink ref="X279" r:id="rId258" xr:uid="{00000000-0004-0000-0700-000001010000}"/>
    <hyperlink ref="X284" r:id="rId259" xr:uid="{00000000-0004-0000-0700-000002010000}"/>
    <hyperlink ref="X286" r:id="rId260" xr:uid="{00000000-0004-0000-0700-000003010000}"/>
    <hyperlink ref="X287" r:id="rId261" xr:uid="{00000000-0004-0000-0700-000004010000}"/>
    <hyperlink ref="X288" r:id="rId262" xr:uid="{00000000-0004-0000-0700-000005010000}"/>
    <hyperlink ref="X289" r:id="rId263" xr:uid="{00000000-0004-0000-0700-000006010000}"/>
    <hyperlink ref="X290" r:id="rId264" xr:uid="{00000000-0004-0000-0700-000007010000}"/>
    <hyperlink ref="X291" r:id="rId265" xr:uid="{00000000-0004-0000-0700-000008010000}"/>
    <hyperlink ref="X292" r:id="rId266" xr:uid="{00000000-0004-0000-0700-000009010000}"/>
    <hyperlink ref="X293" r:id="rId267" xr:uid="{00000000-0004-0000-0700-00000A010000}"/>
    <hyperlink ref="X294" r:id="rId268" xr:uid="{00000000-0004-0000-0700-00000B010000}"/>
    <hyperlink ref="X295" r:id="rId269" xr:uid="{00000000-0004-0000-0700-00000C010000}"/>
    <hyperlink ref="X296" r:id="rId270" xr:uid="{00000000-0004-0000-0700-00000D010000}"/>
    <hyperlink ref="X297" r:id="rId271" xr:uid="{00000000-0004-0000-0700-00000E010000}"/>
    <hyperlink ref="X298" r:id="rId272" xr:uid="{00000000-0004-0000-0700-00000F010000}"/>
    <hyperlink ref="X299" r:id="rId273" xr:uid="{00000000-0004-0000-0700-000010010000}"/>
    <hyperlink ref="X300" r:id="rId274" xr:uid="{00000000-0004-0000-0700-000011010000}"/>
    <hyperlink ref="X301" r:id="rId275" xr:uid="{00000000-0004-0000-0700-000012010000}"/>
    <hyperlink ref="X302" r:id="rId276" xr:uid="{00000000-0004-0000-0700-000013010000}"/>
    <hyperlink ref="X303" r:id="rId277" xr:uid="{00000000-0004-0000-0700-000014010000}"/>
    <hyperlink ref="X304" r:id="rId278" xr:uid="{00000000-0004-0000-0700-000015010000}"/>
    <hyperlink ref="X305" r:id="rId279" xr:uid="{00000000-0004-0000-0700-000016010000}"/>
    <hyperlink ref="X306" r:id="rId280" xr:uid="{00000000-0004-0000-0700-000017010000}"/>
    <hyperlink ref="X307" r:id="rId281" xr:uid="{00000000-0004-0000-0700-000018010000}"/>
    <hyperlink ref="X308" r:id="rId282" xr:uid="{00000000-0004-0000-0700-000019010000}"/>
    <hyperlink ref="X309" r:id="rId283" xr:uid="{00000000-0004-0000-0700-00001A010000}"/>
    <hyperlink ref="X310" r:id="rId284" xr:uid="{00000000-0004-0000-0700-00001B010000}"/>
    <hyperlink ref="X311" r:id="rId285" xr:uid="{00000000-0004-0000-0700-00001C010000}"/>
    <hyperlink ref="X312" r:id="rId286" xr:uid="{00000000-0004-0000-0700-00001D010000}"/>
    <hyperlink ref="X313" r:id="rId287" xr:uid="{00000000-0004-0000-0700-00001E010000}"/>
    <hyperlink ref="X314" r:id="rId288" xr:uid="{00000000-0004-0000-0700-00001F010000}"/>
    <hyperlink ref="X315" r:id="rId289" xr:uid="{00000000-0004-0000-0700-000020010000}"/>
    <hyperlink ref="X316" r:id="rId290" xr:uid="{00000000-0004-0000-0700-000021010000}"/>
    <hyperlink ref="X317" r:id="rId291" xr:uid="{00000000-0004-0000-0700-000022010000}"/>
    <hyperlink ref="X318" r:id="rId292" xr:uid="{00000000-0004-0000-0700-000023010000}"/>
    <hyperlink ref="X319" r:id="rId293" xr:uid="{00000000-0004-0000-0700-000024010000}"/>
    <hyperlink ref="X320" r:id="rId294" xr:uid="{00000000-0004-0000-0700-000025010000}"/>
    <hyperlink ref="X321" r:id="rId295" xr:uid="{00000000-0004-0000-0700-000026010000}"/>
    <hyperlink ref="X322" r:id="rId296" xr:uid="{00000000-0004-0000-0700-000027010000}"/>
    <hyperlink ref="X323" r:id="rId297" xr:uid="{00000000-0004-0000-0700-000028010000}"/>
    <hyperlink ref="X324" r:id="rId298" xr:uid="{00000000-0004-0000-0700-000029010000}"/>
    <hyperlink ref="X325" r:id="rId299" xr:uid="{00000000-0004-0000-0700-00002A010000}"/>
    <hyperlink ref="X326" r:id="rId300" xr:uid="{00000000-0004-0000-0700-00002B010000}"/>
    <hyperlink ref="X327" r:id="rId301" xr:uid="{00000000-0004-0000-0700-00002C010000}"/>
    <hyperlink ref="X328" r:id="rId302" xr:uid="{00000000-0004-0000-0700-00002D010000}"/>
    <hyperlink ref="X329" r:id="rId303" xr:uid="{00000000-0004-0000-0700-00002E010000}"/>
    <hyperlink ref="X330" r:id="rId304" xr:uid="{00000000-0004-0000-0700-00002F010000}"/>
    <hyperlink ref="X331" r:id="rId305" xr:uid="{00000000-0004-0000-0700-00003001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H68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4.3984375" defaultRowHeight="15.75" customHeight="1"/>
  <cols>
    <col min="1" max="1" width="12.296875" customWidth="1"/>
    <col min="2" max="2" width="41.59765625" customWidth="1"/>
    <col min="3" max="3" width="55.59765625" customWidth="1"/>
    <col min="4" max="4" width="71.69921875" customWidth="1"/>
    <col min="5" max="5" width="16.8984375" customWidth="1"/>
    <col min="6" max="6" width="21" customWidth="1"/>
    <col min="7" max="7" width="24.296875" customWidth="1"/>
    <col min="8" max="8" width="24.09765625" customWidth="1"/>
    <col min="11" max="11" width="19.69921875" customWidth="1"/>
    <col min="12" max="12" width="22.296875" customWidth="1"/>
    <col min="14" max="14" width="18.59765625" customWidth="1"/>
    <col min="22" max="22" width="15.69921875" customWidth="1"/>
    <col min="23" max="23" width="16.69921875" customWidth="1"/>
    <col min="24" max="24" width="50" customWidth="1"/>
    <col min="25" max="27" width="8.3984375" customWidth="1"/>
    <col min="28" max="28" width="21.3984375" customWidth="1"/>
    <col min="29" max="29" width="20.69921875" customWidth="1"/>
    <col min="30" max="30" width="16.69921875" customWidth="1"/>
    <col min="31" max="31" width="15.69921875" customWidth="1"/>
    <col min="32" max="32" width="54.8984375" customWidth="1"/>
    <col min="33" max="33" width="60.59765625" customWidth="1"/>
  </cols>
  <sheetData>
    <row r="1" spans="1:34">
      <c r="A1" s="8"/>
      <c r="B1" s="8"/>
      <c r="C1" s="2"/>
      <c r="D1" s="3"/>
      <c r="E1" s="4" t="s">
        <v>0</v>
      </c>
      <c r="F1" s="4"/>
      <c r="G1" s="4"/>
      <c r="H1" s="251" t="s">
        <v>1</v>
      </c>
      <c r="I1" s="252"/>
      <c r="J1" s="252"/>
      <c r="K1" s="252"/>
      <c r="L1" s="252"/>
      <c r="M1" s="252"/>
      <c r="N1" s="252"/>
      <c r="O1" s="252"/>
      <c r="P1" s="252"/>
      <c r="Q1" s="252"/>
      <c r="R1" s="252"/>
      <c r="S1" s="252"/>
      <c r="T1" s="252"/>
      <c r="U1" s="252"/>
      <c r="V1" s="252"/>
      <c r="W1" s="6"/>
      <c r="AB1" s="7"/>
      <c r="AC1" s="8"/>
      <c r="AD1" s="9"/>
      <c r="AE1" s="9"/>
      <c r="AF1" s="9"/>
      <c r="AG1" s="9"/>
    </row>
    <row r="2" spans="1:34">
      <c r="A2" s="8" t="s">
        <v>2</v>
      </c>
      <c r="B2" s="8" t="s">
        <v>3</v>
      </c>
      <c r="C2" s="2" t="s">
        <v>4</v>
      </c>
      <c r="D2" s="3" t="s">
        <v>5</v>
      </c>
      <c r="E2" s="4" t="s">
        <v>6</v>
      </c>
      <c r="F2" s="4" t="s">
        <v>7</v>
      </c>
      <c r="G2" s="4" t="s">
        <v>8</v>
      </c>
      <c r="H2" s="10" t="s">
        <v>9</v>
      </c>
      <c r="I2" s="10" t="s">
        <v>10</v>
      </c>
      <c r="J2" s="10" t="s">
        <v>11</v>
      </c>
      <c r="K2" s="10" t="s">
        <v>12</v>
      </c>
      <c r="L2" s="10" t="s">
        <v>13</v>
      </c>
      <c r="M2" s="10" t="s">
        <v>14</v>
      </c>
      <c r="N2" s="10" t="s">
        <v>15</v>
      </c>
      <c r="O2" s="10" t="s">
        <v>16</v>
      </c>
      <c r="P2" s="10" t="s">
        <v>17</v>
      </c>
      <c r="Q2" s="11" t="s">
        <v>18</v>
      </c>
      <c r="R2" s="11" t="s">
        <v>18</v>
      </c>
      <c r="S2" s="10" t="s">
        <v>19</v>
      </c>
      <c r="T2" s="10" t="s">
        <v>20</v>
      </c>
      <c r="U2" s="126" t="s">
        <v>21</v>
      </c>
      <c r="V2" s="126" t="s">
        <v>22</v>
      </c>
      <c r="W2" s="13" t="s">
        <v>23</v>
      </c>
      <c r="X2" s="14" t="s">
        <v>24</v>
      </c>
      <c r="Y2" s="15" t="s">
        <v>25</v>
      </c>
      <c r="Z2" s="15" t="s">
        <v>26</v>
      </c>
      <c r="AA2" s="15" t="s">
        <v>27</v>
      </c>
      <c r="AB2" s="1" t="s">
        <v>28</v>
      </c>
      <c r="AC2" s="8" t="s">
        <v>29</v>
      </c>
      <c r="AD2" s="9" t="s">
        <v>30</v>
      </c>
      <c r="AE2" s="9" t="s">
        <v>31</v>
      </c>
      <c r="AF2" s="9" t="s">
        <v>32</v>
      </c>
      <c r="AG2" s="9" t="s">
        <v>33</v>
      </c>
      <c r="AH2" s="22" t="s">
        <v>2338</v>
      </c>
    </row>
    <row r="3" spans="1:34">
      <c r="A3" s="68" t="s">
        <v>1482</v>
      </c>
      <c r="B3" s="68" t="s">
        <v>1905</v>
      </c>
      <c r="C3" s="22" t="s">
        <v>1906</v>
      </c>
      <c r="D3" s="80" t="s">
        <v>1907</v>
      </c>
      <c r="E3" s="22" t="s">
        <v>49</v>
      </c>
      <c r="F3" s="22" t="s">
        <v>78</v>
      </c>
      <c r="G3" s="22" t="s">
        <v>49</v>
      </c>
      <c r="H3" s="22" t="s">
        <v>51</v>
      </c>
      <c r="I3" s="22" t="s">
        <v>52</v>
      </c>
      <c r="J3" s="22" t="s">
        <v>501</v>
      </c>
      <c r="K3" s="22" t="s">
        <v>182</v>
      </c>
      <c r="L3" s="22" t="s">
        <v>55</v>
      </c>
      <c r="M3" s="22" t="s">
        <v>2339</v>
      </c>
      <c r="N3" s="22" t="s">
        <v>59</v>
      </c>
      <c r="O3" s="22" t="s">
        <v>84</v>
      </c>
      <c r="P3" s="22" t="s">
        <v>85</v>
      </c>
      <c r="Q3" s="22" t="s">
        <v>60</v>
      </c>
      <c r="R3" s="25"/>
      <c r="S3" s="22" t="s">
        <v>85</v>
      </c>
      <c r="T3" s="22" t="s">
        <v>62</v>
      </c>
      <c r="U3" s="22" t="s">
        <v>63</v>
      </c>
      <c r="V3" s="22" t="s">
        <v>64</v>
      </c>
      <c r="W3" s="25"/>
      <c r="X3" s="69" t="s">
        <v>154</v>
      </c>
      <c r="Y3" s="68" t="s">
        <v>770</v>
      </c>
      <c r="Z3" s="22" t="s">
        <v>1419</v>
      </c>
      <c r="AA3" s="22" t="s">
        <v>1420</v>
      </c>
      <c r="AC3" s="22" t="s">
        <v>70</v>
      </c>
      <c r="AD3" s="27" t="s">
        <v>71</v>
      </c>
      <c r="AE3" s="22" t="s">
        <v>928</v>
      </c>
      <c r="AF3" s="34"/>
      <c r="AG3" s="34"/>
      <c r="AH3" s="25"/>
    </row>
    <row r="4" spans="1:34">
      <c r="D4" s="85"/>
      <c r="N4" s="25"/>
      <c r="P4" s="25"/>
      <c r="AC4" s="25"/>
      <c r="AD4" s="27"/>
      <c r="AE4" s="25"/>
      <c r="AF4" s="34"/>
      <c r="AG4" s="34"/>
      <c r="AH4" s="25"/>
    </row>
    <row r="5" spans="1:34">
      <c r="D5" s="85"/>
      <c r="N5" s="25"/>
      <c r="P5" s="25"/>
      <c r="AC5" s="25"/>
      <c r="AD5" s="27"/>
      <c r="AE5" s="25"/>
      <c r="AF5" s="34"/>
      <c r="AG5" s="34"/>
      <c r="AH5" s="25"/>
    </row>
    <row r="6" spans="1:34">
      <c r="D6" s="85"/>
      <c r="N6" s="25"/>
      <c r="P6" s="25"/>
      <c r="AC6" s="25"/>
      <c r="AD6" s="27"/>
      <c r="AE6" s="25"/>
      <c r="AF6" s="34"/>
      <c r="AG6" s="34"/>
      <c r="AH6" s="25"/>
    </row>
    <row r="7" spans="1:34">
      <c r="D7" s="85"/>
      <c r="N7" s="25"/>
      <c r="P7" s="25"/>
      <c r="AC7" s="25"/>
      <c r="AD7" s="27"/>
      <c r="AE7" s="25"/>
      <c r="AF7" s="34"/>
      <c r="AG7" s="34"/>
    </row>
    <row r="8" spans="1:34">
      <c r="D8" s="85"/>
      <c r="N8" s="25"/>
      <c r="P8" s="25"/>
      <c r="AC8" s="25"/>
      <c r="AD8" s="27"/>
      <c r="AE8" s="25"/>
      <c r="AF8" s="34"/>
      <c r="AG8" s="34"/>
    </row>
    <row r="9" spans="1:34">
      <c r="D9" s="85"/>
      <c r="N9" s="25"/>
      <c r="P9" s="25"/>
      <c r="AC9" s="25"/>
      <c r="AD9" s="27"/>
      <c r="AE9" s="25"/>
      <c r="AF9" s="34"/>
      <c r="AG9" s="34"/>
    </row>
    <row r="10" spans="1:34">
      <c r="D10" s="85"/>
      <c r="N10" s="25"/>
      <c r="P10" s="25"/>
      <c r="AC10" s="25"/>
      <c r="AD10" s="27"/>
      <c r="AE10" s="25"/>
      <c r="AF10" s="34"/>
      <c r="AG10" s="34"/>
    </row>
    <row r="11" spans="1:34">
      <c r="D11" s="85"/>
      <c r="N11" s="25"/>
      <c r="P11" s="25"/>
      <c r="AC11" s="25"/>
      <c r="AD11" s="27"/>
      <c r="AE11" s="25"/>
      <c r="AF11" s="34"/>
      <c r="AG11" s="34"/>
    </row>
    <row r="12" spans="1:34">
      <c r="D12" s="85"/>
      <c r="N12" s="25"/>
      <c r="P12" s="25"/>
      <c r="AC12" s="25"/>
      <c r="AD12" s="27"/>
      <c r="AE12" s="25"/>
      <c r="AF12" s="34"/>
      <c r="AG12" s="34"/>
    </row>
    <row r="13" spans="1:34">
      <c r="D13" s="85"/>
      <c r="N13" s="25"/>
      <c r="P13" s="25"/>
      <c r="AC13" s="25"/>
      <c r="AD13" s="27"/>
      <c r="AE13" s="25"/>
      <c r="AF13" s="34"/>
      <c r="AG13" s="34"/>
    </row>
    <row r="14" spans="1:34">
      <c r="D14" s="85"/>
      <c r="N14" s="25"/>
      <c r="P14" s="25"/>
      <c r="AC14" s="25"/>
      <c r="AD14" s="27"/>
      <c r="AE14" s="25"/>
      <c r="AF14" s="34"/>
      <c r="AG14" s="34"/>
    </row>
    <row r="15" spans="1:34">
      <c r="D15" s="85"/>
      <c r="N15" s="25"/>
      <c r="P15" s="25"/>
      <c r="AC15" s="25"/>
      <c r="AD15" s="27"/>
      <c r="AE15" s="25"/>
      <c r="AF15" s="34"/>
      <c r="AG15" s="34"/>
    </row>
    <row r="16" spans="1:34">
      <c r="D16" s="85"/>
      <c r="N16" s="25"/>
      <c r="P16" s="25"/>
      <c r="AC16" s="25"/>
      <c r="AD16" s="27"/>
      <c r="AE16" s="25"/>
      <c r="AF16" s="34"/>
      <c r="AG16" s="34"/>
    </row>
    <row r="17" spans="4:33">
      <c r="D17" s="85"/>
      <c r="N17" s="25"/>
      <c r="P17" s="25"/>
      <c r="AC17" s="25"/>
      <c r="AD17" s="27"/>
      <c r="AE17" s="25"/>
      <c r="AF17" s="34"/>
      <c r="AG17" s="34"/>
    </row>
    <row r="18" spans="4:33">
      <c r="D18" s="85"/>
      <c r="N18" s="25"/>
      <c r="P18" s="25"/>
      <c r="AC18" s="25"/>
      <c r="AD18" s="27"/>
      <c r="AE18" s="25"/>
      <c r="AF18" s="34"/>
      <c r="AG18" s="34"/>
    </row>
    <row r="19" spans="4:33">
      <c r="D19" s="85"/>
      <c r="N19" s="25"/>
      <c r="P19" s="25"/>
      <c r="AC19" s="25"/>
      <c r="AD19" s="27"/>
      <c r="AE19" s="25"/>
      <c r="AF19" s="34"/>
      <c r="AG19" s="34"/>
    </row>
    <row r="20" spans="4:33">
      <c r="D20" s="85"/>
      <c r="N20" s="25"/>
      <c r="P20" s="25"/>
      <c r="AC20" s="25"/>
      <c r="AD20" s="27"/>
      <c r="AE20" s="25"/>
      <c r="AF20" s="34"/>
      <c r="AG20" s="34"/>
    </row>
    <row r="21" spans="4:33">
      <c r="D21" s="85"/>
      <c r="N21" s="25"/>
      <c r="P21" s="25"/>
      <c r="AC21" s="25"/>
      <c r="AD21" s="27"/>
      <c r="AE21" s="25"/>
      <c r="AF21" s="34"/>
      <c r="AG21" s="34"/>
    </row>
    <row r="22" spans="4:33">
      <c r="D22" s="85"/>
      <c r="N22" s="25"/>
      <c r="P22" s="25"/>
      <c r="AC22" s="25"/>
      <c r="AD22" s="27"/>
      <c r="AE22" s="25"/>
      <c r="AF22" s="34"/>
      <c r="AG22" s="34"/>
    </row>
    <row r="23" spans="4:33">
      <c r="D23" s="85"/>
      <c r="N23" s="25"/>
      <c r="P23" s="25"/>
      <c r="AC23" s="25"/>
      <c r="AD23" s="27"/>
      <c r="AE23" s="25"/>
      <c r="AF23" s="34"/>
      <c r="AG23" s="34"/>
    </row>
    <row r="24" spans="4:33">
      <c r="D24" s="85"/>
      <c r="N24" s="25"/>
      <c r="P24" s="25"/>
      <c r="AC24" s="25"/>
      <c r="AD24" s="27"/>
      <c r="AE24" s="25"/>
      <c r="AF24" s="34"/>
      <c r="AG24" s="34"/>
    </row>
    <row r="25" spans="4:33">
      <c r="D25" s="85"/>
      <c r="N25" s="25"/>
      <c r="P25" s="25"/>
      <c r="AC25" s="25"/>
      <c r="AD25" s="27"/>
      <c r="AE25" s="25"/>
      <c r="AF25" s="34"/>
      <c r="AG25" s="34"/>
    </row>
    <row r="26" spans="4:33">
      <c r="D26" s="85"/>
      <c r="N26" s="25"/>
      <c r="P26" s="25"/>
      <c r="AC26" s="25"/>
      <c r="AD26" s="27"/>
      <c r="AE26" s="25"/>
      <c r="AF26" s="34"/>
      <c r="AG26" s="34"/>
    </row>
    <row r="27" spans="4:33">
      <c r="D27" s="85"/>
      <c r="N27" s="25"/>
      <c r="P27" s="25"/>
      <c r="AC27" s="25"/>
      <c r="AD27" s="27"/>
      <c r="AE27" s="25"/>
      <c r="AF27" s="34"/>
      <c r="AG27" s="34"/>
    </row>
    <row r="28" spans="4:33">
      <c r="D28" s="85"/>
      <c r="N28" s="25"/>
      <c r="P28" s="25"/>
      <c r="AC28" s="25"/>
      <c r="AD28" s="27"/>
      <c r="AE28" s="25"/>
      <c r="AF28" s="34"/>
      <c r="AG28" s="34"/>
    </row>
    <row r="29" spans="4:33">
      <c r="D29" s="85"/>
      <c r="N29" s="25"/>
      <c r="P29" s="25"/>
      <c r="AC29" s="25"/>
      <c r="AD29" s="27"/>
      <c r="AE29" s="25"/>
      <c r="AF29" s="34"/>
      <c r="AG29" s="34"/>
    </row>
    <row r="30" spans="4:33">
      <c r="D30" s="85"/>
      <c r="AC30" s="25"/>
      <c r="AD30" s="27"/>
      <c r="AE30" s="25"/>
      <c r="AF30" s="34"/>
      <c r="AG30" s="34"/>
    </row>
    <row r="31" spans="4:33">
      <c r="D31" s="85"/>
      <c r="AC31" s="25"/>
      <c r="AD31" s="27"/>
      <c r="AE31" s="25"/>
      <c r="AF31" s="34"/>
      <c r="AG31" s="34"/>
    </row>
    <row r="32" spans="4:33">
      <c r="D32" s="85"/>
      <c r="AC32" s="25"/>
      <c r="AD32" s="27"/>
      <c r="AE32" s="25"/>
      <c r="AF32" s="34"/>
      <c r="AG32" s="34"/>
    </row>
    <row r="33" spans="4:33">
      <c r="D33" s="85"/>
      <c r="AC33" s="25"/>
      <c r="AD33" s="27"/>
      <c r="AE33" s="25"/>
      <c r="AF33" s="34"/>
      <c r="AG33" s="34"/>
    </row>
    <row r="34" spans="4:33">
      <c r="D34" s="85"/>
      <c r="AC34" s="25"/>
      <c r="AD34" s="27"/>
      <c r="AE34" s="25"/>
      <c r="AF34" s="34"/>
      <c r="AG34" s="34"/>
    </row>
    <row r="35" spans="4:33">
      <c r="D35" s="85"/>
      <c r="AC35" s="25"/>
      <c r="AD35" s="27"/>
      <c r="AE35" s="25"/>
      <c r="AF35" s="34"/>
      <c r="AG35" s="34"/>
    </row>
    <row r="36" spans="4:33">
      <c r="D36" s="85"/>
      <c r="AC36" s="25"/>
      <c r="AD36" s="27"/>
      <c r="AE36" s="25"/>
      <c r="AF36" s="34"/>
      <c r="AG36" s="34"/>
    </row>
    <row r="37" spans="4:33">
      <c r="D37" s="85"/>
      <c r="AC37" s="25"/>
      <c r="AD37" s="27"/>
      <c r="AE37" s="25"/>
      <c r="AF37" s="34"/>
      <c r="AG37" s="34"/>
    </row>
    <row r="38" spans="4:33">
      <c r="D38" s="85"/>
      <c r="AC38" s="25"/>
      <c r="AD38" s="27"/>
      <c r="AE38" s="25"/>
      <c r="AF38" s="34"/>
      <c r="AG38" s="34"/>
    </row>
    <row r="39" spans="4:33">
      <c r="D39" s="85"/>
      <c r="AD39" s="27"/>
      <c r="AE39" s="25"/>
      <c r="AF39" s="34"/>
      <c r="AG39" s="34"/>
    </row>
    <row r="40" spans="4:33">
      <c r="D40" s="85"/>
      <c r="AD40" s="34"/>
      <c r="AE40" s="34"/>
      <c r="AF40" s="34"/>
      <c r="AG40" s="34"/>
    </row>
    <row r="41" spans="4:33">
      <c r="D41" s="85"/>
      <c r="AD41" s="34"/>
      <c r="AE41" s="34"/>
      <c r="AF41" s="34"/>
      <c r="AG41" s="34"/>
    </row>
    <row r="42" spans="4:33">
      <c r="D42" s="85"/>
      <c r="AD42" s="34"/>
      <c r="AE42" s="34"/>
      <c r="AF42" s="34"/>
      <c r="AG42" s="34"/>
    </row>
    <row r="43" spans="4:33">
      <c r="D43" s="85"/>
      <c r="AD43" s="34"/>
      <c r="AE43" s="34"/>
      <c r="AF43" s="34"/>
      <c r="AG43" s="34"/>
    </row>
    <row r="44" spans="4:33">
      <c r="D44" s="85"/>
      <c r="AD44" s="34"/>
      <c r="AE44" s="34"/>
      <c r="AF44" s="34"/>
      <c r="AG44" s="34"/>
    </row>
    <row r="45" spans="4:33">
      <c r="D45" s="85"/>
      <c r="AD45" s="34"/>
      <c r="AE45" s="34"/>
      <c r="AF45" s="34"/>
      <c r="AG45" s="34"/>
    </row>
    <row r="46" spans="4:33">
      <c r="D46" s="85"/>
      <c r="AD46" s="34"/>
      <c r="AE46" s="34"/>
      <c r="AF46" s="34"/>
      <c r="AG46" s="34"/>
    </row>
    <row r="47" spans="4:33">
      <c r="D47" s="85"/>
      <c r="AD47" s="34"/>
      <c r="AE47" s="34"/>
      <c r="AF47" s="34"/>
      <c r="AG47" s="34"/>
    </row>
    <row r="48" spans="4:33">
      <c r="D48" s="85"/>
      <c r="AD48" s="34"/>
      <c r="AE48" s="34"/>
      <c r="AF48" s="34"/>
      <c r="AG48" s="34"/>
    </row>
    <row r="49" spans="4:33">
      <c r="D49" s="85"/>
      <c r="AD49" s="34"/>
      <c r="AE49" s="34"/>
      <c r="AF49" s="34"/>
      <c r="AG49" s="34"/>
    </row>
    <row r="50" spans="4:33">
      <c r="D50" s="85"/>
      <c r="AD50" s="34"/>
      <c r="AE50" s="34"/>
      <c r="AF50" s="34"/>
      <c r="AG50" s="34"/>
    </row>
    <row r="51" spans="4:33">
      <c r="D51" s="85"/>
      <c r="AD51" s="34"/>
      <c r="AE51" s="34"/>
      <c r="AF51" s="34"/>
      <c r="AG51" s="34"/>
    </row>
    <row r="52" spans="4:33">
      <c r="D52" s="85"/>
      <c r="AD52" s="34"/>
      <c r="AE52" s="34"/>
      <c r="AF52" s="34"/>
      <c r="AG52" s="34"/>
    </row>
    <row r="53" spans="4:33">
      <c r="D53" s="85"/>
      <c r="AD53" s="34"/>
      <c r="AE53" s="34"/>
      <c r="AF53" s="34"/>
      <c r="AG53" s="34"/>
    </row>
    <row r="54" spans="4:33">
      <c r="D54" s="85"/>
      <c r="AD54" s="34"/>
      <c r="AE54" s="34"/>
      <c r="AF54" s="34"/>
      <c r="AG54" s="34"/>
    </row>
    <row r="55" spans="4:33">
      <c r="D55" s="85"/>
      <c r="AD55" s="34"/>
      <c r="AE55" s="34"/>
      <c r="AF55" s="34"/>
      <c r="AG55" s="34"/>
    </row>
    <row r="56" spans="4:33">
      <c r="D56" s="85"/>
      <c r="AD56" s="34"/>
      <c r="AE56" s="34"/>
      <c r="AF56" s="34"/>
      <c r="AG56" s="34"/>
    </row>
    <row r="57" spans="4:33">
      <c r="D57" s="85"/>
      <c r="AD57" s="34"/>
      <c r="AE57" s="34"/>
      <c r="AF57" s="34"/>
      <c r="AG57" s="34"/>
    </row>
    <row r="58" spans="4:33">
      <c r="D58" s="85"/>
      <c r="AD58" s="34"/>
      <c r="AE58" s="34"/>
      <c r="AF58" s="34"/>
      <c r="AG58" s="34"/>
    </row>
    <row r="59" spans="4:33">
      <c r="D59" s="85"/>
      <c r="AD59" s="34"/>
      <c r="AE59" s="34"/>
      <c r="AF59" s="34"/>
      <c r="AG59" s="34"/>
    </row>
    <row r="60" spans="4:33">
      <c r="D60" s="85"/>
      <c r="AD60" s="34"/>
      <c r="AE60" s="34"/>
      <c r="AF60" s="34"/>
      <c r="AG60" s="34"/>
    </row>
    <row r="61" spans="4:33">
      <c r="D61" s="85"/>
      <c r="AD61" s="34"/>
      <c r="AE61" s="34"/>
      <c r="AF61" s="34"/>
      <c r="AG61" s="34"/>
    </row>
    <row r="62" spans="4:33">
      <c r="D62" s="85"/>
      <c r="AD62" s="34"/>
      <c r="AE62" s="34"/>
      <c r="AF62" s="34"/>
      <c r="AG62" s="34"/>
    </row>
    <row r="63" spans="4:33">
      <c r="D63" s="85"/>
      <c r="AD63" s="34"/>
      <c r="AE63" s="34"/>
      <c r="AF63" s="34"/>
      <c r="AG63" s="34"/>
    </row>
    <row r="64" spans="4:33">
      <c r="D64" s="85"/>
      <c r="AD64" s="34"/>
      <c r="AE64" s="34"/>
      <c r="AF64" s="34"/>
      <c r="AG64" s="34"/>
    </row>
    <row r="65" spans="4:33">
      <c r="D65" s="85"/>
      <c r="AD65" s="34"/>
      <c r="AE65" s="34"/>
      <c r="AF65" s="34"/>
      <c r="AG65" s="34"/>
    </row>
    <row r="66" spans="4:33">
      <c r="D66" s="85"/>
      <c r="AD66" s="34"/>
      <c r="AE66" s="34"/>
      <c r="AF66" s="34"/>
      <c r="AG66" s="34"/>
    </row>
    <row r="67" spans="4:33">
      <c r="D67" s="85"/>
      <c r="AD67" s="34"/>
      <c r="AE67" s="34"/>
      <c r="AF67" s="34"/>
      <c r="AG67" s="34"/>
    </row>
    <row r="68" spans="4:33">
      <c r="D68" s="85"/>
      <c r="AD68" s="34"/>
      <c r="AE68" s="34"/>
      <c r="AF68" s="34"/>
      <c r="AG68" s="34"/>
    </row>
    <row r="69" spans="4:33">
      <c r="D69" s="85"/>
      <c r="AD69" s="34"/>
      <c r="AE69" s="34"/>
      <c r="AF69" s="34"/>
      <c r="AG69" s="34"/>
    </row>
    <row r="70" spans="4:33">
      <c r="D70" s="85"/>
      <c r="AD70" s="34"/>
      <c r="AE70" s="34"/>
      <c r="AF70" s="34"/>
      <c r="AG70" s="34"/>
    </row>
    <row r="71" spans="4:33">
      <c r="D71" s="85"/>
      <c r="AD71" s="34"/>
      <c r="AE71" s="34"/>
      <c r="AF71" s="34"/>
      <c r="AG71" s="34"/>
    </row>
    <row r="72" spans="4:33">
      <c r="D72" s="85"/>
      <c r="AD72" s="34"/>
      <c r="AE72" s="34"/>
      <c r="AF72" s="34"/>
      <c r="AG72" s="34"/>
    </row>
    <row r="73" spans="4:33">
      <c r="D73" s="85"/>
      <c r="AD73" s="34"/>
      <c r="AE73" s="34"/>
      <c r="AF73" s="34"/>
      <c r="AG73" s="34"/>
    </row>
    <row r="74" spans="4:33">
      <c r="D74" s="85"/>
      <c r="AD74" s="34"/>
      <c r="AE74" s="34"/>
      <c r="AF74" s="34"/>
      <c r="AG74" s="34"/>
    </row>
    <row r="75" spans="4:33">
      <c r="D75" s="85"/>
      <c r="AD75" s="34"/>
      <c r="AE75" s="34"/>
      <c r="AF75" s="34"/>
      <c r="AG75" s="34"/>
    </row>
    <row r="76" spans="4:33">
      <c r="D76" s="85"/>
      <c r="AD76" s="34"/>
      <c r="AE76" s="34"/>
      <c r="AF76" s="34"/>
      <c r="AG76" s="34"/>
    </row>
    <row r="77" spans="4:33">
      <c r="D77" s="85"/>
      <c r="AD77" s="34"/>
      <c r="AE77" s="34"/>
      <c r="AF77" s="34"/>
      <c r="AG77" s="34"/>
    </row>
    <row r="78" spans="4:33">
      <c r="D78" s="85"/>
      <c r="AD78" s="34"/>
      <c r="AE78" s="34"/>
      <c r="AF78" s="34"/>
      <c r="AG78" s="34"/>
    </row>
    <row r="79" spans="4:33">
      <c r="D79" s="85"/>
      <c r="AD79" s="34"/>
      <c r="AE79" s="34"/>
      <c r="AF79" s="34"/>
      <c r="AG79" s="34"/>
    </row>
    <row r="80" spans="4:33">
      <c r="D80" s="85"/>
      <c r="AD80" s="34"/>
      <c r="AE80" s="34"/>
      <c r="AF80" s="34"/>
      <c r="AG80" s="34"/>
    </row>
    <row r="81" spans="4:33">
      <c r="D81" s="85"/>
      <c r="AD81" s="34"/>
      <c r="AE81" s="34"/>
      <c r="AF81" s="34"/>
      <c r="AG81" s="34"/>
    </row>
    <row r="82" spans="4:33">
      <c r="D82" s="85"/>
      <c r="AD82" s="34"/>
      <c r="AE82" s="34"/>
      <c r="AF82" s="34"/>
      <c r="AG82" s="34"/>
    </row>
    <row r="83" spans="4:33">
      <c r="D83" s="85"/>
      <c r="AD83" s="34"/>
      <c r="AE83" s="34"/>
      <c r="AF83" s="34"/>
      <c r="AG83" s="34"/>
    </row>
    <row r="84" spans="4:33">
      <c r="D84" s="85"/>
      <c r="AD84" s="34"/>
      <c r="AE84" s="34"/>
      <c r="AF84" s="34"/>
      <c r="AG84" s="34"/>
    </row>
    <row r="85" spans="4:33">
      <c r="D85" s="85"/>
      <c r="AD85" s="34"/>
      <c r="AE85" s="34"/>
      <c r="AF85" s="34"/>
      <c r="AG85" s="34"/>
    </row>
    <row r="86" spans="4:33">
      <c r="D86" s="85"/>
      <c r="AD86" s="34"/>
      <c r="AE86" s="34"/>
      <c r="AF86" s="34"/>
      <c r="AG86" s="34"/>
    </row>
    <row r="87" spans="4:33">
      <c r="D87" s="85"/>
      <c r="AD87" s="34"/>
      <c r="AE87" s="34"/>
      <c r="AF87" s="34"/>
      <c r="AG87" s="34"/>
    </row>
    <row r="88" spans="4:33">
      <c r="D88" s="85"/>
      <c r="AD88" s="34"/>
      <c r="AE88" s="34"/>
      <c r="AF88" s="34"/>
      <c r="AG88" s="34"/>
    </row>
    <row r="89" spans="4:33">
      <c r="D89" s="85"/>
      <c r="AD89" s="34"/>
      <c r="AE89" s="34"/>
      <c r="AF89" s="34"/>
      <c r="AG89" s="34"/>
    </row>
    <row r="90" spans="4:33">
      <c r="D90" s="85"/>
      <c r="AD90" s="34"/>
      <c r="AE90" s="34"/>
      <c r="AF90" s="34"/>
      <c r="AG90" s="34"/>
    </row>
    <row r="91" spans="4:33">
      <c r="D91" s="85"/>
      <c r="AD91" s="34"/>
      <c r="AE91" s="34"/>
      <c r="AF91" s="34"/>
      <c r="AG91" s="34"/>
    </row>
    <row r="92" spans="4:33">
      <c r="D92" s="85"/>
      <c r="AD92" s="34"/>
      <c r="AE92" s="34"/>
      <c r="AF92" s="34"/>
      <c r="AG92" s="34"/>
    </row>
    <row r="93" spans="4:33">
      <c r="D93" s="85"/>
      <c r="AD93" s="34"/>
      <c r="AE93" s="34"/>
      <c r="AF93" s="34"/>
      <c r="AG93" s="34"/>
    </row>
    <row r="94" spans="4:33">
      <c r="D94" s="85"/>
      <c r="AD94" s="34"/>
      <c r="AE94" s="34"/>
      <c r="AF94" s="34"/>
      <c r="AG94" s="34"/>
    </row>
    <row r="95" spans="4:33">
      <c r="D95" s="85"/>
      <c r="AD95" s="34"/>
      <c r="AE95" s="34"/>
      <c r="AF95" s="34"/>
      <c r="AG95" s="34"/>
    </row>
    <row r="96" spans="4:33">
      <c r="D96" s="85"/>
      <c r="AD96" s="34"/>
      <c r="AE96" s="34"/>
      <c r="AF96" s="34"/>
      <c r="AG96" s="34"/>
    </row>
    <row r="97" spans="4:33">
      <c r="D97" s="85"/>
      <c r="AD97" s="34"/>
      <c r="AE97" s="34"/>
      <c r="AF97" s="34"/>
      <c r="AG97" s="34"/>
    </row>
    <row r="98" spans="4:33">
      <c r="D98" s="85"/>
      <c r="AD98" s="34"/>
      <c r="AE98" s="34"/>
      <c r="AF98" s="34"/>
      <c r="AG98" s="34"/>
    </row>
    <row r="99" spans="4:33">
      <c r="D99" s="85"/>
      <c r="AD99" s="34"/>
      <c r="AE99" s="34"/>
      <c r="AF99" s="34"/>
      <c r="AG99" s="34"/>
    </row>
    <row r="100" spans="4:33">
      <c r="D100" s="85"/>
      <c r="AD100" s="34"/>
      <c r="AE100" s="34"/>
      <c r="AF100" s="34"/>
      <c r="AG100" s="34"/>
    </row>
    <row r="101" spans="4:33">
      <c r="D101" s="85"/>
      <c r="AD101" s="34"/>
      <c r="AE101" s="34"/>
      <c r="AF101" s="34"/>
      <c r="AG101" s="34"/>
    </row>
    <row r="102" spans="4:33">
      <c r="D102" s="85"/>
      <c r="AD102" s="34"/>
      <c r="AE102" s="34"/>
      <c r="AF102" s="34"/>
      <c r="AG102" s="34"/>
    </row>
    <row r="103" spans="4:33">
      <c r="D103" s="85"/>
      <c r="AD103" s="34"/>
      <c r="AE103" s="34"/>
      <c r="AF103" s="34"/>
      <c r="AG103" s="34"/>
    </row>
    <row r="104" spans="4:33">
      <c r="D104" s="85"/>
      <c r="AD104" s="34"/>
      <c r="AE104" s="34"/>
      <c r="AF104" s="34"/>
      <c r="AG104" s="34"/>
    </row>
    <row r="105" spans="4:33">
      <c r="D105" s="85"/>
      <c r="AD105" s="34"/>
      <c r="AE105" s="34"/>
      <c r="AF105" s="34"/>
      <c r="AG105" s="34"/>
    </row>
    <row r="106" spans="4:33">
      <c r="D106" s="85"/>
      <c r="AD106" s="34"/>
      <c r="AE106" s="34"/>
      <c r="AF106" s="34"/>
      <c r="AG106" s="34"/>
    </row>
    <row r="107" spans="4:33">
      <c r="D107" s="85"/>
      <c r="AD107" s="34"/>
      <c r="AE107" s="34"/>
      <c r="AF107" s="34"/>
      <c r="AG107" s="34"/>
    </row>
    <row r="108" spans="4:33">
      <c r="D108" s="85"/>
      <c r="AD108" s="34"/>
      <c r="AE108" s="34"/>
      <c r="AF108" s="34"/>
      <c r="AG108" s="34"/>
    </row>
    <row r="109" spans="4:33">
      <c r="D109" s="85"/>
      <c r="AD109" s="34"/>
      <c r="AE109" s="34"/>
      <c r="AF109" s="34"/>
      <c r="AG109" s="34"/>
    </row>
    <row r="110" spans="4:33">
      <c r="D110" s="85"/>
      <c r="AD110" s="34"/>
      <c r="AE110" s="34"/>
      <c r="AF110" s="34"/>
      <c r="AG110" s="34"/>
    </row>
    <row r="111" spans="4:33">
      <c r="D111" s="85"/>
      <c r="AD111" s="34"/>
      <c r="AE111" s="34"/>
      <c r="AF111" s="34"/>
      <c r="AG111" s="34"/>
    </row>
    <row r="112" spans="4:33">
      <c r="D112" s="85"/>
      <c r="AD112" s="34"/>
      <c r="AE112" s="34"/>
      <c r="AF112" s="34"/>
      <c r="AG112" s="34"/>
    </row>
    <row r="113" spans="4:33">
      <c r="D113" s="85"/>
      <c r="AD113" s="34"/>
      <c r="AE113" s="34"/>
      <c r="AF113" s="34"/>
      <c r="AG113" s="34"/>
    </row>
    <row r="114" spans="4:33">
      <c r="D114" s="85"/>
      <c r="AD114" s="34"/>
      <c r="AE114" s="34"/>
      <c r="AF114" s="34"/>
      <c r="AG114" s="34"/>
    </row>
    <row r="115" spans="4:33">
      <c r="D115" s="85"/>
      <c r="AD115" s="34"/>
      <c r="AE115" s="34"/>
      <c r="AF115" s="34"/>
      <c r="AG115" s="34"/>
    </row>
    <row r="116" spans="4:33">
      <c r="D116" s="85"/>
      <c r="AD116" s="34"/>
      <c r="AE116" s="34"/>
      <c r="AF116" s="34"/>
      <c r="AG116" s="34"/>
    </row>
    <row r="117" spans="4:33">
      <c r="D117" s="85"/>
      <c r="AD117" s="34"/>
      <c r="AE117" s="34"/>
      <c r="AF117" s="34"/>
      <c r="AG117" s="34"/>
    </row>
    <row r="118" spans="4:33">
      <c r="D118" s="85"/>
      <c r="AD118" s="34"/>
      <c r="AE118" s="34"/>
      <c r="AF118" s="34"/>
      <c r="AG118" s="34"/>
    </row>
    <row r="119" spans="4:33">
      <c r="D119" s="85"/>
      <c r="AD119" s="34"/>
      <c r="AE119" s="34"/>
      <c r="AF119" s="34"/>
      <c r="AG119" s="34"/>
    </row>
    <row r="120" spans="4:33">
      <c r="D120" s="85"/>
      <c r="AD120" s="34"/>
      <c r="AE120" s="34"/>
      <c r="AF120" s="34"/>
      <c r="AG120" s="34"/>
    </row>
    <row r="121" spans="4:33">
      <c r="D121" s="85"/>
      <c r="AD121" s="34"/>
      <c r="AE121" s="34"/>
      <c r="AF121" s="34"/>
      <c r="AG121" s="34"/>
    </row>
    <row r="122" spans="4:33">
      <c r="D122" s="85"/>
      <c r="AD122" s="34"/>
      <c r="AE122" s="34"/>
      <c r="AF122" s="34"/>
      <c r="AG122" s="34"/>
    </row>
    <row r="123" spans="4:33">
      <c r="D123" s="85"/>
      <c r="AD123" s="34"/>
      <c r="AE123" s="34"/>
      <c r="AF123" s="34"/>
      <c r="AG123" s="34"/>
    </row>
    <row r="124" spans="4:33">
      <c r="D124" s="85"/>
      <c r="AD124" s="34"/>
      <c r="AE124" s="34"/>
      <c r="AF124" s="34"/>
      <c r="AG124" s="34"/>
    </row>
    <row r="125" spans="4:33">
      <c r="D125" s="85"/>
      <c r="AD125" s="34"/>
      <c r="AE125" s="34"/>
      <c r="AF125" s="34"/>
      <c r="AG125" s="34"/>
    </row>
    <row r="126" spans="4:33">
      <c r="D126" s="85"/>
      <c r="AD126" s="34"/>
      <c r="AE126" s="34"/>
      <c r="AF126" s="34"/>
      <c r="AG126" s="34"/>
    </row>
    <row r="127" spans="4:33">
      <c r="D127" s="85"/>
      <c r="AD127" s="34"/>
      <c r="AE127" s="34"/>
      <c r="AF127" s="34"/>
      <c r="AG127" s="34"/>
    </row>
    <row r="128" spans="4:33">
      <c r="D128" s="85"/>
      <c r="AD128" s="34"/>
      <c r="AE128" s="34"/>
      <c r="AF128" s="34"/>
      <c r="AG128" s="34"/>
    </row>
    <row r="129" spans="4:33">
      <c r="D129" s="85"/>
      <c r="AD129" s="34"/>
      <c r="AE129" s="34"/>
      <c r="AF129" s="34"/>
      <c r="AG129" s="34"/>
    </row>
    <row r="130" spans="4:33">
      <c r="D130" s="85"/>
      <c r="AD130" s="34"/>
      <c r="AE130" s="34"/>
      <c r="AF130" s="34"/>
      <c r="AG130" s="34"/>
    </row>
    <row r="131" spans="4:33">
      <c r="D131" s="85"/>
      <c r="AD131" s="34"/>
      <c r="AE131" s="34"/>
      <c r="AF131" s="34"/>
      <c r="AG131" s="34"/>
    </row>
    <row r="132" spans="4:33">
      <c r="D132" s="85"/>
      <c r="AD132" s="34"/>
      <c r="AE132" s="34"/>
      <c r="AF132" s="34"/>
      <c r="AG132" s="34"/>
    </row>
    <row r="133" spans="4:33">
      <c r="D133" s="85"/>
      <c r="AD133" s="34"/>
      <c r="AE133" s="34"/>
      <c r="AF133" s="34"/>
      <c r="AG133" s="34"/>
    </row>
    <row r="134" spans="4:33">
      <c r="D134" s="85"/>
      <c r="AD134" s="34"/>
      <c r="AE134" s="34"/>
      <c r="AF134" s="34"/>
      <c r="AG134" s="34"/>
    </row>
    <row r="135" spans="4:33">
      <c r="D135" s="85"/>
      <c r="AD135" s="34"/>
      <c r="AE135" s="34"/>
      <c r="AF135" s="34"/>
      <c r="AG135" s="34"/>
    </row>
    <row r="136" spans="4:33">
      <c r="D136" s="85"/>
      <c r="AD136" s="34"/>
      <c r="AE136" s="34"/>
      <c r="AF136" s="34"/>
      <c r="AG136" s="34"/>
    </row>
    <row r="137" spans="4:33">
      <c r="D137" s="85"/>
      <c r="AD137" s="34"/>
      <c r="AE137" s="34"/>
      <c r="AF137" s="34"/>
      <c r="AG137" s="34"/>
    </row>
    <row r="138" spans="4:33">
      <c r="D138" s="85"/>
      <c r="AD138" s="34"/>
      <c r="AE138" s="34"/>
      <c r="AF138" s="34"/>
      <c r="AG138" s="34"/>
    </row>
    <row r="139" spans="4:33">
      <c r="D139" s="85"/>
      <c r="AD139" s="34"/>
      <c r="AE139" s="34"/>
      <c r="AF139" s="34"/>
      <c r="AG139" s="34"/>
    </row>
    <row r="140" spans="4:33">
      <c r="D140" s="85"/>
      <c r="AD140" s="34"/>
      <c r="AE140" s="34"/>
      <c r="AF140" s="34"/>
      <c r="AG140" s="34"/>
    </row>
    <row r="141" spans="4:33">
      <c r="D141" s="85"/>
      <c r="AD141" s="34"/>
      <c r="AE141" s="34"/>
      <c r="AF141" s="34"/>
      <c r="AG141" s="34"/>
    </row>
    <row r="142" spans="4:33">
      <c r="D142" s="85"/>
      <c r="AD142" s="34"/>
      <c r="AE142" s="34"/>
      <c r="AF142" s="34"/>
      <c r="AG142" s="34"/>
    </row>
    <row r="143" spans="4:33">
      <c r="D143" s="85"/>
      <c r="AD143" s="34"/>
      <c r="AE143" s="34"/>
      <c r="AF143" s="34"/>
      <c r="AG143" s="34"/>
    </row>
    <row r="144" spans="4:33">
      <c r="D144" s="85"/>
      <c r="AD144" s="34"/>
      <c r="AE144" s="34"/>
      <c r="AF144" s="34"/>
      <c r="AG144" s="34"/>
    </row>
    <row r="145" spans="4:33">
      <c r="D145" s="85"/>
      <c r="AD145" s="34"/>
      <c r="AE145" s="34"/>
      <c r="AF145" s="34"/>
      <c r="AG145" s="34"/>
    </row>
    <row r="146" spans="4:33">
      <c r="D146" s="85"/>
      <c r="AD146" s="34"/>
      <c r="AE146" s="34"/>
      <c r="AF146" s="34"/>
      <c r="AG146" s="34"/>
    </row>
    <row r="147" spans="4:33">
      <c r="D147" s="85"/>
      <c r="AD147" s="34"/>
      <c r="AE147" s="34"/>
      <c r="AF147" s="34"/>
      <c r="AG147" s="34"/>
    </row>
    <row r="148" spans="4:33">
      <c r="D148" s="85"/>
      <c r="AD148" s="34"/>
      <c r="AE148" s="34"/>
      <c r="AF148" s="34"/>
      <c r="AG148" s="34"/>
    </row>
    <row r="149" spans="4:33">
      <c r="D149" s="85"/>
      <c r="AD149" s="34"/>
      <c r="AE149" s="34"/>
      <c r="AF149" s="34"/>
      <c r="AG149" s="34"/>
    </row>
    <row r="150" spans="4:33">
      <c r="D150" s="85"/>
      <c r="AD150" s="34"/>
      <c r="AE150" s="34"/>
      <c r="AF150" s="34"/>
      <c r="AG150" s="34"/>
    </row>
    <row r="151" spans="4:33">
      <c r="D151" s="85"/>
      <c r="AD151" s="34"/>
      <c r="AE151" s="34"/>
      <c r="AF151" s="34"/>
      <c r="AG151" s="34"/>
    </row>
    <row r="152" spans="4:33">
      <c r="D152" s="85"/>
      <c r="AD152" s="34"/>
      <c r="AE152" s="34"/>
      <c r="AF152" s="34"/>
      <c r="AG152" s="34"/>
    </row>
    <row r="153" spans="4:33">
      <c r="D153" s="85"/>
      <c r="AD153" s="34"/>
      <c r="AE153" s="34"/>
      <c r="AF153" s="34"/>
      <c r="AG153" s="34"/>
    </row>
    <row r="154" spans="4:33">
      <c r="D154" s="85"/>
      <c r="AD154" s="34"/>
      <c r="AE154" s="34"/>
      <c r="AF154" s="34"/>
      <c r="AG154" s="34"/>
    </row>
    <row r="155" spans="4:33">
      <c r="D155" s="85"/>
      <c r="AD155" s="34"/>
      <c r="AE155" s="34"/>
      <c r="AF155" s="34"/>
      <c r="AG155" s="34"/>
    </row>
    <row r="156" spans="4:33">
      <c r="D156" s="85"/>
      <c r="AD156" s="34"/>
      <c r="AE156" s="34"/>
      <c r="AF156" s="34"/>
      <c r="AG156" s="34"/>
    </row>
    <row r="157" spans="4:33">
      <c r="D157" s="85"/>
      <c r="AD157" s="34"/>
      <c r="AE157" s="34"/>
      <c r="AF157" s="34"/>
      <c r="AG157" s="34"/>
    </row>
    <row r="158" spans="4:33">
      <c r="D158" s="85"/>
      <c r="AD158" s="34"/>
      <c r="AE158" s="34"/>
      <c r="AF158" s="34"/>
      <c r="AG158" s="34"/>
    </row>
    <row r="159" spans="4:33">
      <c r="D159" s="85"/>
      <c r="AD159" s="34"/>
      <c r="AE159" s="34"/>
      <c r="AF159" s="34"/>
      <c r="AG159" s="34"/>
    </row>
    <row r="160" spans="4:33">
      <c r="D160" s="85"/>
      <c r="AD160" s="34"/>
      <c r="AE160" s="34"/>
      <c r="AF160" s="34"/>
      <c r="AG160" s="34"/>
    </row>
    <row r="161" spans="4:33">
      <c r="D161" s="85"/>
      <c r="AD161" s="34"/>
      <c r="AE161" s="34"/>
      <c r="AF161" s="34"/>
      <c r="AG161" s="34"/>
    </row>
    <row r="162" spans="4:33">
      <c r="D162" s="85"/>
      <c r="AD162" s="34"/>
      <c r="AE162" s="34"/>
      <c r="AF162" s="34"/>
      <c r="AG162" s="34"/>
    </row>
    <row r="163" spans="4:33">
      <c r="D163" s="85"/>
      <c r="AD163" s="34"/>
      <c r="AE163" s="34"/>
      <c r="AF163" s="34"/>
      <c r="AG163" s="34"/>
    </row>
    <row r="164" spans="4:33">
      <c r="D164" s="85"/>
      <c r="AD164" s="34"/>
      <c r="AE164" s="34"/>
      <c r="AF164" s="34"/>
      <c r="AG164" s="34"/>
    </row>
    <row r="165" spans="4:33">
      <c r="D165" s="85"/>
      <c r="AD165" s="34"/>
      <c r="AE165" s="34"/>
      <c r="AF165" s="34"/>
      <c r="AG165" s="34"/>
    </row>
    <row r="166" spans="4:33">
      <c r="D166" s="85"/>
      <c r="AD166" s="34"/>
      <c r="AE166" s="34"/>
      <c r="AF166" s="34"/>
      <c r="AG166" s="34"/>
    </row>
    <row r="167" spans="4:33">
      <c r="D167" s="85"/>
      <c r="AD167" s="34"/>
      <c r="AE167" s="34"/>
      <c r="AF167" s="34"/>
      <c r="AG167" s="34"/>
    </row>
    <row r="168" spans="4:33">
      <c r="D168" s="85"/>
      <c r="AD168" s="34"/>
      <c r="AE168" s="34"/>
      <c r="AF168" s="34"/>
      <c r="AG168" s="34"/>
    </row>
    <row r="169" spans="4:33">
      <c r="D169" s="85"/>
      <c r="AD169" s="34"/>
      <c r="AE169" s="34"/>
      <c r="AF169" s="34"/>
      <c r="AG169" s="34"/>
    </row>
    <row r="170" spans="4:33">
      <c r="D170" s="85"/>
      <c r="AD170" s="34"/>
      <c r="AE170" s="34"/>
      <c r="AF170" s="34"/>
      <c r="AG170" s="34"/>
    </row>
    <row r="171" spans="4:33">
      <c r="D171" s="85"/>
      <c r="AD171" s="34"/>
      <c r="AE171" s="34"/>
      <c r="AF171" s="34"/>
      <c r="AG171" s="34"/>
    </row>
    <row r="172" spans="4:33">
      <c r="D172" s="85"/>
      <c r="AD172" s="34"/>
      <c r="AE172" s="34"/>
      <c r="AF172" s="34"/>
      <c r="AG172" s="34"/>
    </row>
    <row r="173" spans="4:33">
      <c r="D173" s="85"/>
      <c r="AD173" s="34"/>
      <c r="AE173" s="34"/>
      <c r="AF173" s="34"/>
      <c r="AG173" s="34"/>
    </row>
    <row r="174" spans="4:33">
      <c r="D174" s="85"/>
      <c r="AD174" s="34"/>
      <c r="AE174" s="34"/>
      <c r="AF174" s="34"/>
      <c r="AG174" s="34"/>
    </row>
    <row r="175" spans="4:33">
      <c r="D175" s="85"/>
      <c r="AD175" s="34"/>
      <c r="AE175" s="34"/>
      <c r="AF175" s="34"/>
      <c r="AG175" s="34"/>
    </row>
    <row r="176" spans="4:33">
      <c r="D176" s="85"/>
      <c r="AD176" s="34"/>
      <c r="AE176" s="34"/>
      <c r="AF176" s="34"/>
      <c r="AG176" s="34"/>
    </row>
    <row r="177" spans="4:33">
      <c r="D177" s="85"/>
      <c r="AD177" s="34"/>
      <c r="AE177" s="34"/>
      <c r="AF177" s="34"/>
      <c r="AG177" s="34"/>
    </row>
    <row r="178" spans="4:33">
      <c r="D178" s="85"/>
      <c r="AD178" s="34"/>
      <c r="AE178" s="34"/>
      <c r="AF178" s="34"/>
      <c r="AG178" s="34"/>
    </row>
    <row r="179" spans="4:33">
      <c r="D179" s="85"/>
      <c r="AD179" s="34"/>
      <c r="AE179" s="34"/>
      <c r="AF179" s="34"/>
      <c r="AG179" s="34"/>
    </row>
    <row r="180" spans="4:33">
      <c r="D180" s="85"/>
      <c r="AD180" s="34"/>
      <c r="AE180" s="34"/>
      <c r="AF180" s="34"/>
      <c r="AG180" s="34"/>
    </row>
    <row r="181" spans="4:33">
      <c r="D181" s="85"/>
      <c r="AD181" s="34"/>
      <c r="AE181" s="34"/>
      <c r="AF181" s="34"/>
      <c r="AG181" s="34"/>
    </row>
    <row r="182" spans="4:33">
      <c r="D182" s="85"/>
      <c r="AD182" s="34"/>
      <c r="AE182" s="34"/>
      <c r="AF182" s="34"/>
      <c r="AG182" s="34"/>
    </row>
    <row r="183" spans="4:33">
      <c r="D183" s="85"/>
      <c r="AD183" s="34"/>
      <c r="AE183" s="34"/>
      <c r="AF183" s="34"/>
      <c r="AG183" s="34"/>
    </row>
    <row r="184" spans="4:33">
      <c r="D184" s="85"/>
      <c r="AD184" s="34"/>
      <c r="AE184" s="34"/>
      <c r="AF184" s="34"/>
      <c r="AG184" s="34"/>
    </row>
    <row r="185" spans="4:33">
      <c r="D185" s="85"/>
      <c r="AD185" s="34"/>
      <c r="AE185" s="34"/>
      <c r="AF185" s="34"/>
      <c r="AG185" s="34"/>
    </row>
    <row r="186" spans="4:33">
      <c r="D186" s="85"/>
      <c r="AD186" s="34"/>
      <c r="AE186" s="34"/>
      <c r="AF186" s="34"/>
      <c r="AG186" s="34"/>
    </row>
    <row r="187" spans="4:33">
      <c r="D187" s="85"/>
      <c r="AD187" s="34"/>
      <c r="AE187" s="34"/>
      <c r="AF187" s="34"/>
      <c r="AG187" s="34"/>
    </row>
    <row r="188" spans="4:33">
      <c r="D188" s="85"/>
      <c r="AD188" s="34"/>
      <c r="AE188" s="34"/>
      <c r="AF188" s="34"/>
      <c r="AG188" s="34"/>
    </row>
    <row r="189" spans="4:33">
      <c r="D189" s="85"/>
      <c r="AD189" s="34"/>
      <c r="AE189" s="34"/>
      <c r="AF189" s="34"/>
      <c r="AG189" s="34"/>
    </row>
    <row r="190" spans="4:33">
      <c r="D190" s="85"/>
      <c r="AD190" s="34"/>
      <c r="AE190" s="34"/>
      <c r="AF190" s="34"/>
      <c r="AG190" s="34"/>
    </row>
    <row r="191" spans="4:33">
      <c r="D191" s="85"/>
      <c r="AD191" s="34"/>
      <c r="AE191" s="34"/>
      <c r="AF191" s="34"/>
      <c r="AG191" s="34"/>
    </row>
    <row r="192" spans="4:33">
      <c r="D192" s="85"/>
      <c r="AD192" s="34"/>
      <c r="AE192" s="34"/>
      <c r="AF192" s="34"/>
      <c r="AG192" s="34"/>
    </row>
    <row r="193" spans="4:33">
      <c r="D193" s="85"/>
      <c r="AD193" s="34"/>
      <c r="AE193" s="34"/>
      <c r="AF193" s="34"/>
      <c r="AG193" s="34"/>
    </row>
    <row r="194" spans="4:33">
      <c r="D194" s="85"/>
      <c r="AD194" s="34"/>
      <c r="AE194" s="34"/>
      <c r="AF194" s="34"/>
      <c r="AG194" s="34"/>
    </row>
    <row r="195" spans="4:33">
      <c r="D195" s="85"/>
      <c r="AD195" s="34"/>
      <c r="AE195" s="34"/>
      <c r="AF195" s="34"/>
      <c r="AG195" s="34"/>
    </row>
    <row r="196" spans="4:33">
      <c r="D196" s="85"/>
      <c r="AD196" s="34"/>
      <c r="AE196" s="34"/>
      <c r="AF196" s="34"/>
      <c r="AG196" s="34"/>
    </row>
    <row r="197" spans="4:33">
      <c r="D197" s="85"/>
      <c r="AD197" s="34"/>
      <c r="AE197" s="34"/>
      <c r="AF197" s="34"/>
      <c r="AG197" s="34"/>
    </row>
    <row r="198" spans="4:33">
      <c r="D198" s="85"/>
      <c r="AD198" s="34"/>
      <c r="AE198" s="34"/>
      <c r="AF198" s="34"/>
      <c r="AG198" s="34"/>
    </row>
    <row r="199" spans="4:33">
      <c r="D199" s="85"/>
      <c r="AD199" s="34"/>
      <c r="AE199" s="34"/>
      <c r="AF199" s="34"/>
      <c r="AG199" s="34"/>
    </row>
    <row r="200" spans="4:33">
      <c r="D200" s="85"/>
      <c r="AD200" s="34"/>
      <c r="AE200" s="34"/>
      <c r="AF200" s="34"/>
      <c r="AG200" s="34"/>
    </row>
    <row r="201" spans="4:33">
      <c r="D201" s="85"/>
      <c r="AD201" s="34"/>
      <c r="AE201" s="34"/>
      <c r="AF201" s="34"/>
      <c r="AG201" s="34"/>
    </row>
    <row r="202" spans="4:33">
      <c r="D202" s="85"/>
      <c r="AD202" s="34"/>
      <c r="AE202" s="34"/>
      <c r="AF202" s="34"/>
      <c r="AG202" s="34"/>
    </row>
    <row r="203" spans="4:33">
      <c r="D203" s="85"/>
      <c r="AD203" s="34"/>
      <c r="AE203" s="34"/>
      <c r="AF203" s="34"/>
      <c r="AG203" s="34"/>
    </row>
    <row r="204" spans="4:33">
      <c r="D204" s="85"/>
      <c r="AD204" s="34"/>
      <c r="AE204" s="34"/>
      <c r="AF204" s="34"/>
      <c r="AG204" s="34"/>
    </row>
    <row r="205" spans="4:33">
      <c r="D205" s="85"/>
      <c r="AD205" s="34"/>
      <c r="AE205" s="34"/>
      <c r="AF205" s="34"/>
      <c r="AG205" s="34"/>
    </row>
    <row r="206" spans="4:33">
      <c r="D206" s="85"/>
      <c r="AD206" s="34"/>
      <c r="AE206" s="34"/>
      <c r="AF206" s="34"/>
      <c r="AG206" s="34"/>
    </row>
    <row r="207" spans="4:33">
      <c r="D207" s="85"/>
      <c r="AD207" s="34"/>
      <c r="AE207" s="34"/>
      <c r="AF207" s="34"/>
      <c r="AG207" s="34"/>
    </row>
    <row r="208" spans="4:33">
      <c r="D208" s="85"/>
      <c r="AD208" s="34"/>
      <c r="AE208" s="34"/>
      <c r="AF208" s="34"/>
      <c r="AG208" s="34"/>
    </row>
    <row r="209" spans="4:33">
      <c r="D209" s="85"/>
      <c r="AD209" s="34"/>
      <c r="AE209" s="34"/>
      <c r="AF209" s="34"/>
      <c r="AG209" s="34"/>
    </row>
    <row r="210" spans="4:33">
      <c r="D210" s="85"/>
      <c r="AD210" s="34"/>
      <c r="AE210" s="34"/>
      <c r="AF210" s="34"/>
      <c r="AG210" s="34"/>
    </row>
    <row r="211" spans="4:33">
      <c r="D211" s="85"/>
      <c r="AD211" s="34"/>
      <c r="AE211" s="34"/>
      <c r="AF211" s="34"/>
      <c r="AG211" s="34"/>
    </row>
    <row r="212" spans="4:33">
      <c r="D212" s="85"/>
      <c r="AD212" s="34"/>
      <c r="AE212" s="34"/>
      <c r="AF212" s="34"/>
      <c r="AG212" s="34"/>
    </row>
    <row r="213" spans="4:33">
      <c r="D213" s="85"/>
      <c r="AD213" s="34"/>
      <c r="AE213" s="34"/>
      <c r="AF213" s="34"/>
      <c r="AG213" s="34"/>
    </row>
    <row r="214" spans="4:33">
      <c r="D214" s="85"/>
      <c r="AD214" s="34"/>
      <c r="AE214" s="34"/>
      <c r="AF214" s="34"/>
      <c r="AG214" s="34"/>
    </row>
    <row r="215" spans="4:33">
      <c r="D215" s="85"/>
      <c r="AD215" s="34"/>
      <c r="AE215" s="34"/>
      <c r="AF215" s="34"/>
      <c r="AG215" s="34"/>
    </row>
    <row r="216" spans="4:33">
      <c r="D216" s="85"/>
      <c r="AD216" s="34"/>
      <c r="AE216" s="34"/>
      <c r="AF216" s="34"/>
      <c r="AG216" s="34"/>
    </row>
    <row r="217" spans="4:33">
      <c r="D217" s="85"/>
      <c r="AD217" s="34"/>
      <c r="AE217" s="34"/>
      <c r="AF217" s="34"/>
      <c r="AG217" s="34"/>
    </row>
    <row r="218" spans="4:33">
      <c r="D218" s="85"/>
      <c r="AD218" s="34"/>
      <c r="AE218" s="34"/>
      <c r="AF218" s="34"/>
      <c r="AG218" s="34"/>
    </row>
    <row r="219" spans="4:33">
      <c r="D219" s="85"/>
      <c r="AD219" s="34"/>
      <c r="AE219" s="34"/>
      <c r="AF219" s="34"/>
      <c r="AG219" s="34"/>
    </row>
    <row r="220" spans="4:33">
      <c r="D220" s="85"/>
      <c r="AD220" s="34"/>
      <c r="AE220" s="34"/>
      <c r="AF220" s="34"/>
      <c r="AG220" s="34"/>
    </row>
    <row r="221" spans="4:33">
      <c r="D221" s="85"/>
      <c r="AD221" s="34"/>
      <c r="AE221" s="34"/>
      <c r="AF221" s="34"/>
      <c r="AG221" s="34"/>
    </row>
    <row r="222" spans="4:33">
      <c r="D222" s="85"/>
      <c r="AD222" s="34"/>
      <c r="AE222" s="34"/>
      <c r="AF222" s="34"/>
      <c r="AG222" s="34"/>
    </row>
    <row r="223" spans="4:33">
      <c r="D223" s="85"/>
      <c r="AD223" s="34"/>
      <c r="AE223" s="34"/>
      <c r="AF223" s="34"/>
      <c r="AG223" s="34"/>
    </row>
    <row r="224" spans="4:33">
      <c r="D224" s="85"/>
      <c r="AD224" s="34"/>
      <c r="AE224" s="34"/>
      <c r="AF224" s="34"/>
      <c r="AG224" s="34"/>
    </row>
    <row r="225" spans="4:33">
      <c r="D225" s="85"/>
      <c r="AD225" s="34"/>
      <c r="AE225" s="34"/>
      <c r="AF225" s="34"/>
      <c r="AG225" s="34"/>
    </row>
    <row r="226" spans="4:33">
      <c r="D226" s="85"/>
      <c r="AD226" s="34"/>
      <c r="AE226" s="34"/>
      <c r="AF226" s="34"/>
      <c r="AG226" s="34"/>
    </row>
    <row r="227" spans="4:33">
      <c r="D227" s="85"/>
      <c r="AD227" s="34"/>
      <c r="AE227" s="34"/>
      <c r="AF227" s="34"/>
      <c r="AG227" s="34"/>
    </row>
    <row r="228" spans="4:33">
      <c r="D228" s="85"/>
      <c r="AD228" s="34"/>
      <c r="AE228" s="34"/>
      <c r="AF228" s="34"/>
      <c r="AG228" s="34"/>
    </row>
    <row r="229" spans="4:33">
      <c r="D229" s="85"/>
      <c r="AD229" s="34"/>
      <c r="AE229" s="34"/>
      <c r="AF229" s="34"/>
      <c r="AG229" s="34"/>
    </row>
    <row r="230" spans="4:33">
      <c r="D230" s="85"/>
      <c r="AD230" s="34"/>
      <c r="AE230" s="34"/>
      <c r="AF230" s="34"/>
      <c r="AG230" s="34"/>
    </row>
    <row r="231" spans="4:33">
      <c r="D231" s="85"/>
      <c r="AD231" s="34"/>
      <c r="AE231" s="34"/>
      <c r="AF231" s="34"/>
      <c r="AG231" s="34"/>
    </row>
    <row r="232" spans="4:33">
      <c r="D232" s="85"/>
      <c r="AD232" s="34"/>
      <c r="AE232" s="34"/>
      <c r="AF232" s="34"/>
      <c r="AG232" s="34"/>
    </row>
    <row r="233" spans="4:33">
      <c r="D233" s="85"/>
      <c r="AD233" s="34"/>
      <c r="AE233" s="34"/>
      <c r="AF233" s="34"/>
      <c r="AG233" s="34"/>
    </row>
    <row r="234" spans="4:33">
      <c r="D234" s="85"/>
      <c r="AD234" s="34"/>
      <c r="AE234" s="34"/>
      <c r="AF234" s="34"/>
      <c r="AG234" s="34"/>
    </row>
    <row r="235" spans="4:33">
      <c r="D235" s="85"/>
      <c r="AD235" s="34"/>
      <c r="AE235" s="34"/>
      <c r="AF235" s="34"/>
      <c r="AG235" s="34"/>
    </row>
    <row r="236" spans="4:33">
      <c r="D236" s="85"/>
      <c r="AD236" s="34"/>
      <c r="AE236" s="34"/>
      <c r="AF236" s="34"/>
      <c r="AG236" s="34"/>
    </row>
    <row r="237" spans="4:33">
      <c r="D237" s="85"/>
      <c r="AD237" s="34"/>
      <c r="AE237" s="34"/>
      <c r="AF237" s="34"/>
      <c r="AG237" s="34"/>
    </row>
    <row r="238" spans="4:33">
      <c r="D238" s="85"/>
      <c r="AD238" s="34"/>
      <c r="AE238" s="34"/>
      <c r="AF238" s="34"/>
      <c r="AG238" s="34"/>
    </row>
    <row r="239" spans="4:33">
      <c r="D239" s="85"/>
      <c r="AD239" s="34"/>
      <c r="AE239" s="34"/>
      <c r="AF239" s="34"/>
      <c r="AG239" s="34"/>
    </row>
    <row r="240" spans="4:33">
      <c r="D240" s="85"/>
      <c r="AD240" s="34"/>
      <c r="AE240" s="34"/>
      <c r="AF240" s="34"/>
      <c r="AG240" s="34"/>
    </row>
    <row r="241" spans="4:33">
      <c r="D241" s="85"/>
      <c r="AD241" s="34"/>
      <c r="AE241" s="34"/>
      <c r="AF241" s="34"/>
      <c r="AG241" s="34"/>
    </row>
    <row r="242" spans="4:33">
      <c r="D242" s="85"/>
      <c r="AD242" s="34"/>
      <c r="AE242" s="34"/>
      <c r="AF242" s="34"/>
      <c r="AG242" s="34"/>
    </row>
    <row r="243" spans="4:33">
      <c r="D243" s="85"/>
      <c r="AD243" s="34"/>
      <c r="AE243" s="34"/>
      <c r="AF243" s="34"/>
      <c r="AG243" s="34"/>
    </row>
    <row r="244" spans="4:33">
      <c r="D244" s="85"/>
      <c r="AD244" s="34"/>
      <c r="AE244" s="34"/>
      <c r="AF244" s="34"/>
      <c r="AG244" s="34"/>
    </row>
    <row r="245" spans="4:33">
      <c r="D245" s="85"/>
      <c r="AD245" s="34"/>
      <c r="AE245" s="34"/>
      <c r="AF245" s="34"/>
      <c r="AG245" s="34"/>
    </row>
    <row r="246" spans="4:33">
      <c r="D246" s="85"/>
      <c r="AD246" s="34"/>
      <c r="AE246" s="34"/>
      <c r="AF246" s="34"/>
      <c r="AG246" s="34"/>
    </row>
    <row r="247" spans="4:33">
      <c r="D247" s="85"/>
      <c r="AD247" s="34"/>
      <c r="AE247" s="34"/>
      <c r="AF247" s="34"/>
      <c r="AG247" s="34"/>
    </row>
    <row r="248" spans="4:33">
      <c r="D248" s="85"/>
      <c r="AD248" s="34"/>
      <c r="AE248" s="34"/>
      <c r="AF248" s="34"/>
      <c r="AG248" s="34"/>
    </row>
    <row r="249" spans="4:33">
      <c r="D249" s="85"/>
      <c r="AD249" s="34"/>
      <c r="AE249" s="34"/>
      <c r="AF249" s="34"/>
      <c r="AG249" s="34"/>
    </row>
    <row r="250" spans="4:33">
      <c r="D250" s="85"/>
      <c r="AD250" s="34"/>
      <c r="AE250" s="34"/>
      <c r="AF250" s="34"/>
      <c r="AG250" s="34"/>
    </row>
    <row r="251" spans="4:33">
      <c r="D251" s="85"/>
      <c r="AD251" s="34"/>
      <c r="AE251" s="34"/>
      <c r="AF251" s="34"/>
      <c r="AG251" s="34"/>
    </row>
    <row r="252" spans="4:33">
      <c r="D252" s="85"/>
      <c r="AD252" s="34"/>
      <c r="AE252" s="34"/>
      <c r="AF252" s="34"/>
      <c r="AG252" s="34"/>
    </row>
    <row r="253" spans="4:33">
      <c r="D253" s="85"/>
      <c r="AD253" s="34"/>
      <c r="AE253" s="34"/>
      <c r="AF253" s="34"/>
      <c r="AG253" s="34"/>
    </row>
    <row r="254" spans="4:33">
      <c r="D254" s="85"/>
      <c r="AD254" s="34"/>
      <c r="AE254" s="34"/>
      <c r="AF254" s="34"/>
      <c r="AG254" s="34"/>
    </row>
    <row r="255" spans="4:33">
      <c r="D255" s="85"/>
      <c r="AD255" s="34"/>
      <c r="AE255" s="34"/>
      <c r="AF255" s="34"/>
      <c r="AG255" s="34"/>
    </row>
    <row r="256" spans="4:33">
      <c r="D256" s="85"/>
      <c r="AD256" s="34"/>
      <c r="AE256" s="34"/>
      <c r="AF256" s="34"/>
      <c r="AG256" s="34"/>
    </row>
    <row r="257" spans="4:33">
      <c r="D257" s="85"/>
      <c r="AD257" s="34"/>
      <c r="AE257" s="34"/>
      <c r="AF257" s="34"/>
      <c r="AG257" s="34"/>
    </row>
    <row r="258" spans="4:33">
      <c r="D258" s="85"/>
      <c r="AD258" s="34"/>
      <c r="AE258" s="34"/>
      <c r="AF258" s="34"/>
      <c r="AG258" s="34"/>
    </row>
    <row r="259" spans="4:33">
      <c r="D259" s="85"/>
      <c r="AD259" s="34"/>
      <c r="AE259" s="34"/>
      <c r="AF259" s="34"/>
      <c r="AG259" s="34"/>
    </row>
    <row r="260" spans="4:33">
      <c r="D260" s="85"/>
      <c r="AD260" s="34"/>
      <c r="AE260" s="34"/>
      <c r="AF260" s="34"/>
      <c r="AG260" s="34"/>
    </row>
    <row r="261" spans="4:33">
      <c r="D261" s="85"/>
      <c r="AD261" s="34"/>
      <c r="AE261" s="34"/>
      <c r="AF261" s="34"/>
      <c r="AG261" s="34"/>
    </row>
    <row r="262" spans="4:33">
      <c r="D262" s="85"/>
      <c r="AD262" s="34"/>
      <c r="AE262" s="34"/>
      <c r="AF262" s="34"/>
      <c r="AG262" s="34"/>
    </row>
    <row r="263" spans="4:33">
      <c r="D263" s="85"/>
      <c r="AD263" s="34"/>
      <c r="AE263" s="34"/>
      <c r="AF263" s="34"/>
      <c r="AG263" s="34"/>
    </row>
    <row r="264" spans="4:33">
      <c r="D264" s="85"/>
      <c r="AD264" s="34"/>
      <c r="AE264" s="34"/>
      <c r="AF264" s="34"/>
      <c r="AG264" s="34"/>
    </row>
    <row r="265" spans="4:33">
      <c r="D265" s="85"/>
      <c r="AD265" s="34"/>
      <c r="AE265" s="34"/>
      <c r="AF265" s="34"/>
      <c r="AG265" s="34"/>
    </row>
    <row r="266" spans="4:33">
      <c r="D266" s="85"/>
      <c r="AD266" s="34"/>
      <c r="AE266" s="34"/>
      <c r="AF266" s="34"/>
      <c r="AG266" s="34"/>
    </row>
    <row r="267" spans="4:33">
      <c r="D267" s="85"/>
      <c r="AD267" s="34"/>
      <c r="AE267" s="34"/>
      <c r="AF267" s="34"/>
      <c r="AG267" s="34"/>
    </row>
    <row r="268" spans="4:33">
      <c r="D268" s="85"/>
      <c r="AD268" s="34"/>
      <c r="AE268" s="34"/>
      <c r="AF268" s="34"/>
      <c r="AG268" s="34"/>
    </row>
    <row r="269" spans="4:33">
      <c r="D269" s="85"/>
      <c r="AD269" s="34"/>
      <c r="AE269" s="34"/>
      <c r="AF269" s="34"/>
      <c r="AG269" s="34"/>
    </row>
    <row r="270" spans="4:33">
      <c r="D270" s="85"/>
      <c r="AD270" s="34"/>
      <c r="AE270" s="34"/>
      <c r="AF270" s="34"/>
      <c r="AG270" s="34"/>
    </row>
    <row r="271" spans="4:33">
      <c r="D271" s="85"/>
      <c r="AD271" s="34"/>
      <c r="AE271" s="34"/>
      <c r="AF271" s="34"/>
      <c r="AG271" s="34"/>
    </row>
    <row r="272" spans="4:33">
      <c r="D272" s="85"/>
      <c r="AD272" s="34"/>
      <c r="AE272" s="34"/>
      <c r="AF272" s="34"/>
      <c r="AG272" s="34"/>
    </row>
    <row r="273" spans="4:33">
      <c r="D273" s="85"/>
      <c r="AD273" s="34"/>
      <c r="AE273" s="34"/>
      <c r="AF273" s="34"/>
      <c r="AG273" s="34"/>
    </row>
    <row r="274" spans="4:33">
      <c r="D274" s="85"/>
      <c r="AD274" s="34"/>
      <c r="AE274" s="34"/>
      <c r="AF274" s="34"/>
      <c r="AG274" s="34"/>
    </row>
    <row r="275" spans="4:33">
      <c r="D275" s="85"/>
      <c r="AD275" s="34"/>
      <c r="AE275" s="34"/>
      <c r="AF275" s="34"/>
      <c r="AG275" s="34"/>
    </row>
    <row r="276" spans="4:33">
      <c r="D276" s="85"/>
      <c r="AD276" s="34"/>
      <c r="AE276" s="34"/>
      <c r="AF276" s="34"/>
      <c r="AG276" s="34"/>
    </row>
    <row r="277" spans="4:33">
      <c r="D277" s="85"/>
      <c r="AD277" s="34"/>
      <c r="AE277" s="34"/>
      <c r="AF277" s="34"/>
      <c r="AG277" s="34"/>
    </row>
    <row r="278" spans="4:33">
      <c r="D278" s="85"/>
      <c r="AD278" s="34"/>
      <c r="AE278" s="34"/>
      <c r="AF278" s="34"/>
      <c r="AG278" s="34"/>
    </row>
    <row r="279" spans="4:33">
      <c r="D279" s="85"/>
      <c r="AD279" s="34"/>
      <c r="AE279" s="34"/>
      <c r="AF279" s="34"/>
      <c r="AG279" s="34"/>
    </row>
    <row r="280" spans="4:33">
      <c r="D280" s="85"/>
      <c r="AD280" s="34"/>
      <c r="AE280" s="34"/>
      <c r="AF280" s="34"/>
      <c r="AG280" s="34"/>
    </row>
    <row r="281" spans="4:33">
      <c r="D281" s="85"/>
      <c r="AD281" s="34"/>
      <c r="AE281" s="34"/>
      <c r="AF281" s="34"/>
      <c r="AG281" s="34"/>
    </row>
    <row r="282" spans="4:33">
      <c r="D282" s="85"/>
      <c r="AD282" s="34"/>
      <c r="AE282" s="34"/>
      <c r="AF282" s="34"/>
      <c r="AG282" s="34"/>
    </row>
    <row r="283" spans="4:33">
      <c r="D283" s="85"/>
      <c r="AD283" s="34"/>
      <c r="AE283" s="34"/>
      <c r="AF283" s="34"/>
      <c r="AG283" s="34"/>
    </row>
    <row r="284" spans="4:33">
      <c r="D284" s="85"/>
      <c r="AD284" s="34"/>
      <c r="AE284" s="34"/>
      <c r="AF284" s="34"/>
      <c r="AG284" s="34"/>
    </row>
    <row r="285" spans="4:33">
      <c r="D285" s="85"/>
      <c r="AD285" s="34"/>
      <c r="AE285" s="34"/>
      <c r="AF285" s="34"/>
      <c r="AG285" s="34"/>
    </row>
    <row r="286" spans="4:33">
      <c r="D286" s="85"/>
      <c r="AD286" s="34"/>
      <c r="AE286" s="34"/>
      <c r="AF286" s="34"/>
      <c r="AG286" s="34"/>
    </row>
    <row r="287" spans="4:33">
      <c r="D287" s="85"/>
      <c r="AD287" s="34"/>
      <c r="AE287" s="34"/>
      <c r="AF287" s="34"/>
      <c r="AG287" s="34"/>
    </row>
    <row r="288" spans="4:33">
      <c r="D288" s="85"/>
      <c r="AD288" s="34"/>
      <c r="AE288" s="34"/>
      <c r="AF288" s="34"/>
      <c r="AG288" s="34"/>
    </row>
    <row r="289" spans="4:33">
      <c r="D289" s="85"/>
      <c r="AD289" s="34"/>
      <c r="AE289" s="34"/>
      <c r="AF289" s="34"/>
      <c r="AG289" s="34"/>
    </row>
    <row r="290" spans="4:33">
      <c r="D290" s="85"/>
      <c r="AD290" s="34"/>
      <c r="AE290" s="34"/>
      <c r="AF290" s="34"/>
      <c r="AG290" s="34"/>
    </row>
    <row r="291" spans="4:33">
      <c r="D291" s="85"/>
      <c r="AD291" s="34"/>
      <c r="AE291" s="34"/>
      <c r="AF291" s="34"/>
      <c r="AG291" s="34"/>
    </row>
    <row r="292" spans="4:33">
      <c r="D292" s="85"/>
      <c r="AD292" s="34"/>
      <c r="AE292" s="34"/>
      <c r="AF292" s="34"/>
      <c r="AG292" s="34"/>
    </row>
    <row r="293" spans="4:33">
      <c r="D293" s="85"/>
      <c r="AD293" s="34"/>
      <c r="AE293" s="34"/>
      <c r="AF293" s="34"/>
      <c r="AG293" s="34"/>
    </row>
    <row r="294" spans="4:33">
      <c r="D294" s="85"/>
      <c r="AD294" s="34"/>
      <c r="AE294" s="34"/>
      <c r="AF294" s="34"/>
      <c r="AG294" s="34"/>
    </row>
    <row r="295" spans="4:33">
      <c r="D295" s="85"/>
      <c r="AD295" s="34"/>
      <c r="AE295" s="34"/>
      <c r="AF295" s="34"/>
      <c r="AG295" s="34"/>
    </row>
    <row r="296" spans="4:33">
      <c r="D296" s="85"/>
      <c r="AD296" s="34"/>
      <c r="AE296" s="34"/>
      <c r="AF296" s="34"/>
      <c r="AG296" s="34"/>
    </row>
    <row r="297" spans="4:33">
      <c r="D297" s="85"/>
      <c r="AD297" s="34"/>
      <c r="AE297" s="34"/>
      <c r="AF297" s="34"/>
      <c r="AG297" s="34"/>
    </row>
    <row r="298" spans="4:33">
      <c r="D298" s="85"/>
      <c r="AD298" s="34"/>
      <c r="AE298" s="34"/>
      <c r="AF298" s="34"/>
      <c r="AG298" s="34"/>
    </row>
    <row r="299" spans="4:33">
      <c r="D299" s="85"/>
      <c r="AD299" s="34"/>
      <c r="AE299" s="34"/>
      <c r="AF299" s="34"/>
      <c r="AG299" s="34"/>
    </row>
    <row r="300" spans="4:33">
      <c r="D300" s="85"/>
      <c r="AD300" s="34"/>
      <c r="AE300" s="34"/>
      <c r="AF300" s="34"/>
      <c r="AG300" s="34"/>
    </row>
    <row r="301" spans="4:33">
      <c r="D301" s="85"/>
      <c r="AD301" s="34"/>
      <c r="AE301" s="34"/>
      <c r="AF301" s="34"/>
      <c r="AG301" s="34"/>
    </row>
    <row r="302" spans="4:33">
      <c r="D302" s="85"/>
      <c r="AD302" s="34"/>
      <c r="AE302" s="34"/>
      <c r="AF302" s="34"/>
      <c r="AG302" s="34"/>
    </row>
    <row r="303" spans="4:33">
      <c r="D303" s="85"/>
      <c r="AD303" s="34"/>
      <c r="AE303" s="34"/>
      <c r="AF303" s="34"/>
      <c r="AG303" s="34"/>
    </row>
    <row r="304" spans="4:33">
      <c r="D304" s="85"/>
      <c r="AD304" s="34"/>
      <c r="AE304" s="34"/>
      <c r="AF304" s="34"/>
      <c r="AG304" s="34"/>
    </row>
    <row r="305" spans="4:33">
      <c r="D305" s="85"/>
      <c r="AD305" s="34"/>
      <c r="AE305" s="34"/>
      <c r="AF305" s="34"/>
      <c r="AG305" s="34"/>
    </row>
    <row r="306" spans="4:33">
      <c r="D306" s="85"/>
      <c r="AD306" s="34"/>
      <c r="AE306" s="34"/>
      <c r="AF306" s="34"/>
      <c r="AG306" s="34"/>
    </row>
    <row r="307" spans="4:33">
      <c r="D307" s="85"/>
      <c r="AD307" s="34"/>
      <c r="AE307" s="34"/>
      <c r="AF307" s="34"/>
      <c r="AG307" s="34"/>
    </row>
    <row r="308" spans="4:33">
      <c r="D308" s="85"/>
      <c r="AD308" s="34"/>
      <c r="AE308" s="34"/>
      <c r="AF308" s="34"/>
      <c r="AG308" s="34"/>
    </row>
    <row r="309" spans="4:33">
      <c r="D309" s="85"/>
      <c r="AD309" s="34"/>
      <c r="AE309" s="34"/>
      <c r="AF309" s="34"/>
      <c r="AG309" s="34"/>
    </row>
    <row r="310" spans="4:33">
      <c r="D310" s="85"/>
      <c r="AD310" s="34"/>
      <c r="AE310" s="34"/>
      <c r="AF310" s="34"/>
      <c r="AG310" s="34"/>
    </row>
    <row r="311" spans="4:33">
      <c r="D311" s="85"/>
      <c r="AD311" s="34"/>
      <c r="AE311" s="34"/>
      <c r="AF311" s="34"/>
      <c r="AG311" s="34"/>
    </row>
    <row r="312" spans="4:33">
      <c r="D312" s="85"/>
      <c r="AD312" s="34"/>
      <c r="AE312" s="34"/>
      <c r="AF312" s="34"/>
      <c r="AG312" s="34"/>
    </row>
    <row r="313" spans="4:33">
      <c r="D313" s="85"/>
      <c r="AD313" s="34"/>
      <c r="AE313" s="34"/>
      <c r="AF313" s="34"/>
      <c r="AG313" s="34"/>
    </row>
    <row r="314" spans="4:33">
      <c r="D314" s="85"/>
      <c r="AD314" s="34"/>
      <c r="AE314" s="34"/>
      <c r="AF314" s="34"/>
      <c r="AG314" s="34"/>
    </row>
    <row r="315" spans="4:33">
      <c r="D315" s="85"/>
      <c r="AD315" s="34"/>
      <c r="AE315" s="34"/>
      <c r="AF315" s="34"/>
      <c r="AG315" s="34"/>
    </row>
    <row r="316" spans="4:33">
      <c r="D316" s="85"/>
      <c r="AD316" s="34"/>
      <c r="AE316" s="34"/>
      <c r="AF316" s="34"/>
      <c r="AG316" s="34"/>
    </row>
    <row r="317" spans="4:33">
      <c r="D317" s="85"/>
      <c r="AD317" s="34"/>
      <c r="AE317" s="34"/>
      <c r="AF317" s="34"/>
      <c r="AG317" s="34"/>
    </row>
    <row r="318" spans="4:33">
      <c r="D318" s="85"/>
      <c r="AD318" s="34"/>
      <c r="AE318" s="34"/>
      <c r="AF318" s="34"/>
      <c r="AG318" s="34"/>
    </row>
    <row r="319" spans="4:33">
      <c r="D319" s="85"/>
      <c r="AD319" s="34"/>
      <c r="AE319" s="34"/>
      <c r="AF319" s="34"/>
      <c r="AG319" s="34"/>
    </row>
    <row r="320" spans="4:33">
      <c r="D320" s="85"/>
      <c r="AD320" s="34"/>
      <c r="AE320" s="34"/>
      <c r="AF320" s="34"/>
      <c r="AG320" s="34"/>
    </row>
    <row r="321" spans="4:33">
      <c r="D321" s="85"/>
      <c r="AD321" s="34"/>
      <c r="AE321" s="34"/>
      <c r="AF321" s="34"/>
      <c r="AG321" s="34"/>
    </row>
    <row r="322" spans="4:33">
      <c r="D322" s="85"/>
      <c r="AD322" s="34"/>
      <c r="AE322" s="34"/>
      <c r="AF322" s="34"/>
      <c r="AG322" s="34"/>
    </row>
    <row r="323" spans="4:33">
      <c r="D323" s="85"/>
      <c r="AD323" s="34"/>
      <c r="AE323" s="34"/>
      <c r="AF323" s="34"/>
      <c r="AG323" s="34"/>
    </row>
    <row r="324" spans="4:33">
      <c r="D324" s="85"/>
      <c r="AD324" s="34"/>
      <c r="AE324" s="34"/>
      <c r="AF324" s="34"/>
      <c r="AG324" s="34"/>
    </row>
    <row r="325" spans="4:33">
      <c r="D325" s="85"/>
      <c r="AD325" s="34"/>
      <c r="AE325" s="34"/>
      <c r="AF325" s="34"/>
      <c r="AG325" s="34"/>
    </row>
    <row r="326" spans="4:33">
      <c r="D326" s="85"/>
      <c r="AD326" s="34"/>
      <c r="AE326" s="34"/>
      <c r="AF326" s="34"/>
      <c r="AG326" s="34"/>
    </row>
    <row r="327" spans="4:33">
      <c r="D327" s="85"/>
      <c r="AD327" s="34"/>
      <c r="AE327" s="34"/>
      <c r="AF327" s="34"/>
      <c r="AG327" s="34"/>
    </row>
    <row r="328" spans="4:33">
      <c r="D328" s="85"/>
      <c r="AD328" s="34"/>
      <c r="AE328" s="34"/>
      <c r="AF328" s="34"/>
      <c r="AG328" s="34"/>
    </row>
    <row r="329" spans="4:33">
      <c r="D329" s="85"/>
      <c r="AD329" s="34"/>
      <c r="AE329" s="34"/>
      <c r="AF329" s="34"/>
      <c r="AG329" s="34"/>
    </row>
    <row r="330" spans="4:33">
      <c r="D330" s="85"/>
      <c r="AD330" s="34"/>
      <c r="AE330" s="34"/>
      <c r="AF330" s="34"/>
      <c r="AG330" s="34"/>
    </row>
    <row r="331" spans="4:33">
      <c r="D331" s="85"/>
      <c r="AD331" s="34"/>
      <c r="AE331" s="34"/>
      <c r="AF331" s="34"/>
      <c r="AG331" s="34"/>
    </row>
    <row r="332" spans="4:33">
      <c r="D332" s="85"/>
      <c r="AD332" s="34"/>
      <c r="AE332" s="34"/>
      <c r="AF332" s="34"/>
      <c r="AG332" s="34"/>
    </row>
    <row r="333" spans="4:33">
      <c r="D333" s="85"/>
      <c r="AD333" s="34"/>
      <c r="AE333" s="34"/>
      <c r="AF333" s="34"/>
      <c r="AG333" s="34"/>
    </row>
    <row r="334" spans="4:33">
      <c r="D334" s="85"/>
      <c r="AD334" s="34"/>
      <c r="AE334" s="34"/>
      <c r="AF334" s="34"/>
      <c r="AG334" s="34"/>
    </row>
    <row r="335" spans="4:33">
      <c r="D335" s="85"/>
      <c r="AD335" s="34"/>
      <c r="AE335" s="34"/>
      <c r="AF335" s="34"/>
      <c r="AG335" s="34"/>
    </row>
    <row r="336" spans="4:33">
      <c r="D336" s="85"/>
      <c r="AD336" s="34"/>
      <c r="AE336" s="34"/>
      <c r="AF336" s="34"/>
      <c r="AG336" s="34"/>
    </row>
    <row r="337" spans="4:33">
      <c r="D337" s="85"/>
      <c r="AD337" s="34"/>
      <c r="AE337" s="34"/>
      <c r="AF337" s="34"/>
      <c r="AG337" s="34"/>
    </row>
    <row r="338" spans="4:33">
      <c r="D338" s="85"/>
      <c r="AD338" s="34"/>
      <c r="AE338" s="34"/>
      <c r="AF338" s="34"/>
      <c r="AG338" s="34"/>
    </row>
    <row r="339" spans="4:33">
      <c r="D339" s="85"/>
      <c r="AD339" s="34"/>
      <c r="AE339" s="34"/>
      <c r="AF339" s="34"/>
      <c r="AG339" s="34"/>
    </row>
    <row r="340" spans="4:33">
      <c r="D340" s="85"/>
      <c r="AD340" s="34"/>
      <c r="AE340" s="34"/>
      <c r="AF340" s="34"/>
      <c r="AG340" s="34"/>
    </row>
    <row r="341" spans="4:33">
      <c r="D341" s="85"/>
      <c r="AD341" s="34"/>
      <c r="AE341" s="34"/>
      <c r="AF341" s="34"/>
      <c r="AG341" s="34"/>
    </row>
    <row r="342" spans="4:33">
      <c r="D342" s="85"/>
      <c r="AD342" s="34"/>
      <c r="AE342" s="34"/>
      <c r="AF342" s="34"/>
      <c r="AG342" s="34"/>
    </row>
    <row r="343" spans="4:33">
      <c r="D343" s="85"/>
      <c r="AD343" s="34"/>
      <c r="AE343" s="34"/>
      <c r="AF343" s="34"/>
      <c r="AG343" s="34"/>
    </row>
    <row r="344" spans="4:33">
      <c r="D344" s="85"/>
      <c r="AD344" s="34"/>
      <c r="AE344" s="34"/>
      <c r="AF344" s="34"/>
      <c r="AG344" s="34"/>
    </row>
    <row r="345" spans="4:33">
      <c r="D345" s="85"/>
      <c r="AD345" s="34"/>
      <c r="AE345" s="34"/>
      <c r="AF345" s="34"/>
      <c r="AG345" s="34"/>
    </row>
    <row r="346" spans="4:33">
      <c r="D346" s="85"/>
      <c r="AD346" s="34"/>
      <c r="AE346" s="34"/>
      <c r="AF346" s="34"/>
      <c r="AG346" s="34"/>
    </row>
    <row r="347" spans="4:33">
      <c r="D347" s="85"/>
      <c r="AD347" s="34"/>
      <c r="AE347" s="34"/>
      <c r="AF347" s="34"/>
      <c r="AG347" s="34"/>
    </row>
    <row r="348" spans="4:33">
      <c r="D348" s="85"/>
      <c r="AD348" s="34"/>
      <c r="AE348" s="34"/>
      <c r="AF348" s="34"/>
      <c r="AG348" s="34"/>
    </row>
    <row r="349" spans="4:33">
      <c r="D349" s="85"/>
      <c r="AD349" s="34"/>
      <c r="AE349" s="34"/>
      <c r="AF349" s="34"/>
      <c r="AG349" s="34"/>
    </row>
    <row r="350" spans="4:33">
      <c r="D350" s="85"/>
      <c r="AD350" s="34"/>
      <c r="AE350" s="34"/>
      <c r="AF350" s="34"/>
      <c r="AG350" s="34"/>
    </row>
    <row r="351" spans="4:33">
      <c r="D351" s="85"/>
      <c r="AD351" s="34"/>
      <c r="AE351" s="34"/>
      <c r="AF351" s="34"/>
      <c r="AG351" s="34"/>
    </row>
    <row r="352" spans="4:33">
      <c r="D352" s="85"/>
      <c r="AD352" s="34"/>
      <c r="AE352" s="34"/>
      <c r="AF352" s="34"/>
      <c r="AG352" s="34"/>
    </row>
    <row r="353" spans="4:33">
      <c r="D353" s="85"/>
      <c r="AD353" s="34"/>
      <c r="AE353" s="34"/>
      <c r="AF353" s="34"/>
      <c r="AG353" s="34"/>
    </row>
    <row r="354" spans="4:33">
      <c r="D354" s="85"/>
      <c r="AD354" s="34"/>
      <c r="AE354" s="34"/>
      <c r="AF354" s="34"/>
      <c r="AG354" s="34"/>
    </row>
    <row r="355" spans="4:33">
      <c r="D355" s="85"/>
      <c r="AD355" s="34"/>
      <c r="AE355" s="34"/>
      <c r="AF355" s="34"/>
      <c r="AG355" s="34"/>
    </row>
    <row r="356" spans="4:33">
      <c r="D356" s="85"/>
      <c r="AD356" s="34"/>
      <c r="AE356" s="34"/>
      <c r="AF356" s="34"/>
      <c r="AG356" s="34"/>
    </row>
    <row r="357" spans="4:33">
      <c r="D357" s="85"/>
      <c r="AD357" s="34"/>
      <c r="AE357" s="34"/>
      <c r="AF357" s="34"/>
      <c r="AG357" s="34"/>
    </row>
    <row r="358" spans="4:33">
      <c r="D358" s="85"/>
      <c r="AD358" s="34"/>
      <c r="AE358" s="34"/>
      <c r="AF358" s="34"/>
      <c r="AG358" s="34"/>
    </row>
    <row r="359" spans="4:33">
      <c r="D359" s="85"/>
      <c r="AD359" s="34"/>
      <c r="AE359" s="34"/>
      <c r="AF359" s="34"/>
      <c r="AG359" s="34"/>
    </row>
    <row r="360" spans="4:33">
      <c r="D360" s="85"/>
      <c r="AD360" s="34"/>
      <c r="AE360" s="34"/>
      <c r="AF360" s="34"/>
      <c r="AG360" s="34"/>
    </row>
    <row r="361" spans="4:33">
      <c r="D361" s="85"/>
      <c r="AD361" s="34"/>
      <c r="AE361" s="34"/>
      <c r="AF361" s="34"/>
      <c r="AG361" s="34"/>
    </row>
    <row r="362" spans="4:33">
      <c r="D362" s="85"/>
      <c r="AD362" s="34"/>
      <c r="AE362" s="34"/>
      <c r="AF362" s="34"/>
      <c r="AG362" s="34"/>
    </row>
    <row r="363" spans="4:33">
      <c r="D363" s="85"/>
      <c r="AD363" s="34"/>
      <c r="AE363" s="34"/>
      <c r="AF363" s="34"/>
      <c r="AG363" s="34"/>
    </row>
    <row r="364" spans="4:33">
      <c r="D364" s="85"/>
      <c r="AD364" s="34"/>
      <c r="AE364" s="34"/>
      <c r="AF364" s="34"/>
      <c r="AG364" s="34"/>
    </row>
    <row r="365" spans="4:33">
      <c r="D365" s="85"/>
      <c r="AD365" s="34"/>
      <c r="AE365" s="34"/>
      <c r="AF365" s="34"/>
      <c r="AG365" s="34"/>
    </row>
    <row r="366" spans="4:33">
      <c r="D366" s="85"/>
      <c r="AD366" s="34"/>
      <c r="AE366" s="34"/>
      <c r="AF366" s="34"/>
      <c r="AG366" s="34"/>
    </row>
    <row r="367" spans="4:33">
      <c r="D367" s="85"/>
      <c r="AD367" s="34"/>
      <c r="AE367" s="34"/>
      <c r="AF367" s="34"/>
      <c r="AG367" s="34"/>
    </row>
    <row r="368" spans="4:33">
      <c r="D368" s="85"/>
      <c r="AD368" s="34"/>
      <c r="AE368" s="34"/>
      <c r="AF368" s="34"/>
      <c r="AG368" s="34"/>
    </row>
    <row r="369" spans="4:33">
      <c r="D369" s="85"/>
      <c r="AD369" s="34"/>
      <c r="AE369" s="34"/>
      <c r="AF369" s="34"/>
      <c r="AG369" s="34"/>
    </row>
    <row r="370" spans="4:33">
      <c r="D370" s="85"/>
      <c r="AD370" s="34"/>
      <c r="AE370" s="34"/>
      <c r="AF370" s="34"/>
      <c r="AG370" s="34"/>
    </row>
    <row r="371" spans="4:33">
      <c r="D371" s="85"/>
      <c r="AD371" s="34"/>
      <c r="AE371" s="34"/>
      <c r="AF371" s="34"/>
      <c r="AG371" s="34"/>
    </row>
    <row r="372" spans="4:33">
      <c r="D372" s="85"/>
      <c r="AD372" s="34"/>
      <c r="AE372" s="34"/>
      <c r="AF372" s="34"/>
      <c r="AG372" s="34"/>
    </row>
    <row r="373" spans="4:33">
      <c r="D373" s="85"/>
      <c r="AD373" s="34"/>
      <c r="AE373" s="34"/>
      <c r="AF373" s="34"/>
      <c r="AG373" s="34"/>
    </row>
    <row r="374" spans="4:33">
      <c r="D374" s="85"/>
      <c r="AD374" s="34"/>
      <c r="AE374" s="34"/>
      <c r="AF374" s="34"/>
      <c r="AG374" s="34"/>
    </row>
    <row r="375" spans="4:33">
      <c r="D375" s="85"/>
      <c r="AD375" s="34"/>
      <c r="AE375" s="34"/>
      <c r="AF375" s="34"/>
      <c r="AG375" s="34"/>
    </row>
    <row r="376" spans="4:33">
      <c r="D376" s="85"/>
      <c r="AD376" s="34"/>
      <c r="AE376" s="34"/>
      <c r="AF376" s="34"/>
      <c r="AG376" s="34"/>
    </row>
    <row r="377" spans="4:33">
      <c r="D377" s="85"/>
      <c r="AD377" s="34"/>
      <c r="AE377" s="34"/>
      <c r="AF377" s="34"/>
      <c r="AG377" s="34"/>
    </row>
    <row r="378" spans="4:33">
      <c r="D378" s="85"/>
      <c r="AD378" s="34"/>
      <c r="AE378" s="34"/>
      <c r="AF378" s="34"/>
      <c r="AG378" s="34"/>
    </row>
    <row r="379" spans="4:33">
      <c r="D379" s="85"/>
      <c r="AD379" s="34"/>
      <c r="AE379" s="34"/>
      <c r="AF379" s="34"/>
      <c r="AG379" s="34"/>
    </row>
    <row r="380" spans="4:33">
      <c r="D380" s="85"/>
      <c r="AD380" s="34"/>
      <c r="AE380" s="34"/>
      <c r="AF380" s="34"/>
      <c r="AG380" s="34"/>
    </row>
    <row r="381" spans="4:33">
      <c r="D381" s="85"/>
      <c r="AD381" s="34"/>
      <c r="AE381" s="34"/>
      <c r="AF381" s="34"/>
      <c r="AG381" s="34"/>
    </row>
    <row r="382" spans="4:33">
      <c r="D382" s="85"/>
      <c r="AD382" s="34"/>
      <c r="AE382" s="34"/>
      <c r="AF382" s="34"/>
      <c r="AG382" s="34"/>
    </row>
    <row r="383" spans="4:33">
      <c r="D383" s="85"/>
      <c r="AD383" s="34"/>
      <c r="AE383" s="34"/>
      <c r="AF383" s="34"/>
      <c r="AG383" s="34"/>
    </row>
    <row r="384" spans="4:33">
      <c r="D384" s="85"/>
      <c r="AD384" s="34"/>
      <c r="AE384" s="34"/>
      <c r="AF384" s="34"/>
      <c r="AG384" s="34"/>
    </row>
    <row r="385" spans="4:33">
      <c r="D385" s="85"/>
      <c r="AD385" s="34"/>
      <c r="AE385" s="34"/>
      <c r="AF385" s="34"/>
      <c r="AG385" s="34"/>
    </row>
    <row r="386" spans="4:33">
      <c r="D386" s="85"/>
      <c r="AD386" s="34"/>
      <c r="AE386" s="34"/>
      <c r="AF386" s="34"/>
      <c r="AG386" s="34"/>
    </row>
    <row r="387" spans="4:33">
      <c r="D387" s="85"/>
      <c r="AD387" s="34"/>
      <c r="AE387" s="34"/>
      <c r="AF387" s="34"/>
      <c r="AG387" s="34"/>
    </row>
    <row r="388" spans="4:33">
      <c r="D388" s="85"/>
      <c r="AD388" s="34"/>
      <c r="AE388" s="34"/>
      <c r="AF388" s="34"/>
      <c r="AG388" s="34"/>
    </row>
    <row r="389" spans="4:33">
      <c r="D389" s="85"/>
      <c r="AD389" s="34"/>
      <c r="AE389" s="34"/>
      <c r="AF389" s="34"/>
      <c r="AG389" s="34"/>
    </row>
    <row r="390" spans="4:33">
      <c r="D390" s="85"/>
      <c r="AD390" s="34"/>
      <c r="AE390" s="34"/>
      <c r="AF390" s="34"/>
      <c r="AG390" s="34"/>
    </row>
    <row r="391" spans="4:33">
      <c r="D391" s="85"/>
      <c r="AD391" s="34"/>
      <c r="AE391" s="34"/>
      <c r="AF391" s="34"/>
      <c r="AG391" s="34"/>
    </row>
    <row r="392" spans="4:33">
      <c r="D392" s="85"/>
      <c r="AD392" s="34"/>
      <c r="AE392" s="34"/>
      <c r="AF392" s="34"/>
      <c r="AG392" s="34"/>
    </row>
    <row r="393" spans="4:33">
      <c r="D393" s="85"/>
      <c r="AD393" s="34"/>
      <c r="AE393" s="34"/>
      <c r="AF393" s="34"/>
      <c r="AG393" s="34"/>
    </row>
    <row r="394" spans="4:33">
      <c r="D394" s="85"/>
      <c r="AD394" s="34"/>
      <c r="AE394" s="34"/>
      <c r="AF394" s="34"/>
      <c r="AG394" s="34"/>
    </row>
    <row r="395" spans="4:33">
      <c r="D395" s="85"/>
      <c r="AD395" s="34"/>
      <c r="AE395" s="34"/>
      <c r="AF395" s="34"/>
      <c r="AG395" s="34"/>
    </row>
    <row r="396" spans="4:33">
      <c r="D396" s="85"/>
      <c r="AD396" s="34"/>
      <c r="AE396" s="34"/>
      <c r="AF396" s="34"/>
      <c r="AG396" s="34"/>
    </row>
    <row r="397" spans="4:33">
      <c r="D397" s="85"/>
      <c r="AD397" s="34"/>
      <c r="AE397" s="34"/>
      <c r="AF397" s="34"/>
      <c r="AG397" s="34"/>
    </row>
    <row r="398" spans="4:33">
      <c r="D398" s="85"/>
      <c r="AD398" s="34"/>
      <c r="AE398" s="34"/>
      <c r="AF398" s="34"/>
      <c r="AG398" s="34"/>
    </row>
    <row r="399" spans="4:33">
      <c r="D399" s="85"/>
      <c r="AD399" s="34"/>
      <c r="AE399" s="34"/>
      <c r="AF399" s="34"/>
      <c r="AG399" s="34"/>
    </row>
    <row r="400" spans="4:33">
      <c r="D400" s="85"/>
      <c r="AD400" s="34"/>
      <c r="AE400" s="34"/>
      <c r="AF400" s="34"/>
      <c r="AG400" s="34"/>
    </row>
    <row r="401" spans="4:33">
      <c r="D401" s="85"/>
      <c r="AD401" s="34"/>
      <c r="AE401" s="34"/>
      <c r="AF401" s="34"/>
      <c r="AG401" s="34"/>
    </row>
    <row r="402" spans="4:33">
      <c r="D402" s="85"/>
      <c r="AD402" s="34"/>
      <c r="AE402" s="34"/>
      <c r="AF402" s="34"/>
      <c r="AG402" s="34"/>
    </row>
    <row r="403" spans="4:33">
      <c r="D403" s="85"/>
      <c r="AD403" s="34"/>
      <c r="AE403" s="34"/>
      <c r="AF403" s="34"/>
      <c r="AG403" s="34"/>
    </row>
    <row r="404" spans="4:33">
      <c r="D404" s="85"/>
      <c r="AD404" s="34"/>
      <c r="AE404" s="34"/>
      <c r="AF404" s="34"/>
      <c r="AG404" s="34"/>
    </row>
    <row r="405" spans="4:33">
      <c r="D405" s="85"/>
      <c r="AD405" s="34"/>
      <c r="AE405" s="34"/>
      <c r="AF405" s="34"/>
      <c r="AG405" s="34"/>
    </row>
    <row r="406" spans="4:33">
      <c r="D406" s="85"/>
      <c r="AD406" s="34"/>
      <c r="AE406" s="34"/>
      <c r="AF406" s="34"/>
      <c r="AG406" s="34"/>
    </row>
    <row r="407" spans="4:33">
      <c r="D407" s="85"/>
      <c r="AD407" s="34"/>
      <c r="AE407" s="34"/>
      <c r="AF407" s="34"/>
      <c r="AG407" s="34"/>
    </row>
    <row r="408" spans="4:33">
      <c r="D408" s="85"/>
      <c r="AD408" s="34"/>
      <c r="AE408" s="34"/>
      <c r="AF408" s="34"/>
      <c r="AG408" s="34"/>
    </row>
    <row r="409" spans="4:33">
      <c r="D409" s="85"/>
      <c r="AD409" s="34"/>
      <c r="AE409" s="34"/>
      <c r="AF409" s="34"/>
      <c r="AG409" s="34"/>
    </row>
    <row r="410" spans="4:33">
      <c r="D410" s="85"/>
      <c r="AD410" s="34"/>
      <c r="AE410" s="34"/>
      <c r="AF410" s="34"/>
      <c r="AG410" s="34"/>
    </row>
    <row r="411" spans="4:33">
      <c r="D411" s="85"/>
      <c r="AD411" s="34"/>
      <c r="AE411" s="34"/>
      <c r="AF411" s="34"/>
      <c r="AG411" s="34"/>
    </row>
    <row r="412" spans="4:33">
      <c r="D412" s="85"/>
      <c r="AD412" s="34"/>
      <c r="AE412" s="34"/>
      <c r="AF412" s="34"/>
      <c r="AG412" s="34"/>
    </row>
    <row r="413" spans="4:33">
      <c r="D413" s="85"/>
      <c r="AD413" s="34"/>
      <c r="AE413" s="34"/>
      <c r="AF413" s="34"/>
      <c r="AG413" s="34"/>
    </row>
    <row r="414" spans="4:33">
      <c r="D414" s="85"/>
      <c r="AD414" s="34"/>
      <c r="AE414" s="34"/>
      <c r="AF414" s="34"/>
      <c r="AG414" s="34"/>
    </row>
    <row r="415" spans="4:33">
      <c r="D415" s="85"/>
      <c r="AD415" s="34"/>
      <c r="AE415" s="34"/>
      <c r="AF415" s="34"/>
      <c r="AG415" s="34"/>
    </row>
    <row r="416" spans="4:33">
      <c r="D416" s="85"/>
      <c r="AD416" s="34"/>
      <c r="AE416" s="34"/>
      <c r="AF416" s="34"/>
      <c r="AG416" s="34"/>
    </row>
    <row r="417" spans="4:33">
      <c r="D417" s="85"/>
      <c r="AD417" s="34"/>
      <c r="AE417" s="34"/>
      <c r="AF417" s="34"/>
      <c r="AG417" s="34"/>
    </row>
    <row r="418" spans="4:33">
      <c r="D418" s="85"/>
      <c r="AD418" s="34"/>
      <c r="AE418" s="34"/>
      <c r="AF418" s="34"/>
      <c r="AG418" s="34"/>
    </row>
    <row r="419" spans="4:33">
      <c r="D419" s="85"/>
      <c r="AD419" s="34"/>
      <c r="AE419" s="34"/>
      <c r="AF419" s="34"/>
      <c r="AG419" s="34"/>
    </row>
    <row r="420" spans="4:33">
      <c r="D420" s="85"/>
      <c r="AD420" s="34"/>
      <c r="AE420" s="34"/>
      <c r="AF420" s="34"/>
      <c r="AG420" s="34"/>
    </row>
    <row r="421" spans="4:33">
      <c r="D421" s="85"/>
      <c r="AD421" s="34"/>
      <c r="AE421" s="34"/>
      <c r="AF421" s="34"/>
      <c r="AG421" s="34"/>
    </row>
    <row r="422" spans="4:33">
      <c r="D422" s="85"/>
      <c r="AD422" s="34"/>
      <c r="AE422" s="34"/>
      <c r="AF422" s="34"/>
      <c r="AG422" s="34"/>
    </row>
    <row r="423" spans="4:33">
      <c r="D423" s="85"/>
      <c r="AD423" s="34"/>
      <c r="AE423" s="34"/>
      <c r="AF423" s="34"/>
      <c r="AG423" s="34"/>
    </row>
    <row r="424" spans="4:33">
      <c r="D424" s="85"/>
      <c r="AD424" s="34"/>
      <c r="AE424" s="34"/>
      <c r="AF424" s="34"/>
      <c r="AG424" s="34"/>
    </row>
    <row r="425" spans="4:33">
      <c r="D425" s="85"/>
      <c r="AD425" s="34"/>
      <c r="AE425" s="34"/>
      <c r="AF425" s="34"/>
      <c r="AG425" s="34"/>
    </row>
    <row r="426" spans="4:33">
      <c r="D426" s="85"/>
      <c r="AD426" s="34"/>
      <c r="AE426" s="34"/>
      <c r="AF426" s="34"/>
      <c r="AG426" s="34"/>
    </row>
    <row r="427" spans="4:33">
      <c r="D427" s="85"/>
      <c r="AD427" s="34"/>
      <c r="AE427" s="34"/>
      <c r="AF427" s="34"/>
      <c r="AG427" s="34"/>
    </row>
    <row r="428" spans="4:33">
      <c r="D428" s="85"/>
      <c r="AD428" s="34"/>
      <c r="AE428" s="34"/>
      <c r="AF428" s="34"/>
      <c r="AG428" s="34"/>
    </row>
    <row r="429" spans="4:33">
      <c r="D429" s="85"/>
      <c r="AD429" s="34"/>
      <c r="AE429" s="34"/>
      <c r="AF429" s="34"/>
      <c r="AG429" s="34"/>
    </row>
    <row r="430" spans="4:33">
      <c r="D430" s="85"/>
      <c r="AD430" s="34"/>
      <c r="AE430" s="34"/>
      <c r="AF430" s="34"/>
      <c r="AG430" s="34"/>
    </row>
    <row r="431" spans="4:33">
      <c r="D431" s="85"/>
      <c r="AD431" s="34"/>
      <c r="AE431" s="34"/>
      <c r="AF431" s="34"/>
      <c r="AG431" s="34"/>
    </row>
    <row r="432" spans="4:33">
      <c r="D432" s="85"/>
      <c r="AD432" s="34"/>
      <c r="AE432" s="34"/>
      <c r="AF432" s="34"/>
      <c r="AG432" s="34"/>
    </row>
    <row r="433" spans="4:33">
      <c r="D433" s="85"/>
      <c r="AD433" s="34"/>
      <c r="AE433" s="34"/>
      <c r="AF433" s="34"/>
      <c r="AG433" s="34"/>
    </row>
    <row r="434" spans="4:33">
      <c r="D434" s="85"/>
      <c r="AD434" s="34"/>
      <c r="AE434" s="34"/>
      <c r="AF434" s="34"/>
      <c r="AG434" s="34"/>
    </row>
    <row r="435" spans="4:33">
      <c r="D435" s="85"/>
      <c r="AD435" s="34"/>
      <c r="AE435" s="34"/>
      <c r="AF435" s="34"/>
      <c r="AG435" s="34"/>
    </row>
    <row r="436" spans="4:33">
      <c r="D436" s="85"/>
      <c r="AD436" s="34"/>
      <c r="AE436" s="34"/>
      <c r="AF436" s="34"/>
      <c r="AG436" s="34"/>
    </row>
    <row r="437" spans="4:33">
      <c r="D437" s="85"/>
      <c r="AD437" s="34"/>
      <c r="AE437" s="34"/>
      <c r="AF437" s="34"/>
      <c r="AG437" s="34"/>
    </row>
    <row r="438" spans="4:33">
      <c r="D438" s="85"/>
      <c r="AD438" s="34"/>
      <c r="AE438" s="34"/>
      <c r="AF438" s="34"/>
      <c r="AG438" s="34"/>
    </row>
    <row r="439" spans="4:33">
      <c r="D439" s="85"/>
      <c r="AD439" s="34"/>
      <c r="AE439" s="34"/>
      <c r="AF439" s="34"/>
      <c r="AG439" s="34"/>
    </row>
    <row r="440" spans="4:33">
      <c r="D440" s="85"/>
      <c r="AD440" s="34"/>
      <c r="AE440" s="34"/>
      <c r="AF440" s="34"/>
      <c r="AG440" s="34"/>
    </row>
    <row r="441" spans="4:33">
      <c r="D441" s="85"/>
      <c r="AD441" s="34"/>
      <c r="AE441" s="34"/>
      <c r="AF441" s="34"/>
      <c r="AG441" s="34"/>
    </row>
    <row r="442" spans="4:33">
      <c r="D442" s="85"/>
      <c r="AD442" s="34"/>
      <c r="AE442" s="34"/>
      <c r="AF442" s="34"/>
      <c r="AG442" s="34"/>
    </row>
    <row r="443" spans="4:33">
      <c r="D443" s="85"/>
      <c r="AD443" s="34"/>
      <c r="AE443" s="34"/>
      <c r="AF443" s="34"/>
      <c r="AG443" s="34"/>
    </row>
    <row r="444" spans="4:33">
      <c r="D444" s="85"/>
      <c r="AD444" s="34"/>
      <c r="AE444" s="34"/>
      <c r="AF444" s="34"/>
      <c r="AG444" s="34"/>
    </row>
    <row r="445" spans="4:33">
      <c r="D445" s="85"/>
      <c r="AD445" s="34"/>
      <c r="AE445" s="34"/>
      <c r="AF445" s="34"/>
      <c r="AG445" s="34"/>
    </row>
    <row r="446" spans="4:33">
      <c r="D446" s="85"/>
      <c r="AD446" s="34"/>
      <c r="AE446" s="34"/>
      <c r="AF446" s="34"/>
      <c r="AG446" s="34"/>
    </row>
    <row r="447" spans="4:33">
      <c r="D447" s="85"/>
      <c r="AD447" s="34"/>
      <c r="AE447" s="34"/>
      <c r="AF447" s="34"/>
      <c r="AG447" s="34"/>
    </row>
    <row r="448" spans="4:33">
      <c r="D448" s="85"/>
      <c r="AD448" s="34"/>
      <c r="AE448" s="34"/>
      <c r="AF448" s="34"/>
      <c r="AG448" s="34"/>
    </row>
    <row r="449" spans="4:33">
      <c r="D449" s="85"/>
      <c r="AD449" s="34"/>
      <c r="AE449" s="34"/>
      <c r="AF449" s="34"/>
      <c r="AG449" s="34"/>
    </row>
    <row r="450" spans="4:33">
      <c r="D450" s="85"/>
      <c r="AD450" s="34"/>
      <c r="AE450" s="34"/>
      <c r="AF450" s="34"/>
      <c r="AG450" s="34"/>
    </row>
    <row r="451" spans="4:33">
      <c r="D451" s="85"/>
      <c r="AD451" s="34"/>
      <c r="AE451" s="34"/>
      <c r="AF451" s="34"/>
      <c r="AG451" s="34"/>
    </row>
    <row r="452" spans="4:33">
      <c r="D452" s="85"/>
      <c r="AD452" s="34"/>
      <c r="AE452" s="34"/>
      <c r="AF452" s="34"/>
      <c r="AG452" s="34"/>
    </row>
    <row r="453" spans="4:33">
      <c r="D453" s="85"/>
      <c r="AD453" s="34"/>
      <c r="AE453" s="34"/>
      <c r="AF453" s="34"/>
      <c r="AG453" s="34"/>
    </row>
    <row r="454" spans="4:33">
      <c r="D454" s="85"/>
      <c r="AD454" s="34"/>
      <c r="AE454" s="34"/>
      <c r="AF454" s="34"/>
      <c r="AG454" s="34"/>
    </row>
    <row r="455" spans="4:33">
      <c r="D455" s="85"/>
      <c r="AD455" s="34"/>
      <c r="AE455" s="34"/>
      <c r="AF455" s="34"/>
      <c r="AG455" s="34"/>
    </row>
    <row r="456" spans="4:33">
      <c r="D456" s="85"/>
      <c r="AD456" s="34"/>
      <c r="AE456" s="34"/>
      <c r="AF456" s="34"/>
      <c r="AG456" s="34"/>
    </row>
    <row r="457" spans="4:33">
      <c r="D457" s="85"/>
      <c r="AD457" s="34"/>
      <c r="AE457" s="34"/>
      <c r="AF457" s="34"/>
      <c r="AG457" s="34"/>
    </row>
    <row r="458" spans="4:33">
      <c r="D458" s="85"/>
      <c r="AD458" s="34"/>
      <c r="AE458" s="34"/>
      <c r="AF458" s="34"/>
      <c r="AG458" s="34"/>
    </row>
    <row r="459" spans="4:33">
      <c r="D459" s="85"/>
      <c r="AD459" s="34"/>
      <c r="AE459" s="34"/>
      <c r="AF459" s="34"/>
      <c r="AG459" s="34"/>
    </row>
    <row r="460" spans="4:33">
      <c r="D460" s="85"/>
      <c r="AD460" s="34"/>
      <c r="AE460" s="34"/>
      <c r="AF460" s="34"/>
      <c r="AG460" s="34"/>
    </row>
    <row r="461" spans="4:33">
      <c r="D461" s="85"/>
      <c r="AD461" s="34"/>
      <c r="AE461" s="34"/>
      <c r="AF461" s="34"/>
      <c r="AG461" s="34"/>
    </row>
    <row r="462" spans="4:33">
      <c r="D462" s="85"/>
      <c r="AD462" s="34"/>
      <c r="AE462" s="34"/>
      <c r="AF462" s="34"/>
      <c r="AG462" s="34"/>
    </row>
    <row r="463" spans="4:33">
      <c r="D463" s="85"/>
      <c r="AD463" s="34"/>
      <c r="AE463" s="34"/>
      <c r="AF463" s="34"/>
      <c r="AG463" s="34"/>
    </row>
    <row r="464" spans="4:33">
      <c r="D464" s="85"/>
      <c r="AD464" s="34"/>
      <c r="AE464" s="34"/>
      <c r="AF464" s="34"/>
      <c r="AG464" s="34"/>
    </row>
    <row r="465" spans="4:33">
      <c r="D465" s="85"/>
      <c r="AD465" s="34"/>
      <c r="AE465" s="34"/>
      <c r="AF465" s="34"/>
      <c r="AG465" s="34"/>
    </row>
    <row r="466" spans="4:33">
      <c r="D466" s="85"/>
      <c r="AD466" s="34"/>
      <c r="AE466" s="34"/>
      <c r="AF466" s="34"/>
      <c r="AG466" s="34"/>
    </row>
    <row r="467" spans="4:33">
      <c r="D467" s="85"/>
      <c r="AD467" s="34"/>
      <c r="AE467" s="34"/>
      <c r="AF467" s="34"/>
      <c r="AG467" s="34"/>
    </row>
    <row r="468" spans="4:33">
      <c r="D468" s="85"/>
      <c r="AD468" s="34"/>
      <c r="AE468" s="34"/>
      <c r="AF468" s="34"/>
      <c r="AG468" s="34"/>
    </row>
    <row r="469" spans="4:33">
      <c r="D469" s="85"/>
      <c r="AD469" s="34"/>
      <c r="AE469" s="34"/>
      <c r="AF469" s="34"/>
      <c r="AG469" s="34"/>
    </row>
    <row r="470" spans="4:33">
      <c r="D470" s="85"/>
      <c r="AD470" s="34"/>
      <c r="AE470" s="34"/>
      <c r="AF470" s="34"/>
      <c r="AG470" s="34"/>
    </row>
    <row r="471" spans="4:33">
      <c r="D471" s="85"/>
      <c r="AD471" s="34"/>
      <c r="AE471" s="34"/>
      <c r="AF471" s="34"/>
      <c r="AG471" s="34"/>
    </row>
    <row r="472" spans="4:33">
      <c r="D472" s="85"/>
      <c r="AD472" s="34"/>
      <c r="AE472" s="34"/>
      <c r="AF472" s="34"/>
      <c r="AG472" s="34"/>
    </row>
    <row r="473" spans="4:33">
      <c r="D473" s="85"/>
      <c r="AD473" s="34"/>
      <c r="AE473" s="34"/>
      <c r="AF473" s="34"/>
      <c r="AG473" s="34"/>
    </row>
    <row r="474" spans="4:33">
      <c r="D474" s="85"/>
      <c r="AD474" s="34"/>
      <c r="AE474" s="34"/>
      <c r="AF474" s="34"/>
      <c r="AG474" s="34"/>
    </row>
    <row r="475" spans="4:33">
      <c r="D475" s="85"/>
      <c r="AD475" s="34"/>
      <c r="AE475" s="34"/>
      <c r="AF475" s="34"/>
      <c r="AG475" s="34"/>
    </row>
    <row r="476" spans="4:33">
      <c r="D476" s="85"/>
      <c r="AD476" s="34"/>
      <c r="AE476" s="34"/>
      <c r="AF476" s="34"/>
      <c r="AG476" s="34"/>
    </row>
    <row r="477" spans="4:33">
      <c r="D477" s="85"/>
      <c r="AD477" s="34"/>
      <c r="AE477" s="34"/>
      <c r="AF477" s="34"/>
      <c r="AG477" s="34"/>
    </row>
    <row r="478" spans="4:33">
      <c r="D478" s="85"/>
      <c r="AD478" s="34"/>
      <c r="AE478" s="34"/>
      <c r="AF478" s="34"/>
      <c r="AG478" s="34"/>
    </row>
    <row r="479" spans="4:33">
      <c r="D479" s="85"/>
      <c r="AD479" s="34"/>
      <c r="AE479" s="34"/>
      <c r="AF479" s="34"/>
      <c r="AG479" s="34"/>
    </row>
    <row r="480" spans="4:33">
      <c r="D480" s="85"/>
      <c r="AD480" s="34"/>
      <c r="AE480" s="34"/>
      <c r="AF480" s="34"/>
      <c r="AG480" s="34"/>
    </row>
    <row r="481" spans="4:33">
      <c r="D481" s="85"/>
      <c r="AD481" s="34"/>
      <c r="AE481" s="34"/>
      <c r="AF481" s="34"/>
      <c r="AG481" s="34"/>
    </row>
    <row r="482" spans="4:33">
      <c r="D482" s="85"/>
      <c r="AD482" s="34"/>
      <c r="AE482" s="34"/>
      <c r="AF482" s="34"/>
      <c r="AG482" s="34"/>
    </row>
    <row r="483" spans="4:33">
      <c r="D483" s="85"/>
      <c r="AD483" s="34"/>
      <c r="AE483" s="34"/>
      <c r="AF483" s="34"/>
      <c r="AG483" s="34"/>
    </row>
    <row r="484" spans="4:33">
      <c r="D484" s="85"/>
      <c r="AD484" s="34"/>
      <c r="AE484" s="34"/>
      <c r="AF484" s="34"/>
      <c r="AG484" s="34"/>
    </row>
    <row r="485" spans="4:33">
      <c r="D485" s="85"/>
      <c r="AD485" s="34"/>
      <c r="AE485" s="34"/>
      <c r="AF485" s="34"/>
      <c r="AG485" s="34"/>
    </row>
    <row r="486" spans="4:33">
      <c r="D486" s="85"/>
      <c r="AD486" s="34"/>
      <c r="AE486" s="34"/>
      <c r="AF486" s="34"/>
      <c r="AG486" s="34"/>
    </row>
    <row r="487" spans="4:33">
      <c r="D487" s="85"/>
      <c r="AD487" s="34"/>
      <c r="AE487" s="34"/>
      <c r="AF487" s="34"/>
      <c r="AG487" s="34"/>
    </row>
    <row r="488" spans="4:33">
      <c r="D488" s="85"/>
      <c r="AD488" s="34"/>
      <c r="AE488" s="34"/>
      <c r="AF488" s="34"/>
      <c r="AG488" s="34"/>
    </row>
    <row r="489" spans="4:33">
      <c r="D489" s="85"/>
      <c r="AD489" s="34"/>
      <c r="AE489" s="34"/>
      <c r="AF489" s="34"/>
      <c r="AG489" s="34"/>
    </row>
    <row r="490" spans="4:33">
      <c r="D490" s="85"/>
      <c r="AD490" s="34"/>
      <c r="AE490" s="34"/>
      <c r="AF490" s="34"/>
      <c r="AG490" s="34"/>
    </row>
    <row r="491" spans="4:33">
      <c r="D491" s="85"/>
      <c r="AD491" s="34"/>
      <c r="AE491" s="34"/>
      <c r="AF491" s="34"/>
      <c r="AG491" s="34"/>
    </row>
    <row r="492" spans="4:33">
      <c r="D492" s="85"/>
      <c r="AD492" s="34"/>
      <c r="AE492" s="34"/>
      <c r="AF492" s="34"/>
      <c r="AG492" s="34"/>
    </row>
    <row r="493" spans="4:33">
      <c r="D493" s="85"/>
      <c r="AD493" s="34"/>
      <c r="AE493" s="34"/>
      <c r="AF493" s="34"/>
      <c r="AG493" s="34"/>
    </row>
    <row r="494" spans="4:33">
      <c r="D494" s="85"/>
      <c r="AD494" s="34"/>
      <c r="AE494" s="34"/>
      <c r="AF494" s="34"/>
      <c r="AG494" s="34"/>
    </row>
    <row r="495" spans="4:33">
      <c r="D495" s="85"/>
      <c r="AD495" s="34"/>
      <c r="AE495" s="34"/>
      <c r="AF495" s="34"/>
      <c r="AG495" s="34"/>
    </row>
    <row r="496" spans="4:33">
      <c r="D496" s="85"/>
      <c r="AD496" s="34"/>
      <c r="AE496" s="34"/>
      <c r="AF496" s="34"/>
      <c r="AG496" s="34"/>
    </row>
    <row r="497" spans="4:33">
      <c r="D497" s="85"/>
      <c r="AD497" s="34"/>
      <c r="AE497" s="34"/>
      <c r="AF497" s="34"/>
      <c r="AG497" s="34"/>
    </row>
    <row r="498" spans="4:33">
      <c r="D498" s="85"/>
      <c r="AD498" s="34"/>
      <c r="AE498" s="34"/>
      <c r="AF498" s="34"/>
      <c r="AG498" s="34"/>
    </row>
    <row r="499" spans="4:33">
      <c r="D499" s="85"/>
      <c r="AD499" s="34"/>
      <c r="AE499" s="34"/>
      <c r="AF499" s="34"/>
      <c r="AG499" s="34"/>
    </row>
    <row r="500" spans="4:33">
      <c r="D500" s="85"/>
      <c r="AD500" s="34"/>
      <c r="AE500" s="34"/>
      <c r="AF500" s="34"/>
      <c r="AG500" s="34"/>
    </row>
    <row r="501" spans="4:33">
      <c r="D501" s="85"/>
      <c r="AD501" s="34"/>
      <c r="AE501" s="34"/>
      <c r="AF501" s="34"/>
      <c r="AG501" s="34"/>
    </row>
    <row r="502" spans="4:33">
      <c r="D502" s="85"/>
      <c r="AD502" s="34"/>
      <c r="AE502" s="34"/>
      <c r="AF502" s="34"/>
      <c r="AG502" s="34"/>
    </row>
    <row r="503" spans="4:33">
      <c r="D503" s="85"/>
      <c r="AD503" s="34"/>
      <c r="AE503" s="34"/>
      <c r="AF503" s="34"/>
      <c r="AG503" s="34"/>
    </row>
    <row r="504" spans="4:33">
      <c r="D504" s="85"/>
      <c r="AD504" s="34"/>
      <c r="AE504" s="34"/>
      <c r="AF504" s="34"/>
      <c r="AG504" s="34"/>
    </row>
    <row r="505" spans="4:33">
      <c r="D505" s="85"/>
      <c r="AD505" s="34"/>
      <c r="AE505" s="34"/>
      <c r="AF505" s="34"/>
      <c r="AG505" s="34"/>
    </row>
    <row r="506" spans="4:33">
      <c r="D506" s="85"/>
      <c r="AD506" s="34"/>
      <c r="AE506" s="34"/>
      <c r="AF506" s="34"/>
      <c r="AG506" s="34"/>
    </row>
    <row r="507" spans="4:33">
      <c r="D507" s="85"/>
      <c r="AD507" s="34"/>
      <c r="AE507" s="34"/>
      <c r="AF507" s="34"/>
      <c r="AG507" s="34"/>
    </row>
    <row r="508" spans="4:33">
      <c r="D508" s="85"/>
      <c r="AD508" s="34"/>
      <c r="AE508" s="34"/>
      <c r="AF508" s="34"/>
      <c r="AG508" s="34"/>
    </row>
    <row r="509" spans="4:33">
      <c r="D509" s="85"/>
      <c r="AD509" s="34"/>
      <c r="AE509" s="34"/>
      <c r="AF509" s="34"/>
      <c r="AG509" s="34"/>
    </row>
    <row r="510" spans="4:33">
      <c r="D510" s="85"/>
      <c r="AD510" s="34"/>
      <c r="AE510" s="34"/>
      <c r="AF510" s="34"/>
      <c r="AG510" s="34"/>
    </row>
    <row r="511" spans="4:33">
      <c r="D511" s="85"/>
      <c r="AD511" s="34"/>
      <c r="AE511" s="34"/>
      <c r="AF511" s="34"/>
      <c r="AG511" s="34"/>
    </row>
    <row r="512" spans="4:33">
      <c r="D512" s="85"/>
      <c r="AD512" s="34"/>
      <c r="AE512" s="34"/>
      <c r="AF512" s="34"/>
      <c r="AG512" s="34"/>
    </row>
    <row r="513" spans="4:33">
      <c r="D513" s="85"/>
      <c r="AD513" s="34"/>
      <c r="AE513" s="34"/>
      <c r="AF513" s="34"/>
      <c r="AG513" s="34"/>
    </row>
    <row r="514" spans="4:33">
      <c r="D514" s="85"/>
      <c r="AD514" s="34"/>
      <c r="AE514" s="34"/>
      <c r="AF514" s="34"/>
      <c r="AG514" s="34"/>
    </row>
    <row r="515" spans="4:33">
      <c r="D515" s="85"/>
      <c r="AD515" s="34"/>
      <c r="AE515" s="34"/>
      <c r="AF515" s="34"/>
      <c r="AG515" s="34"/>
    </row>
    <row r="516" spans="4:33">
      <c r="D516" s="85"/>
      <c r="AD516" s="34"/>
      <c r="AE516" s="34"/>
      <c r="AF516" s="34"/>
      <c r="AG516" s="34"/>
    </row>
    <row r="517" spans="4:33">
      <c r="D517" s="85"/>
      <c r="AD517" s="34"/>
      <c r="AE517" s="34"/>
      <c r="AF517" s="34"/>
      <c r="AG517" s="34"/>
    </row>
    <row r="518" spans="4:33">
      <c r="D518" s="85"/>
      <c r="AD518" s="34"/>
      <c r="AE518" s="34"/>
      <c r="AF518" s="34"/>
      <c r="AG518" s="34"/>
    </row>
    <row r="519" spans="4:33">
      <c r="D519" s="85"/>
      <c r="AD519" s="34"/>
      <c r="AE519" s="34"/>
      <c r="AF519" s="34"/>
      <c r="AG519" s="34"/>
    </row>
    <row r="520" spans="4:33">
      <c r="D520" s="85"/>
      <c r="AD520" s="34"/>
      <c r="AE520" s="34"/>
      <c r="AF520" s="34"/>
      <c r="AG520" s="34"/>
    </row>
    <row r="521" spans="4:33">
      <c r="D521" s="85"/>
      <c r="AD521" s="34"/>
      <c r="AE521" s="34"/>
      <c r="AF521" s="34"/>
      <c r="AG521" s="34"/>
    </row>
    <row r="522" spans="4:33">
      <c r="D522" s="85"/>
      <c r="AD522" s="34"/>
      <c r="AE522" s="34"/>
      <c r="AF522" s="34"/>
      <c r="AG522" s="34"/>
    </row>
    <row r="523" spans="4:33">
      <c r="D523" s="85"/>
      <c r="AD523" s="34"/>
      <c r="AE523" s="34"/>
      <c r="AF523" s="34"/>
      <c r="AG523" s="34"/>
    </row>
    <row r="524" spans="4:33">
      <c r="D524" s="85"/>
      <c r="AD524" s="34"/>
      <c r="AE524" s="34"/>
      <c r="AF524" s="34"/>
      <c r="AG524" s="34"/>
    </row>
    <row r="525" spans="4:33">
      <c r="D525" s="85"/>
      <c r="AD525" s="34"/>
      <c r="AE525" s="34"/>
      <c r="AF525" s="34"/>
      <c r="AG525" s="34"/>
    </row>
    <row r="526" spans="4:33">
      <c r="D526" s="85"/>
      <c r="AD526" s="34"/>
      <c r="AE526" s="34"/>
      <c r="AF526" s="34"/>
      <c r="AG526" s="34"/>
    </row>
    <row r="527" spans="4:33">
      <c r="D527" s="85"/>
      <c r="AD527" s="34"/>
      <c r="AE527" s="34"/>
      <c r="AF527" s="34"/>
      <c r="AG527" s="34"/>
    </row>
    <row r="528" spans="4:33">
      <c r="D528" s="85"/>
      <c r="AD528" s="34"/>
      <c r="AE528" s="34"/>
      <c r="AF528" s="34"/>
      <c r="AG528" s="34"/>
    </row>
    <row r="529" spans="4:33">
      <c r="D529" s="85"/>
      <c r="AD529" s="34"/>
      <c r="AE529" s="34"/>
      <c r="AF529" s="34"/>
      <c r="AG529" s="34"/>
    </row>
    <row r="530" spans="4:33">
      <c r="D530" s="85"/>
      <c r="AD530" s="34"/>
      <c r="AE530" s="34"/>
      <c r="AF530" s="34"/>
      <c r="AG530" s="34"/>
    </row>
    <row r="531" spans="4:33">
      <c r="D531" s="85"/>
      <c r="AD531" s="34"/>
      <c r="AE531" s="34"/>
      <c r="AF531" s="34"/>
      <c r="AG531" s="34"/>
    </row>
    <row r="532" spans="4:33">
      <c r="D532" s="85"/>
      <c r="AD532" s="34"/>
      <c r="AE532" s="34"/>
      <c r="AF532" s="34"/>
      <c r="AG532" s="34"/>
    </row>
    <row r="533" spans="4:33">
      <c r="D533" s="85"/>
      <c r="AD533" s="34"/>
      <c r="AE533" s="34"/>
      <c r="AF533" s="34"/>
      <c r="AG533" s="34"/>
    </row>
    <row r="534" spans="4:33">
      <c r="D534" s="85"/>
      <c r="AD534" s="34"/>
      <c r="AE534" s="34"/>
      <c r="AF534" s="34"/>
      <c r="AG534" s="34"/>
    </row>
    <row r="535" spans="4:33">
      <c r="D535" s="85"/>
      <c r="AD535" s="34"/>
      <c r="AE535" s="34"/>
      <c r="AF535" s="34"/>
      <c r="AG535" s="34"/>
    </row>
    <row r="536" spans="4:33">
      <c r="D536" s="85"/>
      <c r="AD536" s="34"/>
      <c r="AE536" s="34"/>
      <c r="AF536" s="34"/>
      <c r="AG536" s="34"/>
    </row>
    <row r="537" spans="4:33">
      <c r="D537" s="85"/>
      <c r="AD537" s="34"/>
      <c r="AE537" s="34"/>
      <c r="AF537" s="34"/>
      <c r="AG537" s="34"/>
    </row>
    <row r="538" spans="4:33">
      <c r="D538" s="85"/>
      <c r="AD538" s="34"/>
      <c r="AE538" s="34"/>
      <c r="AF538" s="34"/>
      <c r="AG538" s="34"/>
    </row>
    <row r="539" spans="4:33">
      <c r="D539" s="85"/>
      <c r="AD539" s="34"/>
      <c r="AE539" s="34"/>
      <c r="AF539" s="34"/>
      <c r="AG539" s="34"/>
    </row>
    <row r="540" spans="4:33">
      <c r="D540" s="85"/>
      <c r="AD540" s="34"/>
      <c r="AE540" s="34"/>
      <c r="AF540" s="34"/>
      <c r="AG540" s="34"/>
    </row>
    <row r="541" spans="4:33">
      <c r="D541" s="85"/>
      <c r="AD541" s="34"/>
      <c r="AE541" s="34"/>
      <c r="AF541" s="34"/>
      <c r="AG541" s="34"/>
    </row>
    <row r="542" spans="4:33">
      <c r="D542" s="85"/>
      <c r="AD542" s="34"/>
      <c r="AE542" s="34"/>
      <c r="AF542" s="34"/>
      <c r="AG542" s="34"/>
    </row>
    <row r="543" spans="4:33">
      <c r="D543" s="85"/>
      <c r="AD543" s="34"/>
      <c r="AE543" s="34"/>
      <c r="AF543" s="34"/>
      <c r="AG543" s="34"/>
    </row>
    <row r="544" spans="4:33">
      <c r="D544" s="85"/>
      <c r="AD544" s="34"/>
      <c r="AE544" s="34"/>
      <c r="AF544" s="34"/>
      <c r="AG544" s="34"/>
    </row>
    <row r="545" spans="4:33">
      <c r="D545" s="85"/>
      <c r="AD545" s="34"/>
      <c r="AE545" s="34"/>
      <c r="AF545" s="34"/>
      <c r="AG545" s="34"/>
    </row>
    <row r="546" spans="4:33">
      <c r="D546" s="85"/>
      <c r="AD546" s="34"/>
      <c r="AE546" s="34"/>
      <c r="AF546" s="34"/>
      <c r="AG546" s="34"/>
    </row>
    <row r="547" spans="4:33">
      <c r="D547" s="85"/>
      <c r="AD547" s="34"/>
      <c r="AE547" s="34"/>
      <c r="AF547" s="34"/>
      <c r="AG547" s="34"/>
    </row>
    <row r="548" spans="4:33">
      <c r="D548" s="85"/>
      <c r="AD548" s="34"/>
      <c r="AE548" s="34"/>
      <c r="AF548" s="34"/>
      <c r="AG548" s="34"/>
    </row>
    <row r="549" spans="4:33">
      <c r="D549" s="85"/>
      <c r="AD549" s="34"/>
      <c r="AE549" s="34"/>
      <c r="AF549" s="34"/>
      <c r="AG549" s="34"/>
    </row>
    <row r="550" spans="4:33">
      <c r="D550" s="85"/>
      <c r="AD550" s="34"/>
      <c r="AE550" s="34"/>
      <c r="AF550" s="34"/>
      <c r="AG550" s="34"/>
    </row>
    <row r="551" spans="4:33">
      <c r="D551" s="85"/>
      <c r="AD551" s="34"/>
      <c r="AE551" s="34"/>
      <c r="AF551" s="34"/>
      <c r="AG551" s="34"/>
    </row>
    <row r="552" spans="4:33">
      <c r="D552" s="85"/>
      <c r="AD552" s="34"/>
      <c r="AE552" s="34"/>
      <c r="AF552" s="34"/>
      <c r="AG552" s="34"/>
    </row>
    <row r="553" spans="4:33">
      <c r="D553" s="85"/>
      <c r="AD553" s="34"/>
      <c r="AE553" s="34"/>
      <c r="AF553" s="34"/>
      <c r="AG553" s="34"/>
    </row>
    <row r="554" spans="4:33">
      <c r="D554" s="85"/>
      <c r="AD554" s="34"/>
      <c r="AE554" s="34"/>
      <c r="AF554" s="34"/>
      <c r="AG554" s="34"/>
    </row>
    <row r="555" spans="4:33">
      <c r="D555" s="85"/>
      <c r="AD555" s="34"/>
      <c r="AE555" s="34"/>
      <c r="AF555" s="34"/>
      <c r="AG555" s="34"/>
    </row>
    <row r="556" spans="4:33">
      <c r="D556" s="85"/>
      <c r="AD556" s="34"/>
      <c r="AE556" s="34"/>
      <c r="AF556" s="34"/>
      <c r="AG556" s="34"/>
    </row>
    <row r="557" spans="4:33">
      <c r="D557" s="85"/>
      <c r="AD557" s="34"/>
      <c r="AE557" s="34"/>
      <c r="AF557" s="34"/>
      <c r="AG557" s="34"/>
    </row>
    <row r="558" spans="4:33">
      <c r="D558" s="85"/>
      <c r="AD558" s="34"/>
      <c r="AE558" s="34"/>
      <c r="AF558" s="34"/>
      <c r="AG558" s="34"/>
    </row>
    <row r="559" spans="4:33">
      <c r="D559" s="85"/>
      <c r="AD559" s="34"/>
      <c r="AE559" s="34"/>
      <c r="AF559" s="34"/>
      <c r="AG559" s="34"/>
    </row>
    <row r="560" spans="4:33">
      <c r="D560" s="85"/>
      <c r="AD560" s="34"/>
      <c r="AE560" s="34"/>
      <c r="AF560" s="34"/>
      <c r="AG560" s="34"/>
    </row>
    <row r="561" spans="4:33">
      <c r="D561" s="85"/>
      <c r="AD561" s="34"/>
      <c r="AE561" s="34"/>
      <c r="AF561" s="34"/>
      <c r="AG561" s="34"/>
    </row>
    <row r="562" spans="4:33">
      <c r="D562" s="85"/>
      <c r="AD562" s="34"/>
      <c r="AE562" s="34"/>
      <c r="AF562" s="34"/>
      <c r="AG562" s="34"/>
    </row>
    <row r="563" spans="4:33">
      <c r="D563" s="85"/>
      <c r="AD563" s="34"/>
      <c r="AE563" s="34"/>
      <c r="AF563" s="34"/>
      <c r="AG563" s="34"/>
    </row>
    <row r="564" spans="4:33">
      <c r="D564" s="85"/>
      <c r="AD564" s="34"/>
      <c r="AE564" s="34"/>
      <c r="AF564" s="34"/>
      <c r="AG564" s="34"/>
    </row>
    <row r="565" spans="4:33">
      <c r="D565" s="85"/>
      <c r="AD565" s="34"/>
      <c r="AE565" s="34"/>
      <c r="AF565" s="34"/>
      <c r="AG565" s="34"/>
    </row>
    <row r="566" spans="4:33">
      <c r="D566" s="85"/>
      <c r="AD566" s="34"/>
      <c r="AE566" s="34"/>
      <c r="AF566" s="34"/>
      <c r="AG566" s="34"/>
    </row>
    <row r="567" spans="4:33">
      <c r="D567" s="85"/>
      <c r="AD567" s="34"/>
      <c r="AE567" s="34"/>
      <c r="AF567" s="34"/>
      <c r="AG567" s="34"/>
    </row>
    <row r="568" spans="4:33">
      <c r="D568" s="85"/>
      <c r="AD568" s="34"/>
      <c r="AE568" s="34"/>
      <c r="AF568" s="34"/>
      <c r="AG568" s="34"/>
    </row>
    <row r="569" spans="4:33">
      <c r="D569" s="85"/>
      <c r="AD569" s="34"/>
      <c r="AE569" s="34"/>
      <c r="AF569" s="34"/>
      <c r="AG569" s="34"/>
    </row>
    <row r="570" spans="4:33">
      <c r="D570" s="85"/>
      <c r="AD570" s="34"/>
      <c r="AE570" s="34"/>
      <c r="AF570" s="34"/>
      <c r="AG570" s="34"/>
    </row>
    <row r="571" spans="4:33">
      <c r="D571" s="85"/>
      <c r="AD571" s="34"/>
      <c r="AE571" s="34"/>
      <c r="AF571" s="34"/>
      <c r="AG571" s="34"/>
    </row>
    <row r="572" spans="4:33">
      <c r="D572" s="85"/>
      <c r="AD572" s="34"/>
      <c r="AE572" s="34"/>
      <c r="AF572" s="34"/>
      <c r="AG572" s="34"/>
    </row>
    <row r="573" spans="4:33">
      <c r="D573" s="85"/>
      <c r="AD573" s="34"/>
      <c r="AE573" s="34"/>
      <c r="AF573" s="34"/>
      <c r="AG573" s="34"/>
    </row>
    <row r="574" spans="4:33">
      <c r="D574" s="85"/>
      <c r="AD574" s="34"/>
      <c r="AE574" s="34"/>
      <c r="AF574" s="34"/>
      <c r="AG574" s="34"/>
    </row>
    <row r="575" spans="4:33">
      <c r="D575" s="85"/>
      <c r="AD575" s="34"/>
      <c r="AE575" s="34"/>
      <c r="AF575" s="34"/>
      <c r="AG575" s="34"/>
    </row>
    <row r="576" spans="4:33">
      <c r="D576" s="85"/>
      <c r="AD576" s="34"/>
      <c r="AE576" s="34"/>
      <c r="AF576" s="34"/>
      <c r="AG576" s="34"/>
    </row>
    <row r="577" spans="4:33">
      <c r="D577" s="85"/>
      <c r="AD577" s="34"/>
      <c r="AE577" s="34"/>
      <c r="AF577" s="34"/>
      <c r="AG577" s="34"/>
    </row>
    <row r="578" spans="4:33">
      <c r="D578" s="85"/>
      <c r="AD578" s="34"/>
      <c r="AE578" s="34"/>
      <c r="AF578" s="34"/>
      <c r="AG578" s="34"/>
    </row>
    <row r="579" spans="4:33">
      <c r="D579" s="85"/>
      <c r="AD579" s="34"/>
      <c r="AE579" s="34"/>
      <c r="AF579" s="34"/>
      <c r="AG579" s="34"/>
    </row>
    <row r="580" spans="4:33">
      <c r="D580" s="85"/>
      <c r="AD580" s="34"/>
      <c r="AE580" s="34"/>
      <c r="AF580" s="34"/>
      <c r="AG580" s="34"/>
    </row>
    <row r="581" spans="4:33">
      <c r="D581" s="85"/>
      <c r="AD581" s="34"/>
      <c r="AE581" s="34"/>
      <c r="AF581" s="34"/>
      <c r="AG581" s="34"/>
    </row>
    <row r="582" spans="4:33">
      <c r="D582" s="85"/>
      <c r="AD582" s="34"/>
      <c r="AE582" s="34"/>
      <c r="AF582" s="34"/>
      <c r="AG582" s="34"/>
    </row>
    <row r="583" spans="4:33">
      <c r="D583" s="85"/>
      <c r="AD583" s="34"/>
      <c r="AE583" s="34"/>
      <c r="AF583" s="34"/>
      <c r="AG583" s="34"/>
    </row>
    <row r="584" spans="4:33">
      <c r="D584" s="85"/>
      <c r="AD584" s="34"/>
      <c r="AE584" s="34"/>
      <c r="AF584" s="34"/>
      <c r="AG584" s="34"/>
    </row>
    <row r="585" spans="4:33">
      <c r="D585" s="85"/>
      <c r="AD585" s="34"/>
      <c r="AE585" s="34"/>
      <c r="AF585" s="34"/>
      <c r="AG585" s="34"/>
    </row>
    <row r="586" spans="4:33">
      <c r="D586" s="85"/>
      <c r="AD586" s="34"/>
      <c r="AE586" s="34"/>
      <c r="AF586" s="34"/>
      <c r="AG586" s="34"/>
    </row>
    <row r="587" spans="4:33">
      <c r="D587" s="85"/>
      <c r="AD587" s="34"/>
      <c r="AE587" s="34"/>
      <c r="AF587" s="34"/>
      <c r="AG587" s="34"/>
    </row>
    <row r="588" spans="4:33">
      <c r="D588" s="85"/>
      <c r="AD588" s="34"/>
      <c r="AE588" s="34"/>
      <c r="AF588" s="34"/>
      <c r="AG588" s="34"/>
    </row>
    <row r="589" spans="4:33">
      <c r="D589" s="85"/>
      <c r="AD589" s="34"/>
      <c r="AE589" s="34"/>
      <c r="AF589" s="34"/>
      <c r="AG589" s="34"/>
    </row>
    <row r="590" spans="4:33">
      <c r="D590" s="85"/>
      <c r="AD590" s="34"/>
      <c r="AE590" s="34"/>
      <c r="AF590" s="34"/>
      <c r="AG590" s="34"/>
    </row>
    <row r="591" spans="4:33">
      <c r="D591" s="85"/>
      <c r="AD591" s="34"/>
      <c r="AE591" s="34"/>
      <c r="AF591" s="34"/>
      <c r="AG591" s="34"/>
    </row>
    <row r="592" spans="4:33">
      <c r="D592" s="85"/>
      <c r="AD592" s="34"/>
      <c r="AE592" s="34"/>
      <c r="AF592" s="34"/>
      <c r="AG592" s="34"/>
    </row>
    <row r="593" spans="4:33">
      <c r="D593" s="85"/>
      <c r="AD593" s="34"/>
      <c r="AE593" s="34"/>
      <c r="AF593" s="34"/>
      <c r="AG593" s="34"/>
    </row>
    <row r="594" spans="4:33">
      <c r="D594" s="85"/>
      <c r="AD594" s="34"/>
      <c r="AE594" s="34"/>
      <c r="AF594" s="34"/>
      <c r="AG594" s="34"/>
    </row>
    <row r="595" spans="4:33">
      <c r="D595" s="85"/>
      <c r="AD595" s="34"/>
      <c r="AE595" s="34"/>
      <c r="AF595" s="34"/>
      <c r="AG595" s="34"/>
    </row>
    <row r="596" spans="4:33">
      <c r="D596" s="85"/>
      <c r="AD596" s="34"/>
      <c r="AE596" s="34"/>
      <c r="AF596" s="34"/>
      <c r="AG596" s="34"/>
    </row>
    <row r="597" spans="4:33">
      <c r="D597" s="85"/>
      <c r="AD597" s="34"/>
      <c r="AE597" s="34"/>
      <c r="AF597" s="34"/>
      <c r="AG597" s="34"/>
    </row>
    <row r="598" spans="4:33">
      <c r="D598" s="85"/>
      <c r="AD598" s="34"/>
      <c r="AE598" s="34"/>
      <c r="AF598" s="34"/>
      <c r="AG598" s="34"/>
    </row>
    <row r="599" spans="4:33">
      <c r="D599" s="85"/>
      <c r="AD599" s="34"/>
      <c r="AE599" s="34"/>
      <c r="AF599" s="34"/>
      <c r="AG599" s="34"/>
    </row>
    <row r="600" spans="4:33">
      <c r="D600" s="85"/>
      <c r="AD600" s="34"/>
      <c r="AE600" s="34"/>
      <c r="AF600" s="34"/>
      <c r="AG600" s="34"/>
    </row>
    <row r="601" spans="4:33">
      <c r="D601" s="85"/>
      <c r="AD601" s="34"/>
      <c r="AE601" s="34"/>
      <c r="AF601" s="34"/>
      <c r="AG601" s="34"/>
    </row>
    <row r="602" spans="4:33">
      <c r="D602" s="85"/>
      <c r="AD602" s="34"/>
      <c r="AE602" s="34"/>
      <c r="AF602" s="34"/>
      <c r="AG602" s="34"/>
    </row>
    <row r="603" spans="4:33">
      <c r="D603" s="85"/>
      <c r="AD603" s="34"/>
      <c r="AE603" s="34"/>
      <c r="AF603" s="34"/>
      <c r="AG603" s="34"/>
    </row>
    <row r="604" spans="4:33">
      <c r="D604" s="85"/>
      <c r="AD604" s="34"/>
      <c r="AE604" s="34"/>
      <c r="AF604" s="34"/>
      <c r="AG604" s="34"/>
    </row>
    <row r="605" spans="4:33">
      <c r="D605" s="85"/>
      <c r="AD605" s="34"/>
      <c r="AE605" s="34"/>
      <c r="AF605" s="34"/>
      <c r="AG605" s="34"/>
    </row>
    <row r="606" spans="4:33">
      <c r="D606" s="85"/>
      <c r="AD606" s="34"/>
      <c r="AE606" s="34"/>
      <c r="AF606" s="34"/>
      <c r="AG606" s="34"/>
    </row>
    <row r="607" spans="4:33">
      <c r="D607" s="85"/>
      <c r="AD607" s="34"/>
      <c r="AE607" s="34"/>
      <c r="AF607" s="34"/>
      <c r="AG607" s="34"/>
    </row>
    <row r="608" spans="4:33">
      <c r="D608" s="85"/>
      <c r="AD608" s="34"/>
      <c r="AE608" s="34"/>
      <c r="AF608" s="34"/>
      <c r="AG608" s="34"/>
    </row>
    <row r="609" spans="4:33">
      <c r="D609" s="85"/>
      <c r="AD609" s="34"/>
      <c r="AE609" s="34"/>
      <c r="AF609" s="34"/>
      <c r="AG609" s="34"/>
    </row>
    <row r="610" spans="4:33">
      <c r="D610" s="85"/>
      <c r="AD610" s="34"/>
      <c r="AE610" s="34"/>
      <c r="AF610" s="34"/>
      <c r="AG610" s="34"/>
    </row>
    <row r="611" spans="4:33">
      <c r="D611" s="85"/>
      <c r="AD611" s="34"/>
      <c r="AE611" s="34"/>
      <c r="AF611" s="34"/>
      <c r="AG611" s="34"/>
    </row>
    <row r="612" spans="4:33">
      <c r="D612" s="85"/>
      <c r="AD612" s="34"/>
      <c r="AE612" s="34"/>
      <c r="AF612" s="34"/>
      <c r="AG612" s="34"/>
    </row>
    <row r="613" spans="4:33">
      <c r="D613" s="85"/>
      <c r="AD613" s="34"/>
      <c r="AE613" s="34"/>
      <c r="AF613" s="34"/>
      <c r="AG613" s="34"/>
    </row>
    <row r="614" spans="4:33">
      <c r="D614" s="85"/>
      <c r="AD614" s="34"/>
      <c r="AE614" s="34"/>
      <c r="AF614" s="34"/>
      <c r="AG614" s="34"/>
    </row>
    <row r="615" spans="4:33">
      <c r="D615" s="85"/>
      <c r="AD615" s="34"/>
      <c r="AE615" s="34"/>
      <c r="AF615" s="34"/>
      <c r="AG615" s="34"/>
    </row>
    <row r="616" spans="4:33">
      <c r="D616" s="85"/>
      <c r="AD616" s="34"/>
      <c r="AE616" s="34"/>
      <c r="AF616" s="34"/>
      <c r="AG616" s="34"/>
    </row>
    <row r="617" spans="4:33">
      <c r="D617" s="85"/>
      <c r="AD617" s="34"/>
      <c r="AE617" s="34"/>
      <c r="AF617" s="34"/>
      <c r="AG617" s="34"/>
    </row>
    <row r="618" spans="4:33">
      <c r="D618" s="85"/>
      <c r="AD618" s="34"/>
      <c r="AE618" s="34"/>
      <c r="AF618" s="34"/>
      <c r="AG618" s="34"/>
    </row>
    <row r="619" spans="4:33">
      <c r="D619" s="85"/>
      <c r="AD619" s="34"/>
      <c r="AE619" s="34"/>
      <c r="AF619" s="34"/>
      <c r="AG619" s="34"/>
    </row>
    <row r="620" spans="4:33">
      <c r="D620" s="85"/>
      <c r="AD620" s="34"/>
      <c r="AE620" s="34"/>
      <c r="AF620" s="34"/>
      <c r="AG620" s="34"/>
    </row>
    <row r="621" spans="4:33">
      <c r="D621" s="85"/>
      <c r="AD621" s="34"/>
      <c r="AE621" s="34"/>
      <c r="AF621" s="34"/>
      <c r="AG621" s="34"/>
    </row>
    <row r="622" spans="4:33">
      <c r="D622" s="85"/>
      <c r="AD622" s="34"/>
      <c r="AE622" s="34"/>
      <c r="AF622" s="34"/>
      <c r="AG622" s="34"/>
    </row>
    <row r="623" spans="4:33">
      <c r="D623" s="85"/>
      <c r="AD623" s="34"/>
      <c r="AE623" s="34"/>
      <c r="AF623" s="34"/>
      <c r="AG623" s="34"/>
    </row>
    <row r="624" spans="4:33">
      <c r="D624" s="85"/>
      <c r="AD624" s="34"/>
      <c r="AE624" s="34"/>
      <c r="AF624" s="34"/>
      <c r="AG624" s="34"/>
    </row>
    <row r="625" spans="4:33">
      <c r="D625" s="85"/>
      <c r="AD625" s="34"/>
      <c r="AE625" s="34"/>
      <c r="AF625" s="34"/>
      <c r="AG625" s="34"/>
    </row>
    <row r="626" spans="4:33">
      <c r="D626" s="85"/>
      <c r="AD626" s="34"/>
      <c r="AE626" s="34"/>
      <c r="AF626" s="34"/>
      <c r="AG626" s="34"/>
    </row>
    <row r="627" spans="4:33">
      <c r="D627" s="85"/>
      <c r="AD627" s="34"/>
      <c r="AE627" s="34"/>
      <c r="AF627" s="34"/>
      <c r="AG627" s="34"/>
    </row>
    <row r="628" spans="4:33">
      <c r="D628" s="85"/>
      <c r="AD628" s="34"/>
      <c r="AE628" s="34"/>
      <c r="AF628" s="34"/>
      <c r="AG628" s="34"/>
    </row>
    <row r="629" spans="4:33">
      <c r="D629" s="85"/>
      <c r="AD629" s="34"/>
      <c r="AE629" s="34"/>
      <c r="AF629" s="34"/>
      <c r="AG629" s="34"/>
    </row>
    <row r="630" spans="4:33">
      <c r="D630" s="85"/>
      <c r="AD630" s="34"/>
      <c r="AE630" s="34"/>
      <c r="AF630" s="34"/>
      <c r="AG630" s="34"/>
    </row>
    <row r="631" spans="4:33">
      <c r="D631" s="85"/>
      <c r="AD631" s="34"/>
      <c r="AE631" s="34"/>
      <c r="AF631" s="34"/>
      <c r="AG631" s="34"/>
    </row>
    <row r="632" spans="4:33">
      <c r="D632" s="85"/>
      <c r="AD632" s="34"/>
      <c r="AE632" s="34"/>
      <c r="AF632" s="34"/>
      <c r="AG632" s="34"/>
    </row>
    <row r="633" spans="4:33">
      <c r="D633" s="85"/>
      <c r="AD633" s="34"/>
      <c r="AE633" s="34"/>
      <c r="AF633" s="34"/>
      <c r="AG633" s="34"/>
    </row>
    <row r="634" spans="4:33">
      <c r="D634" s="85"/>
      <c r="AD634" s="34"/>
      <c r="AE634" s="34"/>
      <c r="AF634" s="34"/>
      <c r="AG634" s="34"/>
    </row>
    <row r="635" spans="4:33">
      <c r="D635" s="85"/>
      <c r="AD635" s="34"/>
      <c r="AE635" s="34"/>
      <c r="AF635" s="34"/>
      <c r="AG635" s="34"/>
    </row>
    <row r="636" spans="4:33">
      <c r="D636" s="85"/>
      <c r="AD636" s="34"/>
      <c r="AE636" s="34"/>
      <c r="AF636" s="34"/>
      <c r="AG636" s="34"/>
    </row>
    <row r="637" spans="4:33">
      <c r="D637" s="85"/>
      <c r="AD637" s="34"/>
      <c r="AE637" s="34"/>
      <c r="AF637" s="34"/>
      <c r="AG637" s="34"/>
    </row>
    <row r="638" spans="4:33">
      <c r="D638" s="85"/>
      <c r="AD638" s="34"/>
      <c r="AE638" s="34"/>
      <c r="AF638" s="34"/>
      <c r="AG638" s="34"/>
    </row>
    <row r="639" spans="4:33">
      <c r="D639" s="85"/>
      <c r="AD639" s="34"/>
      <c r="AE639" s="34"/>
      <c r="AF639" s="34"/>
      <c r="AG639" s="34"/>
    </row>
    <row r="640" spans="4:33">
      <c r="D640" s="85"/>
      <c r="AD640" s="34"/>
      <c r="AE640" s="34"/>
      <c r="AF640" s="34"/>
      <c r="AG640" s="34"/>
    </row>
    <row r="641" spans="4:33">
      <c r="D641" s="85"/>
      <c r="AD641" s="34"/>
      <c r="AE641" s="34"/>
      <c r="AF641" s="34"/>
      <c r="AG641" s="34"/>
    </row>
    <row r="642" spans="4:33">
      <c r="D642" s="85"/>
      <c r="AD642" s="34"/>
      <c r="AE642" s="34"/>
      <c r="AF642" s="34"/>
      <c r="AG642" s="34"/>
    </row>
    <row r="643" spans="4:33">
      <c r="D643" s="85"/>
      <c r="AD643" s="34"/>
      <c r="AE643" s="34"/>
      <c r="AF643" s="34"/>
      <c r="AG643" s="34"/>
    </row>
    <row r="644" spans="4:33">
      <c r="D644" s="85"/>
      <c r="AD644" s="34"/>
      <c r="AE644" s="34"/>
      <c r="AF644" s="34"/>
      <c r="AG644" s="34"/>
    </row>
    <row r="645" spans="4:33">
      <c r="D645" s="85"/>
      <c r="AD645" s="34"/>
      <c r="AE645" s="34"/>
      <c r="AF645" s="34"/>
      <c r="AG645" s="34"/>
    </row>
    <row r="646" spans="4:33">
      <c r="D646" s="85"/>
      <c r="AD646" s="34"/>
      <c r="AE646" s="34"/>
      <c r="AF646" s="34"/>
      <c r="AG646" s="34"/>
    </row>
    <row r="647" spans="4:33">
      <c r="D647" s="85"/>
      <c r="AD647" s="34"/>
      <c r="AE647" s="34"/>
      <c r="AF647" s="34"/>
      <c r="AG647" s="34"/>
    </row>
    <row r="648" spans="4:33">
      <c r="D648" s="85"/>
      <c r="AD648" s="34"/>
      <c r="AE648" s="34"/>
      <c r="AF648" s="34"/>
      <c r="AG648" s="34"/>
    </row>
    <row r="649" spans="4:33">
      <c r="D649" s="85"/>
      <c r="AD649" s="34"/>
      <c r="AE649" s="34"/>
      <c r="AF649" s="34"/>
      <c r="AG649" s="34"/>
    </row>
    <row r="650" spans="4:33">
      <c r="D650" s="85"/>
      <c r="AD650" s="34"/>
      <c r="AE650" s="34"/>
      <c r="AF650" s="34"/>
      <c r="AG650" s="34"/>
    </row>
    <row r="651" spans="4:33">
      <c r="D651" s="85"/>
      <c r="AD651" s="34"/>
      <c r="AE651" s="34"/>
      <c r="AF651" s="34"/>
      <c r="AG651" s="34"/>
    </row>
    <row r="652" spans="4:33">
      <c r="D652" s="85"/>
      <c r="AD652" s="34"/>
      <c r="AE652" s="34"/>
      <c r="AF652" s="34"/>
      <c r="AG652" s="34"/>
    </row>
    <row r="653" spans="4:33">
      <c r="D653" s="85"/>
      <c r="AD653" s="34"/>
      <c r="AE653" s="34"/>
      <c r="AF653" s="34"/>
      <c r="AG653" s="34"/>
    </row>
    <row r="654" spans="4:33">
      <c r="D654" s="85"/>
      <c r="AD654" s="34"/>
      <c r="AE654" s="34"/>
      <c r="AF654" s="34"/>
      <c r="AG654" s="34"/>
    </row>
    <row r="655" spans="4:33">
      <c r="D655" s="85"/>
      <c r="AD655" s="34"/>
      <c r="AE655" s="34"/>
      <c r="AF655" s="34"/>
      <c r="AG655" s="34"/>
    </row>
    <row r="656" spans="4:33">
      <c r="D656" s="85"/>
      <c r="AD656" s="34"/>
      <c r="AE656" s="34"/>
      <c r="AF656" s="34"/>
      <c r="AG656" s="34"/>
    </row>
    <row r="657" spans="4:33">
      <c r="D657" s="85"/>
      <c r="AD657" s="34"/>
      <c r="AE657" s="34"/>
      <c r="AF657" s="34"/>
      <c r="AG657" s="34"/>
    </row>
    <row r="658" spans="4:33">
      <c r="D658" s="85"/>
      <c r="AD658" s="34"/>
      <c r="AE658" s="34"/>
      <c r="AF658" s="34"/>
      <c r="AG658" s="34"/>
    </row>
    <row r="659" spans="4:33">
      <c r="D659" s="85"/>
      <c r="AD659" s="34"/>
      <c r="AE659" s="34"/>
      <c r="AF659" s="34"/>
      <c r="AG659" s="34"/>
    </row>
    <row r="660" spans="4:33">
      <c r="D660" s="85"/>
      <c r="AD660" s="34"/>
      <c r="AE660" s="34"/>
      <c r="AF660" s="34"/>
      <c r="AG660" s="34"/>
    </row>
    <row r="661" spans="4:33">
      <c r="D661" s="85"/>
      <c r="AD661" s="34"/>
      <c r="AE661" s="34"/>
      <c r="AF661" s="34"/>
      <c r="AG661" s="34"/>
    </row>
    <row r="662" spans="4:33">
      <c r="D662" s="85"/>
      <c r="AD662" s="34"/>
      <c r="AE662" s="34"/>
      <c r="AF662" s="34"/>
      <c r="AG662" s="34"/>
    </row>
    <row r="663" spans="4:33">
      <c r="D663" s="85"/>
      <c r="AD663" s="34"/>
      <c r="AE663" s="34"/>
      <c r="AF663" s="34"/>
      <c r="AG663" s="34"/>
    </row>
    <row r="664" spans="4:33">
      <c r="D664" s="85"/>
      <c r="AD664" s="34"/>
      <c r="AE664" s="34"/>
      <c r="AF664" s="34"/>
      <c r="AG664" s="34"/>
    </row>
    <row r="665" spans="4:33">
      <c r="D665" s="85"/>
      <c r="AD665" s="34"/>
      <c r="AE665" s="34"/>
      <c r="AF665" s="34"/>
      <c r="AG665" s="34"/>
    </row>
    <row r="666" spans="4:33">
      <c r="D666" s="85"/>
      <c r="AD666" s="34"/>
      <c r="AE666" s="34"/>
      <c r="AF666" s="34"/>
      <c r="AG666" s="34"/>
    </row>
    <row r="667" spans="4:33">
      <c r="D667" s="85"/>
      <c r="AD667" s="34"/>
      <c r="AE667" s="34"/>
      <c r="AF667" s="34"/>
      <c r="AG667" s="34"/>
    </row>
    <row r="668" spans="4:33">
      <c r="D668" s="85"/>
      <c r="AD668" s="34"/>
      <c r="AE668" s="34"/>
      <c r="AF668" s="34"/>
      <c r="AG668" s="34"/>
    </row>
    <row r="669" spans="4:33">
      <c r="D669" s="85"/>
      <c r="AD669" s="34"/>
      <c r="AE669" s="34"/>
      <c r="AF669" s="34"/>
      <c r="AG669" s="34"/>
    </row>
    <row r="670" spans="4:33">
      <c r="D670" s="85"/>
      <c r="AD670" s="34"/>
      <c r="AE670" s="34"/>
      <c r="AF670" s="34"/>
      <c r="AG670" s="34"/>
    </row>
    <row r="671" spans="4:33">
      <c r="D671" s="85"/>
      <c r="AD671" s="34"/>
      <c r="AE671" s="34"/>
      <c r="AF671" s="34"/>
      <c r="AG671" s="34"/>
    </row>
    <row r="672" spans="4:33">
      <c r="D672" s="85"/>
      <c r="AD672" s="34"/>
      <c r="AE672" s="34"/>
      <c r="AF672" s="34"/>
      <c r="AG672" s="34"/>
    </row>
    <row r="673" spans="4:33">
      <c r="D673" s="85"/>
      <c r="AD673" s="34"/>
      <c r="AE673" s="34"/>
      <c r="AF673" s="34"/>
      <c r="AG673" s="34"/>
    </row>
    <row r="674" spans="4:33">
      <c r="D674" s="85"/>
      <c r="AD674" s="34"/>
      <c r="AE674" s="34"/>
      <c r="AF674" s="34"/>
      <c r="AG674" s="34"/>
    </row>
    <row r="675" spans="4:33">
      <c r="D675" s="85"/>
      <c r="AD675" s="34"/>
      <c r="AE675" s="34"/>
      <c r="AF675" s="34"/>
      <c r="AG675" s="34"/>
    </row>
    <row r="676" spans="4:33">
      <c r="D676" s="85"/>
      <c r="AD676" s="34"/>
      <c r="AE676" s="34"/>
      <c r="AF676" s="34"/>
      <c r="AG676" s="34"/>
    </row>
    <row r="677" spans="4:33">
      <c r="D677" s="85"/>
      <c r="AD677" s="34"/>
      <c r="AE677" s="34"/>
      <c r="AF677" s="34"/>
      <c r="AG677" s="34"/>
    </row>
    <row r="678" spans="4:33">
      <c r="D678" s="85"/>
      <c r="AD678" s="34"/>
      <c r="AE678" s="34"/>
      <c r="AF678" s="34"/>
      <c r="AG678" s="34"/>
    </row>
    <row r="679" spans="4:33">
      <c r="D679" s="85"/>
      <c r="AD679" s="34"/>
      <c r="AE679" s="34"/>
      <c r="AF679" s="34"/>
      <c r="AG679" s="34"/>
    </row>
    <row r="680" spans="4:33">
      <c r="D680" s="85"/>
      <c r="AD680" s="34"/>
      <c r="AE680" s="34"/>
      <c r="AF680" s="34"/>
      <c r="AG680" s="34"/>
    </row>
    <row r="681" spans="4:33">
      <c r="D681" s="85"/>
      <c r="AD681" s="34"/>
      <c r="AE681" s="34"/>
      <c r="AF681" s="34"/>
      <c r="AG681" s="34"/>
    </row>
  </sheetData>
  <customSheetViews>
    <customSheetView guid="{30A25E70-968A-42D1-8004-AA7CAE7DDE4C}" filter="1" showAutoFilter="1">
      <pageMargins left="0.7" right="0.7" top="0.75" bottom="0.75" header="0.3" footer="0.3"/>
      <autoFilter ref="AC1:AC681" xr:uid="{3AD2E231-B98B-4C9C-9251-2D2C380A1C7D}"/>
    </customSheetView>
    <customSheetView guid="{46A08C88-F057-4E77-84DA-41349FC9CF9F}" filter="1" showAutoFilter="1">
      <pageMargins left="0.7" right="0.7" top="0.75" bottom="0.75" header="0.3" footer="0.3"/>
      <autoFilter ref="AC1:AC681" xr:uid="{89D685A8-F54C-4994-ABE7-4D428EFD56B4}">
        <filterColumn colId="0">
          <filters>
            <filter val="Da Xu 徐达"/>
          </filters>
        </filterColumn>
      </autoFilter>
    </customSheetView>
    <customSheetView guid="{A3EAC07F-81BF-4BC3-9163-D7BB2B400FDD}" filter="1" showAutoFilter="1">
      <pageMargins left="0.7" right="0.7" top="0.75" bottom="0.75" header="0.3" footer="0.3"/>
      <autoFilter ref="AE1:AE681" xr:uid="{7DBFD09B-FD06-4EF8-B262-D75BF6B4CE7F}"/>
    </customSheetView>
    <customSheetView guid="{01571460-2DCB-42BD-A34A-0F0974471195}" filter="1" showAutoFilter="1">
      <pageMargins left="0.7" right="0.7" top="0.75" bottom="0.75" header="0.3" footer="0.3"/>
      <autoFilter ref="AE1:AE681" xr:uid="{559D3C97-A9BB-4572-8439-43757559E03F}"/>
    </customSheetView>
    <customSheetView guid="{0986B57A-A09A-4F97-BC44-A5665F7874C0}" filter="1" showAutoFilter="1">
      <pageMargins left="0.7" right="0.7" top="0.75" bottom="0.75" header="0.3" footer="0.3"/>
      <autoFilter ref="AE1:AE681" xr:uid="{B7A86B8B-FF91-4656-A153-A89B9F943177}"/>
    </customSheetView>
    <customSheetView guid="{E52F6983-849E-4B78-A13A-F80E701FF56C}" filter="1" showAutoFilter="1">
      <pageMargins left="0.7" right="0.7" top="0.75" bottom="0.75" header="0.3" footer="0.3"/>
      <autoFilter ref="AE1:AE681" xr:uid="{7238F10D-5E57-4BB3-A0ED-8ABF5FD06EAA}"/>
    </customSheetView>
    <customSheetView guid="{C11143F3-5039-4616-8F54-5BB6F58E0A3F}" filter="1" showAutoFilter="1">
      <pageMargins left="0.7" right="0.7" top="0.75" bottom="0.75" header="0.3" footer="0.3"/>
      <autoFilter ref="AE1:AE681" xr:uid="{94432A6C-92F1-481D-B29F-0A0413D8ED55}"/>
    </customSheetView>
    <customSheetView guid="{EFCA6297-B413-46AC-BD28-F984983EBE61}" filter="1" showAutoFilter="1">
      <pageMargins left="0.7" right="0.7" top="0.75" bottom="0.75" header="0.3" footer="0.3"/>
      <autoFilter ref="AE1:AE681" xr:uid="{C67CC1AF-99B8-4EBE-AF1E-92EBEAC35770}"/>
    </customSheetView>
    <customSheetView guid="{DDA8AF42-7AE6-4886-96E5-A8B4CF0DB619}" filter="1" showAutoFilter="1">
      <pageMargins left="0.7" right="0.7" top="0.75" bottom="0.75" header="0.3" footer="0.3"/>
      <autoFilter ref="AE1:AE681" xr:uid="{01DFADBE-881E-4346-B375-DE3A0701B2BB}"/>
    </customSheetView>
  </customSheetViews>
  <mergeCells count="1">
    <mergeCell ref="H1:V1"/>
  </mergeCells>
  <phoneticPr fontId="85" type="noConversion"/>
  <dataValidations count="20">
    <dataValidation type="list" allowBlank="1" sqref="S3" xr:uid="{00000000-0002-0000-0800-000000000000}">
      <formula1>"Lane Follow,Pull Over,Nudge,Side Pass,Crosswalk,Lane Change,Merge,Pull Out,Junction,Traffic Light,Dynamic  Routing,Occlusion,Cut In"</formula1>
    </dataValidation>
    <dataValidation type="list" allowBlank="1" sqref="U3" xr:uid="{00000000-0002-0000-0800-000001000000}">
      <formula1>"Normal,Rain,Snow/Sleet,Fog"</formula1>
    </dataValidation>
    <dataValidation type="list" allowBlank="1" sqref="J3" xr:uid="{00000000-0002-0000-0800-000002000000}">
      <formula1>"Exit,Entrance,Gap,Merge,Construction Zone,None"</formula1>
    </dataValidation>
    <dataValidation type="list" allowBlank="1" sqref="Q3:R3" xr:uid="{00000000-0002-0000-0800-000003000000}">
      <formula1>"Slowly,Quickly,Slow Down,Speed Up,Aggressively,Friendly,Small Radius,Large Radius,Low Priority,High Priority,Retrograde,Red Light,Illegal,Diagonally,Normal"</formula1>
    </dataValidation>
    <dataValidation type="list" allowBlank="1" sqref="F3" xr:uid="{00000000-0002-0000-0800-000004000000}">
      <formula1>"Noncollision,Front,Left Front,Right Front,Left Rear,Right Rear,Rear"</formula1>
    </dataValidation>
    <dataValidation type="list" allowBlank="1" sqref="H3" xr:uid="{00000000-0002-0000-0800-000005000000}">
      <formula1>"Express,Principal Arterial,Minor Arterial,Branch,Frontage Road,Side Road,Urban,Highway,Rural"</formula1>
    </dataValidation>
    <dataValidation type="list" allowBlank="1" sqref="E3" xr:uid="{00000000-0002-0000-0800-000006000000}">
      <formula1>"Double Vehicle,Multiple Vehicle,Pedestrian,Bicycle,Tricycle,Cones,Fence,None"</formula1>
    </dataValidation>
    <dataValidation type="list" allowBlank="1" sqref="P3:P29" xr:uid="{00000000-0002-0000-0800-000007000000}">
      <formula1>"U Turn,Left Turn,Right Turn,Cut In,Lane Change,Continuous Lane Change,Going Straight,Pull Over,Pull Out,Merge,Exit,Side Pass,Nudge,Borrow Lane,Backing Up,Stopped in Traffic Lane,Starting in Traffic Lane,Cross,Wrong-way Driving"</formula1>
    </dataValidation>
    <dataValidation type="list" allowBlank="1" sqref="AE3:AE39" xr:uid="{00000000-0002-0000-0800-000008000000}">
      <formula1>"Hepeng Wang,Da Xu,Lingyu Meng,Zhiang Shen,Zhiwen Wang,Wei Jin,Han Shen,Huajia Nie,Shuo Cheng,Nanshu Zhao"</formula1>
    </dataValidation>
    <dataValidation type="list" allowBlank="1" sqref="V3" xr:uid="{00000000-0002-0000-0800-000009000000}">
      <formula1>"Daylight,Dark but Lighted,Dark,Dawn or Dusk"</formula1>
    </dataValidation>
    <dataValidation type="list" allowBlank="1" sqref="G3" xr:uid="{00000000-0002-0000-0800-00000A000000}">
      <formula1>"Double Vehicle,Multiple Vehicle,Pedestrian,Bicycle,Tricycle,Cones,Fence,Vehicle and Non-Vehicle,None"</formula1>
    </dataValidation>
    <dataValidation type="list" allowBlank="1" sqref="T3" xr:uid="{00000000-0002-0000-0800-00000B000000}">
      <formula1>"TAADS,Virtual ADS,Logsim"</formula1>
    </dataValidation>
    <dataValidation type="list" allowBlank="1" sqref="W3 AH3:AH6" xr:uid="{00000000-0002-0000-0800-00000C000000}">
      <formula1>"Yes,No"</formula1>
    </dataValidation>
    <dataValidation type="list" allowBlank="1" sqref="I3" xr:uid="{00000000-0002-0000-0800-00000D000000}">
      <formula1>"Y,T,Cross,Star,Straight,Curve,Roundabout"</formula1>
    </dataValidation>
    <dataValidation type="list" allowBlank="1" sqref="L3" xr:uid="{00000000-0002-0000-0800-00000E000000}">
      <formula1>"Traffic Signal,Stop Sign,Other,None"</formula1>
    </dataValidation>
    <dataValidation type="list" allowBlank="1" sqref="AC3:AC38" xr:uid="{00000000-0002-0000-0800-00000F000000}">
      <formula1>"Lingyu Meng 孟凌宇,Zhiwen Wang 王志文,Da Xu 徐达,Hepeng Wang 王贺鹏,Zhiang Shen 申志昂,Wei Jin 靳伟"</formula1>
    </dataValidation>
    <dataValidation type="list" allowBlank="1" sqref="K3" xr:uid="{00000000-0002-0000-0800-000010000000}">
      <formula1>"Multi-Lane Dual-Way,10 Lane 1 Way,9 Lane 1 Way,8 Lane 1 Way,7 Lane 1 Way,6 Lane 1 Way,5 Lane 1 Way,4 Lane 1 Way,3 Lane 1 Way,2 Lane 1 Way,1 Lane 1 Way,10 Lane 2 Way,9 Lane 2 Way,8 Lane 2 Way,7 Lane 2 Way,6 Lane 2 Way,5 Lane 2 Way,4 Lane 2 Way,3 Lane 2 Way"&amp;",2 Lane 2 Way"</formula1>
    </dataValidation>
    <dataValidation type="list" allowBlank="1" sqref="N3:N29" xr:uid="{00000000-0002-0000-0800-000011000000}">
      <formula1>"U Turn,Left Turn,Right Turn,Lane Change,Going Straight,Pull Over,Pull Out,Merge,Exit,Side Pass,Nudge,Continuous Lane Change,Backing Up,Stopped in Traffic Lane,Starting in Traffic Lane"</formula1>
    </dataValidation>
    <dataValidation type="list" allowBlank="1" sqref="O3" xr:uid="{00000000-0002-0000-0800-000012000000}">
      <formula1>"Car,Van,Truck,Trailer,Semitrailer,Bus,Motorbike,Bicycle,Train,Tram,Ambulance,Fire Truck,Police Car,Tricycle,Pedestrians,Wheelchair,Animal"</formula1>
    </dataValidation>
    <dataValidation type="list" allowBlank="1" sqref="AD3:AD39" xr:uid="{00000000-0002-0000-0800-000013000000}">
      <formula1>"commited,reviewing,fixing,done,skip"</formula1>
    </dataValidation>
  </dataValidations>
  <hyperlinks>
    <hyperlink ref="X3" r:id="rId1" xr:uid="{00000000-0004-0000-08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A1007"/>
  <sheetViews>
    <sheetView workbookViewId="0">
      <pane ySplit="1" topLeftCell="A2" activePane="bottomLeft" state="frozen"/>
      <selection pane="bottomLeft" activeCell="B3" sqref="B3"/>
    </sheetView>
  </sheetViews>
  <sheetFormatPr defaultColWidth="14.3984375" defaultRowHeight="15.75" customHeight="1"/>
  <cols>
    <col min="1" max="1" width="16.296875" customWidth="1"/>
    <col min="2" max="2" width="28.8984375" customWidth="1"/>
    <col min="3" max="3" width="12" customWidth="1"/>
    <col min="4" max="4" width="10.8984375" customWidth="1"/>
    <col min="5" max="5" width="22.296875" customWidth="1"/>
    <col min="6" max="6" width="22.09765625" customWidth="1"/>
    <col min="7" max="7" width="16.09765625" customWidth="1"/>
    <col min="8" max="8" width="20.09765625" customWidth="1"/>
    <col min="9" max="9" width="20.3984375" customWidth="1"/>
    <col min="10" max="10" width="58.296875" customWidth="1"/>
    <col min="11" max="11" width="19" customWidth="1"/>
  </cols>
  <sheetData>
    <row r="1" spans="1:27" ht="31">
      <c r="A1" s="129" t="s">
        <v>2340</v>
      </c>
      <c r="B1" s="130" t="s">
        <v>2341</v>
      </c>
      <c r="C1" s="131" t="s">
        <v>30</v>
      </c>
      <c r="D1" s="130" t="s">
        <v>2342</v>
      </c>
      <c r="E1" s="130" t="s">
        <v>2343</v>
      </c>
      <c r="F1" s="130" t="s">
        <v>2344</v>
      </c>
      <c r="G1" s="130" t="s">
        <v>29</v>
      </c>
      <c r="H1" s="130" t="s">
        <v>31</v>
      </c>
      <c r="I1" s="130" t="s">
        <v>2345</v>
      </c>
      <c r="J1" s="130" t="s">
        <v>32</v>
      </c>
      <c r="K1" s="130" t="s">
        <v>33</v>
      </c>
      <c r="L1" s="132"/>
      <c r="M1" s="132"/>
      <c r="N1" s="133"/>
      <c r="O1" s="133"/>
      <c r="P1" s="133"/>
      <c r="Q1" s="132"/>
      <c r="R1" s="132"/>
      <c r="S1" s="132"/>
      <c r="T1" s="132"/>
      <c r="U1" s="132"/>
      <c r="V1" s="132"/>
      <c r="W1" s="132"/>
      <c r="X1" s="132"/>
      <c r="Y1" s="132"/>
      <c r="Z1" s="132"/>
      <c r="AA1" s="132"/>
    </row>
    <row r="2" spans="1:27" ht="14">
      <c r="A2" s="22" t="s">
        <v>2346</v>
      </c>
      <c r="B2" s="134" t="s">
        <v>1187</v>
      </c>
      <c r="C2" s="22" t="s">
        <v>71</v>
      </c>
      <c r="D2" s="120">
        <v>44213</v>
      </c>
      <c r="E2" s="25"/>
      <c r="F2" s="25"/>
      <c r="G2" s="22" t="s">
        <v>478</v>
      </c>
      <c r="H2" s="22" t="s">
        <v>244</v>
      </c>
      <c r="I2" s="25"/>
      <c r="J2" s="22" t="s">
        <v>2347</v>
      </c>
    </row>
    <row r="3" spans="1:27" ht="14">
      <c r="A3" s="22" t="s">
        <v>2346</v>
      </c>
      <c r="B3" s="134" t="s">
        <v>1194</v>
      </c>
      <c r="C3" s="22" t="s">
        <v>71</v>
      </c>
      <c r="D3" s="120">
        <v>44213</v>
      </c>
      <c r="E3" s="25"/>
      <c r="F3" s="25"/>
      <c r="G3" s="22" t="s">
        <v>478</v>
      </c>
      <c r="H3" s="22" t="s">
        <v>72</v>
      </c>
      <c r="I3" s="25"/>
    </row>
    <row r="4" spans="1:27" ht="14">
      <c r="A4" s="22" t="s">
        <v>2346</v>
      </c>
      <c r="B4" s="134" t="s">
        <v>1210</v>
      </c>
      <c r="C4" s="22" t="s">
        <v>71</v>
      </c>
      <c r="D4" s="120">
        <v>44573</v>
      </c>
      <c r="E4" s="22" t="s">
        <v>2348</v>
      </c>
      <c r="F4" s="25"/>
      <c r="G4" s="22" t="s">
        <v>478</v>
      </c>
      <c r="H4" s="22" t="s">
        <v>350</v>
      </c>
      <c r="I4" s="25"/>
      <c r="J4" s="22" t="s">
        <v>2349</v>
      </c>
      <c r="K4" s="22" t="s">
        <v>217</v>
      </c>
    </row>
    <row r="5" spans="1:27" ht="14">
      <c r="A5" s="22" t="s">
        <v>2346</v>
      </c>
      <c r="B5" s="134" t="s">
        <v>2160</v>
      </c>
      <c r="C5" s="22" t="s">
        <v>71</v>
      </c>
      <c r="D5" s="120">
        <v>44213</v>
      </c>
      <c r="E5" s="25"/>
      <c r="F5" s="25"/>
      <c r="G5" s="22" t="s">
        <v>478</v>
      </c>
      <c r="H5" s="22" t="s">
        <v>73</v>
      </c>
      <c r="I5" s="25"/>
    </row>
    <row r="6" spans="1:27" ht="14">
      <c r="A6" s="22" t="s">
        <v>2346</v>
      </c>
      <c r="B6" s="134" t="s">
        <v>1824</v>
      </c>
      <c r="C6" s="22" t="s">
        <v>71</v>
      </c>
      <c r="E6" s="25"/>
      <c r="F6" s="25"/>
      <c r="G6" s="22" t="s">
        <v>928</v>
      </c>
      <c r="H6" s="22" t="s">
        <v>478</v>
      </c>
      <c r="I6" s="25"/>
    </row>
    <row r="7" spans="1:27" ht="14">
      <c r="A7" s="22" t="s">
        <v>2346</v>
      </c>
      <c r="B7" s="134" t="s">
        <v>1448</v>
      </c>
      <c r="C7" s="22" t="s">
        <v>71</v>
      </c>
      <c r="E7" s="25"/>
      <c r="F7" s="25"/>
      <c r="G7" s="22" t="s">
        <v>928</v>
      </c>
      <c r="H7" s="22" t="s">
        <v>72</v>
      </c>
      <c r="I7" s="25"/>
    </row>
    <row r="8" spans="1:27" ht="14">
      <c r="A8" s="22" t="s">
        <v>2346</v>
      </c>
      <c r="B8" s="134" t="s">
        <v>1452</v>
      </c>
      <c r="C8" s="22" t="s">
        <v>71</v>
      </c>
      <c r="D8" s="120">
        <v>44573</v>
      </c>
      <c r="E8" s="22" t="s">
        <v>2348</v>
      </c>
      <c r="F8" s="25"/>
      <c r="G8" s="22" t="s">
        <v>928</v>
      </c>
      <c r="H8" s="22" t="s">
        <v>350</v>
      </c>
      <c r="I8" s="25"/>
      <c r="J8" s="22" t="s">
        <v>2350</v>
      </c>
    </row>
    <row r="9" spans="1:27" ht="14">
      <c r="A9" s="22" t="s">
        <v>2351</v>
      </c>
      <c r="B9" s="134" t="s">
        <v>46</v>
      </c>
      <c r="C9" s="22" t="s">
        <v>71</v>
      </c>
      <c r="D9" s="120"/>
      <c r="E9" s="25"/>
      <c r="F9" s="25"/>
      <c r="G9" s="22" t="s">
        <v>73</v>
      </c>
      <c r="H9" s="22" t="s">
        <v>741</v>
      </c>
      <c r="I9" s="25"/>
      <c r="J9" s="22" t="s">
        <v>2352</v>
      </c>
    </row>
    <row r="10" spans="1:27" ht="14">
      <c r="A10" s="22" t="s">
        <v>2351</v>
      </c>
      <c r="B10" s="135" t="s">
        <v>1540</v>
      </c>
      <c r="C10" s="22" t="s">
        <v>71</v>
      </c>
      <c r="E10" s="25"/>
      <c r="F10" s="25"/>
      <c r="G10" s="22" t="s">
        <v>73</v>
      </c>
      <c r="H10" s="22" t="s">
        <v>741</v>
      </c>
      <c r="I10" s="25"/>
    </row>
    <row r="11" spans="1:27" ht="14">
      <c r="A11" s="22" t="s">
        <v>2351</v>
      </c>
      <c r="B11" s="135" t="s">
        <v>1525</v>
      </c>
      <c r="C11" s="22" t="s">
        <v>71</v>
      </c>
      <c r="E11" s="25"/>
      <c r="F11" s="25"/>
      <c r="G11" s="22" t="s">
        <v>73</v>
      </c>
      <c r="H11" s="22" t="s">
        <v>741</v>
      </c>
      <c r="I11" s="25"/>
    </row>
    <row r="12" spans="1:27" ht="14">
      <c r="A12" s="22" t="s">
        <v>2351</v>
      </c>
      <c r="B12" s="135" t="s">
        <v>1544</v>
      </c>
      <c r="C12" s="22" t="s">
        <v>71</v>
      </c>
      <c r="E12" s="25"/>
      <c r="F12" s="25"/>
      <c r="G12" s="22" t="s">
        <v>73</v>
      </c>
      <c r="H12" s="22" t="s">
        <v>741</v>
      </c>
      <c r="I12" s="25"/>
    </row>
    <row r="13" spans="1:27" ht="14">
      <c r="A13" s="22" t="s">
        <v>2351</v>
      </c>
      <c r="B13" s="134" t="s">
        <v>1529</v>
      </c>
      <c r="C13" s="22" t="s">
        <v>71</v>
      </c>
      <c r="E13" s="25"/>
      <c r="F13" s="25"/>
      <c r="G13" s="22" t="s">
        <v>73</v>
      </c>
      <c r="H13" s="22" t="s">
        <v>741</v>
      </c>
      <c r="I13" s="25"/>
      <c r="J13" s="22" t="s">
        <v>2353</v>
      </c>
    </row>
    <row r="14" spans="1:27" ht="14">
      <c r="A14" s="22" t="s">
        <v>2351</v>
      </c>
      <c r="B14" s="134" t="s">
        <v>1135</v>
      </c>
      <c r="C14" s="22" t="s">
        <v>71</v>
      </c>
      <c r="E14" s="25"/>
      <c r="F14" s="25"/>
      <c r="G14" s="22" t="s">
        <v>478</v>
      </c>
      <c r="H14" s="22" t="s">
        <v>804</v>
      </c>
      <c r="I14" s="25"/>
    </row>
    <row r="15" spans="1:27" ht="14">
      <c r="A15" s="22" t="s">
        <v>2351</v>
      </c>
      <c r="B15" s="134" t="s">
        <v>1151</v>
      </c>
      <c r="C15" s="22" t="s">
        <v>71</v>
      </c>
      <c r="E15" s="25"/>
      <c r="F15" s="25"/>
      <c r="G15" s="22" t="s">
        <v>478</v>
      </c>
      <c r="H15" s="22" t="s">
        <v>804</v>
      </c>
      <c r="I15" s="25"/>
    </row>
    <row r="16" spans="1:27" ht="14">
      <c r="A16" s="22" t="s">
        <v>2351</v>
      </c>
      <c r="B16" s="134" t="s">
        <v>1181</v>
      </c>
      <c r="C16" s="22" t="s">
        <v>71</v>
      </c>
      <c r="E16" s="25"/>
      <c r="F16" s="25"/>
      <c r="G16" s="22" t="s">
        <v>478</v>
      </c>
      <c r="H16" s="22" t="s">
        <v>804</v>
      </c>
      <c r="I16" s="25"/>
    </row>
    <row r="17" spans="1:11" ht="14">
      <c r="A17" s="22" t="s">
        <v>2351</v>
      </c>
      <c r="B17" s="134" t="s">
        <v>1158</v>
      </c>
      <c r="C17" s="22" t="s">
        <v>71</v>
      </c>
      <c r="E17" s="25"/>
      <c r="F17" s="25"/>
      <c r="G17" s="22" t="s">
        <v>478</v>
      </c>
      <c r="H17" s="22" t="s">
        <v>804</v>
      </c>
      <c r="I17" s="25"/>
    </row>
    <row r="18" spans="1:11" ht="14">
      <c r="A18" s="22" t="s">
        <v>2351</v>
      </c>
      <c r="B18" s="134" t="s">
        <v>1687</v>
      </c>
      <c r="C18" s="22" t="s">
        <v>71</v>
      </c>
      <c r="E18" s="25"/>
      <c r="F18" s="25"/>
      <c r="G18" s="22" t="s">
        <v>669</v>
      </c>
      <c r="H18" s="22" t="s">
        <v>804</v>
      </c>
      <c r="I18" s="25"/>
    </row>
    <row r="19" spans="1:11" ht="54" customHeight="1">
      <c r="A19" s="22" t="s">
        <v>2351</v>
      </c>
      <c r="B19" s="134" t="s">
        <v>742</v>
      </c>
      <c r="C19" s="22" t="s">
        <v>71</v>
      </c>
      <c r="E19" s="25"/>
      <c r="F19" s="25"/>
      <c r="G19" s="22" t="s">
        <v>669</v>
      </c>
      <c r="H19" s="22" t="s">
        <v>859</v>
      </c>
      <c r="I19" s="25"/>
      <c r="J19" s="22" t="s">
        <v>2354</v>
      </c>
      <c r="K19" s="22" t="s">
        <v>2355</v>
      </c>
    </row>
    <row r="20" spans="1:11" ht="14">
      <c r="A20" s="22" t="s">
        <v>2351</v>
      </c>
      <c r="B20" s="134" t="s">
        <v>747</v>
      </c>
      <c r="C20" s="22" t="s">
        <v>71</v>
      </c>
      <c r="E20" s="25"/>
      <c r="F20" s="25"/>
      <c r="G20" s="22" t="s">
        <v>669</v>
      </c>
      <c r="H20" s="22" t="s">
        <v>859</v>
      </c>
      <c r="I20" s="25"/>
      <c r="J20" s="22" t="s">
        <v>2356</v>
      </c>
    </row>
    <row r="21" spans="1:11" ht="14">
      <c r="A21" s="22" t="s">
        <v>2351</v>
      </c>
      <c r="B21" s="134" t="s">
        <v>752</v>
      </c>
      <c r="C21" s="22" t="s">
        <v>71</v>
      </c>
      <c r="E21" s="25"/>
      <c r="F21" s="25"/>
      <c r="G21" s="22" t="s">
        <v>669</v>
      </c>
      <c r="H21" s="22" t="s">
        <v>859</v>
      </c>
      <c r="I21" s="25"/>
      <c r="J21" s="22" t="s">
        <v>2357</v>
      </c>
      <c r="K21" s="22" t="s">
        <v>2358</v>
      </c>
    </row>
    <row r="22" spans="1:11" ht="14">
      <c r="A22" s="22" t="s">
        <v>2351</v>
      </c>
      <c r="B22" s="134" t="s">
        <v>989</v>
      </c>
      <c r="C22" s="22" t="s">
        <v>71</v>
      </c>
      <c r="E22" s="25"/>
      <c r="F22" s="25"/>
      <c r="G22" s="22" t="s">
        <v>928</v>
      </c>
      <c r="H22" s="22" t="s">
        <v>859</v>
      </c>
      <c r="I22" s="25"/>
      <c r="J22" s="22" t="s">
        <v>2359</v>
      </c>
    </row>
    <row r="23" spans="1:11" ht="19.5" customHeight="1">
      <c r="A23" s="22" t="s">
        <v>2351</v>
      </c>
      <c r="B23" s="134" t="s">
        <v>994</v>
      </c>
      <c r="C23" s="22" t="s">
        <v>71</v>
      </c>
      <c r="E23" s="25"/>
      <c r="F23" s="25"/>
      <c r="G23" s="22" t="s">
        <v>928</v>
      </c>
      <c r="H23" s="22" t="s">
        <v>669</v>
      </c>
      <c r="I23" s="25"/>
      <c r="J23" s="22" t="s">
        <v>2360</v>
      </c>
    </row>
    <row r="24" spans="1:11" ht="19.5" customHeight="1">
      <c r="A24" s="22" t="s">
        <v>2351</v>
      </c>
      <c r="B24" s="134" t="s">
        <v>998</v>
      </c>
      <c r="C24" s="22" t="s">
        <v>71</v>
      </c>
      <c r="E24" s="25"/>
      <c r="F24" s="25"/>
      <c r="G24" s="22" t="s">
        <v>928</v>
      </c>
      <c r="H24" s="22" t="s">
        <v>669</v>
      </c>
      <c r="I24" s="25"/>
      <c r="J24" s="22" t="s">
        <v>2361</v>
      </c>
    </row>
    <row r="25" spans="1:11" ht="14">
      <c r="A25" s="22" t="s">
        <v>2351</v>
      </c>
      <c r="B25" s="134" t="s">
        <v>1003</v>
      </c>
      <c r="C25" s="22" t="s">
        <v>71</v>
      </c>
      <c r="E25" s="25"/>
      <c r="F25" s="25"/>
      <c r="G25" s="22" t="s">
        <v>928</v>
      </c>
      <c r="H25" s="22" t="s">
        <v>669</v>
      </c>
      <c r="I25" s="25"/>
      <c r="J25" s="22" t="s">
        <v>2362</v>
      </c>
    </row>
    <row r="26" spans="1:11" ht="14">
      <c r="A26" s="22" t="s">
        <v>2351</v>
      </c>
      <c r="B26" s="134" t="s">
        <v>897</v>
      </c>
      <c r="C26" s="22" t="s">
        <v>71</v>
      </c>
      <c r="E26" s="25"/>
      <c r="F26" s="25"/>
      <c r="G26" s="22" t="s">
        <v>804</v>
      </c>
      <c r="H26" s="22" t="s">
        <v>669</v>
      </c>
      <c r="I26" s="25"/>
      <c r="J26" s="44" t="s">
        <v>2363</v>
      </c>
    </row>
    <row r="27" spans="1:11" ht="14">
      <c r="A27" s="22" t="s">
        <v>2351</v>
      </c>
      <c r="B27" s="134" t="s">
        <v>1330</v>
      </c>
      <c r="C27" s="22" t="s">
        <v>71</v>
      </c>
      <c r="E27" s="25"/>
      <c r="F27" s="25"/>
      <c r="G27" s="22" t="s">
        <v>804</v>
      </c>
      <c r="H27" s="22" t="s">
        <v>669</v>
      </c>
      <c r="I27" s="25"/>
      <c r="J27" s="22" t="s">
        <v>2364</v>
      </c>
    </row>
    <row r="28" spans="1:11" ht="14">
      <c r="A28" s="22" t="s">
        <v>2351</v>
      </c>
      <c r="B28" s="134" t="s">
        <v>1639</v>
      </c>
      <c r="C28" s="22" t="s">
        <v>71</v>
      </c>
      <c r="E28" s="25"/>
      <c r="F28" s="25"/>
      <c r="G28" s="22" t="s">
        <v>804</v>
      </c>
      <c r="H28" s="22" t="s">
        <v>928</v>
      </c>
      <c r="I28" s="25"/>
      <c r="J28" s="22" t="s">
        <v>2365</v>
      </c>
    </row>
    <row r="29" spans="1:11" ht="14">
      <c r="A29" s="22" t="s">
        <v>2351</v>
      </c>
      <c r="B29" s="134" t="s">
        <v>903</v>
      </c>
      <c r="C29" s="22" t="s">
        <v>71</v>
      </c>
      <c r="E29" s="25"/>
      <c r="F29" s="25"/>
      <c r="G29" s="22" t="s">
        <v>804</v>
      </c>
      <c r="H29" s="22" t="s">
        <v>928</v>
      </c>
      <c r="I29" s="25"/>
    </row>
    <row r="30" spans="1:11" ht="14">
      <c r="A30" s="22" t="s">
        <v>2351</v>
      </c>
      <c r="B30" s="134" t="s">
        <v>1398</v>
      </c>
      <c r="C30" s="22" t="s">
        <v>71</v>
      </c>
      <c r="E30" s="25"/>
      <c r="F30" s="25"/>
      <c r="G30" s="22" t="s">
        <v>741</v>
      </c>
      <c r="H30" s="22" t="s">
        <v>928</v>
      </c>
      <c r="I30" s="25"/>
      <c r="J30" s="22" t="s">
        <v>2366</v>
      </c>
    </row>
    <row r="31" spans="1:11" ht="14">
      <c r="A31" s="22" t="s">
        <v>2351</v>
      </c>
      <c r="B31" s="134" t="s">
        <v>730</v>
      </c>
      <c r="C31" s="22" t="s">
        <v>71</v>
      </c>
      <c r="E31" s="25"/>
      <c r="F31" s="25"/>
      <c r="G31" s="22" t="s">
        <v>741</v>
      </c>
      <c r="H31" s="22" t="s">
        <v>928</v>
      </c>
      <c r="I31" s="25"/>
      <c r="J31" s="22" t="s">
        <v>2367</v>
      </c>
    </row>
    <row r="32" spans="1:11" ht="14">
      <c r="A32" s="22" t="s">
        <v>2351</v>
      </c>
      <c r="B32" s="134" t="s">
        <v>1423</v>
      </c>
      <c r="C32" s="22" t="s">
        <v>71</v>
      </c>
      <c r="E32" s="25"/>
      <c r="F32" s="25"/>
      <c r="G32" s="22" t="s">
        <v>741</v>
      </c>
      <c r="H32" s="22" t="s">
        <v>928</v>
      </c>
      <c r="I32" s="25"/>
      <c r="J32" s="22" t="s">
        <v>2368</v>
      </c>
    </row>
    <row r="33" spans="3:9" ht="13">
      <c r="C33" s="25"/>
      <c r="E33" s="25"/>
      <c r="F33" s="25"/>
      <c r="G33" s="25"/>
      <c r="H33" s="25"/>
      <c r="I33" s="25"/>
    </row>
    <row r="41" spans="3:9" ht="13">
      <c r="C41" s="25"/>
      <c r="E41" s="25"/>
      <c r="F41" s="25"/>
      <c r="G41" s="25"/>
      <c r="H41" s="25"/>
      <c r="I41" s="25"/>
    </row>
    <row r="42" spans="3:9" ht="13">
      <c r="C42" s="25"/>
      <c r="E42" s="25"/>
      <c r="F42" s="25"/>
      <c r="G42" s="25"/>
      <c r="H42" s="25"/>
      <c r="I42" s="25"/>
    </row>
    <row r="43" spans="3:9" ht="13">
      <c r="C43" s="25"/>
      <c r="E43" s="25"/>
      <c r="F43" s="25"/>
      <c r="G43" s="25"/>
      <c r="H43" s="25"/>
      <c r="I43" s="25"/>
    </row>
    <row r="44" spans="3:9" ht="13">
      <c r="C44" s="25"/>
      <c r="E44" s="25"/>
      <c r="F44" s="25"/>
      <c r="G44" s="25"/>
      <c r="H44" s="25"/>
      <c r="I44" s="25"/>
    </row>
    <row r="45" spans="3:9" ht="13">
      <c r="C45" s="25"/>
      <c r="E45" s="25"/>
      <c r="F45" s="25"/>
      <c r="G45" s="25"/>
      <c r="H45" s="25"/>
      <c r="I45" s="25"/>
    </row>
    <row r="46" spans="3:9" ht="13">
      <c r="C46" s="25"/>
      <c r="E46" s="25"/>
      <c r="F46" s="25"/>
      <c r="G46" s="25"/>
      <c r="H46" s="25"/>
      <c r="I46" s="25"/>
    </row>
    <row r="47" spans="3:9" ht="13">
      <c r="C47" s="25"/>
      <c r="E47" s="25"/>
      <c r="F47" s="25"/>
      <c r="G47" s="25"/>
      <c r="H47" s="25"/>
      <c r="I47" s="25"/>
    </row>
    <row r="48" spans="3:9" ht="13">
      <c r="C48" s="25"/>
      <c r="E48" s="25"/>
      <c r="F48" s="25"/>
      <c r="G48" s="25"/>
      <c r="H48" s="25"/>
      <c r="I48" s="25"/>
    </row>
    <row r="49" spans="3:9" ht="13">
      <c r="C49" s="25"/>
      <c r="E49" s="25"/>
      <c r="F49" s="25"/>
      <c r="G49" s="25"/>
      <c r="H49" s="25"/>
      <c r="I49" s="25"/>
    </row>
    <row r="50" spans="3:9" ht="13">
      <c r="C50" s="25"/>
      <c r="E50" s="25"/>
      <c r="F50" s="25"/>
      <c r="G50" s="25"/>
      <c r="H50" s="25"/>
      <c r="I50" s="25"/>
    </row>
    <row r="51" spans="3:9" ht="13">
      <c r="C51" s="25"/>
      <c r="E51" s="25"/>
      <c r="F51" s="25"/>
      <c r="G51" s="25"/>
      <c r="H51" s="25"/>
      <c r="I51" s="25"/>
    </row>
    <row r="52" spans="3:9" ht="13">
      <c r="C52" s="25"/>
      <c r="E52" s="25"/>
      <c r="F52" s="25"/>
      <c r="G52" s="25"/>
      <c r="H52" s="25"/>
      <c r="I52" s="25"/>
    </row>
    <row r="53" spans="3:9" ht="13">
      <c r="C53" s="25"/>
      <c r="E53" s="25"/>
      <c r="F53" s="25"/>
      <c r="G53" s="25"/>
      <c r="H53" s="25"/>
      <c r="I53" s="25"/>
    </row>
    <row r="54" spans="3:9" ht="13">
      <c r="C54" s="25"/>
      <c r="E54" s="25"/>
      <c r="F54" s="25"/>
      <c r="G54" s="25"/>
      <c r="H54" s="25"/>
      <c r="I54" s="25"/>
    </row>
    <row r="55" spans="3:9" ht="13">
      <c r="C55" s="25"/>
      <c r="E55" s="25"/>
      <c r="F55" s="25"/>
      <c r="G55" s="25"/>
      <c r="H55" s="25"/>
      <c r="I55" s="25"/>
    </row>
    <row r="56" spans="3:9" ht="13">
      <c r="C56" s="25"/>
      <c r="E56" s="25"/>
      <c r="F56" s="25"/>
      <c r="G56" s="25"/>
      <c r="H56" s="25"/>
      <c r="I56" s="25"/>
    </row>
    <row r="57" spans="3:9" ht="13">
      <c r="C57" s="25"/>
      <c r="E57" s="25"/>
      <c r="F57" s="25"/>
      <c r="G57" s="25"/>
      <c r="H57" s="25"/>
      <c r="I57" s="25"/>
    </row>
    <row r="58" spans="3:9" ht="13">
      <c r="C58" s="25"/>
      <c r="E58" s="25"/>
      <c r="F58" s="25"/>
      <c r="G58" s="25"/>
      <c r="H58" s="25"/>
      <c r="I58" s="25"/>
    </row>
    <row r="59" spans="3:9" ht="13">
      <c r="C59" s="25"/>
      <c r="E59" s="25"/>
      <c r="F59" s="25"/>
      <c r="G59" s="25"/>
      <c r="H59" s="25"/>
      <c r="I59" s="25"/>
    </row>
    <row r="60" spans="3:9" ht="13">
      <c r="C60" s="25"/>
      <c r="E60" s="25"/>
      <c r="F60" s="25"/>
      <c r="G60" s="25"/>
      <c r="H60" s="25"/>
      <c r="I60" s="25"/>
    </row>
    <row r="61" spans="3:9" ht="13">
      <c r="C61" s="25"/>
      <c r="E61" s="25"/>
      <c r="F61" s="25"/>
      <c r="G61" s="25"/>
      <c r="H61" s="25"/>
      <c r="I61" s="25"/>
    </row>
    <row r="62" spans="3:9" ht="13">
      <c r="C62" s="25"/>
      <c r="E62" s="25"/>
      <c r="F62" s="25"/>
      <c r="G62" s="25"/>
      <c r="H62" s="25"/>
      <c r="I62" s="25"/>
    </row>
    <row r="63" spans="3:9" ht="13">
      <c r="C63" s="25"/>
      <c r="E63" s="25"/>
      <c r="F63" s="25"/>
      <c r="G63" s="25"/>
      <c r="H63" s="25"/>
      <c r="I63" s="25"/>
    </row>
    <row r="64" spans="3:9" ht="13">
      <c r="C64" s="25"/>
      <c r="E64" s="25"/>
      <c r="F64" s="25"/>
      <c r="G64" s="25"/>
      <c r="H64" s="25"/>
      <c r="I64" s="25"/>
    </row>
    <row r="65" spans="3:9" ht="13">
      <c r="C65" s="25"/>
      <c r="E65" s="25"/>
      <c r="F65" s="25"/>
      <c r="G65" s="25"/>
      <c r="H65" s="25"/>
      <c r="I65" s="25"/>
    </row>
    <row r="66" spans="3:9" ht="13">
      <c r="C66" s="25"/>
      <c r="E66" s="25"/>
      <c r="F66" s="25"/>
      <c r="G66" s="25"/>
      <c r="H66" s="25"/>
      <c r="I66" s="25"/>
    </row>
    <row r="67" spans="3:9" ht="13">
      <c r="C67" s="25"/>
      <c r="E67" s="25"/>
      <c r="F67" s="25"/>
      <c r="G67" s="25"/>
      <c r="H67" s="25"/>
      <c r="I67" s="25"/>
    </row>
    <row r="68" spans="3:9" ht="13">
      <c r="C68" s="25"/>
      <c r="E68" s="25"/>
      <c r="F68" s="25"/>
      <c r="G68" s="25"/>
      <c r="H68" s="25"/>
      <c r="I68" s="25"/>
    </row>
    <row r="69" spans="3:9" ht="13">
      <c r="C69" s="25"/>
      <c r="E69" s="25"/>
      <c r="F69" s="25"/>
      <c r="G69" s="25"/>
      <c r="H69" s="25"/>
      <c r="I69" s="25"/>
    </row>
    <row r="70" spans="3:9" ht="13">
      <c r="C70" s="25"/>
      <c r="E70" s="25"/>
      <c r="F70" s="25"/>
      <c r="G70" s="25"/>
      <c r="H70" s="25"/>
      <c r="I70" s="25"/>
    </row>
    <row r="71" spans="3:9" ht="13">
      <c r="C71" s="25"/>
      <c r="E71" s="25"/>
      <c r="F71" s="25"/>
      <c r="G71" s="25"/>
      <c r="H71" s="25"/>
      <c r="I71" s="25"/>
    </row>
    <row r="72" spans="3:9" ht="13">
      <c r="C72" s="25"/>
      <c r="E72" s="25"/>
      <c r="F72" s="25"/>
      <c r="G72" s="25"/>
      <c r="H72" s="25"/>
      <c r="I72" s="25"/>
    </row>
    <row r="73" spans="3:9" ht="13">
      <c r="C73" s="25"/>
      <c r="E73" s="25"/>
      <c r="F73" s="25"/>
      <c r="G73" s="25"/>
      <c r="H73" s="25"/>
      <c r="I73" s="25"/>
    </row>
    <row r="74" spans="3:9" ht="13">
      <c r="C74" s="25"/>
      <c r="E74" s="25"/>
      <c r="F74" s="25"/>
      <c r="G74" s="25"/>
      <c r="H74" s="25"/>
      <c r="I74" s="25"/>
    </row>
    <row r="75" spans="3:9" ht="13">
      <c r="C75" s="25"/>
      <c r="E75" s="25"/>
      <c r="F75" s="25"/>
      <c r="G75" s="25"/>
      <c r="H75" s="25"/>
      <c r="I75" s="25"/>
    </row>
    <row r="76" spans="3:9" ht="13">
      <c r="C76" s="25"/>
      <c r="E76" s="25"/>
      <c r="F76" s="25"/>
      <c r="G76" s="25"/>
      <c r="H76" s="25"/>
      <c r="I76" s="25"/>
    </row>
    <row r="77" spans="3:9" ht="13">
      <c r="C77" s="25"/>
      <c r="E77" s="25"/>
      <c r="F77" s="25"/>
      <c r="G77" s="25"/>
      <c r="H77" s="25"/>
      <c r="I77" s="25"/>
    </row>
    <row r="78" spans="3:9" ht="13">
      <c r="C78" s="25"/>
      <c r="E78" s="25"/>
      <c r="F78" s="25"/>
      <c r="G78" s="25"/>
      <c r="H78" s="25"/>
      <c r="I78" s="25"/>
    </row>
    <row r="79" spans="3:9" ht="13">
      <c r="C79" s="25"/>
      <c r="E79" s="25"/>
      <c r="F79" s="25"/>
      <c r="G79" s="25"/>
      <c r="H79" s="25"/>
      <c r="I79" s="25"/>
    </row>
    <row r="80" spans="3:9" ht="13">
      <c r="C80" s="25"/>
      <c r="E80" s="25"/>
      <c r="F80" s="25"/>
      <c r="G80" s="25"/>
      <c r="H80" s="25"/>
      <c r="I80" s="25"/>
    </row>
    <row r="81" spans="3:9" ht="13">
      <c r="C81" s="25"/>
      <c r="E81" s="25"/>
      <c r="F81" s="25"/>
      <c r="G81" s="25"/>
      <c r="H81" s="25"/>
      <c r="I81" s="25"/>
    </row>
    <row r="82" spans="3:9" ht="13">
      <c r="C82" s="25"/>
      <c r="E82" s="25"/>
      <c r="F82" s="25"/>
      <c r="G82" s="25"/>
      <c r="H82" s="25"/>
      <c r="I82" s="25"/>
    </row>
    <row r="83" spans="3:9" ht="13">
      <c r="C83" s="25"/>
      <c r="E83" s="25"/>
      <c r="F83" s="25"/>
      <c r="G83" s="25"/>
      <c r="H83" s="25"/>
      <c r="I83" s="25"/>
    </row>
    <row r="84" spans="3:9" ht="13">
      <c r="C84" s="25"/>
      <c r="E84" s="25"/>
      <c r="F84" s="25"/>
      <c r="G84" s="25"/>
      <c r="H84" s="25"/>
      <c r="I84" s="25"/>
    </row>
    <row r="85" spans="3:9" ht="13">
      <c r="C85" s="25"/>
      <c r="E85" s="25"/>
      <c r="F85" s="25"/>
      <c r="G85" s="25"/>
      <c r="H85" s="25"/>
      <c r="I85" s="25"/>
    </row>
    <row r="86" spans="3:9" ht="13">
      <c r="C86" s="25"/>
      <c r="E86" s="25"/>
      <c r="F86" s="25"/>
      <c r="G86" s="25"/>
      <c r="H86" s="25"/>
      <c r="I86" s="25"/>
    </row>
    <row r="87" spans="3:9" ht="13">
      <c r="C87" s="25"/>
      <c r="E87" s="25"/>
      <c r="F87" s="25"/>
      <c r="G87" s="25"/>
      <c r="H87" s="25"/>
      <c r="I87" s="25"/>
    </row>
    <row r="88" spans="3:9" ht="13">
      <c r="C88" s="25"/>
      <c r="E88" s="25"/>
      <c r="F88" s="25"/>
      <c r="G88" s="25"/>
      <c r="H88" s="25"/>
      <c r="I88" s="25"/>
    </row>
    <row r="89" spans="3:9" ht="13">
      <c r="C89" s="25"/>
      <c r="E89" s="25"/>
      <c r="F89" s="25"/>
      <c r="G89" s="25"/>
      <c r="H89" s="25"/>
      <c r="I89" s="25"/>
    </row>
    <row r="90" spans="3:9" ht="13">
      <c r="C90" s="25"/>
      <c r="E90" s="25"/>
      <c r="F90" s="25"/>
      <c r="G90" s="25"/>
      <c r="H90" s="25"/>
      <c r="I90" s="25"/>
    </row>
    <row r="91" spans="3:9" ht="13">
      <c r="C91" s="25"/>
      <c r="E91" s="25"/>
      <c r="F91" s="25"/>
      <c r="G91" s="25"/>
      <c r="H91" s="25"/>
      <c r="I91" s="25"/>
    </row>
    <row r="92" spans="3:9" ht="13">
      <c r="C92" s="25"/>
      <c r="E92" s="25"/>
      <c r="F92" s="25"/>
      <c r="G92" s="25"/>
      <c r="H92" s="25"/>
      <c r="I92" s="25"/>
    </row>
    <row r="93" spans="3:9" ht="13">
      <c r="C93" s="25"/>
      <c r="E93" s="25"/>
      <c r="F93" s="25"/>
      <c r="G93" s="25"/>
      <c r="H93" s="25"/>
      <c r="I93" s="25"/>
    </row>
    <row r="94" spans="3:9" ht="13">
      <c r="C94" s="25"/>
      <c r="E94" s="25"/>
      <c r="F94" s="25"/>
      <c r="G94" s="25"/>
      <c r="H94" s="25"/>
      <c r="I94" s="25"/>
    </row>
    <row r="95" spans="3:9" ht="13">
      <c r="C95" s="25"/>
      <c r="E95" s="25"/>
      <c r="F95" s="25"/>
      <c r="G95" s="25"/>
      <c r="H95" s="25"/>
      <c r="I95" s="25"/>
    </row>
    <row r="96" spans="3:9" ht="13">
      <c r="C96" s="25"/>
      <c r="E96" s="25"/>
      <c r="F96" s="25"/>
      <c r="G96" s="25"/>
      <c r="H96" s="25"/>
      <c r="I96" s="25"/>
    </row>
    <row r="97" spans="3:9" ht="13">
      <c r="C97" s="25"/>
      <c r="E97" s="25"/>
      <c r="F97" s="25"/>
      <c r="G97" s="25"/>
      <c r="H97" s="25"/>
      <c r="I97" s="25"/>
    </row>
    <row r="98" spans="3:9" ht="13">
      <c r="C98" s="25"/>
      <c r="E98" s="25"/>
      <c r="F98" s="25"/>
      <c r="G98" s="25"/>
      <c r="H98" s="25"/>
      <c r="I98" s="25"/>
    </row>
    <row r="99" spans="3:9" ht="13">
      <c r="C99" s="25"/>
      <c r="E99" s="25"/>
      <c r="F99" s="25"/>
      <c r="G99" s="25"/>
      <c r="H99" s="25"/>
      <c r="I99" s="25"/>
    </row>
    <row r="100" spans="3:9" ht="13">
      <c r="C100" s="25"/>
      <c r="E100" s="25"/>
      <c r="F100" s="25"/>
      <c r="G100" s="25"/>
      <c r="H100" s="25"/>
      <c r="I100" s="25"/>
    </row>
    <row r="101" spans="3:9" ht="13">
      <c r="C101" s="25"/>
      <c r="E101" s="25"/>
      <c r="F101" s="25"/>
      <c r="G101" s="25"/>
      <c r="H101" s="25"/>
      <c r="I101" s="25"/>
    </row>
    <row r="102" spans="3:9" ht="13">
      <c r="C102" s="25"/>
      <c r="E102" s="25"/>
      <c r="F102" s="25"/>
      <c r="G102" s="25"/>
      <c r="H102" s="25"/>
      <c r="I102" s="25"/>
    </row>
    <row r="103" spans="3:9" ht="13">
      <c r="C103" s="25"/>
      <c r="E103" s="25"/>
      <c r="F103" s="25"/>
      <c r="G103" s="25"/>
      <c r="H103" s="25"/>
      <c r="I103" s="25"/>
    </row>
    <row r="104" spans="3:9" ht="13">
      <c r="C104" s="25"/>
      <c r="E104" s="25"/>
      <c r="F104" s="25"/>
      <c r="G104" s="25"/>
      <c r="H104" s="25"/>
      <c r="I104" s="25"/>
    </row>
    <row r="105" spans="3:9" ht="13">
      <c r="C105" s="25"/>
      <c r="E105" s="25"/>
      <c r="F105" s="25"/>
      <c r="G105" s="25"/>
      <c r="H105" s="25"/>
      <c r="I105" s="25"/>
    </row>
    <row r="106" spans="3:9" ht="13">
      <c r="C106" s="25"/>
      <c r="E106" s="25"/>
      <c r="F106" s="25"/>
      <c r="G106" s="25"/>
      <c r="H106" s="25"/>
      <c r="I106" s="25"/>
    </row>
    <row r="107" spans="3:9" ht="13">
      <c r="C107" s="25"/>
      <c r="E107" s="25"/>
      <c r="F107" s="25"/>
      <c r="G107" s="25"/>
      <c r="H107" s="25"/>
      <c r="I107" s="25"/>
    </row>
    <row r="108" spans="3:9" ht="13">
      <c r="C108" s="25"/>
      <c r="E108" s="25"/>
      <c r="F108" s="25"/>
      <c r="G108" s="25"/>
      <c r="H108" s="25"/>
      <c r="I108" s="25"/>
    </row>
    <row r="109" spans="3:9" ht="13">
      <c r="C109" s="25"/>
      <c r="E109" s="25"/>
      <c r="F109" s="25"/>
      <c r="G109" s="25"/>
      <c r="H109" s="25"/>
      <c r="I109" s="25"/>
    </row>
    <row r="110" spans="3:9" ht="13">
      <c r="C110" s="25"/>
      <c r="E110" s="25"/>
      <c r="F110" s="25"/>
      <c r="G110" s="25"/>
      <c r="H110" s="25"/>
      <c r="I110" s="25"/>
    </row>
    <row r="111" spans="3:9" ht="13">
      <c r="C111" s="25"/>
      <c r="E111" s="25"/>
      <c r="F111" s="25"/>
      <c r="G111" s="25"/>
      <c r="H111" s="25"/>
      <c r="I111" s="25"/>
    </row>
    <row r="112" spans="3:9" ht="13">
      <c r="C112" s="25"/>
      <c r="E112" s="25"/>
      <c r="F112" s="25"/>
      <c r="G112" s="25"/>
      <c r="H112" s="25"/>
      <c r="I112" s="25"/>
    </row>
    <row r="113" spans="3:9" ht="13">
      <c r="C113" s="25"/>
      <c r="E113" s="25"/>
      <c r="F113" s="25"/>
      <c r="G113" s="25"/>
      <c r="H113" s="25"/>
      <c r="I113" s="25"/>
    </row>
    <row r="114" spans="3:9" ht="13">
      <c r="C114" s="25"/>
      <c r="E114" s="25"/>
      <c r="F114" s="25"/>
      <c r="G114" s="25"/>
      <c r="H114" s="25"/>
      <c r="I114" s="25"/>
    </row>
    <row r="115" spans="3:9" ht="13">
      <c r="C115" s="25"/>
      <c r="E115" s="25"/>
      <c r="F115" s="25"/>
      <c r="G115" s="25"/>
      <c r="H115" s="25"/>
      <c r="I115" s="25"/>
    </row>
    <row r="116" spans="3:9" ht="13">
      <c r="C116" s="25"/>
      <c r="E116" s="25"/>
      <c r="F116" s="25"/>
      <c r="G116" s="25"/>
      <c r="H116" s="25"/>
      <c r="I116" s="25"/>
    </row>
    <row r="117" spans="3:9" ht="13">
      <c r="C117" s="25"/>
      <c r="E117" s="25"/>
      <c r="F117" s="25"/>
      <c r="G117" s="25"/>
      <c r="H117" s="25"/>
      <c r="I117" s="25"/>
    </row>
    <row r="118" spans="3:9" ht="13">
      <c r="C118" s="25"/>
      <c r="E118" s="25"/>
      <c r="F118" s="25"/>
      <c r="G118" s="25"/>
      <c r="H118" s="25"/>
      <c r="I118" s="25"/>
    </row>
    <row r="119" spans="3:9" ht="13">
      <c r="C119" s="25"/>
      <c r="E119" s="25"/>
      <c r="F119" s="25"/>
      <c r="G119" s="25"/>
      <c r="H119" s="25"/>
      <c r="I119" s="25"/>
    </row>
    <row r="120" spans="3:9" ht="13">
      <c r="C120" s="25"/>
      <c r="E120" s="25"/>
      <c r="F120" s="25"/>
      <c r="G120" s="25"/>
      <c r="H120" s="25"/>
      <c r="I120" s="25"/>
    </row>
    <row r="121" spans="3:9" ht="13">
      <c r="C121" s="25"/>
      <c r="E121" s="25"/>
      <c r="F121" s="25"/>
      <c r="G121" s="25"/>
      <c r="H121" s="25"/>
      <c r="I121" s="25"/>
    </row>
    <row r="122" spans="3:9" ht="13">
      <c r="C122" s="25"/>
      <c r="E122" s="25"/>
      <c r="F122" s="25"/>
      <c r="G122" s="25"/>
      <c r="H122" s="25"/>
      <c r="I122" s="25"/>
    </row>
    <row r="123" spans="3:9" ht="13">
      <c r="C123" s="25"/>
      <c r="E123" s="25"/>
      <c r="F123" s="25"/>
      <c r="G123" s="25"/>
      <c r="H123" s="25"/>
      <c r="I123" s="25"/>
    </row>
    <row r="124" spans="3:9" ht="13">
      <c r="C124" s="25"/>
      <c r="E124" s="25"/>
      <c r="F124" s="25"/>
      <c r="G124" s="25"/>
      <c r="H124" s="25"/>
      <c r="I124" s="25"/>
    </row>
    <row r="125" spans="3:9" ht="13">
      <c r="C125" s="25"/>
      <c r="E125" s="25"/>
      <c r="F125" s="25"/>
      <c r="G125" s="25"/>
      <c r="H125" s="25"/>
      <c r="I125" s="25"/>
    </row>
    <row r="126" spans="3:9" ht="13">
      <c r="C126" s="25"/>
      <c r="E126" s="25"/>
      <c r="F126" s="25"/>
      <c r="G126" s="25"/>
      <c r="H126" s="25"/>
      <c r="I126" s="25"/>
    </row>
    <row r="127" spans="3:9" ht="13">
      <c r="C127" s="25"/>
      <c r="E127" s="25"/>
      <c r="F127" s="25"/>
      <c r="G127" s="25"/>
      <c r="H127" s="25"/>
      <c r="I127" s="25"/>
    </row>
    <row r="128" spans="3:9" ht="13">
      <c r="C128" s="25"/>
      <c r="E128" s="25"/>
      <c r="F128" s="25"/>
      <c r="G128" s="25"/>
      <c r="H128" s="25"/>
      <c r="I128" s="25"/>
    </row>
    <row r="129" spans="3:9" ht="13">
      <c r="C129" s="25"/>
      <c r="E129" s="25"/>
      <c r="F129" s="25"/>
      <c r="G129" s="25"/>
      <c r="H129" s="25"/>
      <c r="I129" s="25"/>
    </row>
    <row r="130" spans="3:9" ht="13">
      <c r="C130" s="25"/>
      <c r="E130" s="25"/>
      <c r="F130" s="25"/>
      <c r="G130" s="25"/>
      <c r="H130" s="25"/>
      <c r="I130" s="25"/>
    </row>
    <row r="131" spans="3:9" ht="13">
      <c r="C131" s="25"/>
      <c r="E131" s="25"/>
      <c r="F131" s="25"/>
      <c r="G131" s="25"/>
      <c r="H131" s="25"/>
      <c r="I131" s="25"/>
    </row>
    <row r="132" spans="3:9" ht="13">
      <c r="C132" s="25"/>
      <c r="E132" s="25"/>
      <c r="F132" s="25"/>
      <c r="G132" s="25"/>
      <c r="H132" s="25"/>
      <c r="I132" s="25"/>
    </row>
    <row r="133" spans="3:9" ht="13">
      <c r="C133" s="25"/>
      <c r="E133" s="25"/>
      <c r="F133" s="25"/>
      <c r="G133" s="25"/>
      <c r="H133" s="25"/>
      <c r="I133" s="25"/>
    </row>
    <row r="134" spans="3:9" ht="13">
      <c r="C134" s="25"/>
      <c r="E134" s="25"/>
      <c r="F134" s="25"/>
      <c r="G134" s="25"/>
      <c r="H134" s="25"/>
      <c r="I134" s="25"/>
    </row>
    <row r="135" spans="3:9" ht="13">
      <c r="C135" s="25"/>
      <c r="E135" s="25"/>
      <c r="F135" s="25"/>
      <c r="G135" s="25"/>
      <c r="H135" s="25"/>
      <c r="I135" s="25"/>
    </row>
    <row r="136" spans="3:9" ht="13">
      <c r="C136" s="25"/>
      <c r="E136" s="25"/>
      <c r="F136" s="25"/>
      <c r="G136" s="25"/>
      <c r="H136" s="25"/>
      <c r="I136" s="25"/>
    </row>
    <row r="137" spans="3:9" ht="13">
      <c r="C137" s="25"/>
      <c r="E137" s="25"/>
      <c r="F137" s="25"/>
      <c r="G137" s="25"/>
      <c r="H137" s="25"/>
      <c r="I137" s="25"/>
    </row>
    <row r="138" spans="3:9" ht="13">
      <c r="C138" s="25"/>
      <c r="E138" s="25"/>
      <c r="F138" s="25"/>
      <c r="G138" s="25"/>
      <c r="H138" s="25"/>
      <c r="I138" s="25"/>
    </row>
    <row r="139" spans="3:9" ht="13">
      <c r="C139" s="25"/>
      <c r="E139" s="25"/>
      <c r="F139" s="25"/>
      <c r="G139" s="25"/>
      <c r="H139" s="25"/>
      <c r="I139" s="25"/>
    </row>
    <row r="140" spans="3:9" ht="13">
      <c r="C140" s="25"/>
      <c r="E140" s="25"/>
      <c r="F140" s="25"/>
      <c r="G140" s="25"/>
      <c r="H140" s="25"/>
      <c r="I140" s="25"/>
    </row>
    <row r="141" spans="3:9" ht="13">
      <c r="C141" s="25"/>
      <c r="E141" s="25"/>
      <c r="F141" s="25"/>
      <c r="G141" s="25"/>
      <c r="H141" s="25"/>
      <c r="I141" s="25"/>
    </row>
    <row r="142" spans="3:9" ht="13">
      <c r="C142" s="25"/>
      <c r="E142" s="25"/>
      <c r="F142" s="25"/>
      <c r="G142" s="25"/>
      <c r="H142" s="25"/>
      <c r="I142" s="25"/>
    </row>
    <row r="143" spans="3:9" ht="13">
      <c r="C143" s="25"/>
      <c r="E143" s="25"/>
      <c r="F143" s="25"/>
      <c r="G143" s="25"/>
      <c r="H143" s="25"/>
      <c r="I143" s="25"/>
    </row>
    <row r="144" spans="3:9" ht="13">
      <c r="C144" s="25"/>
      <c r="E144" s="25"/>
      <c r="F144" s="25"/>
      <c r="G144" s="25"/>
      <c r="H144" s="25"/>
      <c r="I144" s="25"/>
    </row>
    <row r="145" spans="3:9" ht="13">
      <c r="C145" s="25"/>
      <c r="E145" s="25"/>
      <c r="F145" s="25"/>
      <c r="G145" s="25"/>
      <c r="H145" s="25"/>
      <c r="I145" s="25"/>
    </row>
    <row r="146" spans="3:9" ht="13">
      <c r="C146" s="25"/>
      <c r="E146" s="25"/>
      <c r="F146" s="25"/>
      <c r="G146" s="25"/>
      <c r="H146" s="25"/>
      <c r="I146" s="25"/>
    </row>
    <row r="147" spans="3:9" ht="13">
      <c r="C147" s="25"/>
      <c r="E147" s="25"/>
      <c r="F147" s="25"/>
      <c r="G147" s="25"/>
      <c r="H147" s="25"/>
      <c r="I147" s="25"/>
    </row>
    <row r="148" spans="3:9" ht="13">
      <c r="C148" s="25"/>
      <c r="E148" s="25"/>
      <c r="F148" s="25"/>
      <c r="G148" s="25"/>
      <c r="H148" s="25"/>
      <c r="I148" s="25"/>
    </row>
    <row r="149" spans="3:9" ht="13">
      <c r="C149" s="25"/>
      <c r="E149" s="25"/>
      <c r="F149" s="25"/>
      <c r="G149" s="25"/>
      <c r="H149" s="25"/>
      <c r="I149" s="25"/>
    </row>
    <row r="150" spans="3:9" ht="13">
      <c r="C150" s="25"/>
      <c r="E150" s="25"/>
      <c r="F150" s="25"/>
      <c r="G150" s="25"/>
      <c r="H150" s="25"/>
      <c r="I150" s="25"/>
    </row>
    <row r="151" spans="3:9" ht="13">
      <c r="C151" s="25"/>
      <c r="E151" s="25"/>
      <c r="F151" s="25"/>
      <c r="G151" s="25"/>
      <c r="H151" s="25"/>
      <c r="I151" s="25"/>
    </row>
    <row r="152" spans="3:9" ht="13">
      <c r="C152" s="25"/>
      <c r="E152" s="25"/>
      <c r="F152" s="25"/>
      <c r="G152" s="25"/>
      <c r="H152" s="25"/>
      <c r="I152" s="25"/>
    </row>
    <row r="153" spans="3:9" ht="13">
      <c r="C153" s="25"/>
      <c r="E153" s="25"/>
      <c r="F153" s="25"/>
      <c r="G153" s="25"/>
      <c r="H153" s="25"/>
      <c r="I153" s="25"/>
    </row>
    <row r="154" spans="3:9" ht="13">
      <c r="C154" s="25"/>
      <c r="E154" s="25"/>
      <c r="F154" s="25"/>
      <c r="G154" s="25"/>
      <c r="H154" s="25"/>
      <c r="I154" s="25"/>
    </row>
    <row r="155" spans="3:9" ht="13">
      <c r="C155" s="25"/>
      <c r="E155" s="25"/>
      <c r="F155" s="25"/>
      <c r="G155" s="25"/>
      <c r="H155" s="25"/>
      <c r="I155" s="25"/>
    </row>
    <row r="156" spans="3:9" ht="13">
      <c r="C156" s="25"/>
      <c r="E156" s="25"/>
      <c r="F156" s="25"/>
      <c r="G156" s="25"/>
      <c r="H156" s="25"/>
      <c r="I156" s="25"/>
    </row>
    <row r="157" spans="3:9" ht="13">
      <c r="C157" s="25"/>
      <c r="E157" s="25"/>
      <c r="F157" s="25"/>
      <c r="G157" s="25"/>
      <c r="H157" s="25"/>
      <c r="I157" s="25"/>
    </row>
    <row r="158" spans="3:9" ht="13">
      <c r="C158" s="25"/>
      <c r="E158" s="25"/>
      <c r="F158" s="25"/>
      <c r="G158" s="25"/>
      <c r="H158" s="25"/>
      <c r="I158" s="25"/>
    </row>
    <row r="159" spans="3:9" ht="13">
      <c r="C159" s="25"/>
      <c r="E159" s="25"/>
      <c r="F159" s="25"/>
      <c r="G159" s="25"/>
      <c r="H159" s="25"/>
      <c r="I159" s="25"/>
    </row>
    <row r="160" spans="3:9" ht="13">
      <c r="C160" s="25"/>
      <c r="E160" s="25"/>
      <c r="F160" s="25"/>
      <c r="G160" s="25"/>
      <c r="H160" s="25"/>
      <c r="I160" s="25"/>
    </row>
    <row r="161" spans="3:9" ht="13">
      <c r="C161" s="25"/>
      <c r="E161" s="25"/>
      <c r="F161" s="25"/>
      <c r="G161" s="25"/>
      <c r="H161" s="25"/>
      <c r="I161" s="25"/>
    </row>
    <row r="162" spans="3:9" ht="13">
      <c r="C162" s="25"/>
      <c r="E162" s="25"/>
      <c r="F162" s="25"/>
      <c r="G162" s="25"/>
      <c r="H162" s="25"/>
      <c r="I162" s="25"/>
    </row>
    <row r="163" spans="3:9" ht="13">
      <c r="C163" s="25"/>
      <c r="E163" s="25"/>
      <c r="F163" s="25"/>
      <c r="G163" s="25"/>
      <c r="H163" s="25"/>
      <c r="I163" s="25"/>
    </row>
    <row r="164" spans="3:9" ht="13">
      <c r="C164" s="25"/>
      <c r="E164" s="25"/>
      <c r="F164" s="25"/>
      <c r="G164" s="25"/>
      <c r="H164" s="25"/>
      <c r="I164" s="25"/>
    </row>
    <row r="165" spans="3:9" ht="13">
      <c r="C165" s="25"/>
      <c r="E165" s="25"/>
      <c r="F165" s="25"/>
      <c r="G165" s="25"/>
      <c r="H165" s="25"/>
      <c r="I165" s="25"/>
    </row>
    <row r="166" spans="3:9" ht="13">
      <c r="C166" s="25"/>
      <c r="E166" s="25"/>
      <c r="F166" s="25"/>
      <c r="G166" s="25"/>
      <c r="H166" s="25"/>
      <c r="I166" s="25"/>
    </row>
    <row r="167" spans="3:9" ht="13">
      <c r="C167" s="25"/>
      <c r="E167" s="25"/>
      <c r="F167" s="25"/>
      <c r="G167" s="25"/>
      <c r="H167" s="25"/>
      <c r="I167" s="25"/>
    </row>
    <row r="168" spans="3:9" ht="13">
      <c r="C168" s="25"/>
      <c r="E168" s="25"/>
      <c r="F168" s="25"/>
      <c r="G168" s="25"/>
      <c r="H168" s="25"/>
      <c r="I168" s="25"/>
    </row>
    <row r="169" spans="3:9" ht="13">
      <c r="C169" s="25"/>
      <c r="E169" s="25"/>
      <c r="F169" s="25"/>
      <c r="G169" s="25"/>
      <c r="H169" s="25"/>
      <c r="I169" s="25"/>
    </row>
    <row r="170" spans="3:9" ht="13">
      <c r="C170" s="25"/>
      <c r="E170" s="25"/>
      <c r="F170" s="25"/>
      <c r="G170" s="25"/>
      <c r="H170" s="25"/>
      <c r="I170" s="25"/>
    </row>
    <row r="171" spans="3:9" ht="13">
      <c r="C171" s="25"/>
      <c r="E171" s="25"/>
      <c r="F171" s="25"/>
      <c r="G171" s="25"/>
      <c r="H171" s="25"/>
      <c r="I171" s="25"/>
    </row>
    <row r="172" spans="3:9" ht="13">
      <c r="C172" s="25"/>
      <c r="E172" s="25"/>
      <c r="F172" s="25"/>
      <c r="G172" s="25"/>
      <c r="H172" s="25"/>
      <c r="I172" s="25"/>
    </row>
    <row r="173" spans="3:9" ht="13">
      <c r="C173" s="25"/>
      <c r="E173" s="25"/>
      <c r="F173" s="25"/>
      <c r="G173" s="25"/>
      <c r="H173" s="25"/>
      <c r="I173" s="25"/>
    </row>
    <row r="174" spans="3:9" ht="13">
      <c r="C174" s="25"/>
      <c r="E174" s="25"/>
      <c r="F174" s="25"/>
      <c r="G174" s="25"/>
      <c r="H174" s="25"/>
      <c r="I174" s="25"/>
    </row>
    <row r="175" spans="3:9" ht="13">
      <c r="C175" s="25"/>
      <c r="E175" s="25"/>
      <c r="F175" s="25"/>
      <c r="G175" s="25"/>
      <c r="H175" s="25"/>
      <c r="I175" s="25"/>
    </row>
    <row r="176" spans="3:9" ht="13">
      <c r="C176" s="25"/>
      <c r="E176" s="25"/>
      <c r="F176" s="25"/>
      <c r="G176" s="25"/>
      <c r="H176" s="25"/>
      <c r="I176" s="25"/>
    </row>
    <row r="177" spans="3:9" ht="13">
      <c r="C177" s="25"/>
      <c r="E177" s="25"/>
      <c r="F177" s="25"/>
      <c r="G177" s="25"/>
      <c r="H177" s="25"/>
      <c r="I177" s="25"/>
    </row>
    <row r="178" spans="3:9" ht="13">
      <c r="C178" s="25"/>
      <c r="E178" s="25"/>
      <c r="F178" s="25"/>
      <c r="G178" s="25"/>
      <c r="H178" s="25"/>
      <c r="I178" s="25"/>
    </row>
    <row r="179" spans="3:9" ht="13">
      <c r="C179" s="25"/>
      <c r="E179" s="25"/>
      <c r="F179" s="25"/>
      <c r="G179" s="25"/>
      <c r="H179" s="25"/>
      <c r="I179" s="25"/>
    </row>
    <row r="180" spans="3:9" ht="13">
      <c r="C180" s="25"/>
      <c r="E180" s="25"/>
      <c r="F180" s="25"/>
      <c r="G180" s="25"/>
      <c r="H180" s="25"/>
      <c r="I180" s="25"/>
    </row>
    <row r="181" spans="3:9" ht="13">
      <c r="C181" s="25"/>
      <c r="E181" s="25"/>
      <c r="F181" s="25"/>
      <c r="G181" s="25"/>
      <c r="H181" s="25"/>
      <c r="I181" s="25"/>
    </row>
    <row r="182" spans="3:9" ht="13">
      <c r="C182" s="25"/>
      <c r="E182" s="25"/>
      <c r="F182" s="25"/>
      <c r="G182" s="25"/>
      <c r="H182" s="25"/>
      <c r="I182" s="25"/>
    </row>
    <row r="183" spans="3:9" ht="13">
      <c r="C183" s="25"/>
      <c r="E183" s="25"/>
      <c r="F183" s="25"/>
      <c r="G183" s="25"/>
      <c r="H183" s="25"/>
      <c r="I183" s="25"/>
    </row>
    <row r="184" spans="3:9" ht="13">
      <c r="C184" s="25"/>
      <c r="E184" s="25"/>
      <c r="F184" s="25"/>
      <c r="G184" s="25"/>
      <c r="H184" s="25"/>
      <c r="I184" s="25"/>
    </row>
    <row r="185" spans="3:9" ht="13">
      <c r="C185" s="25"/>
      <c r="E185" s="25"/>
      <c r="F185" s="25"/>
      <c r="G185" s="25"/>
      <c r="H185" s="25"/>
      <c r="I185" s="25"/>
    </row>
    <row r="186" spans="3:9" ht="13">
      <c r="C186" s="25"/>
      <c r="E186" s="25"/>
      <c r="F186" s="25"/>
      <c r="G186" s="25"/>
      <c r="H186" s="25"/>
      <c r="I186" s="25"/>
    </row>
    <row r="187" spans="3:9" ht="13">
      <c r="C187" s="25"/>
      <c r="E187" s="25"/>
      <c r="F187" s="25"/>
      <c r="G187" s="25"/>
      <c r="H187" s="25"/>
      <c r="I187" s="25"/>
    </row>
    <row r="188" spans="3:9" ht="13">
      <c r="C188" s="25"/>
      <c r="E188" s="25"/>
      <c r="F188" s="25"/>
      <c r="G188" s="25"/>
      <c r="H188" s="25"/>
      <c r="I188" s="25"/>
    </row>
    <row r="189" spans="3:9" ht="13">
      <c r="C189" s="25"/>
      <c r="E189" s="25"/>
      <c r="F189" s="25"/>
      <c r="G189" s="25"/>
      <c r="H189" s="25"/>
      <c r="I189" s="25"/>
    </row>
    <row r="190" spans="3:9" ht="13">
      <c r="C190" s="25"/>
      <c r="E190" s="25"/>
      <c r="F190" s="25"/>
      <c r="G190" s="25"/>
      <c r="H190" s="25"/>
      <c r="I190" s="25"/>
    </row>
    <row r="191" spans="3:9" ht="13">
      <c r="C191" s="25"/>
      <c r="E191" s="25"/>
      <c r="F191" s="25"/>
      <c r="G191" s="25"/>
      <c r="H191" s="25"/>
      <c r="I191" s="25"/>
    </row>
    <row r="192" spans="3:9" ht="13">
      <c r="C192" s="25"/>
      <c r="E192" s="25"/>
      <c r="F192" s="25"/>
      <c r="G192" s="25"/>
      <c r="H192" s="25"/>
      <c r="I192" s="25"/>
    </row>
    <row r="193" spans="3:9" ht="13">
      <c r="C193" s="25"/>
      <c r="E193" s="25"/>
      <c r="F193" s="25"/>
      <c r="G193" s="25"/>
      <c r="H193" s="25"/>
      <c r="I193" s="25"/>
    </row>
    <row r="194" spans="3:9" ht="13">
      <c r="C194" s="25"/>
      <c r="E194" s="25"/>
      <c r="F194" s="25"/>
      <c r="G194" s="25"/>
      <c r="H194" s="25"/>
      <c r="I194" s="25"/>
    </row>
    <row r="195" spans="3:9" ht="13">
      <c r="C195" s="25"/>
      <c r="E195" s="25"/>
      <c r="F195" s="25"/>
      <c r="G195" s="25"/>
      <c r="H195" s="25"/>
      <c r="I195" s="25"/>
    </row>
    <row r="196" spans="3:9" ht="13">
      <c r="C196" s="25"/>
      <c r="E196" s="25"/>
      <c r="F196" s="25"/>
      <c r="G196" s="25"/>
      <c r="H196" s="25"/>
      <c r="I196" s="25"/>
    </row>
    <row r="197" spans="3:9" ht="13">
      <c r="C197" s="25"/>
      <c r="E197" s="25"/>
      <c r="F197" s="25"/>
      <c r="G197" s="25"/>
      <c r="H197" s="25"/>
      <c r="I197" s="25"/>
    </row>
    <row r="198" spans="3:9" ht="13">
      <c r="C198" s="25"/>
      <c r="E198" s="25"/>
      <c r="F198" s="25"/>
      <c r="G198" s="25"/>
      <c r="H198" s="25"/>
      <c r="I198" s="25"/>
    </row>
    <row r="199" spans="3:9" ht="13">
      <c r="C199" s="25"/>
      <c r="E199" s="25"/>
      <c r="F199" s="25"/>
      <c r="G199" s="25"/>
      <c r="H199" s="25"/>
      <c r="I199" s="25"/>
    </row>
    <row r="200" spans="3:9" ht="13">
      <c r="C200" s="25"/>
      <c r="E200" s="25"/>
      <c r="F200" s="25"/>
      <c r="G200" s="25"/>
      <c r="H200" s="25"/>
      <c r="I200" s="25"/>
    </row>
    <row r="201" spans="3:9" ht="13">
      <c r="C201" s="25"/>
      <c r="E201" s="25"/>
      <c r="F201" s="25"/>
      <c r="G201" s="25"/>
      <c r="H201" s="25"/>
      <c r="I201" s="25"/>
    </row>
    <row r="202" spans="3:9" ht="13">
      <c r="C202" s="25"/>
      <c r="E202" s="25"/>
      <c r="F202" s="25"/>
      <c r="G202" s="25"/>
      <c r="H202" s="25"/>
      <c r="I202" s="25"/>
    </row>
    <row r="203" spans="3:9" ht="13">
      <c r="C203" s="25"/>
      <c r="E203" s="25"/>
      <c r="F203" s="25"/>
      <c r="G203" s="25"/>
      <c r="H203" s="25"/>
      <c r="I203" s="25"/>
    </row>
    <row r="204" spans="3:9" ht="13">
      <c r="C204" s="25"/>
      <c r="E204" s="25"/>
      <c r="F204" s="25"/>
      <c r="G204" s="25"/>
      <c r="H204" s="25"/>
      <c r="I204" s="25"/>
    </row>
    <row r="205" spans="3:9" ht="13">
      <c r="C205" s="25"/>
      <c r="E205" s="25"/>
      <c r="F205" s="25"/>
      <c r="G205" s="25"/>
      <c r="H205" s="25"/>
      <c r="I205" s="25"/>
    </row>
    <row r="206" spans="3:9" ht="13">
      <c r="C206" s="25"/>
      <c r="E206" s="25"/>
      <c r="F206" s="25"/>
      <c r="G206" s="25"/>
      <c r="H206" s="25"/>
      <c r="I206" s="25"/>
    </row>
    <row r="207" spans="3:9" ht="13">
      <c r="C207" s="25"/>
      <c r="E207" s="25"/>
      <c r="F207" s="25"/>
      <c r="G207" s="25"/>
      <c r="H207" s="25"/>
      <c r="I207" s="25"/>
    </row>
    <row r="208" spans="3:9" ht="13">
      <c r="C208" s="25"/>
      <c r="E208" s="25"/>
      <c r="F208" s="25"/>
      <c r="G208" s="25"/>
      <c r="H208" s="25"/>
      <c r="I208" s="25"/>
    </row>
    <row r="209" spans="3:9" ht="13">
      <c r="C209" s="25"/>
      <c r="E209" s="25"/>
      <c r="F209" s="25"/>
      <c r="G209" s="25"/>
      <c r="H209" s="25"/>
      <c r="I209" s="25"/>
    </row>
    <row r="210" spans="3:9" ht="13">
      <c r="C210" s="25"/>
      <c r="E210" s="25"/>
      <c r="F210" s="25"/>
      <c r="G210" s="25"/>
      <c r="H210" s="25"/>
      <c r="I210" s="25"/>
    </row>
    <row r="211" spans="3:9" ht="13">
      <c r="C211" s="25"/>
      <c r="E211" s="25"/>
      <c r="F211" s="25"/>
      <c r="G211" s="25"/>
      <c r="H211" s="25"/>
      <c r="I211" s="25"/>
    </row>
    <row r="212" spans="3:9" ht="13">
      <c r="C212" s="25"/>
      <c r="E212" s="25"/>
      <c r="F212" s="25"/>
      <c r="G212" s="25"/>
      <c r="H212" s="25"/>
      <c r="I212" s="25"/>
    </row>
    <row r="213" spans="3:9" ht="13">
      <c r="C213" s="25"/>
      <c r="E213" s="25"/>
      <c r="F213" s="25"/>
      <c r="G213" s="25"/>
      <c r="H213" s="25"/>
      <c r="I213" s="25"/>
    </row>
    <row r="214" spans="3:9" ht="13">
      <c r="C214" s="25"/>
      <c r="E214" s="25"/>
      <c r="F214" s="25"/>
      <c r="G214" s="25"/>
      <c r="H214" s="25"/>
      <c r="I214" s="25"/>
    </row>
    <row r="215" spans="3:9" ht="13">
      <c r="C215" s="25"/>
      <c r="E215" s="25"/>
      <c r="F215" s="25"/>
      <c r="G215" s="25"/>
      <c r="H215" s="25"/>
      <c r="I215" s="25"/>
    </row>
    <row r="216" spans="3:9" ht="13">
      <c r="C216" s="25"/>
      <c r="E216" s="25"/>
      <c r="F216" s="25"/>
      <c r="G216" s="25"/>
      <c r="H216" s="25"/>
      <c r="I216" s="25"/>
    </row>
    <row r="217" spans="3:9" ht="13">
      <c r="C217" s="25"/>
      <c r="E217" s="25"/>
      <c r="F217" s="25"/>
      <c r="G217" s="25"/>
      <c r="H217" s="25"/>
      <c r="I217" s="25"/>
    </row>
    <row r="218" spans="3:9" ht="13">
      <c r="C218" s="25"/>
      <c r="E218" s="25"/>
      <c r="F218" s="25"/>
      <c r="G218" s="25"/>
      <c r="H218" s="25"/>
      <c r="I218" s="25"/>
    </row>
    <row r="219" spans="3:9" ht="13">
      <c r="C219" s="25"/>
      <c r="E219" s="25"/>
      <c r="F219" s="25"/>
      <c r="G219" s="25"/>
      <c r="H219" s="25"/>
      <c r="I219" s="25"/>
    </row>
    <row r="220" spans="3:9" ht="13">
      <c r="C220" s="25"/>
      <c r="E220" s="25"/>
      <c r="F220" s="25"/>
      <c r="G220" s="25"/>
      <c r="H220" s="25"/>
      <c r="I220" s="25"/>
    </row>
    <row r="221" spans="3:9" ht="13">
      <c r="C221" s="25"/>
      <c r="E221" s="25"/>
      <c r="F221" s="25"/>
      <c r="G221" s="25"/>
      <c r="H221" s="25"/>
      <c r="I221" s="25"/>
    </row>
    <row r="222" spans="3:9" ht="13">
      <c r="C222" s="25"/>
      <c r="E222" s="25"/>
      <c r="F222" s="25"/>
      <c r="G222" s="25"/>
      <c r="H222" s="25"/>
      <c r="I222" s="25"/>
    </row>
    <row r="223" spans="3:9" ht="13">
      <c r="C223" s="25"/>
      <c r="E223" s="25"/>
      <c r="F223" s="25"/>
      <c r="G223" s="25"/>
      <c r="H223" s="25"/>
      <c r="I223" s="25"/>
    </row>
    <row r="224" spans="3:9" ht="13">
      <c r="C224" s="25"/>
      <c r="E224" s="25"/>
      <c r="F224" s="25"/>
      <c r="G224" s="25"/>
      <c r="H224" s="25"/>
      <c r="I224" s="25"/>
    </row>
    <row r="225" spans="3:9" ht="13">
      <c r="C225" s="25"/>
      <c r="E225" s="25"/>
      <c r="F225" s="25"/>
      <c r="G225" s="25"/>
      <c r="H225" s="25"/>
      <c r="I225" s="25"/>
    </row>
    <row r="226" spans="3:9" ht="13">
      <c r="C226" s="25"/>
      <c r="E226" s="25"/>
      <c r="F226" s="25"/>
      <c r="G226" s="25"/>
      <c r="H226" s="25"/>
      <c r="I226" s="25"/>
    </row>
    <row r="227" spans="3:9" ht="13">
      <c r="C227" s="25"/>
      <c r="E227" s="25"/>
      <c r="F227" s="25"/>
      <c r="G227" s="25"/>
      <c r="H227" s="25"/>
      <c r="I227" s="25"/>
    </row>
    <row r="228" spans="3:9" ht="13">
      <c r="C228" s="25"/>
      <c r="E228" s="25"/>
      <c r="F228" s="25"/>
      <c r="G228" s="25"/>
      <c r="H228" s="25"/>
      <c r="I228" s="25"/>
    </row>
    <row r="229" spans="3:9" ht="13">
      <c r="C229" s="25"/>
      <c r="E229" s="25"/>
      <c r="F229" s="25"/>
      <c r="G229" s="25"/>
      <c r="H229" s="25"/>
      <c r="I229" s="25"/>
    </row>
    <row r="230" spans="3:9" ht="13">
      <c r="C230" s="25"/>
      <c r="E230" s="25"/>
      <c r="F230" s="25"/>
      <c r="G230" s="25"/>
      <c r="H230" s="25"/>
      <c r="I230" s="25"/>
    </row>
    <row r="231" spans="3:9" ht="13">
      <c r="C231" s="25"/>
      <c r="E231" s="25"/>
      <c r="F231" s="25"/>
      <c r="G231" s="25"/>
      <c r="H231" s="25"/>
      <c r="I231" s="25"/>
    </row>
    <row r="232" spans="3:9" ht="13">
      <c r="C232" s="25"/>
      <c r="E232" s="25"/>
      <c r="F232" s="25"/>
      <c r="G232" s="25"/>
      <c r="H232" s="25"/>
      <c r="I232" s="25"/>
    </row>
    <row r="233" spans="3:9" ht="13">
      <c r="C233" s="25"/>
      <c r="E233" s="25"/>
      <c r="F233" s="25"/>
      <c r="G233" s="25"/>
      <c r="H233" s="25"/>
      <c r="I233" s="25"/>
    </row>
    <row r="234" spans="3:9" ht="13">
      <c r="C234" s="25"/>
      <c r="E234" s="25"/>
      <c r="F234" s="25"/>
      <c r="G234" s="25"/>
      <c r="H234" s="25"/>
      <c r="I234" s="25"/>
    </row>
    <row r="235" spans="3:9" ht="13">
      <c r="C235" s="25"/>
      <c r="E235" s="25"/>
      <c r="F235" s="25"/>
      <c r="G235" s="25"/>
      <c r="H235" s="25"/>
      <c r="I235" s="25"/>
    </row>
    <row r="236" spans="3:9" ht="13">
      <c r="C236" s="25"/>
      <c r="E236" s="25"/>
      <c r="F236" s="25"/>
      <c r="G236" s="25"/>
      <c r="H236" s="25"/>
      <c r="I236" s="25"/>
    </row>
    <row r="237" spans="3:9" ht="13">
      <c r="C237" s="25"/>
      <c r="E237" s="25"/>
      <c r="F237" s="25"/>
      <c r="G237" s="25"/>
      <c r="H237" s="25"/>
      <c r="I237" s="25"/>
    </row>
    <row r="238" spans="3:9" ht="13">
      <c r="C238" s="25"/>
      <c r="E238" s="25"/>
      <c r="F238" s="25"/>
      <c r="G238" s="25"/>
      <c r="H238" s="25"/>
      <c r="I238" s="25"/>
    </row>
    <row r="239" spans="3:9" ht="13">
      <c r="C239" s="25"/>
      <c r="E239" s="25"/>
      <c r="F239" s="25"/>
      <c r="G239" s="25"/>
      <c r="H239" s="25"/>
      <c r="I239" s="25"/>
    </row>
    <row r="240" spans="3:9" ht="13">
      <c r="C240" s="25"/>
      <c r="E240" s="25"/>
      <c r="F240" s="25"/>
      <c r="G240" s="25"/>
      <c r="H240" s="25"/>
      <c r="I240" s="25"/>
    </row>
    <row r="241" spans="3:9" ht="13">
      <c r="C241" s="25"/>
      <c r="E241" s="25"/>
      <c r="F241" s="25"/>
      <c r="G241" s="25"/>
      <c r="H241" s="25"/>
      <c r="I241" s="25"/>
    </row>
    <row r="242" spans="3:9" ht="13">
      <c r="C242" s="25"/>
      <c r="E242" s="25"/>
      <c r="F242" s="25"/>
      <c r="G242" s="25"/>
      <c r="H242" s="25"/>
      <c r="I242" s="25"/>
    </row>
    <row r="243" spans="3:9" ht="13">
      <c r="C243" s="25"/>
      <c r="E243" s="25"/>
      <c r="F243" s="25"/>
      <c r="G243" s="25"/>
      <c r="H243" s="25"/>
      <c r="I243" s="25"/>
    </row>
    <row r="244" spans="3:9" ht="13">
      <c r="C244" s="25"/>
      <c r="E244" s="25"/>
      <c r="F244" s="25"/>
      <c r="G244" s="25"/>
      <c r="H244" s="25"/>
      <c r="I244" s="25"/>
    </row>
    <row r="245" spans="3:9" ht="13">
      <c r="C245" s="25"/>
      <c r="E245" s="25"/>
      <c r="F245" s="25"/>
      <c r="G245" s="25"/>
      <c r="H245" s="25"/>
      <c r="I245" s="25"/>
    </row>
    <row r="246" spans="3:9" ht="13">
      <c r="C246" s="25"/>
      <c r="E246" s="25"/>
      <c r="F246" s="25"/>
      <c r="G246" s="25"/>
      <c r="H246" s="25"/>
      <c r="I246" s="25"/>
    </row>
    <row r="247" spans="3:9" ht="13">
      <c r="C247" s="25"/>
      <c r="E247" s="25"/>
      <c r="F247" s="25"/>
      <c r="G247" s="25"/>
      <c r="H247" s="25"/>
      <c r="I247" s="25"/>
    </row>
    <row r="248" spans="3:9" ht="13">
      <c r="C248" s="25"/>
      <c r="E248" s="25"/>
      <c r="F248" s="25"/>
      <c r="G248" s="25"/>
      <c r="H248" s="25"/>
      <c r="I248" s="25"/>
    </row>
    <row r="249" spans="3:9" ht="13">
      <c r="C249" s="25"/>
      <c r="E249" s="25"/>
      <c r="F249" s="25"/>
      <c r="G249" s="25"/>
      <c r="H249" s="25"/>
      <c r="I249" s="25"/>
    </row>
    <row r="250" spans="3:9" ht="13">
      <c r="C250" s="25"/>
      <c r="E250" s="25"/>
      <c r="F250" s="25"/>
      <c r="G250" s="25"/>
      <c r="H250" s="25"/>
      <c r="I250" s="25"/>
    </row>
    <row r="251" spans="3:9" ht="13">
      <c r="C251" s="25"/>
      <c r="E251" s="25"/>
      <c r="F251" s="25"/>
      <c r="G251" s="25"/>
      <c r="H251" s="25"/>
      <c r="I251" s="25"/>
    </row>
    <row r="252" spans="3:9" ht="13">
      <c r="C252" s="25"/>
      <c r="E252" s="25"/>
      <c r="F252" s="25"/>
      <c r="G252" s="25"/>
      <c r="H252" s="25"/>
      <c r="I252" s="25"/>
    </row>
    <row r="253" spans="3:9" ht="13">
      <c r="C253" s="25"/>
      <c r="E253" s="25"/>
      <c r="F253" s="25"/>
      <c r="G253" s="25"/>
      <c r="H253" s="25"/>
      <c r="I253" s="25"/>
    </row>
    <row r="254" spans="3:9" ht="13">
      <c r="C254" s="25"/>
      <c r="E254" s="25"/>
      <c r="F254" s="25"/>
      <c r="G254" s="25"/>
      <c r="H254" s="25"/>
      <c r="I254" s="25"/>
    </row>
    <row r="255" spans="3:9" ht="13">
      <c r="C255" s="25"/>
      <c r="E255" s="25"/>
      <c r="F255" s="25"/>
      <c r="G255" s="25"/>
      <c r="H255" s="25"/>
      <c r="I255" s="25"/>
    </row>
    <row r="256" spans="3:9" ht="13">
      <c r="C256" s="25"/>
      <c r="E256" s="25"/>
      <c r="F256" s="25"/>
      <c r="G256" s="25"/>
      <c r="H256" s="25"/>
      <c r="I256" s="25"/>
    </row>
    <row r="257" spans="3:9" ht="13">
      <c r="C257" s="25"/>
      <c r="E257" s="25"/>
      <c r="F257" s="25"/>
      <c r="G257" s="25"/>
      <c r="H257" s="25"/>
      <c r="I257" s="25"/>
    </row>
    <row r="258" spans="3:9" ht="13">
      <c r="C258" s="25"/>
      <c r="E258" s="25"/>
      <c r="F258" s="25"/>
      <c r="G258" s="25"/>
      <c r="H258" s="25"/>
      <c r="I258" s="25"/>
    </row>
    <row r="259" spans="3:9" ht="13">
      <c r="C259" s="25"/>
      <c r="E259" s="25"/>
      <c r="F259" s="25"/>
      <c r="G259" s="25"/>
      <c r="H259" s="25"/>
      <c r="I259" s="25"/>
    </row>
    <row r="260" spans="3:9" ht="13">
      <c r="C260" s="25"/>
      <c r="E260" s="25"/>
      <c r="F260" s="25"/>
      <c r="G260" s="25"/>
      <c r="H260" s="25"/>
      <c r="I260" s="25"/>
    </row>
    <row r="261" spans="3:9" ht="13">
      <c r="C261" s="25"/>
      <c r="E261" s="25"/>
      <c r="F261" s="25"/>
      <c r="G261" s="25"/>
      <c r="H261" s="25"/>
      <c r="I261" s="25"/>
    </row>
    <row r="262" spans="3:9" ht="13">
      <c r="C262" s="25"/>
      <c r="E262" s="25"/>
      <c r="F262" s="25"/>
      <c r="G262" s="25"/>
      <c r="H262" s="25"/>
      <c r="I262" s="25"/>
    </row>
    <row r="263" spans="3:9" ht="13">
      <c r="C263" s="25"/>
      <c r="E263" s="25"/>
      <c r="F263" s="25"/>
      <c r="G263" s="25"/>
      <c r="H263" s="25"/>
      <c r="I263" s="25"/>
    </row>
    <row r="264" spans="3:9" ht="13">
      <c r="C264" s="25"/>
      <c r="E264" s="25"/>
      <c r="F264" s="25"/>
      <c r="G264" s="25"/>
      <c r="H264" s="25"/>
      <c r="I264" s="25"/>
    </row>
    <row r="265" spans="3:9" ht="13">
      <c r="C265" s="25"/>
      <c r="E265" s="25"/>
      <c r="F265" s="25"/>
      <c r="G265" s="25"/>
      <c r="H265" s="25"/>
      <c r="I265" s="25"/>
    </row>
    <row r="266" spans="3:9" ht="13">
      <c r="C266" s="25"/>
      <c r="E266" s="25"/>
      <c r="F266" s="25"/>
      <c r="G266" s="25"/>
      <c r="H266" s="25"/>
      <c r="I266" s="25"/>
    </row>
    <row r="267" spans="3:9" ht="13">
      <c r="C267" s="25"/>
      <c r="E267" s="25"/>
      <c r="F267" s="25"/>
      <c r="G267" s="25"/>
      <c r="H267" s="25"/>
      <c r="I267" s="25"/>
    </row>
    <row r="268" spans="3:9" ht="13">
      <c r="C268" s="25"/>
      <c r="E268" s="25"/>
      <c r="F268" s="25"/>
      <c r="G268" s="25"/>
      <c r="H268" s="25"/>
      <c r="I268" s="25"/>
    </row>
    <row r="269" spans="3:9" ht="13">
      <c r="C269" s="25"/>
      <c r="E269" s="25"/>
      <c r="F269" s="25"/>
      <c r="G269" s="25"/>
      <c r="H269" s="25"/>
      <c r="I269" s="25"/>
    </row>
    <row r="270" spans="3:9" ht="13">
      <c r="C270" s="25"/>
      <c r="E270" s="25"/>
      <c r="F270" s="25"/>
      <c r="G270" s="25"/>
      <c r="H270" s="25"/>
      <c r="I270" s="25"/>
    </row>
    <row r="271" spans="3:9" ht="13">
      <c r="C271" s="25"/>
      <c r="E271" s="25"/>
      <c r="F271" s="25"/>
      <c r="G271" s="25"/>
      <c r="H271" s="25"/>
      <c r="I271" s="25"/>
    </row>
    <row r="272" spans="3:9" ht="13">
      <c r="C272" s="25"/>
      <c r="E272" s="25"/>
      <c r="F272" s="25"/>
      <c r="G272" s="25"/>
      <c r="H272" s="25"/>
      <c r="I272" s="25"/>
    </row>
    <row r="273" spans="3:9" ht="13">
      <c r="C273" s="25"/>
      <c r="E273" s="25"/>
      <c r="F273" s="25"/>
      <c r="G273" s="25"/>
      <c r="H273" s="25"/>
      <c r="I273" s="25"/>
    </row>
    <row r="274" spans="3:9" ht="13">
      <c r="C274" s="25"/>
      <c r="E274" s="25"/>
      <c r="F274" s="25"/>
      <c r="G274" s="25"/>
      <c r="H274" s="25"/>
      <c r="I274" s="25"/>
    </row>
    <row r="275" spans="3:9" ht="13">
      <c r="C275" s="25"/>
      <c r="E275" s="25"/>
      <c r="F275" s="25"/>
      <c r="G275" s="25"/>
      <c r="H275" s="25"/>
      <c r="I275" s="25"/>
    </row>
    <row r="276" spans="3:9" ht="13">
      <c r="C276" s="25"/>
      <c r="E276" s="25"/>
      <c r="F276" s="25"/>
      <c r="G276" s="25"/>
      <c r="H276" s="25"/>
      <c r="I276" s="25"/>
    </row>
    <row r="277" spans="3:9" ht="13">
      <c r="C277" s="25"/>
      <c r="E277" s="25"/>
      <c r="F277" s="25"/>
      <c r="G277" s="25"/>
      <c r="H277" s="25"/>
      <c r="I277" s="25"/>
    </row>
    <row r="278" spans="3:9" ht="13">
      <c r="C278" s="25"/>
      <c r="E278" s="25"/>
      <c r="F278" s="25"/>
      <c r="G278" s="25"/>
      <c r="H278" s="25"/>
      <c r="I278" s="25"/>
    </row>
    <row r="279" spans="3:9" ht="13">
      <c r="C279" s="25"/>
      <c r="E279" s="25"/>
      <c r="F279" s="25"/>
      <c r="G279" s="25"/>
      <c r="H279" s="25"/>
      <c r="I279" s="25"/>
    </row>
    <row r="280" spans="3:9" ht="13">
      <c r="C280" s="25"/>
      <c r="E280" s="25"/>
      <c r="F280" s="25"/>
      <c r="G280" s="25"/>
      <c r="H280" s="25"/>
      <c r="I280" s="25"/>
    </row>
    <row r="281" spans="3:9" ht="13">
      <c r="C281" s="25"/>
      <c r="E281" s="25"/>
      <c r="F281" s="25"/>
      <c r="G281" s="25"/>
      <c r="H281" s="25"/>
      <c r="I281" s="25"/>
    </row>
    <row r="282" spans="3:9" ht="13">
      <c r="C282" s="25"/>
      <c r="E282" s="25"/>
      <c r="F282" s="25"/>
      <c r="G282" s="25"/>
      <c r="H282" s="25"/>
      <c r="I282" s="25"/>
    </row>
    <row r="283" spans="3:9" ht="13">
      <c r="C283" s="25"/>
      <c r="E283" s="25"/>
      <c r="F283" s="25"/>
      <c r="G283" s="25"/>
      <c r="H283" s="25"/>
      <c r="I283" s="25"/>
    </row>
    <row r="284" spans="3:9" ht="13">
      <c r="C284" s="25"/>
      <c r="E284" s="25"/>
      <c r="F284" s="25"/>
      <c r="G284" s="25"/>
      <c r="H284" s="25"/>
      <c r="I284" s="25"/>
    </row>
    <row r="285" spans="3:9" ht="13">
      <c r="C285" s="25"/>
      <c r="E285" s="25"/>
      <c r="F285" s="25"/>
      <c r="G285" s="25"/>
      <c r="H285" s="25"/>
      <c r="I285" s="25"/>
    </row>
    <row r="286" spans="3:9" ht="13">
      <c r="C286" s="25"/>
      <c r="E286" s="25"/>
      <c r="F286" s="25"/>
      <c r="G286" s="25"/>
      <c r="H286" s="25"/>
      <c r="I286" s="25"/>
    </row>
    <row r="287" spans="3:9" ht="13">
      <c r="C287" s="25"/>
      <c r="E287" s="25"/>
      <c r="F287" s="25"/>
      <c r="G287" s="25"/>
      <c r="H287" s="25"/>
      <c r="I287" s="25"/>
    </row>
    <row r="288" spans="3:9" ht="13">
      <c r="C288" s="25"/>
      <c r="E288" s="25"/>
      <c r="F288" s="25"/>
      <c r="G288" s="25"/>
      <c r="H288" s="25"/>
      <c r="I288" s="25"/>
    </row>
    <row r="289" spans="3:9" ht="13">
      <c r="C289" s="25"/>
      <c r="E289" s="25"/>
      <c r="F289" s="25"/>
      <c r="G289" s="25"/>
      <c r="H289" s="25"/>
      <c r="I289" s="25"/>
    </row>
    <row r="290" spans="3:9" ht="13">
      <c r="C290" s="25"/>
      <c r="E290" s="25"/>
      <c r="F290" s="25"/>
      <c r="G290" s="25"/>
      <c r="H290" s="25"/>
      <c r="I290" s="25"/>
    </row>
    <row r="291" spans="3:9" ht="13">
      <c r="C291" s="25"/>
      <c r="E291" s="25"/>
      <c r="F291" s="25"/>
      <c r="G291" s="25"/>
      <c r="H291" s="25"/>
      <c r="I291" s="25"/>
    </row>
    <row r="292" spans="3:9" ht="13">
      <c r="C292" s="25"/>
      <c r="E292" s="25"/>
      <c r="F292" s="25"/>
      <c r="G292" s="25"/>
      <c r="H292" s="25"/>
      <c r="I292" s="25"/>
    </row>
    <row r="293" spans="3:9" ht="13">
      <c r="C293" s="25"/>
      <c r="E293" s="25"/>
      <c r="F293" s="25"/>
      <c r="G293" s="25"/>
      <c r="H293" s="25"/>
      <c r="I293" s="25"/>
    </row>
    <row r="294" spans="3:9" ht="13">
      <c r="C294" s="25"/>
      <c r="E294" s="25"/>
      <c r="F294" s="25"/>
      <c r="G294" s="25"/>
      <c r="H294" s="25"/>
      <c r="I294" s="25"/>
    </row>
    <row r="295" spans="3:9" ht="13">
      <c r="C295" s="25"/>
      <c r="E295" s="25"/>
      <c r="F295" s="25"/>
      <c r="G295" s="25"/>
      <c r="H295" s="25"/>
      <c r="I295" s="25"/>
    </row>
    <row r="296" spans="3:9" ht="13">
      <c r="C296" s="25"/>
      <c r="E296" s="25"/>
      <c r="F296" s="25"/>
      <c r="G296" s="25"/>
      <c r="H296" s="25"/>
      <c r="I296" s="25"/>
    </row>
    <row r="297" spans="3:9" ht="13">
      <c r="C297" s="25"/>
      <c r="E297" s="25"/>
      <c r="F297" s="25"/>
      <c r="G297" s="25"/>
      <c r="H297" s="25"/>
      <c r="I297" s="25"/>
    </row>
    <row r="298" spans="3:9" ht="13">
      <c r="C298" s="25"/>
      <c r="E298" s="25"/>
      <c r="F298" s="25"/>
      <c r="G298" s="25"/>
      <c r="H298" s="25"/>
      <c r="I298" s="25"/>
    </row>
    <row r="299" spans="3:9" ht="13">
      <c r="C299" s="25"/>
      <c r="E299" s="25"/>
      <c r="F299" s="25"/>
      <c r="G299" s="25"/>
      <c r="H299" s="25"/>
      <c r="I299" s="25"/>
    </row>
    <row r="300" spans="3:9" ht="13">
      <c r="C300" s="25"/>
      <c r="E300" s="25"/>
      <c r="F300" s="25"/>
      <c r="G300" s="25"/>
      <c r="H300" s="25"/>
      <c r="I300" s="25"/>
    </row>
    <row r="301" spans="3:9" ht="13">
      <c r="C301" s="25"/>
      <c r="E301" s="25"/>
      <c r="F301" s="25"/>
      <c r="G301" s="25"/>
      <c r="H301" s="25"/>
      <c r="I301" s="25"/>
    </row>
    <row r="302" spans="3:9" ht="13">
      <c r="C302" s="25"/>
      <c r="E302" s="25"/>
      <c r="F302" s="25"/>
      <c r="G302" s="25"/>
      <c r="H302" s="25"/>
      <c r="I302" s="25"/>
    </row>
    <row r="303" spans="3:9" ht="13">
      <c r="C303" s="25"/>
      <c r="E303" s="25"/>
      <c r="F303" s="25"/>
      <c r="G303" s="25"/>
      <c r="H303" s="25"/>
      <c r="I303" s="25"/>
    </row>
    <row r="304" spans="3:9" ht="13">
      <c r="C304" s="25"/>
      <c r="E304" s="25"/>
      <c r="F304" s="25"/>
      <c r="G304" s="25"/>
      <c r="H304" s="25"/>
      <c r="I304" s="25"/>
    </row>
    <row r="305" spans="3:9" ht="13">
      <c r="C305" s="25"/>
      <c r="E305" s="25"/>
      <c r="F305" s="25"/>
      <c r="G305" s="25"/>
      <c r="H305" s="25"/>
      <c r="I305" s="25"/>
    </row>
    <row r="306" spans="3:9" ht="13">
      <c r="C306" s="25"/>
      <c r="E306" s="25"/>
      <c r="F306" s="25"/>
      <c r="G306" s="25"/>
      <c r="H306" s="25"/>
      <c r="I306" s="25"/>
    </row>
    <row r="307" spans="3:9" ht="13">
      <c r="C307" s="25"/>
      <c r="E307" s="25"/>
      <c r="F307" s="25"/>
      <c r="G307" s="25"/>
      <c r="H307" s="25"/>
      <c r="I307" s="25"/>
    </row>
    <row r="308" spans="3:9" ht="13">
      <c r="C308" s="25"/>
      <c r="E308" s="25"/>
      <c r="F308" s="25"/>
      <c r="G308" s="25"/>
      <c r="H308" s="25"/>
      <c r="I308" s="25"/>
    </row>
    <row r="309" spans="3:9" ht="13">
      <c r="C309" s="25"/>
      <c r="E309" s="25"/>
      <c r="F309" s="25"/>
      <c r="G309" s="25"/>
      <c r="H309" s="25"/>
      <c r="I309" s="25"/>
    </row>
    <row r="310" spans="3:9" ht="13">
      <c r="C310" s="25"/>
      <c r="E310" s="25"/>
      <c r="F310" s="25"/>
      <c r="G310" s="25"/>
      <c r="H310" s="25"/>
      <c r="I310" s="25"/>
    </row>
    <row r="311" spans="3:9" ht="13">
      <c r="C311" s="25"/>
      <c r="E311" s="25"/>
      <c r="F311" s="25"/>
      <c r="G311" s="25"/>
      <c r="H311" s="25"/>
      <c r="I311" s="25"/>
    </row>
    <row r="312" spans="3:9" ht="13">
      <c r="C312" s="25"/>
      <c r="E312" s="25"/>
      <c r="F312" s="25"/>
      <c r="G312" s="25"/>
      <c r="H312" s="25"/>
      <c r="I312" s="25"/>
    </row>
    <row r="313" spans="3:9" ht="13">
      <c r="C313" s="25"/>
      <c r="E313" s="25"/>
      <c r="F313" s="25"/>
      <c r="G313" s="25"/>
      <c r="H313" s="25"/>
      <c r="I313" s="25"/>
    </row>
    <row r="314" spans="3:9" ht="13">
      <c r="C314" s="25"/>
      <c r="E314" s="25"/>
      <c r="F314" s="25"/>
      <c r="G314" s="25"/>
      <c r="H314" s="25"/>
      <c r="I314" s="25"/>
    </row>
    <row r="315" spans="3:9" ht="13">
      <c r="C315" s="25"/>
      <c r="E315" s="25"/>
      <c r="F315" s="25"/>
      <c r="G315" s="25"/>
      <c r="H315" s="25"/>
      <c r="I315" s="25"/>
    </row>
    <row r="316" spans="3:9" ht="13">
      <c r="C316" s="25"/>
      <c r="E316" s="25"/>
      <c r="F316" s="25"/>
      <c r="G316" s="25"/>
      <c r="H316" s="25"/>
      <c r="I316" s="25"/>
    </row>
    <row r="317" spans="3:9" ht="13">
      <c r="C317" s="25"/>
      <c r="E317" s="25"/>
      <c r="F317" s="25"/>
      <c r="G317" s="25"/>
      <c r="H317" s="25"/>
      <c r="I317" s="25"/>
    </row>
    <row r="318" spans="3:9" ht="13">
      <c r="C318" s="25"/>
      <c r="E318" s="25"/>
      <c r="F318" s="25"/>
      <c r="G318" s="25"/>
      <c r="H318" s="25"/>
      <c r="I318" s="25"/>
    </row>
    <row r="319" spans="3:9" ht="13">
      <c r="C319" s="25"/>
      <c r="E319" s="25"/>
      <c r="F319" s="25"/>
      <c r="G319" s="25"/>
      <c r="H319" s="25"/>
      <c r="I319" s="25"/>
    </row>
    <row r="320" spans="3:9" ht="13">
      <c r="C320" s="25"/>
      <c r="E320" s="25"/>
      <c r="F320" s="25"/>
      <c r="G320" s="25"/>
      <c r="H320" s="25"/>
      <c r="I320" s="25"/>
    </row>
    <row r="321" spans="3:9" ht="13">
      <c r="C321" s="25"/>
      <c r="E321" s="25"/>
      <c r="F321" s="25"/>
      <c r="G321" s="25"/>
      <c r="H321" s="25"/>
      <c r="I321" s="25"/>
    </row>
    <row r="322" spans="3:9" ht="13">
      <c r="C322" s="25"/>
      <c r="E322" s="25"/>
      <c r="F322" s="25"/>
      <c r="G322" s="25"/>
      <c r="H322" s="25"/>
      <c r="I322" s="25"/>
    </row>
    <row r="323" spans="3:9" ht="13">
      <c r="C323" s="25"/>
      <c r="E323" s="25"/>
      <c r="F323" s="25"/>
      <c r="G323" s="25"/>
      <c r="H323" s="25"/>
      <c r="I323" s="25"/>
    </row>
    <row r="324" spans="3:9" ht="13">
      <c r="C324" s="25"/>
      <c r="E324" s="25"/>
      <c r="F324" s="25"/>
      <c r="G324" s="25"/>
      <c r="H324" s="25"/>
      <c r="I324" s="25"/>
    </row>
    <row r="325" spans="3:9" ht="13">
      <c r="C325" s="25"/>
      <c r="E325" s="25"/>
      <c r="F325" s="25"/>
      <c r="G325" s="25"/>
      <c r="H325" s="25"/>
      <c r="I325" s="25"/>
    </row>
    <row r="326" spans="3:9" ht="13">
      <c r="C326" s="25"/>
      <c r="E326" s="25"/>
      <c r="F326" s="25"/>
      <c r="G326" s="25"/>
      <c r="H326" s="25"/>
      <c r="I326" s="25"/>
    </row>
    <row r="327" spans="3:9" ht="13">
      <c r="C327" s="25"/>
      <c r="E327" s="25"/>
      <c r="F327" s="25"/>
      <c r="G327" s="25"/>
      <c r="H327" s="25"/>
      <c r="I327" s="25"/>
    </row>
    <row r="328" spans="3:9" ht="13">
      <c r="C328" s="25"/>
      <c r="E328" s="25"/>
      <c r="F328" s="25"/>
      <c r="G328" s="25"/>
      <c r="H328" s="25"/>
      <c r="I328" s="25"/>
    </row>
    <row r="329" spans="3:9" ht="13">
      <c r="C329" s="25"/>
      <c r="E329" s="25"/>
      <c r="F329" s="25"/>
      <c r="G329" s="25"/>
      <c r="H329" s="25"/>
      <c r="I329" s="25"/>
    </row>
    <row r="330" spans="3:9" ht="13">
      <c r="C330" s="25"/>
      <c r="E330" s="25"/>
      <c r="F330" s="25"/>
      <c r="G330" s="25"/>
      <c r="H330" s="25"/>
      <c r="I330" s="25"/>
    </row>
    <row r="331" spans="3:9" ht="13">
      <c r="C331" s="25"/>
      <c r="E331" s="25"/>
      <c r="F331" s="25"/>
      <c r="G331" s="25"/>
      <c r="H331" s="25"/>
      <c r="I331" s="25"/>
    </row>
    <row r="332" spans="3:9" ht="13">
      <c r="C332" s="25"/>
      <c r="E332" s="25"/>
      <c r="F332" s="25"/>
      <c r="G332" s="25"/>
      <c r="H332" s="25"/>
      <c r="I332" s="25"/>
    </row>
    <row r="333" spans="3:9" ht="13">
      <c r="C333" s="25"/>
      <c r="E333" s="25"/>
      <c r="F333" s="25"/>
      <c r="G333" s="25"/>
      <c r="H333" s="25"/>
      <c r="I333" s="25"/>
    </row>
    <row r="334" spans="3:9" ht="13">
      <c r="C334" s="25"/>
      <c r="E334" s="25"/>
      <c r="F334" s="25"/>
      <c r="G334" s="25"/>
      <c r="H334" s="25"/>
      <c r="I334" s="25"/>
    </row>
    <row r="335" spans="3:9" ht="13">
      <c r="C335" s="25"/>
      <c r="E335" s="25"/>
      <c r="F335" s="25"/>
      <c r="G335" s="25"/>
      <c r="H335" s="25"/>
      <c r="I335" s="25"/>
    </row>
    <row r="336" spans="3:9" ht="13">
      <c r="C336" s="25"/>
      <c r="E336" s="25"/>
      <c r="F336" s="25"/>
      <c r="G336" s="25"/>
      <c r="H336" s="25"/>
      <c r="I336" s="25"/>
    </row>
    <row r="337" spans="3:9" ht="13">
      <c r="C337" s="25"/>
      <c r="E337" s="25"/>
      <c r="F337" s="25"/>
      <c r="G337" s="25"/>
      <c r="H337" s="25"/>
      <c r="I337" s="25"/>
    </row>
    <row r="338" spans="3:9" ht="13">
      <c r="C338" s="25"/>
      <c r="E338" s="25"/>
      <c r="F338" s="25"/>
      <c r="G338" s="25"/>
      <c r="H338" s="25"/>
      <c r="I338" s="25"/>
    </row>
    <row r="339" spans="3:9" ht="13">
      <c r="C339" s="25"/>
      <c r="E339" s="25"/>
      <c r="F339" s="25"/>
      <c r="G339" s="25"/>
      <c r="H339" s="25"/>
      <c r="I339" s="25"/>
    </row>
    <row r="340" spans="3:9" ht="13">
      <c r="C340" s="25"/>
      <c r="E340" s="25"/>
      <c r="F340" s="25"/>
      <c r="G340" s="25"/>
      <c r="H340" s="25"/>
      <c r="I340" s="25"/>
    </row>
    <row r="341" spans="3:9" ht="13">
      <c r="C341" s="25"/>
      <c r="E341" s="25"/>
      <c r="F341" s="25"/>
      <c r="G341" s="25"/>
      <c r="H341" s="25"/>
      <c r="I341" s="25"/>
    </row>
    <row r="342" spans="3:9" ht="13">
      <c r="C342" s="25"/>
      <c r="E342" s="25"/>
      <c r="F342" s="25"/>
      <c r="G342" s="25"/>
      <c r="H342" s="25"/>
      <c r="I342" s="25"/>
    </row>
    <row r="343" spans="3:9" ht="13">
      <c r="C343" s="25"/>
      <c r="E343" s="25"/>
      <c r="F343" s="25"/>
      <c r="G343" s="25"/>
      <c r="H343" s="25"/>
      <c r="I343" s="25"/>
    </row>
    <row r="344" spans="3:9" ht="13">
      <c r="C344" s="25"/>
      <c r="E344" s="25"/>
      <c r="F344" s="25"/>
      <c r="G344" s="25"/>
      <c r="H344" s="25"/>
      <c r="I344" s="25"/>
    </row>
    <row r="345" spans="3:9" ht="13">
      <c r="C345" s="25"/>
      <c r="E345" s="25"/>
      <c r="F345" s="25"/>
      <c r="G345" s="25"/>
      <c r="H345" s="25"/>
      <c r="I345" s="25"/>
    </row>
    <row r="346" spans="3:9" ht="13">
      <c r="C346" s="25"/>
      <c r="E346" s="25"/>
      <c r="F346" s="25"/>
      <c r="G346" s="25"/>
      <c r="H346" s="25"/>
      <c r="I346" s="25"/>
    </row>
    <row r="347" spans="3:9" ht="13">
      <c r="C347" s="25"/>
      <c r="E347" s="25"/>
      <c r="F347" s="25"/>
      <c r="G347" s="25"/>
      <c r="H347" s="25"/>
      <c r="I347" s="25"/>
    </row>
    <row r="348" spans="3:9" ht="13">
      <c r="C348" s="25"/>
      <c r="E348" s="25"/>
      <c r="F348" s="25"/>
      <c r="G348" s="25"/>
      <c r="H348" s="25"/>
      <c r="I348" s="25"/>
    </row>
    <row r="349" spans="3:9" ht="13">
      <c r="C349" s="25"/>
      <c r="E349" s="25"/>
      <c r="F349" s="25"/>
      <c r="G349" s="25"/>
      <c r="H349" s="25"/>
      <c r="I349" s="25"/>
    </row>
    <row r="350" spans="3:9" ht="13">
      <c r="C350" s="25"/>
      <c r="E350" s="25"/>
      <c r="F350" s="25"/>
      <c r="G350" s="25"/>
      <c r="H350" s="25"/>
      <c r="I350" s="25"/>
    </row>
    <row r="351" spans="3:9" ht="13">
      <c r="C351" s="25"/>
      <c r="E351" s="25"/>
      <c r="F351" s="25"/>
      <c r="G351" s="25"/>
      <c r="H351" s="25"/>
      <c r="I351" s="25"/>
    </row>
    <row r="352" spans="3:9" ht="13">
      <c r="C352" s="25"/>
      <c r="E352" s="25"/>
      <c r="F352" s="25"/>
      <c r="G352" s="25"/>
      <c r="H352" s="25"/>
      <c r="I352" s="25"/>
    </row>
    <row r="353" spans="3:9" ht="13">
      <c r="C353" s="25"/>
      <c r="E353" s="25"/>
      <c r="F353" s="25"/>
      <c r="G353" s="25"/>
      <c r="H353" s="25"/>
      <c r="I353" s="25"/>
    </row>
    <row r="354" spans="3:9" ht="13">
      <c r="C354" s="25"/>
      <c r="E354" s="25"/>
      <c r="F354" s="25"/>
      <c r="G354" s="25"/>
      <c r="H354" s="25"/>
      <c r="I354" s="25"/>
    </row>
    <row r="355" spans="3:9" ht="13">
      <c r="C355" s="25"/>
      <c r="E355" s="25"/>
      <c r="F355" s="25"/>
      <c r="G355" s="25"/>
      <c r="H355" s="25"/>
      <c r="I355" s="25"/>
    </row>
    <row r="356" spans="3:9" ht="13">
      <c r="C356" s="25"/>
      <c r="E356" s="25"/>
      <c r="F356" s="25"/>
      <c r="G356" s="25"/>
      <c r="H356" s="25"/>
      <c r="I356" s="25"/>
    </row>
    <row r="357" spans="3:9" ht="13">
      <c r="C357" s="25"/>
      <c r="E357" s="25"/>
      <c r="F357" s="25"/>
      <c r="G357" s="25"/>
      <c r="H357" s="25"/>
      <c r="I357" s="25"/>
    </row>
    <row r="358" spans="3:9" ht="13">
      <c r="C358" s="25"/>
      <c r="E358" s="25"/>
      <c r="F358" s="25"/>
      <c r="G358" s="25"/>
      <c r="H358" s="25"/>
      <c r="I358" s="25"/>
    </row>
    <row r="359" spans="3:9" ht="13">
      <c r="C359" s="25"/>
      <c r="E359" s="25"/>
      <c r="F359" s="25"/>
      <c r="G359" s="25"/>
      <c r="H359" s="25"/>
      <c r="I359" s="25"/>
    </row>
    <row r="360" spans="3:9" ht="13">
      <c r="C360" s="25"/>
      <c r="E360" s="25"/>
      <c r="F360" s="25"/>
      <c r="G360" s="25"/>
      <c r="H360" s="25"/>
      <c r="I360" s="25"/>
    </row>
    <row r="361" spans="3:9" ht="13">
      <c r="C361" s="25"/>
      <c r="E361" s="25"/>
      <c r="F361" s="25"/>
      <c r="G361" s="25"/>
      <c r="H361" s="25"/>
      <c r="I361" s="25"/>
    </row>
    <row r="362" spans="3:9" ht="13">
      <c r="C362" s="25"/>
      <c r="E362" s="25"/>
      <c r="F362" s="25"/>
      <c r="G362" s="25"/>
      <c r="H362" s="25"/>
      <c r="I362" s="25"/>
    </row>
    <row r="363" spans="3:9" ht="13">
      <c r="C363" s="25"/>
      <c r="E363" s="25"/>
      <c r="F363" s="25"/>
      <c r="G363" s="25"/>
      <c r="H363" s="25"/>
      <c r="I363" s="25"/>
    </row>
    <row r="364" spans="3:9" ht="13">
      <c r="C364" s="25"/>
      <c r="E364" s="25"/>
      <c r="F364" s="25"/>
      <c r="G364" s="25"/>
      <c r="H364" s="25"/>
      <c r="I364" s="25"/>
    </row>
    <row r="365" spans="3:9" ht="13">
      <c r="C365" s="25"/>
      <c r="E365" s="25"/>
      <c r="F365" s="25"/>
      <c r="G365" s="25"/>
      <c r="H365" s="25"/>
      <c r="I365" s="25"/>
    </row>
    <row r="366" spans="3:9" ht="13">
      <c r="C366" s="25"/>
      <c r="E366" s="25"/>
      <c r="F366" s="25"/>
      <c r="G366" s="25"/>
      <c r="H366" s="25"/>
      <c r="I366" s="25"/>
    </row>
    <row r="367" spans="3:9" ht="13">
      <c r="C367" s="25"/>
      <c r="E367" s="25"/>
      <c r="F367" s="25"/>
      <c r="G367" s="25"/>
      <c r="H367" s="25"/>
      <c r="I367" s="25"/>
    </row>
    <row r="368" spans="3:9" ht="13">
      <c r="C368" s="25"/>
      <c r="E368" s="25"/>
      <c r="F368" s="25"/>
      <c r="G368" s="25"/>
      <c r="H368" s="25"/>
      <c r="I368" s="25"/>
    </row>
    <row r="369" spans="3:9" ht="13">
      <c r="C369" s="25"/>
      <c r="E369" s="25"/>
      <c r="F369" s="25"/>
      <c r="G369" s="25"/>
      <c r="H369" s="25"/>
      <c r="I369" s="25"/>
    </row>
    <row r="370" spans="3:9" ht="13">
      <c r="C370" s="25"/>
      <c r="E370" s="25"/>
      <c r="F370" s="25"/>
      <c r="G370" s="25"/>
      <c r="H370" s="25"/>
      <c r="I370" s="25"/>
    </row>
    <row r="371" spans="3:9" ht="13">
      <c r="C371" s="25"/>
      <c r="E371" s="25"/>
      <c r="F371" s="25"/>
      <c r="G371" s="25"/>
      <c r="H371" s="25"/>
      <c r="I371" s="25"/>
    </row>
    <row r="372" spans="3:9" ht="13">
      <c r="C372" s="25"/>
      <c r="E372" s="25"/>
      <c r="F372" s="25"/>
      <c r="G372" s="25"/>
      <c r="H372" s="25"/>
      <c r="I372" s="25"/>
    </row>
    <row r="373" spans="3:9" ht="13">
      <c r="C373" s="25"/>
      <c r="E373" s="25"/>
      <c r="F373" s="25"/>
      <c r="G373" s="25"/>
      <c r="H373" s="25"/>
      <c r="I373" s="25"/>
    </row>
    <row r="374" spans="3:9" ht="13">
      <c r="C374" s="25"/>
      <c r="E374" s="25"/>
      <c r="F374" s="25"/>
      <c r="G374" s="25"/>
      <c r="H374" s="25"/>
      <c r="I374" s="25"/>
    </row>
    <row r="375" spans="3:9" ht="13">
      <c r="C375" s="25"/>
      <c r="E375" s="25"/>
      <c r="F375" s="25"/>
      <c r="G375" s="25"/>
      <c r="H375" s="25"/>
      <c r="I375" s="25"/>
    </row>
    <row r="376" spans="3:9" ht="13">
      <c r="C376" s="25"/>
      <c r="E376" s="25"/>
      <c r="F376" s="25"/>
      <c r="G376" s="25"/>
      <c r="H376" s="25"/>
      <c r="I376" s="25"/>
    </row>
    <row r="377" spans="3:9" ht="13">
      <c r="C377" s="25"/>
      <c r="E377" s="25"/>
      <c r="F377" s="25"/>
      <c r="G377" s="25"/>
      <c r="H377" s="25"/>
      <c r="I377" s="25"/>
    </row>
    <row r="378" spans="3:9" ht="13">
      <c r="C378" s="25"/>
      <c r="E378" s="25"/>
      <c r="F378" s="25"/>
      <c r="G378" s="25"/>
      <c r="H378" s="25"/>
      <c r="I378" s="25"/>
    </row>
    <row r="379" spans="3:9" ht="13">
      <c r="C379" s="25"/>
      <c r="E379" s="25"/>
      <c r="F379" s="25"/>
      <c r="G379" s="25"/>
      <c r="H379" s="25"/>
      <c r="I379" s="25"/>
    </row>
    <row r="380" spans="3:9" ht="13">
      <c r="C380" s="25"/>
      <c r="E380" s="25"/>
      <c r="F380" s="25"/>
      <c r="G380" s="25"/>
      <c r="H380" s="25"/>
      <c r="I380" s="25"/>
    </row>
    <row r="381" spans="3:9" ht="13">
      <c r="C381" s="25"/>
      <c r="E381" s="25"/>
      <c r="F381" s="25"/>
      <c r="G381" s="25"/>
      <c r="H381" s="25"/>
      <c r="I381" s="25"/>
    </row>
    <row r="382" spans="3:9" ht="13">
      <c r="C382" s="25"/>
      <c r="E382" s="25"/>
      <c r="F382" s="25"/>
      <c r="G382" s="25"/>
      <c r="H382" s="25"/>
      <c r="I382" s="25"/>
    </row>
    <row r="383" spans="3:9" ht="13">
      <c r="C383" s="25"/>
      <c r="E383" s="25"/>
      <c r="F383" s="25"/>
      <c r="G383" s="25"/>
      <c r="H383" s="25"/>
      <c r="I383" s="25"/>
    </row>
    <row r="384" spans="3:9" ht="13">
      <c r="C384" s="25"/>
      <c r="E384" s="25"/>
      <c r="F384" s="25"/>
      <c r="G384" s="25"/>
      <c r="H384" s="25"/>
      <c r="I384" s="25"/>
    </row>
    <row r="385" spans="3:9" ht="13">
      <c r="C385" s="25"/>
      <c r="E385" s="25"/>
      <c r="F385" s="25"/>
      <c r="G385" s="25"/>
      <c r="H385" s="25"/>
      <c r="I385" s="25"/>
    </row>
    <row r="386" spans="3:9" ht="13">
      <c r="C386" s="25"/>
      <c r="E386" s="25"/>
      <c r="F386" s="25"/>
      <c r="G386" s="25"/>
      <c r="H386" s="25"/>
      <c r="I386" s="25"/>
    </row>
    <row r="387" spans="3:9" ht="13">
      <c r="C387" s="25"/>
      <c r="E387" s="25"/>
      <c r="F387" s="25"/>
      <c r="G387" s="25"/>
      <c r="H387" s="25"/>
      <c r="I387" s="25"/>
    </row>
    <row r="388" spans="3:9" ht="13">
      <c r="C388" s="25"/>
      <c r="E388" s="25"/>
      <c r="F388" s="25"/>
      <c r="G388" s="25"/>
      <c r="H388" s="25"/>
      <c r="I388" s="25"/>
    </row>
    <row r="389" spans="3:9" ht="13">
      <c r="C389" s="25"/>
      <c r="E389" s="25"/>
      <c r="F389" s="25"/>
      <c r="G389" s="25"/>
      <c r="H389" s="25"/>
      <c r="I389" s="25"/>
    </row>
    <row r="390" spans="3:9" ht="13">
      <c r="C390" s="25"/>
      <c r="E390" s="25"/>
      <c r="F390" s="25"/>
      <c r="G390" s="25"/>
      <c r="H390" s="25"/>
      <c r="I390" s="25"/>
    </row>
    <row r="391" spans="3:9" ht="13">
      <c r="C391" s="25"/>
      <c r="E391" s="25"/>
      <c r="F391" s="25"/>
      <c r="G391" s="25"/>
      <c r="H391" s="25"/>
      <c r="I391" s="25"/>
    </row>
    <row r="392" spans="3:9" ht="13">
      <c r="C392" s="25"/>
      <c r="E392" s="25"/>
      <c r="F392" s="25"/>
      <c r="G392" s="25"/>
      <c r="H392" s="25"/>
      <c r="I392" s="25"/>
    </row>
    <row r="393" spans="3:9" ht="13">
      <c r="C393" s="25"/>
      <c r="E393" s="25"/>
      <c r="F393" s="25"/>
      <c r="G393" s="25"/>
      <c r="H393" s="25"/>
      <c r="I393" s="25"/>
    </row>
    <row r="394" spans="3:9" ht="13">
      <c r="C394" s="25"/>
      <c r="E394" s="25"/>
      <c r="F394" s="25"/>
      <c r="G394" s="25"/>
      <c r="H394" s="25"/>
      <c r="I394" s="25"/>
    </row>
    <row r="395" spans="3:9" ht="13">
      <c r="C395" s="25"/>
      <c r="E395" s="25"/>
      <c r="F395" s="25"/>
      <c r="G395" s="25"/>
      <c r="H395" s="25"/>
      <c r="I395" s="25"/>
    </row>
    <row r="396" spans="3:9" ht="13">
      <c r="C396" s="25"/>
      <c r="E396" s="25"/>
      <c r="F396" s="25"/>
      <c r="G396" s="25"/>
      <c r="H396" s="25"/>
      <c r="I396" s="25"/>
    </row>
    <row r="397" spans="3:9" ht="13">
      <c r="C397" s="25"/>
      <c r="E397" s="25"/>
      <c r="F397" s="25"/>
      <c r="G397" s="25"/>
      <c r="H397" s="25"/>
      <c r="I397" s="25"/>
    </row>
    <row r="398" spans="3:9" ht="13">
      <c r="C398" s="25"/>
      <c r="E398" s="25"/>
      <c r="F398" s="25"/>
      <c r="G398" s="25"/>
      <c r="H398" s="25"/>
      <c r="I398" s="25"/>
    </row>
    <row r="399" spans="3:9" ht="13">
      <c r="C399" s="25"/>
      <c r="E399" s="25"/>
      <c r="F399" s="25"/>
      <c r="G399" s="25"/>
      <c r="H399" s="25"/>
      <c r="I399" s="25"/>
    </row>
    <row r="400" spans="3:9" ht="13">
      <c r="C400" s="25"/>
      <c r="E400" s="25"/>
      <c r="F400" s="25"/>
      <c r="G400" s="25"/>
      <c r="H400" s="25"/>
      <c r="I400" s="25"/>
    </row>
    <row r="401" spans="3:9" ht="13">
      <c r="C401" s="25"/>
      <c r="E401" s="25"/>
      <c r="F401" s="25"/>
      <c r="G401" s="25"/>
      <c r="H401" s="25"/>
      <c r="I401" s="25"/>
    </row>
    <row r="402" spans="3:9" ht="13">
      <c r="C402" s="25"/>
      <c r="E402" s="25"/>
      <c r="F402" s="25"/>
      <c r="G402" s="25"/>
      <c r="H402" s="25"/>
      <c r="I402" s="25"/>
    </row>
    <row r="403" spans="3:9" ht="13">
      <c r="C403" s="25"/>
      <c r="E403" s="25"/>
      <c r="F403" s="25"/>
      <c r="G403" s="25"/>
      <c r="H403" s="25"/>
      <c r="I403" s="25"/>
    </row>
    <row r="404" spans="3:9" ht="13">
      <c r="C404" s="25"/>
      <c r="E404" s="25"/>
      <c r="F404" s="25"/>
      <c r="G404" s="25"/>
      <c r="H404" s="25"/>
      <c r="I404" s="25"/>
    </row>
    <row r="405" spans="3:9" ht="13">
      <c r="C405" s="25"/>
      <c r="E405" s="25"/>
      <c r="F405" s="25"/>
      <c r="G405" s="25"/>
      <c r="H405" s="25"/>
      <c r="I405" s="25"/>
    </row>
    <row r="406" spans="3:9" ht="13">
      <c r="C406" s="25"/>
      <c r="E406" s="25"/>
      <c r="F406" s="25"/>
      <c r="G406" s="25"/>
      <c r="H406" s="25"/>
      <c r="I406" s="25"/>
    </row>
    <row r="407" spans="3:9" ht="13">
      <c r="C407" s="25"/>
      <c r="E407" s="25"/>
      <c r="F407" s="25"/>
      <c r="G407" s="25"/>
      <c r="H407" s="25"/>
      <c r="I407" s="25"/>
    </row>
    <row r="408" spans="3:9" ht="13">
      <c r="C408" s="25"/>
      <c r="E408" s="25"/>
      <c r="F408" s="25"/>
      <c r="G408" s="25"/>
      <c r="H408" s="25"/>
      <c r="I408" s="25"/>
    </row>
    <row r="409" spans="3:9" ht="13">
      <c r="C409" s="25"/>
      <c r="E409" s="25"/>
      <c r="F409" s="25"/>
      <c r="G409" s="25"/>
      <c r="H409" s="25"/>
      <c r="I409" s="25"/>
    </row>
    <row r="410" spans="3:9" ht="13">
      <c r="C410" s="25"/>
      <c r="E410" s="25"/>
      <c r="F410" s="25"/>
      <c r="G410" s="25"/>
      <c r="H410" s="25"/>
      <c r="I410" s="25"/>
    </row>
    <row r="411" spans="3:9" ht="13">
      <c r="C411" s="25"/>
      <c r="E411" s="25"/>
      <c r="F411" s="25"/>
      <c r="G411" s="25"/>
      <c r="H411" s="25"/>
      <c r="I411" s="25"/>
    </row>
    <row r="412" spans="3:9" ht="13">
      <c r="C412" s="25"/>
      <c r="E412" s="25"/>
      <c r="F412" s="25"/>
      <c r="G412" s="25"/>
      <c r="H412" s="25"/>
      <c r="I412" s="25"/>
    </row>
    <row r="413" spans="3:9" ht="13">
      <c r="C413" s="25"/>
      <c r="E413" s="25"/>
      <c r="F413" s="25"/>
      <c r="G413" s="25"/>
      <c r="H413" s="25"/>
      <c r="I413" s="25"/>
    </row>
    <row r="414" spans="3:9" ht="13">
      <c r="C414" s="25"/>
      <c r="E414" s="25"/>
      <c r="F414" s="25"/>
      <c r="G414" s="25"/>
      <c r="H414" s="25"/>
      <c r="I414" s="25"/>
    </row>
    <row r="415" spans="3:9" ht="13">
      <c r="C415" s="25"/>
      <c r="E415" s="25"/>
      <c r="F415" s="25"/>
      <c r="G415" s="25"/>
      <c r="H415" s="25"/>
      <c r="I415" s="25"/>
    </row>
    <row r="416" spans="3:9" ht="13">
      <c r="C416" s="25"/>
      <c r="E416" s="25"/>
      <c r="F416" s="25"/>
      <c r="G416" s="25"/>
      <c r="H416" s="25"/>
      <c r="I416" s="25"/>
    </row>
    <row r="417" spans="3:9" ht="13">
      <c r="C417" s="25"/>
      <c r="E417" s="25"/>
      <c r="F417" s="25"/>
      <c r="G417" s="25"/>
      <c r="H417" s="25"/>
      <c r="I417" s="25"/>
    </row>
    <row r="418" spans="3:9" ht="13">
      <c r="C418" s="25"/>
      <c r="E418" s="25"/>
      <c r="F418" s="25"/>
      <c r="G418" s="25"/>
      <c r="H418" s="25"/>
      <c r="I418" s="25"/>
    </row>
    <row r="419" spans="3:9" ht="13">
      <c r="C419" s="25"/>
      <c r="E419" s="25"/>
      <c r="F419" s="25"/>
      <c r="G419" s="25"/>
      <c r="H419" s="25"/>
      <c r="I419" s="25"/>
    </row>
    <row r="420" spans="3:9" ht="13">
      <c r="C420" s="25"/>
      <c r="E420" s="25"/>
      <c r="F420" s="25"/>
      <c r="G420" s="25"/>
      <c r="H420" s="25"/>
      <c r="I420" s="25"/>
    </row>
    <row r="421" spans="3:9" ht="13">
      <c r="C421" s="25"/>
      <c r="E421" s="25"/>
      <c r="F421" s="25"/>
      <c r="G421" s="25"/>
      <c r="H421" s="25"/>
      <c r="I421" s="25"/>
    </row>
    <row r="422" spans="3:9" ht="13">
      <c r="C422" s="25"/>
      <c r="E422" s="25"/>
      <c r="F422" s="25"/>
      <c r="G422" s="25"/>
      <c r="H422" s="25"/>
      <c r="I422" s="25"/>
    </row>
    <row r="423" spans="3:9" ht="13">
      <c r="C423" s="25"/>
      <c r="E423" s="25"/>
      <c r="F423" s="25"/>
      <c r="G423" s="25"/>
      <c r="H423" s="25"/>
      <c r="I423" s="25"/>
    </row>
    <row r="424" spans="3:9" ht="13">
      <c r="C424" s="25"/>
      <c r="E424" s="25"/>
      <c r="F424" s="25"/>
      <c r="G424" s="25"/>
      <c r="H424" s="25"/>
      <c r="I424" s="25"/>
    </row>
    <row r="425" spans="3:9" ht="13">
      <c r="C425" s="25"/>
      <c r="E425" s="25"/>
      <c r="F425" s="25"/>
      <c r="G425" s="25"/>
      <c r="H425" s="25"/>
      <c r="I425" s="25"/>
    </row>
    <row r="426" spans="3:9" ht="13">
      <c r="C426" s="25"/>
      <c r="E426" s="25"/>
      <c r="F426" s="25"/>
      <c r="G426" s="25"/>
      <c r="H426" s="25"/>
      <c r="I426" s="25"/>
    </row>
    <row r="427" spans="3:9" ht="13">
      <c r="C427" s="25"/>
      <c r="E427" s="25"/>
      <c r="F427" s="25"/>
      <c r="G427" s="25"/>
      <c r="H427" s="25"/>
      <c r="I427" s="25"/>
    </row>
    <row r="428" spans="3:9" ht="13">
      <c r="C428" s="25"/>
      <c r="E428" s="25"/>
      <c r="F428" s="25"/>
      <c r="G428" s="25"/>
      <c r="H428" s="25"/>
      <c r="I428" s="25"/>
    </row>
    <row r="429" spans="3:9" ht="13">
      <c r="C429" s="25"/>
      <c r="E429" s="25"/>
      <c r="F429" s="25"/>
      <c r="G429" s="25"/>
      <c r="H429" s="25"/>
      <c r="I429" s="25"/>
    </row>
    <row r="430" spans="3:9" ht="13">
      <c r="C430" s="25"/>
      <c r="E430" s="25"/>
      <c r="F430" s="25"/>
      <c r="G430" s="25"/>
      <c r="H430" s="25"/>
      <c r="I430" s="25"/>
    </row>
    <row r="431" spans="3:9" ht="13">
      <c r="C431" s="25"/>
      <c r="E431" s="25"/>
      <c r="F431" s="25"/>
      <c r="G431" s="25"/>
      <c r="H431" s="25"/>
      <c r="I431" s="25"/>
    </row>
    <row r="432" spans="3:9" ht="13">
      <c r="C432" s="25"/>
      <c r="E432" s="25"/>
      <c r="F432" s="25"/>
      <c r="G432" s="25"/>
      <c r="H432" s="25"/>
      <c r="I432" s="25"/>
    </row>
    <row r="433" spans="3:9" ht="13">
      <c r="C433" s="25"/>
      <c r="E433" s="25"/>
      <c r="F433" s="25"/>
      <c r="G433" s="25"/>
      <c r="H433" s="25"/>
      <c r="I433" s="25"/>
    </row>
    <row r="434" spans="3:9" ht="13">
      <c r="C434" s="25"/>
      <c r="E434" s="25"/>
      <c r="F434" s="25"/>
      <c r="G434" s="25"/>
      <c r="H434" s="25"/>
      <c r="I434" s="25"/>
    </row>
    <row r="435" spans="3:9" ht="13">
      <c r="C435" s="25"/>
      <c r="E435" s="25"/>
      <c r="F435" s="25"/>
      <c r="G435" s="25"/>
      <c r="H435" s="25"/>
      <c r="I435" s="25"/>
    </row>
    <row r="436" spans="3:9" ht="13">
      <c r="C436" s="25"/>
      <c r="E436" s="25"/>
      <c r="F436" s="25"/>
      <c r="G436" s="25"/>
      <c r="H436" s="25"/>
      <c r="I436" s="25"/>
    </row>
    <row r="437" spans="3:9" ht="13">
      <c r="C437" s="25"/>
      <c r="E437" s="25"/>
      <c r="F437" s="25"/>
      <c r="G437" s="25"/>
      <c r="H437" s="25"/>
      <c r="I437" s="25"/>
    </row>
    <row r="438" spans="3:9" ht="13">
      <c r="C438" s="25"/>
      <c r="E438" s="25"/>
      <c r="F438" s="25"/>
      <c r="G438" s="25"/>
      <c r="H438" s="25"/>
      <c r="I438" s="25"/>
    </row>
    <row r="439" spans="3:9" ht="13">
      <c r="C439" s="25"/>
      <c r="E439" s="25"/>
      <c r="F439" s="25"/>
      <c r="G439" s="25"/>
      <c r="H439" s="25"/>
      <c r="I439" s="25"/>
    </row>
    <row r="440" spans="3:9" ht="13">
      <c r="C440" s="25"/>
      <c r="E440" s="25"/>
      <c r="F440" s="25"/>
      <c r="G440" s="25"/>
      <c r="H440" s="25"/>
      <c r="I440" s="25"/>
    </row>
    <row r="441" spans="3:9" ht="13">
      <c r="C441" s="25"/>
      <c r="E441" s="25"/>
      <c r="F441" s="25"/>
      <c r="G441" s="25"/>
      <c r="H441" s="25"/>
      <c r="I441" s="25"/>
    </row>
    <row r="442" spans="3:9" ht="13">
      <c r="C442" s="25"/>
      <c r="E442" s="25"/>
      <c r="F442" s="25"/>
      <c r="G442" s="25"/>
      <c r="H442" s="25"/>
      <c r="I442" s="25"/>
    </row>
    <row r="443" spans="3:9" ht="13">
      <c r="C443" s="25"/>
      <c r="E443" s="25"/>
      <c r="F443" s="25"/>
      <c r="G443" s="25"/>
      <c r="H443" s="25"/>
      <c r="I443" s="25"/>
    </row>
    <row r="444" spans="3:9" ht="13">
      <c r="C444" s="25"/>
      <c r="E444" s="25"/>
      <c r="F444" s="25"/>
      <c r="G444" s="25"/>
      <c r="H444" s="25"/>
      <c r="I444" s="25"/>
    </row>
    <row r="445" spans="3:9" ht="13">
      <c r="C445" s="25"/>
      <c r="E445" s="25"/>
      <c r="F445" s="25"/>
      <c r="G445" s="25"/>
      <c r="H445" s="25"/>
      <c r="I445" s="25"/>
    </row>
    <row r="446" spans="3:9" ht="13">
      <c r="C446" s="25"/>
      <c r="E446" s="25"/>
      <c r="F446" s="25"/>
      <c r="G446" s="25"/>
      <c r="H446" s="25"/>
      <c r="I446" s="25"/>
    </row>
    <row r="447" spans="3:9" ht="13">
      <c r="C447" s="25"/>
      <c r="E447" s="25"/>
      <c r="F447" s="25"/>
      <c r="G447" s="25"/>
      <c r="H447" s="25"/>
      <c r="I447" s="25"/>
    </row>
    <row r="448" spans="3:9" ht="13">
      <c r="C448" s="25"/>
      <c r="E448" s="25"/>
      <c r="F448" s="25"/>
      <c r="G448" s="25"/>
      <c r="H448" s="25"/>
      <c r="I448" s="25"/>
    </row>
    <row r="449" spans="3:9" ht="13">
      <c r="C449" s="25"/>
      <c r="E449" s="25"/>
      <c r="F449" s="25"/>
      <c r="G449" s="25"/>
      <c r="H449" s="25"/>
      <c r="I449" s="25"/>
    </row>
    <row r="450" spans="3:9" ht="13">
      <c r="C450" s="25"/>
      <c r="E450" s="25"/>
      <c r="F450" s="25"/>
      <c r="G450" s="25"/>
      <c r="H450" s="25"/>
      <c r="I450" s="25"/>
    </row>
    <row r="451" spans="3:9" ht="13">
      <c r="C451" s="25"/>
      <c r="E451" s="25"/>
      <c r="F451" s="25"/>
      <c r="G451" s="25"/>
      <c r="H451" s="25"/>
      <c r="I451" s="25"/>
    </row>
    <row r="452" spans="3:9" ht="13">
      <c r="C452" s="25"/>
      <c r="E452" s="25"/>
      <c r="F452" s="25"/>
      <c r="G452" s="25"/>
      <c r="H452" s="25"/>
      <c r="I452" s="25"/>
    </row>
    <row r="453" spans="3:9" ht="13">
      <c r="C453" s="25"/>
      <c r="E453" s="25"/>
      <c r="F453" s="25"/>
      <c r="G453" s="25"/>
      <c r="H453" s="25"/>
      <c r="I453" s="25"/>
    </row>
    <row r="454" spans="3:9" ht="13">
      <c r="C454" s="25"/>
      <c r="E454" s="25"/>
      <c r="F454" s="25"/>
      <c r="G454" s="25"/>
      <c r="H454" s="25"/>
      <c r="I454" s="25"/>
    </row>
    <row r="455" spans="3:9" ht="13">
      <c r="C455" s="25"/>
      <c r="E455" s="25"/>
      <c r="F455" s="25"/>
      <c r="G455" s="25"/>
      <c r="H455" s="25"/>
      <c r="I455" s="25"/>
    </row>
    <row r="456" spans="3:9" ht="13">
      <c r="C456" s="25"/>
      <c r="E456" s="25"/>
      <c r="F456" s="25"/>
      <c r="G456" s="25"/>
      <c r="H456" s="25"/>
      <c r="I456" s="25"/>
    </row>
    <row r="457" spans="3:9" ht="13">
      <c r="C457" s="25"/>
      <c r="E457" s="25"/>
      <c r="F457" s="25"/>
      <c r="G457" s="25"/>
      <c r="H457" s="25"/>
      <c r="I457" s="25"/>
    </row>
    <row r="458" spans="3:9" ht="13">
      <c r="C458" s="25"/>
      <c r="E458" s="25"/>
      <c r="F458" s="25"/>
      <c r="G458" s="25"/>
      <c r="H458" s="25"/>
      <c r="I458" s="25"/>
    </row>
    <row r="459" spans="3:9" ht="13">
      <c r="C459" s="25"/>
      <c r="E459" s="25"/>
      <c r="F459" s="25"/>
      <c r="G459" s="25"/>
      <c r="H459" s="25"/>
      <c r="I459" s="25"/>
    </row>
    <row r="460" spans="3:9" ht="13">
      <c r="C460" s="25"/>
      <c r="E460" s="25"/>
      <c r="F460" s="25"/>
      <c r="G460" s="25"/>
      <c r="H460" s="25"/>
      <c r="I460" s="25"/>
    </row>
    <row r="461" spans="3:9" ht="13">
      <c r="C461" s="25"/>
      <c r="E461" s="25"/>
      <c r="F461" s="25"/>
      <c r="G461" s="25"/>
      <c r="H461" s="25"/>
      <c r="I461" s="25"/>
    </row>
    <row r="462" spans="3:9" ht="13">
      <c r="C462" s="25"/>
      <c r="E462" s="25"/>
      <c r="F462" s="25"/>
      <c r="G462" s="25"/>
      <c r="H462" s="25"/>
      <c r="I462" s="25"/>
    </row>
    <row r="463" spans="3:9" ht="13">
      <c r="C463" s="25"/>
      <c r="E463" s="25"/>
      <c r="F463" s="25"/>
      <c r="G463" s="25"/>
      <c r="H463" s="25"/>
      <c r="I463" s="25"/>
    </row>
    <row r="464" spans="3:9" ht="13">
      <c r="C464" s="25"/>
      <c r="E464" s="25"/>
      <c r="F464" s="25"/>
      <c r="G464" s="25"/>
      <c r="H464" s="25"/>
      <c r="I464" s="25"/>
    </row>
    <row r="465" spans="3:9" ht="13">
      <c r="C465" s="25"/>
      <c r="E465" s="25"/>
      <c r="F465" s="25"/>
      <c r="G465" s="25"/>
      <c r="H465" s="25"/>
      <c r="I465" s="25"/>
    </row>
    <row r="466" spans="3:9" ht="13">
      <c r="C466" s="25"/>
      <c r="E466" s="25"/>
      <c r="F466" s="25"/>
      <c r="G466" s="25"/>
      <c r="H466" s="25"/>
      <c r="I466" s="25"/>
    </row>
    <row r="467" spans="3:9" ht="13">
      <c r="C467" s="25"/>
      <c r="E467" s="25"/>
      <c r="F467" s="25"/>
      <c r="G467" s="25"/>
      <c r="H467" s="25"/>
      <c r="I467" s="25"/>
    </row>
    <row r="468" spans="3:9" ht="13">
      <c r="C468" s="25"/>
      <c r="E468" s="25"/>
      <c r="F468" s="25"/>
      <c r="G468" s="25"/>
      <c r="H468" s="25"/>
      <c r="I468" s="25"/>
    </row>
    <row r="469" spans="3:9" ht="13">
      <c r="C469" s="25"/>
      <c r="E469" s="25"/>
      <c r="F469" s="25"/>
      <c r="G469" s="25"/>
      <c r="H469" s="25"/>
      <c r="I469" s="25"/>
    </row>
    <row r="470" spans="3:9" ht="13">
      <c r="C470" s="25"/>
      <c r="E470" s="25"/>
      <c r="F470" s="25"/>
      <c r="G470" s="25"/>
      <c r="H470" s="25"/>
      <c r="I470" s="25"/>
    </row>
    <row r="471" spans="3:9" ht="13">
      <c r="C471" s="25"/>
      <c r="E471" s="25"/>
      <c r="F471" s="25"/>
      <c r="G471" s="25"/>
      <c r="H471" s="25"/>
      <c r="I471" s="25"/>
    </row>
    <row r="472" spans="3:9" ht="13">
      <c r="C472" s="25"/>
      <c r="E472" s="25"/>
      <c r="F472" s="25"/>
      <c r="G472" s="25"/>
      <c r="H472" s="25"/>
      <c r="I472" s="25"/>
    </row>
    <row r="473" spans="3:9" ht="13">
      <c r="C473" s="25"/>
      <c r="E473" s="25"/>
      <c r="F473" s="25"/>
      <c r="G473" s="25"/>
      <c r="H473" s="25"/>
      <c r="I473" s="25"/>
    </row>
    <row r="474" spans="3:9" ht="13">
      <c r="C474" s="25"/>
      <c r="E474" s="25"/>
      <c r="F474" s="25"/>
      <c r="G474" s="25"/>
      <c r="H474" s="25"/>
      <c r="I474" s="25"/>
    </row>
    <row r="475" spans="3:9" ht="13">
      <c r="C475" s="25"/>
      <c r="E475" s="25"/>
      <c r="F475" s="25"/>
      <c r="G475" s="25"/>
      <c r="H475" s="25"/>
      <c r="I475" s="25"/>
    </row>
    <row r="476" spans="3:9" ht="13">
      <c r="C476" s="25"/>
      <c r="E476" s="25"/>
      <c r="F476" s="25"/>
      <c r="G476" s="25"/>
      <c r="H476" s="25"/>
      <c r="I476" s="25"/>
    </row>
    <row r="477" spans="3:9" ht="13">
      <c r="C477" s="25"/>
      <c r="E477" s="25"/>
      <c r="F477" s="25"/>
      <c r="G477" s="25"/>
      <c r="H477" s="25"/>
      <c r="I477" s="25"/>
    </row>
    <row r="478" spans="3:9" ht="13">
      <c r="C478" s="25"/>
      <c r="E478" s="25"/>
      <c r="F478" s="25"/>
      <c r="G478" s="25"/>
      <c r="H478" s="25"/>
      <c r="I478" s="25"/>
    </row>
    <row r="479" spans="3:9" ht="13">
      <c r="C479" s="25"/>
      <c r="E479" s="25"/>
      <c r="F479" s="25"/>
      <c r="G479" s="25"/>
      <c r="H479" s="25"/>
      <c r="I479" s="25"/>
    </row>
    <row r="480" spans="3:9" ht="13">
      <c r="C480" s="25"/>
      <c r="E480" s="25"/>
      <c r="F480" s="25"/>
      <c r="G480" s="25"/>
      <c r="H480" s="25"/>
      <c r="I480" s="25"/>
    </row>
    <row r="481" spans="3:9" ht="13">
      <c r="C481" s="25"/>
      <c r="E481" s="25"/>
      <c r="F481" s="25"/>
      <c r="G481" s="25"/>
      <c r="H481" s="25"/>
      <c r="I481" s="25"/>
    </row>
    <row r="482" spans="3:9" ht="13">
      <c r="C482" s="25"/>
      <c r="E482" s="25"/>
      <c r="F482" s="25"/>
      <c r="G482" s="25"/>
      <c r="H482" s="25"/>
      <c r="I482" s="25"/>
    </row>
    <row r="483" spans="3:9" ht="13">
      <c r="C483" s="25"/>
      <c r="E483" s="25"/>
      <c r="F483" s="25"/>
      <c r="G483" s="25"/>
      <c r="H483" s="25"/>
      <c r="I483" s="25"/>
    </row>
    <row r="484" spans="3:9" ht="13">
      <c r="C484" s="25"/>
      <c r="E484" s="25"/>
      <c r="F484" s="25"/>
      <c r="G484" s="25"/>
      <c r="H484" s="25"/>
      <c r="I484" s="25"/>
    </row>
    <row r="485" spans="3:9" ht="13">
      <c r="C485" s="25"/>
      <c r="E485" s="25"/>
      <c r="F485" s="25"/>
      <c r="G485" s="25"/>
      <c r="H485" s="25"/>
      <c r="I485" s="25"/>
    </row>
    <row r="486" spans="3:9" ht="13">
      <c r="C486" s="25"/>
      <c r="E486" s="25"/>
      <c r="F486" s="25"/>
      <c r="G486" s="25"/>
      <c r="H486" s="25"/>
      <c r="I486" s="25"/>
    </row>
    <row r="487" spans="3:9" ht="13">
      <c r="C487" s="25"/>
      <c r="E487" s="25"/>
      <c r="F487" s="25"/>
      <c r="G487" s="25"/>
      <c r="H487" s="25"/>
      <c r="I487" s="25"/>
    </row>
    <row r="488" spans="3:9" ht="13">
      <c r="C488" s="25"/>
      <c r="E488" s="25"/>
      <c r="F488" s="25"/>
      <c r="G488" s="25"/>
      <c r="H488" s="25"/>
      <c r="I488" s="25"/>
    </row>
    <row r="489" spans="3:9" ht="13">
      <c r="C489" s="25"/>
      <c r="E489" s="25"/>
      <c r="F489" s="25"/>
      <c r="G489" s="25"/>
      <c r="H489" s="25"/>
      <c r="I489" s="25"/>
    </row>
    <row r="490" spans="3:9" ht="13">
      <c r="C490" s="25"/>
      <c r="E490" s="25"/>
      <c r="F490" s="25"/>
      <c r="G490" s="25"/>
      <c r="H490" s="25"/>
      <c r="I490" s="25"/>
    </row>
    <row r="491" spans="3:9" ht="13">
      <c r="C491" s="25"/>
      <c r="E491" s="25"/>
      <c r="F491" s="25"/>
      <c r="G491" s="25"/>
      <c r="H491" s="25"/>
      <c r="I491" s="25"/>
    </row>
    <row r="492" spans="3:9" ht="13">
      <c r="C492" s="25"/>
      <c r="E492" s="25"/>
      <c r="F492" s="25"/>
      <c r="G492" s="25"/>
      <c r="H492" s="25"/>
      <c r="I492" s="25"/>
    </row>
    <row r="493" spans="3:9" ht="13">
      <c r="C493" s="25"/>
      <c r="E493" s="25"/>
      <c r="F493" s="25"/>
      <c r="G493" s="25"/>
      <c r="H493" s="25"/>
      <c r="I493" s="25"/>
    </row>
    <row r="494" spans="3:9" ht="13">
      <c r="C494" s="25"/>
      <c r="E494" s="25"/>
      <c r="F494" s="25"/>
      <c r="G494" s="25"/>
      <c r="H494" s="25"/>
      <c r="I494" s="25"/>
    </row>
    <row r="495" spans="3:9" ht="13">
      <c r="C495" s="25"/>
      <c r="E495" s="25"/>
      <c r="F495" s="25"/>
      <c r="G495" s="25"/>
      <c r="H495" s="25"/>
      <c r="I495" s="25"/>
    </row>
    <row r="496" spans="3:9" ht="13">
      <c r="C496" s="25"/>
      <c r="E496" s="25"/>
      <c r="F496" s="25"/>
      <c r="G496" s="25"/>
      <c r="H496" s="25"/>
      <c r="I496" s="25"/>
    </row>
    <row r="497" spans="3:9" ht="13">
      <c r="C497" s="25"/>
      <c r="E497" s="25"/>
      <c r="F497" s="25"/>
      <c r="G497" s="25"/>
      <c r="H497" s="25"/>
      <c r="I497" s="25"/>
    </row>
    <row r="498" spans="3:9" ht="13">
      <c r="C498" s="25"/>
      <c r="E498" s="25"/>
      <c r="F498" s="25"/>
      <c r="G498" s="25"/>
      <c r="H498" s="25"/>
      <c r="I498" s="25"/>
    </row>
    <row r="499" spans="3:9" ht="13">
      <c r="C499" s="25"/>
      <c r="E499" s="25"/>
      <c r="F499" s="25"/>
      <c r="G499" s="25"/>
      <c r="H499" s="25"/>
      <c r="I499" s="25"/>
    </row>
    <row r="500" spans="3:9" ht="13">
      <c r="C500" s="25"/>
      <c r="E500" s="25"/>
      <c r="F500" s="25"/>
      <c r="G500" s="25"/>
      <c r="H500" s="25"/>
      <c r="I500" s="25"/>
    </row>
    <row r="501" spans="3:9" ht="13">
      <c r="C501" s="25"/>
      <c r="E501" s="25"/>
      <c r="F501" s="25"/>
      <c r="G501" s="25"/>
      <c r="H501" s="25"/>
      <c r="I501" s="25"/>
    </row>
    <row r="502" spans="3:9" ht="13">
      <c r="C502" s="25"/>
      <c r="E502" s="25"/>
      <c r="F502" s="25"/>
      <c r="G502" s="25"/>
      <c r="H502" s="25"/>
      <c r="I502" s="25"/>
    </row>
    <row r="503" spans="3:9" ht="13">
      <c r="C503" s="25"/>
      <c r="E503" s="25"/>
      <c r="F503" s="25"/>
      <c r="G503" s="25"/>
      <c r="H503" s="25"/>
      <c r="I503" s="25"/>
    </row>
    <row r="504" spans="3:9" ht="13">
      <c r="C504" s="25"/>
      <c r="E504" s="25"/>
      <c r="F504" s="25"/>
      <c r="G504" s="25"/>
      <c r="H504" s="25"/>
      <c r="I504" s="25"/>
    </row>
    <row r="505" spans="3:9" ht="13">
      <c r="C505" s="25"/>
      <c r="E505" s="25"/>
      <c r="F505" s="25"/>
      <c r="G505" s="25"/>
      <c r="H505" s="25"/>
      <c r="I505" s="25"/>
    </row>
    <row r="506" spans="3:9" ht="13">
      <c r="C506" s="25"/>
      <c r="E506" s="25"/>
      <c r="F506" s="25"/>
      <c r="G506" s="25"/>
      <c r="H506" s="25"/>
      <c r="I506" s="25"/>
    </row>
    <row r="507" spans="3:9" ht="13">
      <c r="C507" s="25"/>
      <c r="E507" s="25"/>
      <c r="F507" s="25"/>
      <c r="G507" s="25"/>
      <c r="H507" s="25"/>
      <c r="I507" s="25"/>
    </row>
    <row r="508" spans="3:9" ht="13">
      <c r="C508" s="25"/>
      <c r="E508" s="25"/>
      <c r="F508" s="25"/>
      <c r="G508" s="25"/>
      <c r="H508" s="25"/>
      <c r="I508" s="25"/>
    </row>
    <row r="509" spans="3:9" ht="13">
      <c r="C509" s="25"/>
      <c r="E509" s="25"/>
      <c r="F509" s="25"/>
      <c r="G509" s="25"/>
      <c r="H509" s="25"/>
      <c r="I509" s="25"/>
    </row>
    <row r="510" spans="3:9" ht="13">
      <c r="C510" s="25"/>
      <c r="E510" s="25"/>
      <c r="F510" s="25"/>
      <c r="G510" s="25"/>
      <c r="H510" s="25"/>
      <c r="I510" s="25"/>
    </row>
    <row r="511" spans="3:9" ht="13">
      <c r="C511" s="25"/>
      <c r="E511" s="25"/>
      <c r="F511" s="25"/>
      <c r="G511" s="25"/>
      <c r="H511" s="25"/>
      <c r="I511" s="25"/>
    </row>
    <row r="512" spans="3:9" ht="13">
      <c r="C512" s="25"/>
      <c r="E512" s="25"/>
      <c r="F512" s="25"/>
      <c r="G512" s="25"/>
      <c r="H512" s="25"/>
      <c r="I512" s="25"/>
    </row>
    <row r="513" spans="3:9" ht="13">
      <c r="C513" s="25"/>
      <c r="E513" s="25"/>
      <c r="F513" s="25"/>
      <c r="G513" s="25"/>
      <c r="H513" s="25"/>
      <c r="I513" s="25"/>
    </row>
    <row r="514" spans="3:9" ht="13">
      <c r="C514" s="25"/>
      <c r="E514" s="25"/>
      <c r="F514" s="25"/>
      <c r="G514" s="25"/>
      <c r="H514" s="25"/>
      <c r="I514" s="25"/>
    </row>
    <row r="515" spans="3:9" ht="13">
      <c r="C515" s="25"/>
      <c r="E515" s="25"/>
      <c r="F515" s="25"/>
      <c r="G515" s="25"/>
      <c r="H515" s="25"/>
      <c r="I515" s="25"/>
    </row>
    <row r="516" spans="3:9" ht="13">
      <c r="C516" s="25"/>
      <c r="E516" s="25"/>
      <c r="F516" s="25"/>
      <c r="G516" s="25"/>
      <c r="H516" s="25"/>
      <c r="I516" s="25"/>
    </row>
    <row r="517" spans="3:9" ht="13">
      <c r="C517" s="25"/>
      <c r="E517" s="25"/>
      <c r="F517" s="25"/>
      <c r="G517" s="25"/>
      <c r="H517" s="25"/>
      <c r="I517" s="25"/>
    </row>
    <row r="518" spans="3:9" ht="13">
      <c r="C518" s="25"/>
      <c r="E518" s="25"/>
      <c r="F518" s="25"/>
      <c r="G518" s="25"/>
      <c r="H518" s="25"/>
      <c r="I518" s="25"/>
    </row>
    <row r="519" spans="3:9" ht="13">
      <c r="C519" s="25"/>
      <c r="E519" s="25"/>
      <c r="F519" s="25"/>
      <c r="G519" s="25"/>
      <c r="H519" s="25"/>
      <c r="I519" s="25"/>
    </row>
    <row r="520" spans="3:9" ht="13">
      <c r="C520" s="25"/>
      <c r="E520" s="25"/>
      <c r="F520" s="25"/>
      <c r="G520" s="25"/>
      <c r="H520" s="25"/>
      <c r="I520" s="25"/>
    </row>
    <row r="521" spans="3:9" ht="13">
      <c r="C521" s="25"/>
      <c r="E521" s="25"/>
      <c r="F521" s="25"/>
      <c r="G521" s="25"/>
      <c r="H521" s="25"/>
      <c r="I521" s="25"/>
    </row>
    <row r="522" spans="3:9" ht="13">
      <c r="C522" s="25"/>
      <c r="E522" s="25"/>
      <c r="F522" s="25"/>
      <c r="G522" s="25"/>
      <c r="H522" s="25"/>
      <c r="I522" s="25"/>
    </row>
    <row r="523" spans="3:9" ht="13">
      <c r="C523" s="25"/>
      <c r="E523" s="25"/>
      <c r="F523" s="25"/>
      <c r="G523" s="25"/>
      <c r="H523" s="25"/>
      <c r="I523" s="25"/>
    </row>
    <row r="524" spans="3:9" ht="13">
      <c r="C524" s="25"/>
      <c r="E524" s="25"/>
      <c r="F524" s="25"/>
      <c r="G524" s="25"/>
      <c r="H524" s="25"/>
      <c r="I524" s="25"/>
    </row>
    <row r="525" spans="3:9" ht="13">
      <c r="C525" s="25"/>
      <c r="E525" s="25"/>
      <c r="F525" s="25"/>
      <c r="G525" s="25"/>
      <c r="H525" s="25"/>
      <c r="I525" s="25"/>
    </row>
    <row r="526" spans="3:9" ht="13">
      <c r="C526" s="25"/>
      <c r="E526" s="25"/>
      <c r="F526" s="25"/>
      <c r="G526" s="25"/>
      <c r="H526" s="25"/>
      <c r="I526" s="25"/>
    </row>
    <row r="527" spans="3:9" ht="13">
      <c r="C527" s="25"/>
      <c r="E527" s="25"/>
      <c r="F527" s="25"/>
      <c r="G527" s="25"/>
      <c r="H527" s="25"/>
      <c r="I527" s="25"/>
    </row>
    <row r="528" spans="3:9" ht="13">
      <c r="C528" s="25"/>
      <c r="E528" s="25"/>
      <c r="F528" s="25"/>
      <c r="G528" s="25"/>
      <c r="H528" s="25"/>
      <c r="I528" s="25"/>
    </row>
    <row r="529" spans="3:9" ht="13">
      <c r="C529" s="25"/>
      <c r="E529" s="25"/>
      <c r="F529" s="25"/>
      <c r="G529" s="25"/>
      <c r="H529" s="25"/>
      <c r="I529" s="25"/>
    </row>
    <row r="530" spans="3:9" ht="13">
      <c r="C530" s="25"/>
      <c r="E530" s="25"/>
      <c r="F530" s="25"/>
      <c r="G530" s="25"/>
      <c r="H530" s="25"/>
      <c r="I530" s="25"/>
    </row>
    <row r="531" spans="3:9" ht="13">
      <c r="C531" s="25"/>
      <c r="E531" s="25"/>
      <c r="F531" s="25"/>
      <c r="G531" s="25"/>
      <c r="H531" s="25"/>
      <c r="I531" s="25"/>
    </row>
    <row r="532" spans="3:9" ht="13">
      <c r="C532" s="25"/>
      <c r="E532" s="25"/>
      <c r="F532" s="25"/>
      <c r="G532" s="25"/>
      <c r="H532" s="25"/>
      <c r="I532" s="25"/>
    </row>
    <row r="533" spans="3:9" ht="13">
      <c r="C533" s="25"/>
      <c r="E533" s="25"/>
      <c r="F533" s="25"/>
      <c r="G533" s="25"/>
      <c r="H533" s="25"/>
      <c r="I533" s="25"/>
    </row>
    <row r="534" spans="3:9" ht="13">
      <c r="C534" s="25"/>
      <c r="E534" s="25"/>
      <c r="F534" s="25"/>
      <c r="G534" s="25"/>
      <c r="H534" s="25"/>
      <c r="I534" s="25"/>
    </row>
    <row r="535" spans="3:9" ht="13">
      <c r="C535" s="25"/>
      <c r="E535" s="25"/>
      <c r="F535" s="25"/>
      <c r="G535" s="25"/>
      <c r="H535" s="25"/>
      <c r="I535" s="25"/>
    </row>
    <row r="536" spans="3:9" ht="13">
      <c r="C536" s="25"/>
      <c r="E536" s="25"/>
      <c r="F536" s="25"/>
      <c r="G536" s="25"/>
      <c r="H536" s="25"/>
      <c r="I536" s="25"/>
    </row>
    <row r="537" spans="3:9" ht="13">
      <c r="C537" s="25"/>
      <c r="E537" s="25"/>
      <c r="F537" s="25"/>
      <c r="G537" s="25"/>
      <c r="H537" s="25"/>
      <c r="I537" s="25"/>
    </row>
    <row r="538" spans="3:9" ht="13">
      <c r="C538" s="25"/>
      <c r="E538" s="25"/>
      <c r="F538" s="25"/>
      <c r="G538" s="25"/>
      <c r="H538" s="25"/>
      <c r="I538" s="25"/>
    </row>
    <row r="539" spans="3:9" ht="13">
      <c r="C539" s="25"/>
      <c r="E539" s="25"/>
      <c r="F539" s="25"/>
      <c r="G539" s="25"/>
      <c r="H539" s="25"/>
      <c r="I539" s="25"/>
    </row>
    <row r="540" spans="3:9" ht="13">
      <c r="C540" s="25"/>
      <c r="E540" s="25"/>
      <c r="F540" s="25"/>
      <c r="G540" s="25"/>
      <c r="H540" s="25"/>
      <c r="I540" s="25"/>
    </row>
    <row r="541" spans="3:9" ht="13">
      <c r="C541" s="25"/>
      <c r="E541" s="25"/>
      <c r="F541" s="25"/>
      <c r="G541" s="25"/>
      <c r="H541" s="25"/>
      <c r="I541" s="25"/>
    </row>
    <row r="542" spans="3:9" ht="13">
      <c r="C542" s="25"/>
      <c r="E542" s="25"/>
      <c r="F542" s="25"/>
      <c r="G542" s="25"/>
      <c r="H542" s="25"/>
      <c r="I542" s="25"/>
    </row>
    <row r="543" spans="3:9" ht="13">
      <c r="C543" s="25"/>
      <c r="E543" s="25"/>
      <c r="F543" s="25"/>
      <c r="G543" s="25"/>
      <c r="H543" s="25"/>
      <c r="I543" s="25"/>
    </row>
    <row r="544" spans="3:9" ht="13">
      <c r="C544" s="25"/>
      <c r="E544" s="25"/>
      <c r="F544" s="25"/>
      <c r="G544" s="25"/>
      <c r="H544" s="25"/>
      <c r="I544" s="25"/>
    </row>
    <row r="545" spans="3:9" ht="13">
      <c r="C545" s="25"/>
      <c r="E545" s="25"/>
      <c r="F545" s="25"/>
      <c r="G545" s="25"/>
      <c r="H545" s="25"/>
      <c r="I545" s="25"/>
    </row>
    <row r="546" spans="3:9" ht="13">
      <c r="C546" s="25"/>
      <c r="E546" s="25"/>
      <c r="F546" s="25"/>
      <c r="G546" s="25"/>
      <c r="H546" s="25"/>
      <c r="I546" s="25"/>
    </row>
    <row r="547" spans="3:9" ht="13">
      <c r="C547" s="25"/>
      <c r="E547" s="25"/>
      <c r="F547" s="25"/>
      <c r="G547" s="25"/>
      <c r="H547" s="25"/>
      <c r="I547" s="25"/>
    </row>
    <row r="548" spans="3:9" ht="13">
      <c r="C548" s="25"/>
      <c r="E548" s="25"/>
      <c r="F548" s="25"/>
      <c r="G548" s="25"/>
      <c r="H548" s="25"/>
      <c r="I548" s="25"/>
    </row>
    <row r="549" spans="3:9" ht="13">
      <c r="C549" s="25"/>
      <c r="E549" s="25"/>
      <c r="F549" s="25"/>
      <c r="G549" s="25"/>
      <c r="H549" s="25"/>
      <c r="I549" s="25"/>
    </row>
    <row r="550" spans="3:9" ht="13">
      <c r="C550" s="25"/>
      <c r="E550" s="25"/>
      <c r="F550" s="25"/>
      <c r="G550" s="25"/>
      <c r="H550" s="25"/>
      <c r="I550" s="25"/>
    </row>
    <row r="551" spans="3:9" ht="13">
      <c r="C551" s="25"/>
      <c r="E551" s="25"/>
      <c r="F551" s="25"/>
      <c r="G551" s="25"/>
      <c r="H551" s="25"/>
      <c r="I551" s="25"/>
    </row>
    <row r="552" spans="3:9" ht="13">
      <c r="C552" s="25"/>
      <c r="E552" s="25"/>
      <c r="F552" s="25"/>
      <c r="G552" s="25"/>
      <c r="H552" s="25"/>
      <c r="I552" s="25"/>
    </row>
    <row r="553" spans="3:9" ht="13">
      <c r="C553" s="25"/>
      <c r="E553" s="25"/>
      <c r="F553" s="25"/>
      <c r="G553" s="25"/>
      <c r="H553" s="25"/>
      <c r="I553" s="25"/>
    </row>
    <row r="554" spans="3:9" ht="13">
      <c r="C554" s="25"/>
      <c r="E554" s="25"/>
      <c r="F554" s="25"/>
      <c r="G554" s="25"/>
      <c r="H554" s="25"/>
      <c r="I554" s="25"/>
    </row>
    <row r="555" spans="3:9" ht="13">
      <c r="C555" s="25"/>
      <c r="E555" s="25"/>
      <c r="F555" s="25"/>
      <c r="G555" s="25"/>
      <c r="H555" s="25"/>
      <c r="I555" s="25"/>
    </row>
    <row r="556" spans="3:9" ht="13">
      <c r="C556" s="25"/>
      <c r="E556" s="25"/>
      <c r="F556" s="25"/>
      <c r="G556" s="25"/>
      <c r="H556" s="25"/>
      <c r="I556" s="25"/>
    </row>
    <row r="557" spans="3:9" ht="13">
      <c r="C557" s="25"/>
      <c r="E557" s="25"/>
      <c r="F557" s="25"/>
      <c r="G557" s="25"/>
      <c r="H557" s="25"/>
      <c r="I557" s="25"/>
    </row>
    <row r="558" spans="3:9" ht="13">
      <c r="C558" s="25"/>
      <c r="E558" s="25"/>
      <c r="F558" s="25"/>
      <c r="G558" s="25"/>
      <c r="H558" s="25"/>
      <c r="I558" s="25"/>
    </row>
    <row r="559" spans="3:9" ht="13">
      <c r="C559" s="25"/>
      <c r="E559" s="25"/>
      <c r="F559" s="25"/>
      <c r="G559" s="25"/>
      <c r="H559" s="25"/>
      <c r="I559" s="25"/>
    </row>
    <row r="560" spans="3:9" ht="13">
      <c r="C560" s="25"/>
      <c r="E560" s="25"/>
      <c r="F560" s="25"/>
      <c r="G560" s="25"/>
      <c r="H560" s="25"/>
      <c r="I560" s="25"/>
    </row>
    <row r="561" spans="3:9" ht="13">
      <c r="C561" s="25"/>
      <c r="E561" s="25"/>
      <c r="F561" s="25"/>
      <c r="G561" s="25"/>
      <c r="H561" s="25"/>
      <c r="I561" s="25"/>
    </row>
    <row r="562" spans="3:9" ht="13">
      <c r="C562" s="25"/>
      <c r="E562" s="25"/>
      <c r="F562" s="25"/>
      <c r="G562" s="25"/>
      <c r="H562" s="25"/>
      <c r="I562" s="25"/>
    </row>
    <row r="563" spans="3:9" ht="13">
      <c r="C563" s="25"/>
      <c r="E563" s="25"/>
      <c r="F563" s="25"/>
      <c r="G563" s="25"/>
      <c r="H563" s="25"/>
      <c r="I563" s="25"/>
    </row>
    <row r="564" spans="3:9" ht="13">
      <c r="C564" s="25"/>
      <c r="E564" s="25"/>
      <c r="F564" s="25"/>
      <c r="G564" s="25"/>
      <c r="H564" s="25"/>
      <c r="I564" s="25"/>
    </row>
    <row r="565" spans="3:9" ht="13">
      <c r="C565" s="25"/>
      <c r="E565" s="25"/>
      <c r="F565" s="25"/>
      <c r="G565" s="25"/>
      <c r="H565" s="25"/>
      <c r="I565" s="25"/>
    </row>
    <row r="566" spans="3:9" ht="13">
      <c r="C566" s="25"/>
      <c r="E566" s="25"/>
      <c r="F566" s="25"/>
      <c r="G566" s="25"/>
      <c r="H566" s="25"/>
      <c r="I566" s="25"/>
    </row>
    <row r="567" spans="3:9" ht="13">
      <c r="C567" s="25"/>
      <c r="E567" s="25"/>
      <c r="F567" s="25"/>
      <c r="G567" s="25"/>
      <c r="H567" s="25"/>
      <c r="I567" s="25"/>
    </row>
    <row r="568" spans="3:9" ht="13">
      <c r="C568" s="25"/>
      <c r="E568" s="25"/>
      <c r="F568" s="25"/>
      <c r="G568" s="25"/>
      <c r="H568" s="25"/>
      <c r="I568" s="25"/>
    </row>
    <row r="569" spans="3:9" ht="13">
      <c r="C569" s="25"/>
      <c r="E569" s="25"/>
      <c r="F569" s="25"/>
      <c r="G569" s="25"/>
      <c r="H569" s="25"/>
      <c r="I569" s="25"/>
    </row>
    <row r="570" spans="3:9" ht="13">
      <c r="C570" s="25"/>
      <c r="E570" s="25"/>
      <c r="F570" s="25"/>
      <c r="G570" s="25"/>
      <c r="H570" s="25"/>
      <c r="I570" s="25"/>
    </row>
    <row r="571" spans="3:9" ht="13">
      <c r="C571" s="25"/>
      <c r="E571" s="25"/>
      <c r="F571" s="25"/>
      <c r="G571" s="25"/>
      <c r="H571" s="25"/>
      <c r="I571" s="25"/>
    </row>
    <row r="572" spans="3:9" ht="13">
      <c r="C572" s="25"/>
      <c r="E572" s="25"/>
      <c r="F572" s="25"/>
      <c r="G572" s="25"/>
      <c r="H572" s="25"/>
      <c r="I572" s="25"/>
    </row>
    <row r="573" spans="3:9" ht="13">
      <c r="C573" s="25"/>
      <c r="E573" s="25"/>
      <c r="F573" s="25"/>
      <c r="G573" s="25"/>
      <c r="H573" s="25"/>
      <c r="I573" s="25"/>
    </row>
    <row r="574" spans="3:9" ht="13">
      <c r="C574" s="25"/>
      <c r="E574" s="25"/>
      <c r="F574" s="25"/>
      <c r="G574" s="25"/>
      <c r="H574" s="25"/>
      <c r="I574" s="25"/>
    </row>
    <row r="575" spans="3:9" ht="13">
      <c r="C575" s="25"/>
      <c r="E575" s="25"/>
      <c r="F575" s="25"/>
      <c r="G575" s="25"/>
      <c r="H575" s="25"/>
      <c r="I575" s="25"/>
    </row>
    <row r="576" spans="3:9" ht="13">
      <c r="C576" s="25"/>
      <c r="E576" s="25"/>
      <c r="F576" s="25"/>
      <c r="G576" s="25"/>
      <c r="H576" s="25"/>
      <c r="I576" s="25"/>
    </row>
    <row r="577" spans="3:9" ht="13">
      <c r="C577" s="25"/>
      <c r="E577" s="25"/>
      <c r="F577" s="25"/>
      <c r="G577" s="25"/>
      <c r="H577" s="25"/>
      <c r="I577" s="25"/>
    </row>
    <row r="578" spans="3:9" ht="13">
      <c r="C578" s="25"/>
      <c r="E578" s="25"/>
      <c r="F578" s="25"/>
      <c r="G578" s="25"/>
      <c r="H578" s="25"/>
      <c r="I578" s="25"/>
    </row>
    <row r="579" spans="3:9" ht="13">
      <c r="C579" s="25"/>
      <c r="E579" s="25"/>
      <c r="F579" s="25"/>
      <c r="G579" s="25"/>
      <c r="H579" s="25"/>
      <c r="I579" s="25"/>
    </row>
    <row r="580" spans="3:9" ht="13">
      <c r="C580" s="25"/>
      <c r="E580" s="25"/>
      <c r="F580" s="25"/>
      <c r="G580" s="25"/>
      <c r="H580" s="25"/>
      <c r="I580" s="25"/>
    </row>
    <row r="581" spans="3:9" ht="13">
      <c r="C581" s="25"/>
      <c r="E581" s="25"/>
      <c r="F581" s="25"/>
      <c r="G581" s="25"/>
      <c r="H581" s="25"/>
      <c r="I581" s="25"/>
    </row>
    <row r="582" spans="3:9" ht="13">
      <c r="C582" s="25"/>
      <c r="E582" s="25"/>
      <c r="F582" s="25"/>
      <c r="G582" s="25"/>
      <c r="H582" s="25"/>
      <c r="I582" s="25"/>
    </row>
    <row r="583" spans="3:9" ht="13">
      <c r="C583" s="25"/>
      <c r="E583" s="25"/>
      <c r="F583" s="25"/>
      <c r="G583" s="25"/>
      <c r="H583" s="25"/>
      <c r="I583" s="25"/>
    </row>
    <row r="584" spans="3:9" ht="13">
      <c r="C584" s="25"/>
      <c r="E584" s="25"/>
      <c r="F584" s="25"/>
      <c r="G584" s="25"/>
      <c r="H584" s="25"/>
      <c r="I584" s="25"/>
    </row>
    <row r="585" spans="3:9" ht="13">
      <c r="C585" s="25"/>
      <c r="E585" s="25"/>
      <c r="F585" s="25"/>
      <c r="G585" s="25"/>
      <c r="H585" s="25"/>
      <c r="I585" s="25"/>
    </row>
    <row r="586" spans="3:9" ht="13">
      <c r="C586" s="25"/>
      <c r="E586" s="25"/>
      <c r="F586" s="25"/>
      <c r="G586" s="25"/>
      <c r="H586" s="25"/>
      <c r="I586" s="25"/>
    </row>
    <row r="587" spans="3:9" ht="13">
      <c r="C587" s="25"/>
      <c r="E587" s="25"/>
      <c r="F587" s="25"/>
      <c r="G587" s="25"/>
      <c r="H587" s="25"/>
      <c r="I587" s="25"/>
    </row>
    <row r="588" spans="3:9" ht="13">
      <c r="C588" s="25"/>
      <c r="E588" s="25"/>
      <c r="F588" s="25"/>
      <c r="G588" s="25"/>
      <c r="H588" s="25"/>
      <c r="I588" s="25"/>
    </row>
    <row r="589" spans="3:9" ht="13">
      <c r="C589" s="25"/>
      <c r="E589" s="25"/>
      <c r="F589" s="25"/>
      <c r="G589" s="25"/>
      <c r="H589" s="25"/>
      <c r="I589" s="25"/>
    </row>
    <row r="590" spans="3:9" ht="13">
      <c r="C590" s="25"/>
      <c r="E590" s="25"/>
      <c r="F590" s="25"/>
      <c r="G590" s="25"/>
      <c r="H590" s="25"/>
      <c r="I590" s="25"/>
    </row>
    <row r="591" spans="3:9" ht="13">
      <c r="C591" s="25"/>
      <c r="E591" s="25"/>
      <c r="F591" s="25"/>
      <c r="G591" s="25"/>
      <c r="H591" s="25"/>
      <c r="I591" s="25"/>
    </row>
    <row r="592" spans="3:9" ht="13">
      <c r="C592" s="25"/>
      <c r="E592" s="25"/>
      <c r="F592" s="25"/>
      <c r="G592" s="25"/>
      <c r="H592" s="25"/>
      <c r="I592" s="25"/>
    </row>
    <row r="593" spans="3:9" ht="13">
      <c r="C593" s="25"/>
      <c r="E593" s="25"/>
      <c r="F593" s="25"/>
      <c r="G593" s="25"/>
      <c r="H593" s="25"/>
      <c r="I593" s="25"/>
    </row>
    <row r="594" spans="3:9" ht="13">
      <c r="C594" s="25"/>
      <c r="E594" s="25"/>
      <c r="F594" s="25"/>
      <c r="G594" s="25"/>
      <c r="H594" s="25"/>
      <c r="I594" s="25"/>
    </row>
    <row r="595" spans="3:9" ht="13">
      <c r="C595" s="25"/>
      <c r="E595" s="25"/>
      <c r="F595" s="25"/>
      <c r="G595" s="25"/>
      <c r="H595" s="25"/>
      <c r="I595" s="25"/>
    </row>
    <row r="596" spans="3:9" ht="13">
      <c r="C596" s="25"/>
      <c r="E596" s="25"/>
      <c r="F596" s="25"/>
      <c r="G596" s="25"/>
      <c r="H596" s="25"/>
      <c r="I596" s="25"/>
    </row>
    <row r="597" spans="3:9" ht="13">
      <c r="C597" s="25"/>
      <c r="E597" s="25"/>
      <c r="F597" s="25"/>
      <c r="G597" s="25"/>
      <c r="H597" s="25"/>
      <c r="I597" s="25"/>
    </row>
    <row r="598" spans="3:9" ht="13">
      <c r="C598" s="25"/>
      <c r="E598" s="25"/>
      <c r="F598" s="25"/>
      <c r="G598" s="25"/>
      <c r="H598" s="25"/>
      <c r="I598" s="25"/>
    </row>
    <row r="599" spans="3:9" ht="13">
      <c r="C599" s="25"/>
      <c r="E599" s="25"/>
      <c r="F599" s="25"/>
      <c r="G599" s="25"/>
      <c r="H599" s="25"/>
      <c r="I599" s="25"/>
    </row>
    <row r="600" spans="3:9" ht="13">
      <c r="C600" s="25"/>
      <c r="E600" s="25"/>
      <c r="F600" s="25"/>
      <c r="G600" s="25"/>
      <c r="H600" s="25"/>
      <c r="I600" s="25"/>
    </row>
    <row r="601" spans="3:9" ht="13">
      <c r="C601" s="25"/>
      <c r="E601" s="25"/>
      <c r="F601" s="25"/>
      <c r="G601" s="25"/>
      <c r="H601" s="25"/>
      <c r="I601" s="25"/>
    </row>
    <row r="602" spans="3:9" ht="13">
      <c r="C602" s="25"/>
      <c r="E602" s="25"/>
      <c r="F602" s="25"/>
      <c r="G602" s="25"/>
      <c r="H602" s="25"/>
      <c r="I602" s="25"/>
    </row>
    <row r="603" spans="3:9" ht="13">
      <c r="C603" s="25"/>
      <c r="E603" s="25"/>
      <c r="F603" s="25"/>
      <c r="G603" s="25"/>
      <c r="H603" s="25"/>
      <c r="I603" s="25"/>
    </row>
    <row r="604" spans="3:9" ht="13">
      <c r="C604" s="25"/>
      <c r="E604" s="25"/>
      <c r="F604" s="25"/>
      <c r="G604" s="25"/>
      <c r="H604" s="25"/>
      <c r="I604" s="25"/>
    </row>
    <row r="605" spans="3:9" ht="13">
      <c r="C605" s="25"/>
      <c r="E605" s="25"/>
      <c r="F605" s="25"/>
      <c r="G605" s="25"/>
      <c r="H605" s="25"/>
      <c r="I605" s="25"/>
    </row>
    <row r="606" spans="3:9" ht="13">
      <c r="C606" s="25"/>
      <c r="E606" s="25"/>
      <c r="F606" s="25"/>
      <c r="G606" s="25"/>
      <c r="H606" s="25"/>
      <c r="I606" s="25"/>
    </row>
    <row r="607" spans="3:9" ht="13">
      <c r="C607" s="25"/>
      <c r="E607" s="25"/>
      <c r="F607" s="25"/>
      <c r="G607" s="25"/>
      <c r="H607" s="25"/>
      <c r="I607" s="25"/>
    </row>
    <row r="608" spans="3:9" ht="13">
      <c r="C608" s="25"/>
      <c r="E608" s="25"/>
      <c r="F608" s="25"/>
      <c r="G608" s="25"/>
      <c r="H608" s="25"/>
      <c r="I608" s="25"/>
    </row>
    <row r="609" spans="3:9" ht="13">
      <c r="C609" s="25"/>
      <c r="E609" s="25"/>
      <c r="F609" s="25"/>
      <c r="G609" s="25"/>
      <c r="H609" s="25"/>
      <c r="I609" s="25"/>
    </row>
    <row r="610" spans="3:9" ht="13">
      <c r="C610" s="25"/>
      <c r="E610" s="25"/>
      <c r="F610" s="25"/>
      <c r="G610" s="25"/>
      <c r="H610" s="25"/>
      <c r="I610" s="25"/>
    </row>
    <row r="611" spans="3:9" ht="13">
      <c r="C611" s="25"/>
      <c r="E611" s="25"/>
      <c r="F611" s="25"/>
      <c r="G611" s="25"/>
      <c r="H611" s="25"/>
      <c r="I611" s="25"/>
    </row>
    <row r="612" spans="3:9" ht="13">
      <c r="C612" s="25"/>
      <c r="E612" s="25"/>
      <c r="F612" s="25"/>
      <c r="G612" s="25"/>
      <c r="H612" s="25"/>
      <c r="I612" s="25"/>
    </row>
    <row r="613" spans="3:9" ht="13">
      <c r="C613" s="25"/>
      <c r="E613" s="25"/>
      <c r="F613" s="25"/>
      <c r="G613" s="25"/>
      <c r="H613" s="25"/>
      <c r="I613" s="25"/>
    </row>
    <row r="614" spans="3:9" ht="13">
      <c r="C614" s="25"/>
      <c r="E614" s="25"/>
      <c r="F614" s="25"/>
      <c r="G614" s="25"/>
      <c r="H614" s="25"/>
      <c r="I614" s="25"/>
    </row>
    <row r="615" spans="3:9" ht="13">
      <c r="C615" s="25"/>
      <c r="E615" s="25"/>
      <c r="F615" s="25"/>
      <c r="G615" s="25"/>
      <c r="H615" s="25"/>
      <c r="I615" s="25"/>
    </row>
    <row r="616" spans="3:9" ht="13">
      <c r="C616" s="25"/>
      <c r="E616" s="25"/>
      <c r="F616" s="25"/>
      <c r="G616" s="25"/>
      <c r="H616" s="25"/>
      <c r="I616" s="25"/>
    </row>
    <row r="617" spans="3:9" ht="13">
      <c r="C617" s="25"/>
      <c r="E617" s="25"/>
      <c r="F617" s="25"/>
      <c r="G617" s="25"/>
      <c r="H617" s="25"/>
      <c r="I617" s="25"/>
    </row>
    <row r="618" spans="3:9" ht="13">
      <c r="C618" s="25"/>
      <c r="E618" s="25"/>
      <c r="F618" s="25"/>
      <c r="G618" s="25"/>
      <c r="H618" s="25"/>
      <c r="I618" s="25"/>
    </row>
    <row r="619" spans="3:9" ht="13">
      <c r="C619" s="25"/>
      <c r="E619" s="25"/>
      <c r="F619" s="25"/>
      <c r="G619" s="25"/>
      <c r="H619" s="25"/>
      <c r="I619" s="25"/>
    </row>
    <row r="620" spans="3:9" ht="13">
      <c r="C620" s="25"/>
      <c r="E620" s="25"/>
      <c r="F620" s="25"/>
      <c r="G620" s="25"/>
      <c r="H620" s="25"/>
      <c r="I620" s="25"/>
    </row>
    <row r="621" spans="3:9" ht="13">
      <c r="C621" s="25"/>
      <c r="E621" s="25"/>
      <c r="F621" s="25"/>
      <c r="G621" s="25"/>
      <c r="H621" s="25"/>
      <c r="I621" s="25"/>
    </row>
    <row r="622" spans="3:9" ht="13">
      <c r="C622" s="25"/>
      <c r="E622" s="25"/>
      <c r="F622" s="25"/>
      <c r="G622" s="25"/>
      <c r="H622" s="25"/>
      <c r="I622" s="25"/>
    </row>
    <row r="623" spans="3:9" ht="13">
      <c r="C623" s="25"/>
      <c r="E623" s="25"/>
      <c r="F623" s="25"/>
      <c r="G623" s="25"/>
      <c r="H623" s="25"/>
      <c r="I623" s="25"/>
    </row>
    <row r="624" spans="3:9" ht="13">
      <c r="C624" s="25"/>
      <c r="E624" s="25"/>
      <c r="F624" s="25"/>
      <c r="G624" s="25"/>
      <c r="H624" s="25"/>
      <c r="I624" s="25"/>
    </row>
    <row r="625" spans="3:9" ht="13">
      <c r="C625" s="25"/>
      <c r="E625" s="25"/>
      <c r="F625" s="25"/>
      <c r="G625" s="25"/>
      <c r="H625" s="25"/>
      <c r="I625" s="25"/>
    </row>
    <row r="626" spans="3:9" ht="13">
      <c r="C626" s="25"/>
      <c r="E626" s="25"/>
      <c r="F626" s="25"/>
      <c r="G626" s="25"/>
      <c r="H626" s="25"/>
      <c r="I626" s="25"/>
    </row>
    <row r="627" spans="3:9" ht="13">
      <c r="C627" s="25"/>
      <c r="E627" s="25"/>
      <c r="F627" s="25"/>
      <c r="G627" s="25"/>
      <c r="H627" s="25"/>
      <c r="I627" s="25"/>
    </row>
    <row r="628" spans="3:9" ht="13">
      <c r="C628" s="25"/>
      <c r="E628" s="25"/>
      <c r="F628" s="25"/>
      <c r="G628" s="25"/>
      <c r="H628" s="25"/>
      <c r="I628" s="25"/>
    </row>
    <row r="629" spans="3:9" ht="13">
      <c r="C629" s="25"/>
      <c r="E629" s="25"/>
      <c r="F629" s="25"/>
      <c r="G629" s="25"/>
      <c r="H629" s="25"/>
      <c r="I629" s="25"/>
    </row>
    <row r="630" spans="3:9" ht="13">
      <c r="C630" s="25"/>
      <c r="E630" s="25"/>
      <c r="F630" s="25"/>
      <c r="G630" s="25"/>
      <c r="H630" s="25"/>
      <c r="I630" s="25"/>
    </row>
    <row r="631" spans="3:9" ht="13">
      <c r="C631" s="25"/>
      <c r="E631" s="25"/>
      <c r="F631" s="25"/>
      <c r="G631" s="25"/>
      <c r="H631" s="25"/>
      <c r="I631" s="25"/>
    </row>
    <row r="632" spans="3:9" ht="13">
      <c r="C632" s="25"/>
      <c r="E632" s="25"/>
      <c r="F632" s="25"/>
      <c r="G632" s="25"/>
      <c r="H632" s="25"/>
      <c r="I632" s="25"/>
    </row>
    <row r="633" spans="3:9" ht="13">
      <c r="C633" s="25"/>
      <c r="E633" s="25"/>
      <c r="F633" s="25"/>
      <c r="G633" s="25"/>
      <c r="H633" s="25"/>
      <c r="I633" s="25"/>
    </row>
    <row r="634" spans="3:9" ht="13">
      <c r="C634" s="25"/>
      <c r="E634" s="25"/>
      <c r="F634" s="25"/>
      <c r="G634" s="25"/>
      <c r="H634" s="25"/>
      <c r="I634" s="25"/>
    </row>
    <row r="635" spans="3:9" ht="13">
      <c r="C635" s="25"/>
      <c r="E635" s="25"/>
      <c r="F635" s="25"/>
      <c r="G635" s="25"/>
      <c r="H635" s="25"/>
      <c r="I635" s="25"/>
    </row>
    <row r="636" spans="3:9" ht="13">
      <c r="C636" s="25"/>
      <c r="E636" s="25"/>
      <c r="F636" s="25"/>
      <c r="G636" s="25"/>
      <c r="H636" s="25"/>
      <c r="I636" s="25"/>
    </row>
    <row r="637" spans="3:9" ht="13">
      <c r="C637" s="25"/>
      <c r="E637" s="25"/>
      <c r="F637" s="25"/>
      <c r="G637" s="25"/>
      <c r="H637" s="25"/>
      <c r="I637" s="25"/>
    </row>
    <row r="638" spans="3:9" ht="13">
      <c r="C638" s="25"/>
      <c r="E638" s="25"/>
      <c r="F638" s="25"/>
      <c r="G638" s="25"/>
      <c r="H638" s="25"/>
      <c r="I638" s="25"/>
    </row>
    <row r="639" spans="3:9" ht="13">
      <c r="C639" s="25"/>
      <c r="E639" s="25"/>
      <c r="F639" s="25"/>
      <c r="G639" s="25"/>
      <c r="H639" s="25"/>
      <c r="I639" s="25"/>
    </row>
    <row r="640" spans="3:9" ht="13">
      <c r="C640" s="25"/>
      <c r="E640" s="25"/>
      <c r="F640" s="25"/>
      <c r="G640" s="25"/>
      <c r="H640" s="25"/>
      <c r="I640" s="25"/>
    </row>
    <row r="641" spans="3:9" ht="13">
      <c r="C641" s="25"/>
      <c r="E641" s="25"/>
      <c r="F641" s="25"/>
      <c r="G641" s="25"/>
      <c r="H641" s="25"/>
      <c r="I641" s="25"/>
    </row>
    <row r="642" spans="3:9" ht="13">
      <c r="C642" s="25"/>
      <c r="E642" s="25"/>
      <c r="F642" s="25"/>
      <c r="G642" s="25"/>
      <c r="H642" s="25"/>
      <c r="I642" s="25"/>
    </row>
    <row r="643" spans="3:9" ht="13">
      <c r="C643" s="25"/>
      <c r="E643" s="25"/>
      <c r="F643" s="25"/>
      <c r="G643" s="25"/>
      <c r="H643" s="25"/>
      <c r="I643" s="25"/>
    </row>
    <row r="644" spans="3:9" ht="13">
      <c r="C644" s="25"/>
      <c r="E644" s="25"/>
      <c r="F644" s="25"/>
      <c r="G644" s="25"/>
      <c r="H644" s="25"/>
      <c r="I644" s="25"/>
    </row>
    <row r="645" spans="3:9" ht="13">
      <c r="C645" s="25"/>
      <c r="E645" s="25"/>
      <c r="F645" s="25"/>
      <c r="G645" s="25"/>
      <c r="H645" s="25"/>
      <c r="I645" s="25"/>
    </row>
    <row r="646" spans="3:9" ht="13">
      <c r="C646" s="25"/>
      <c r="E646" s="25"/>
      <c r="F646" s="25"/>
      <c r="G646" s="25"/>
      <c r="H646" s="25"/>
      <c r="I646" s="25"/>
    </row>
    <row r="647" spans="3:9" ht="13">
      <c r="C647" s="25"/>
      <c r="E647" s="25"/>
      <c r="F647" s="25"/>
      <c r="G647" s="25"/>
      <c r="H647" s="25"/>
      <c r="I647" s="25"/>
    </row>
    <row r="648" spans="3:9" ht="13">
      <c r="C648" s="25"/>
      <c r="E648" s="25"/>
      <c r="F648" s="25"/>
      <c r="G648" s="25"/>
      <c r="H648" s="25"/>
      <c r="I648" s="25"/>
    </row>
    <row r="649" spans="3:9" ht="13">
      <c r="C649" s="25"/>
      <c r="E649" s="25"/>
      <c r="F649" s="25"/>
      <c r="G649" s="25"/>
      <c r="H649" s="25"/>
      <c r="I649" s="25"/>
    </row>
    <row r="650" spans="3:9" ht="13">
      <c r="C650" s="25"/>
      <c r="E650" s="25"/>
      <c r="F650" s="25"/>
      <c r="G650" s="25"/>
      <c r="H650" s="25"/>
      <c r="I650" s="25"/>
    </row>
    <row r="651" spans="3:9" ht="13">
      <c r="C651" s="25"/>
      <c r="E651" s="25"/>
      <c r="F651" s="25"/>
      <c r="G651" s="25"/>
      <c r="H651" s="25"/>
      <c r="I651" s="25"/>
    </row>
    <row r="652" spans="3:9" ht="13">
      <c r="C652" s="25"/>
      <c r="E652" s="25"/>
      <c r="F652" s="25"/>
      <c r="G652" s="25"/>
      <c r="H652" s="25"/>
      <c r="I652" s="25"/>
    </row>
    <row r="653" spans="3:9" ht="13">
      <c r="C653" s="25"/>
      <c r="E653" s="25"/>
      <c r="F653" s="25"/>
      <c r="G653" s="25"/>
      <c r="H653" s="25"/>
      <c r="I653" s="25"/>
    </row>
    <row r="654" spans="3:9" ht="13">
      <c r="C654" s="25"/>
      <c r="E654" s="25"/>
      <c r="F654" s="25"/>
      <c r="G654" s="25"/>
      <c r="H654" s="25"/>
      <c r="I654" s="25"/>
    </row>
    <row r="655" spans="3:9" ht="13">
      <c r="C655" s="25"/>
      <c r="E655" s="25"/>
      <c r="F655" s="25"/>
      <c r="G655" s="25"/>
      <c r="H655" s="25"/>
      <c r="I655" s="25"/>
    </row>
    <row r="656" spans="3:9" ht="13">
      <c r="C656" s="25"/>
      <c r="E656" s="25"/>
      <c r="F656" s="25"/>
      <c r="G656" s="25"/>
      <c r="H656" s="25"/>
      <c r="I656" s="25"/>
    </row>
    <row r="657" spans="3:9" ht="13">
      <c r="C657" s="25"/>
      <c r="E657" s="25"/>
      <c r="F657" s="25"/>
      <c r="G657" s="25"/>
      <c r="H657" s="25"/>
      <c r="I657" s="25"/>
    </row>
    <row r="658" spans="3:9" ht="13">
      <c r="C658" s="25"/>
      <c r="E658" s="25"/>
      <c r="F658" s="25"/>
      <c r="G658" s="25"/>
      <c r="H658" s="25"/>
      <c r="I658" s="25"/>
    </row>
    <row r="659" spans="3:9" ht="13">
      <c r="C659" s="25"/>
      <c r="E659" s="25"/>
      <c r="F659" s="25"/>
      <c r="G659" s="25"/>
      <c r="H659" s="25"/>
      <c r="I659" s="25"/>
    </row>
    <row r="660" spans="3:9" ht="13">
      <c r="C660" s="25"/>
      <c r="E660" s="25"/>
      <c r="F660" s="25"/>
      <c r="G660" s="25"/>
      <c r="H660" s="25"/>
      <c r="I660" s="25"/>
    </row>
    <row r="661" spans="3:9" ht="13">
      <c r="C661" s="25"/>
      <c r="E661" s="25"/>
      <c r="F661" s="25"/>
      <c r="G661" s="25"/>
      <c r="H661" s="25"/>
      <c r="I661" s="25"/>
    </row>
    <row r="662" spans="3:9" ht="13">
      <c r="C662" s="25"/>
      <c r="E662" s="25"/>
      <c r="F662" s="25"/>
      <c r="G662" s="25"/>
      <c r="H662" s="25"/>
      <c r="I662" s="25"/>
    </row>
    <row r="663" spans="3:9" ht="13">
      <c r="C663" s="25"/>
      <c r="E663" s="25"/>
      <c r="F663" s="25"/>
      <c r="G663" s="25"/>
      <c r="H663" s="25"/>
      <c r="I663" s="25"/>
    </row>
    <row r="664" spans="3:9" ht="13">
      <c r="C664" s="25"/>
      <c r="E664" s="25"/>
      <c r="F664" s="25"/>
      <c r="G664" s="25"/>
      <c r="H664" s="25"/>
      <c r="I664" s="25"/>
    </row>
    <row r="665" spans="3:9" ht="13">
      <c r="C665" s="25"/>
      <c r="E665" s="25"/>
      <c r="F665" s="25"/>
      <c r="G665" s="25"/>
      <c r="H665" s="25"/>
      <c r="I665" s="25"/>
    </row>
    <row r="666" spans="3:9" ht="13">
      <c r="C666" s="25"/>
      <c r="E666" s="25"/>
      <c r="F666" s="25"/>
      <c r="G666" s="25"/>
      <c r="H666" s="25"/>
      <c r="I666" s="25"/>
    </row>
    <row r="667" spans="3:9" ht="13">
      <c r="C667" s="25"/>
      <c r="E667" s="25"/>
      <c r="F667" s="25"/>
      <c r="G667" s="25"/>
      <c r="H667" s="25"/>
      <c r="I667" s="25"/>
    </row>
    <row r="668" spans="3:9" ht="13">
      <c r="C668" s="25"/>
      <c r="E668" s="25"/>
      <c r="F668" s="25"/>
      <c r="G668" s="25"/>
      <c r="H668" s="25"/>
      <c r="I668" s="25"/>
    </row>
    <row r="669" spans="3:9" ht="13">
      <c r="C669" s="25"/>
      <c r="E669" s="25"/>
      <c r="F669" s="25"/>
      <c r="G669" s="25"/>
      <c r="H669" s="25"/>
      <c r="I669" s="25"/>
    </row>
    <row r="670" spans="3:9" ht="13">
      <c r="C670" s="25"/>
      <c r="E670" s="25"/>
      <c r="F670" s="25"/>
      <c r="G670" s="25"/>
      <c r="H670" s="25"/>
      <c r="I670" s="25"/>
    </row>
    <row r="671" spans="3:9" ht="13">
      <c r="C671" s="25"/>
      <c r="E671" s="25"/>
      <c r="F671" s="25"/>
      <c r="G671" s="25"/>
      <c r="H671" s="25"/>
      <c r="I671" s="25"/>
    </row>
    <row r="672" spans="3:9" ht="13">
      <c r="C672" s="25"/>
      <c r="E672" s="25"/>
      <c r="F672" s="25"/>
      <c r="G672" s="25"/>
      <c r="H672" s="25"/>
      <c r="I672" s="25"/>
    </row>
    <row r="673" spans="3:9" ht="13">
      <c r="C673" s="25"/>
      <c r="E673" s="25"/>
      <c r="F673" s="25"/>
      <c r="G673" s="25"/>
      <c r="H673" s="25"/>
      <c r="I673" s="25"/>
    </row>
    <row r="674" spans="3:9" ht="13">
      <c r="C674" s="25"/>
      <c r="E674" s="25"/>
      <c r="F674" s="25"/>
      <c r="G674" s="25"/>
      <c r="H674" s="25"/>
      <c r="I674" s="25"/>
    </row>
    <row r="675" spans="3:9" ht="13">
      <c r="C675" s="25"/>
      <c r="E675" s="25"/>
      <c r="F675" s="25"/>
      <c r="G675" s="25"/>
      <c r="H675" s="25"/>
      <c r="I675" s="25"/>
    </row>
    <row r="676" spans="3:9" ht="13">
      <c r="C676" s="25"/>
      <c r="E676" s="25"/>
      <c r="F676" s="25"/>
      <c r="G676" s="25"/>
      <c r="H676" s="25"/>
      <c r="I676" s="25"/>
    </row>
    <row r="677" spans="3:9" ht="13">
      <c r="C677" s="25"/>
      <c r="E677" s="25"/>
      <c r="F677" s="25"/>
      <c r="G677" s="25"/>
      <c r="H677" s="25"/>
      <c r="I677" s="25"/>
    </row>
    <row r="678" spans="3:9" ht="13">
      <c r="C678" s="25"/>
      <c r="E678" s="25"/>
      <c r="F678" s="25"/>
      <c r="G678" s="25"/>
      <c r="H678" s="25"/>
      <c r="I678" s="25"/>
    </row>
    <row r="679" spans="3:9" ht="13">
      <c r="C679" s="25"/>
      <c r="E679" s="25"/>
      <c r="F679" s="25"/>
      <c r="G679" s="25"/>
      <c r="H679" s="25"/>
      <c r="I679" s="25"/>
    </row>
    <row r="680" spans="3:9" ht="13">
      <c r="C680" s="25"/>
      <c r="E680" s="25"/>
      <c r="F680" s="25"/>
      <c r="G680" s="25"/>
      <c r="H680" s="25"/>
      <c r="I680" s="25"/>
    </row>
    <row r="681" spans="3:9" ht="13">
      <c r="C681" s="25"/>
      <c r="E681" s="25"/>
      <c r="F681" s="25"/>
      <c r="G681" s="25"/>
      <c r="H681" s="25"/>
      <c r="I681" s="25"/>
    </row>
    <row r="682" spans="3:9" ht="13">
      <c r="C682" s="25"/>
      <c r="E682" s="25"/>
      <c r="F682" s="25"/>
      <c r="G682" s="25"/>
      <c r="H682" s="25"/>
      <c r="I682" s="25"/>
    </row>
    <row r="683" spans="3:9" ht="13">
      <c r="C683" s="25"/>
      <c r="E683" s="25"/>
      <c r="F683" s="25"/>
      <c r="G683" s="25"/>
      <c r="H683" s="25"/>
      <c r="I683" s="25"/>
    </row>
    <row r="684" spans="3:9" ht="13">
      <c r="C684" s="25"/>
      <c r="E684" s="25"/>
      <c r="F684" s="25"/>
      <c r="G684" s="25"/>
      <c r="H684" s="25"/>
      <c r="I684" s="25"/>
    </row>
    <row r="685" spans="3:9" ht="13">
      <c r="C685" s="25"/>
      <c r="E685" s="25"/>
      <c r="F685" s="25"/>
      <c r="G685" s="25"/>
      <c r="H685" s="25"/>
      <c r="I685" s="25"/>
    </row>
    <row r="686" spans="3:9" ht="13">
      <c r="C686" s="25"/>
      <c r="E686" s="25"/>
      <c r="F686" s="25"/>
      <c r="G686" s="25"/>
      <c r="H686" s="25"/>
      <c r="I686" s="25"/>
    </row>
    <row r="687" spans="3:9" ht="13">
      <c r="C687" s="25"/>
      <c r="E687" s="25"/>
      <c r="F687" s="25"/>
      <c r="G687" s="25"/>
      <c r="H687" s="25"/>
      <c r="I687" s="25"/>
    </row>
    <row r="688" spans="3:9" ht="13">
      <c r="C688" s="25"/>
      <c r="E688" s="25"/>
      <c r="F688" s="25"/>
      <c r="G688" s="25"/>
      <c r="H688" s="25"/>
      <c r="I688" s="25"/>
    </row>
    <row r="689" spans="3:9" ht="13">
      <c r="C689" s="25"/>
      <c r="E689" s="25"/>
      <c r="F689" s="25"/>
      <c r="G689" s="25"/>
      <c r="H689" s="25"/>
      <c r="I689" s="25"/>
    </row>
    <row r="690" spans="3:9" ht="13">
      <c r="C690" s="25"/>
      <c r="E690" s="25"/>
      <c r="F690" s="25"/>
      <c r="G690" s="25"/>
      <c r="H690" s="25"/>
      <c r="I690" s="25"/>
    </row>
    <row r="691" spans="3:9" ht="13">
      <c r="C691" s="25"/>
      <c r="E691" s="25"/>
      <c r="F691" s="25"/>
      <c r="G691" s="25"/>
      <c r="H691" s="25"/>
      <c r="I691" s="25"/>
    </row>
    <row r="692" spans="3:9" ht="13">
      <c r="C692" s="25"/>
      <c r="E692" s="25"/>
      <c r="F692" s="25"/>
      <c r="G692" s="25"/>
      <c r="H692" s="25"/>
      <c r="I692" s="25"/>
    </row>
    <row r="693" spans="3:9" ht="13">
      <c r="C693" s="25"/>
      <c r="E693" s="25"/>
      <c r="F693" s="25"/>
      <c r="G693" s="25"/>
      <c r="H693" s="25"/>
      <c r="I693" s="25"/>
    </row>
    <row r="694" spans="3:9" ht="13">
      <c r="C694" s="25"/>
      <c r="E694" s="25"/>
      <c r="F694" s="25"/>
      <c r="G694" s="25"/>
      <c r="H694" s="25"/>
      <c r="I694" s="25"/>
    </row>
    <row r="695" spans="3:9" ht="13">
      <c r="C695" s="25"/>
      <c r="E695" s="25"/>
      <c r="F695" s="25"/>
      <c r="G695" s="25"/>
      <c r="H695" s="25"/>
      <c r="I695" s="25"/>
    </row>
    <row r="696" spans="3:9" ht="13">
      <c r="C696" s="25"/>
      <c r="E696" s="25"/>
      <c r="F696" s="25"/>
      <c r="G696" s="25"/>
      <c r="H696" s="25"/>
      <c r="I696" s="25"/>
    </row>
    <row r="697" spans="3:9" ht="13">
      <c r="C697" s="25"/>
      <c r="E697" s="25"/>
      <c r="F697" s="25"/>
      <c r="G697" s="25"/>
      <c r="H697" s="25"/>
      <c r="I697" s="25"/>
    </row>
    <row r="698" spans="3:9" ht="13">
      <c r="C698" s="25"/>
      <c r="E698" s="25"/>
      <c r="F698" s="25"/>
      <c r="G698" s="25"/>
      <c r="H698" s="25"/>
      <c r="I698" s="25"/>
    </row>
    <row r="699" spans="3:9" ht="13">
      <c r="C699" s="25"/>
      <c r="E699" s="25"/>
      <c r="F699" s="25"/>
      <c r="G699" s="25"/>
      <c r="H699" s="25"/>
      <c r="I699" s="25"/>
    </row>
    <row r="700" spans="3:9" ht="13">
      <c r="C700" s="25"/>
      <c r="E700" s="25"/>
      <c r="F700" s="25"/>
      <c r="G700" s="25"/>
      <c r="H700" s="25"/>
      <c r="I700" s="25"/>
    </row>
    <row r="701" spans="3:9" ht="13">
      <c r="C701" s="25"/>
      <c r="E701" s="25"/>
      <c r="F701" s="25"/>
      <c r="G701" s="25"/>
      <c r="H701" s="25"/>
      <c r="I701" s="25"/>
    </row>
    <row r="702" spans="3:9" ht="13">
      <c r="C702" s="25"/>
      <c r="E702" s="25"/>
      <c r="F702" s="25"/>
      <c r="G702" s="25"/>
      <c r="H702" s="25"/>
      <c r="I702" s="25"/>
    </row>
    <row r="703" spans="3:9" ht="13">
      <c r="C703" s="25"/>
      <c r="E703" s="25"/>
      <c r="F703" s="25"/>
      <c r="G703" s="25"/>
      <c r="H703" s="25"/>
      <c r="I703" s="25"/>
    </row>
    <row r="704" spans="3:9" ht="13">
      <c r="C704" s="25"/>
      <c r="E704" s="25"/>
      <c r="F704" s="25"/>
      <c r="G704" s="25"/>
      <c r="H704" s="25"/>
      <c r="I704" s="25"/>
    </row>
    <row r="705" spans="3:9" ht="13">
      <c r="C705" s="25"/>
      <c r="E705" s="25"/>
      <c r="F705" s="25"/>
      <c r="G705" s="25"/>
      <c r="H705" s="25"/>
      <c r="I705" s="25"/>
    </row>
    <row r="706" spans="3:9" ht="13">
      <c r="C706" s="25"/>
      <c r="E706" s="25"/>
      <c r="F706" s="25"/>
      <c r="G706" s="25"/>
      <c r="H706" s="25"/>
      <c r="I706" s="25"/>
    </row>
    <row r="707" spans="3:9" ht="13">
      <c r="C707" s="25"/>
      <c r="E707" s="25"/>
      <c r="F707" s="25"/>
      <c r="G707" s="25"/>
      <c r="H707" s="25"/>
      <c r="I707" s="25"/>
    </row>
    <row r="708" spans="3:9" ht="13">
      <c r="C708" s="25"/>
      <c r="E708" s="25"/>
      <c r="F708" s="25"/>
      <c r="G708" s="25"/>
      <c r="H708" s="25"/>
      <c r="I708" s="25"/>
    </row>
    <row r="709" spans="3:9" ht="13">
      <c r="C709" s="25"/>
      <c r="E709" s="25"/>
      <c r="F709" s="25"/>
      <c r="G709" s="25"/>
      <c r="H709" s="25"/>
      <c r="I709" s="25"/>
    </row>
    <row r="710" spans="3:9" ht="13">
      <c r="C710" s="25"/>
      <c r="E710" s="25"/>
      <c r="F710" s="25"/>
      <c r="G710" s="25"/>
      <c r="H710" s="25"/>
      <c r="I710" s="25"/>
    </row>
    <row r="711" spans="3:9" ht="13">
      <c r="C711" s="25"/>
      <c r="E711" s="25"/>
      <c r="F711" s="25"/>
      <c r="G711" s="25"/>
      <c r="H711" s="25"/>
      <c r="I711" s="25"/>
    </row>
    <row r="712" spans="3:9" ht="13">
      <c r="C712" s="25"/>
      <c r="E712" s="25"/>
      <c r="F712" s="25"/>
      <c r="G712" s="25"/>
      <c r="H712" s="25"/>
      <c r="I712" s="25"/>
    </row>
    <row r="713" spans="3:9" ht="13">
      <c r="C713" s="25"/>
      <c r="E713" s="25"/>
      <c r="F713" s="25"/>
      <c r="G713" s="25"/>
      <c r="H713" s="25"/>
      <c r="I713" s="25"/>
    </row>
    <row r="714" spans="3:9" ht="13">
      <c r="C714" s="25"/>
      <c r="E714" s="25"/>
      <c r="F714" s="25"/>
      <c r="G714" s="25"/>
      <c r="H714" s="25"/>
      <c r="I714" s="25"/>
    </row>
    <row r="715" spans="3:9" ht="13">
      <c r="C715" s="25"/>
      <c r="E715" s="25"/>
      <c r="F715" s="25"/>
      <c r="G715" s="25"/>
      <c r="H715" s="25"/>
      <c r="I715" s="25"/>
    </row>
    <row r="716" spans="3:9" ht="13">
      <c r="C716" s="25"/>
      <c r="E716" s="25"/>
      <c r="F716" s="25"/>
      <c r="G716" s="25"/>
      <c r="H716" s="25"/>
      <c r="I716" s="25"/>
    </row>
    <row r="717" spans="3:9" ht="13">
      <c r="C717" s="25"/>
      <c r="E717" s="25"/>
      <c r="F717" s="25"/>
      <c r="G717" s="25"/>
      <c r="H717" s="25"/>
      <c r="I717" s="25"/>
    </row>
    <row r="718" spans="3:9" ht="13">
      <c r="C718" s="25"/>
      <c r="E718" s="25"/>
      <c r="F718" s="25"/>
      <c r="G718" s="25"/>
      <c r="H718" s="25"/>
      <c r="I718" s="25"/>
    </row>
    <row r="719" spans="3:9" ht="13">
      <c r="C719" s="25"/>
      <c r="E719" s="25"/>
      <c r="F719" s="25"/>
      <c r="G719" s="25"/>
      <c r="H719" s="25"/>
      <c r="I719" s="25"/>
    </row>
    <row r="720" spans="3:9" ht="13">
      <c r="C720" s="25"/>
      <c r="E720" s="25"/>
      <c r="F720" s="25"/>
      <c r="G720" s="25"/>
      <c r="H720" s="25"/>
      <c r="I720" s="25"/>
    </row>
    <row r="721" spans="3:9" ht="13">
      <c r="C721" s="25"/>
      <c r="E721" s="25"/>
      <c r="F721" s="25"/>
      <c r="G721" s="25"/>
      <c r="H721" s="25"/>
      <c r="I721" s="25"/>
    </row>
    <row r="722" spans="3:9" ht="13">
      <c r="C722" s="25"/>
      <c r="E722" s="25"/>
      <c r="F722" s="25"/>
      <c r="G722" s="25"/>
      <c r="H722" s="25"/>
      <c r="I722" s="25"/>
    </row>
    <row r="723" spans="3:9" ht="13">
      <c r="C723" s="25"/>
      <c r="E723" s="25"/>
      <c r="F723" s="25"/>
      <c r="G723" s="25"/>
      <c r="H723" s="25"/>
      <c r="I723" s="25"/>
    </row>
    <row r="724" spans="3:9" ht="13">
      <c r="C724" s="25"/>
      <c r="E724" s="25"/>
      <c r="F724" s="25"/>
      <c r="G724" s="25"/>
      <c r="H724" s="25"/>
      <c r="I724" s="25"/>
    </row>
    <row r="725" spans="3:9" ht="13">
      <c r="C725" s="25"/>
      <c r="E725" s="25"/>
      <c r="F725" s="25"/>
      <c r="G725" s="25"/>
      <c r="H725" s="25"/>
      <c r="I725" s="25"/>
    </row>
    <row r="726" spans="3:9" ht="13">
      <c r="C726" s="25"/>
      <c r="E726" s="25"/>
      <c r="F726" s="25"/>
      <c r="G726" s="25"/>
      <c r="H726" s="25"/>
      <c r="I726" s="25"/>
    </row>
    <row r="727" spans="3:9" ht="13">
      <c r="C727" s="25"/>
      <c r="E727" s="25"/>
      <c r="F727" s="25"/>
      <c r="G727" s="25"/>
      <c r="H727" s="25"/>
      <c r="I727" s="25"/>
    </row>
    <row r="728" spans="3:9" ht="13">
      <c r="C728" s="25"/>
      <c r="E728" s="25"/>
      <c r="F728" s="25"/>
      <c r="G728" s="25"/>
      <c r="H728" s="25"/>
      <c r="I728" s="25"/>
    </row>
    <row r="729" spans="3:9" ht="13">
      <c r="C729" s="25"/>
      <c r="E729" s="25"/>
      <c r="F729" s="25"/>
      <c r="G729" s="25"/>
      <c r="H729" s="25"/>
      <c r="I729" s="25"/>
    </row>
    <row r="730" spans="3:9" ht="13">
      <c r="C730" s="25"/>
      <c r="E730" s="25"/>
      <c r="F730" s="25"/>
      <c r="G730" s="25"/>
      <c r="H730" s="25"/>
      <c r="I730" s="25"/>
    </row>
    <row r="731" spans="3:9" ht="13">
      <c r="C731" s="25"/>
      <c r="E731" s="25"/>
      <c r="F731" s="25"/>
      <c r="G731" s="25"/>
      <c r="H731" s="25"/>
      <c r="I731" s="25"/>
    </row>
    <row r="732" spans="3:9" ht="13">
      <c r="C732" s="25"/>
      <c r="E732" s="25"/>
      <c r="F732" s="25"/>
      <c r="G732" s="25"/>
      <c r="H732" s="25"/>
      <c r="I732" s="25"/>
    </row>
    <row r="733" spans="3:9" ht="13">
      <c r="C733" s="25"/>
      <c r="E733" s="25"/>
      <c r="F733" s="25"/>
      <c r="G733" s="25"/>
      <c r="H733" s="25"/>
      <c r="I733" s="25"/>
    </row>
    <row r="734" spans="3:9" ht="13">
      <c r="C734" s="25"/>
      <c r="E734" s="25"/>
      <c r="F734" s="25"/>
      <c r="G734" s="25"/>
      <c r="H734" s="25"/>
      <c r="I734" s="25"/>
    </row>
    <row r="735" spans="3:9" ht="13">
      <c r="C735" s="25"/>
      <c r="E735" s="25"/>
      <c r="F735" s="25"/>
      <c r="G735" s="25"/>
      <c r="H735" s="25"/>
      <c r="I735" s="25"/>
    </row>
    <row r="736" spans="3:9" ht="13">
      <c r="C736" s="25"/>
      <c r="E736" s="25"/>
      <c r="F736" s="25"/>
      <c r="G736" s="25"/>
      <c r="H736" s="25"/>
      <c r="I736" s="25"/>
    </row>
    <row r="737" spans="3:9" ht="13">
      <c r="C737" s="25"/>
      <c r="E737" s="25"/>
      <c r="F737" s="25"/>
      <c r="G737" s="25"/>
      <c r="H737" s="25"/>
      <c r="I737" s="25"/>
    </row>
    <row r="738" spans="3:9" ht="13">
      <c r="C738" s="25"/>
      <c r="E738" s="25"/>
      <c r="F738" s="25"/>
      <c r="G738" s="25"/>
      <c r="H738" s="25"/>
      <c r="I738" s="25"/>
    </row>
    <row r="739" spans="3:9" ht="13">
      <c r="C739" s="25"/>
      <c r="E739" s="25"/>
      <c r="F739" s="25"/>
      <c r="G739" s="25"/>
      <c r="H739" s="25"/>
      <c r="I739" s="25"/>
    </row>
    <row r="740" spans="3:9" ht="13">
      <c r="C740" s="25"/>
      <c r="E740" s="25"/>
      <c r="F740" s="25"/>
      <c r="G740" s="25"/>
      <c r="H740" s="25"/>
      <c r="I740" s="25"/>
    </row>
    <row r="741" spans="3:9" ht="13">
      <c r="C741" s="25"/>
      <c r="E741" s="25"/>
      <c r="F741" s="25"/>
      <c r="G741" s="25"/>
      <c r="H741" s="25"/>
      <c r="I741" s="25"/>
    </row>
    <row r="742" spans="3:9" ht="13">
      <c r="C742" s="25"/>
      <c r="E742" s="25"/>
      <c r="F742" s="25"/>
      <c r="G742" s="25"/>
      <c r="H742" s="25"/>
      <c r="I742" s="25"/>
    </row>
    <row r="743" spans="3:9" ht="13">
      <c r="C743" s="25"/>
      <c r="E743" s="25"/>
      <c r="F743" s="25"/>
      <c r="G743" s="25"/>
      <c r="H743" s="25"/>
      <c r="I743" s="25"/>
    </row>
    <row r="744" spans="3:9" ht="13">
      <c r="C744" s="25"/>
      <c r="E744" s="25"/>
      <c r="F744" s="25"/>
      <c r="G744" s="25"/>
      <c r="H744" s="25"/>
      <c r="I744" s="25"/>
    </row>
    <row r="745" spans="3:9" ht="13">
      <c r="C745" s="25"/>
      <c r="E745" s="25"/>
      <c r="F745" s="25"/>
      <c r="G745" s="25"/>
      <c r="H745" s="25"/>
      <c r="I745" s="25"/>
    </row>
    <row r="746" spans="3:9" ht="13">
      <c r="C746" s="25"/>
      <c r="E746" s="25"/>
      <c r="F746" s="25"/>
      <c r="G746" s="25"/>
      <c r="H746" s="25"/>
      <c r="I746" s="25"/>
    </row>
    <row r="747" spans="3:9" ht="13">
      <c r="C747" s="25"/>
      <c r="E747" s="25"/>
      <c r="F747" s="25"/>
      <c r="G747" s="25"/>
      <c r="H747" s="25"/>
      <c r="I747" s="25"/>
    </row>
    <row r="748" spans="3:9" ht="13">
      <c r="C748" s="25"/>
      <c r="E748" s="25"/>
      <c r="F748" s="25"/>
      <c r="G748" s="25"/>
      <c r="H748" s="25"/>
      <c r="I748" s="25"/>
    </row>
    <row r="749" spans="3:9" ht="13">
      <c r="C749" s="25"/>
      <c r="E749" s="25"/>
      <c r="F749" s="25"/>
      <c r="G749" s="25"/>
      <c r="H749" s="25"/>
      <c r="I749" s="25"/>
    </row>
    <row r="750" spans="3:9" ht="13">
      <c r="C750" s="25"/>
      <c r="E750" s="25"/>
      <c r="F750" s="25"/>
      <c r="G750" s="25"/>
      <c r="H750" s="25"/>
      <c r="I750" s="25"/>
    </row>
    <row r="751" spans="3:9" ht="13">
      <c r="C751" s="25"/>
      <c r="E751" s="25"/>
      <c r="F751" s="25"/>
      <c r="G751" s="25"/>
      <c r="H751" s="25"/>
      <c r="I751" s="25"/>
    </row>
    <row r="752" spans="3:9" ht="13">
      <c r="C752" s="25"/>
      <c r="E752" s="25"/>
      <c r="F752" s="25"/>
      <c r="G752" s="25"/>
      <c r="H752" s="25"/>
      <c r="I752" s="25"/>
    </row>
    <row r="753" spans="3:9" ht="13">
      <c r="C753" s="25"/>
      <c r="E753" s="25"/>
      <c r="F753" s="25"/>
      <c r="G753" s="25"/>
      <c r="H753" s="25"/>
      <c r="I753" s="25"/>
    </row>
    <row r="754" spans="3:9" ht="13">
      <c r="C754" s="25"/>
      <c r="E754" s="25"/>
      <c r="F754" s="25"/>
      <c r="G754" s="25"/>
      <c r="H754" s="25"/>
      <c r="I754" s="25"/>
    </row>
    <row r="755" spans="3:9" ht="13">
      <c r="C755" s="25"/>
      <c r="E755" s="25"/>
      <c r="F755" s="25"/>
      <c r="G755" s="25"/>
      <c r="H755" s="25"/>
      <c r="I755" s="25"/>
    </row>
    <row r="756" spans="3:9" ht="13">
      <c r="C756" s="25"/>
      <c r="E756" s="25"/>
      <c r="F756" s="25"/>
      <c r="G756" s="25"/>
      <c r="H756" s="25"/>
      <c r="I756" s="25"/>
    </row>
    <row r="757" spans="3:9" ht="13">
      <c r="C757" s="25"/>
      <c r="E757" s="25"/>
      <c r="F757" s="25"/>
      <c r="G757" s="25"/>
      <c r="H757" s="25"/>
      <c r="I757" s="25"/>
    </row>
    <row r="758" spans="3:9" ht="13">
      <c r="C758" s="25"/>
      <c r="E758" s="25"/>
      <c r="F758" s="25"/>
      <c r="G758" s="25"/>
      <c r="H758" s="25"/>
      <c r="I758" s="25"/>
    </row>
    <row r="759" spans="3:9" ht="13">
      <c r="C759" s="25"/>
      <c r="E759" s="25"/>
      <c r="F759" s="25"/>
      <c r="G759" s="25"/>
      <c r="H759" s="25"/>
      <c r="I759" s="25"/>
    </row>
    <row r="760" spans="3:9" ht="13">
      <c r="C760" s="25"/>
      <c r="E760" s="25"/>
      <c r="F760" s="25"/>
      <c r="G760" s="25"/>
      <c r="H760" s="25"/>
      <c r="I760" s="25"/>
    </row>
    <row r="761" spans="3:9" ht="13">
      <c r="C761" s="25"/>
      <c r="E761" s="25"/>
      <c r="F761" s="25"/>
      <c r="G761" s="25"/>
      <c r="H761" s="25"/>
      <c r="I761" s="25"/>
    </row>
    <row r="762" spans="3:9" ht="13">
      <c r="C762" s="25"/>
      <c r="E762" s="25"/>
      <c r="F762" s="25"/>
      <c r="G762" s="25"/>
      <c r="H762" s="25"/>
      <c r="I762" s="25"/>
    </row>
    <row r="763" spans="3:9" ht="13">
      <c r="C763" s="25"/>
      <c r="E763" s="25"/>
      <c r="F763" s="25"/>
      <c r="G763" s="25"/>
      <c r="H763" s="25"/>
      <c r="I763" s="25"/>
    </row>
    <row r="764" spans="3:9" ht="13">
      <c r="C764" s="25"/>
      <c r="E764" s="25"/>
      <c r="F764" s="25"/>
      <c r="G764" s="25"/>
      <c r="H764" s="25"/>
      <c r="I764" s="25"/>
    </row>
    <row r="765" spans="3:9" ht="13">
      <c r="C765" s="25"/>
      <c r="E765" s="25"/>
      <c r="F765" s="25"/>
      <c r="G765" s="25"/>
      <c r="H765" s="25"/>
      <c r="I765" s="25"/>
    </row>
    <row r="766" spans="3:9" ht="13">
      <c r="C766" s="25"/>
      <c r="E766" s="25"/>
      <c r="F766" s="25"/>
      <c r="G766" s="25"/>
      <c r="H766" s="25"/>
      <c r="I766" s="25"/>
    </row>
    <row r="767" spans="3:9" ht="13">
      <c r="C767" s="25"/>
      <c r="E767" s="25"/>
      <c r="F767" s="25"/>
      <c r="G767" s="25"/>
      <c r="H767" s="25"/>
      <c r="I767" s="25"/>
    </row>
    <row r="768" spans="3:9" ht="13">
      <c r="C768" s="25"/>
      <c r="E768" s="25"/>
      <c r="F768" s="25"/>
      <c r="G768" s="25"/>
      <c r="H768" s="25"/>
      <c r="I768" s="25"/>
    </row>
    <row r="769" spans="3:9" ht="13">
      <c r="C769" s="25"/>
      <c r="E769" s="25"/>
      <c r="F769" s="25"/>
      <c r="G769" s="25"/>
      <c r="H769" s="25"/>
      <c r="I769" s="25"/>
    </row>
    <row r="770" spans="3:9" ht="13">
      <c r="C770" s="25"/>
      <c r="E770" s="25"/>
      <c r="F770" s="25"/>
      <c r="G770" s="25"/>
      <c r="H770" s="25"/>
      <c r="I770" s="25"/>
    </row>
    <row r="771" spans="3:9" ht="13">
      <c r="C771" s="25"/>
      <c r="E771" s="25"/>
      <c r="F771" s="25"/>
      <c r="G771" s="25"/>
      <c r="H771" s="25"/>
      <c r="I771" s="25"/>
    </row>
    <row r="772" spans="3:9" ht="13">
      <c r="C772" s="25"/>
      <c r="E772" s="25"/>
      <c r="F772" s="25"/>
      <c r="G772" s="25"/>
      <c r="H772" s="25"/>
      <c r="I772" s="25"/>
    </row>
    <row r="773" spans="3:9" ht="13">
      <c r="C773" s="25"/>
      <c r="E773" s="25"/>
      <c r="F773" s="25"/>
      <c r="G773" s="25"/>
      <c r="H773" s="25"/>
      <c r="I773" s="25"/>
    </row>
    <row r="774" spans="3:9" ht="13">
      <c r="C774" s="25"/>
      <c r="E774" s="25"/>
      <c r="F774" s="25"/>
      <c r="G774" s="25"/>
      <c r="H774" s="25"/>
      <c r="I774" s="25"/>
    </row>
    <row r="775" spans="3:9" ht="13">
      <c r="C775" s="25"/>
      <c r="E775" s="25"/>
      <c r="F775" s="25"/>
      <c r="G775" s="25"/>
      <c r="H775" s="25"/>
      <c r="I775" s="25"/>
    </row>
    <row r="776" spans="3:9" ht="13">
      <c r="C776" s="25"/>
      <c r="E776" s="25"/>
      <c r="F776" s="25"/>
      <c r="G776" s="25"/>
      <c r="H776" s="25"/>
      <c r="I776" s="25"/>
    </row>
    <row r="777" spans="3:9" ht="13">
      <c r="C777" s="25"/>
      <c r="E777" s="25"/>
      <c r="F777" s="25"/>
      <c r="G777" s="25"/>
      <c r="H777" s="25"/>
      <c r="I777" s="25"/>
    </row>
    <row r="778" spans="3:9" ht="13">
      <c r="C778" s="25"/>
      <c r="E778" s="25"/>
      <c r="F778" s="25"/>
      <c r="G778" s="25"/>
      <c r="H778" s="25"/>
      <c r="I778" s="25"/>
    </row>
    <row r="779" spans="3:9" ht="13">
      <c r="C779" s="25"/>
      <c r="E779" s="25"/>
      <c r="F779" s="25"/>
      <c r="G779" s="25"/>
      <c r="H779" s="25"/>
      <c r="I779" s="25"/>
    </row>
    <row r="780" spans="3:9" ht="13">
      <c r="C780" s="25"/>
      <c r="E780" s="25"/>
      <c r="F780" s="25"/>
      <c r="G780" s="25"/>
      <c r="H780" s="25"/>
      <c r="I780" s="25"/>
    </row>
    <row r="781" spans="3:9" ht="13">
      <c r="C781" s="25"/>
      <c r="E781" s="25"/>
      <c r="F781" s="25"/>
      <c r="G781" s="25"/>
      <c r="H781" s="25"/>
      <c r="I781" s="25"/>
    </row>
    <row r="782" spans="3:9" ht="13">
      <c r="C782" s="25"/>
      <c r="E782" s="25"/>
      <c r="F782" s="25"/>
      <c r="G782" s="25"/>
      <c r="H782" s="25"/>
      <c r="I782" s="25"/>
    </row>
    <row r="783" spans="3:9" ht="13">
      <c r="C783" s="25"/>
      <c r="E783" s="25"/>
      <c r="F783" s="25"/>
      <c r="G783" s="25"/>
      <c r="H783" s="25"/>
      <c r="I783" s="25"/>
    </row>
    <row r="784" spans="3:9" ht="13">
      <c r="C784" s="25"/>
      <c r="E784" s="25"/>
      <c r="F784" s="25"/>
      <c r="G784" s="25"/>
      <c r="H784" s="25"/>
      <c r="I784" s="25"/>
    </row>
    <row r="785" spans="3:9" ht="13">
      <c r="C785" s="25"/>
      <c r="E785" s="25"/>
      <c r="F785" s="25"/>
      <c r="G785" s="25"/>
      <c r="H785" s="25"/>
      <c r="I785" s="25"/>
    </row>
    <row r="786" spans="3:9" ht="13">
      <c r="C786" s="25"/>
      <c r="E786" s="25"/>
      <c r="F786" s="25"/>
      <c r="G786" s="25"/>
      <c r="H786" s="25"/>
      <c r="I786" s="25"/>
    </row>
    <row r="787" spans="3:9" ht="13">
      <c r="C787" s="25"/>
      <c r="E787" s="25"/>
      <c r="F787" s="25"/>
      <c r="G787" s="25"/>
      <c r="H787" s="25"/>
      <c r="I787" s="25"/>
    </row>
    <row r="788" spans="3:9" ht="13">
      <c r="C788" s="25"/>
      <c r="E788" s="25"/>
      <c r="F788" s="25"/>
      <c r="G788" s="25"/>
      <c r="H788" s="25"/>
      <c r="I788" s="25"/>
    </row>
    <row r="789" spans="3:9" ht="13">
      <c r="C789" s="25"/>
      <c r="E789" s="25"/>
      <c r="F789" s="25"/>
      <c r="G789" s="25"/>
      <c r="H789" s="25"/>
      <c r="I789" s="25"/>
    </row>
    <row r="790" spans="3:9" ht="13">
      <c r="C790" s="25"/>
      <c r="E790" s="25"/>
      <c r="F790" s="25"/>
      <c r="G790" s="25"/>
      <c r="H790" s="25"/>
      <c r="I790" s="25"/>
    </row>
    <row r="791" spans="3:9" ht="13">
      <c r="C791" s="25"/>
      <c r="E791" s="25"/>
      <c r="F791" s="25"/>
      <c r="G791" s="25"/>
      <c r="H791" s="25"/>
      <c r="I791" s="25"/>
    </row>
    <row r="792" spans="3:9" ht="13">
      <c r="C792" s="25"/>
      <c r="E792" s="25"/>
      <c r="F792" s="25"/>
      <c r="G792" s="25"/>
      <c r="H792" s="25"/>
      <c r="I792" s="25"/>
    </row>
    <row r="793" spans="3:9" ht="13">
      <c r="C793" s="25"/>
      <c r="E793" s="25"/>
      <c r="F793" s="25"/>
      <c r="G793" s="25"/>
      <c r="H793" s="25"/>
      <c r="I793" s="25"/>
    </row>
    <row r="794" spans="3:9" ht="13">
      <c r="C794" s="25"/>
      <c r="E794" s="25"/>
      <c r="F794" s="25"/>
      <c r="G794" s="25"/>
      <c r="H794" s="25"/>
      <c r="I794" s="25"/>
    </row>
    <row r="795" spans="3:9" ht="13">
      <c r="C795" s="25"/>
      <c r="E795" s="25"/>
      <c r="F795" s="25"/>
      <c r="G795" s="25"/>
      <c r="H795" s="25"/>
      <c r="I795" s="25"/>
    </row>
    <row r="796" spans="3:9" ht="13">
      <c r="C796" s="25"/>
      <c r="E796" s="25"/>
      <c r="F796" s="25"/>
      <c r="G796" s="25"/>
      <c r="H796" s="25"/>
      <c r="I796" s="25"/>
    </row>
    <row r="797" spans="3:9" ht="13">
      <c r="C797" s="25"/>
      <c r="E797" s="25"/>
      <c r="F797" s="25"/>
      <c r="G797" s="25"/>
      <c r="H797" s="25"/>
      <c r="I797" s="25"/>
    </row>
    <row r="798" spans="3:9" ht="13">
      <c r="C798" s="25"/>
      <c r="E798" s="25"/>
      <c r="F798" s="25"/>
      <c r="G798" s="25"/>
      <c r="H798" s="25"/>
      <c r="I798" s="25"/>
    </row>
    <row r="799" spans="3:9" ht="13">
      <c r="C799" s="25"/>
      <c r="E799" s="25"/>
      <c r="F799" s="25"/>
      <c r="G799" s="25"/>
      <c r="H799" s="25"/>
      <c r="I799" s="25"/>
    </row>
    <row r="800" spans="3:9" ht="13">
      <c r="C800" s="25"/>
      <c r="E800" s="25"/>
      <c r="F800" s="25"/>
      <c r="G800" s="25"/>
      <c r="H800" s="25"/>
      <c r="I800" s="25"/>
    </row>
    <row r="801" spans="3:9" ht="13">
      <c r="C801" s="25"/>
      <c r="E801" s="25"/>
      <c r="F801" s="25"/>
      <c r="G801" s="25"/>
      <c r="H801" s="25"/>
      <c r="I801" s="25"/>
    </row>
    <row r="802" spans="3:9" ht="13">
      <c r="C802" s="25"/>
      <c r="E802" s="25"/>
      <c r="F802" s="25"/>
      <c r="G802" s="25"/>
      <c r="H802" s="25"/>
      <c r="I802" s="25"/>
    </row>
    <row r="803" spans="3:9" ht="13">
      <c r="C803" s="25"/>
      <c r="E803" s="25"/>
      <c r="F803" s="25"/>
      <c r="G803" s="25"/>
      <c r="H803" s="25"/>
      <c r="I803" s="25"/>
    </row>
    <row r="804" spans="3:9" ht="13">
      <c r="C804" s="25"/>
      <c r="E804" s="25"/>
      <c r="F804" s="25"/>
      <c r="G804" s="25"/>
      <c r="H804" s="25"/>
      <c r="I804" s="25"/>
    </row>
    <row r="805" spans="3:9" ht="13">
      <c r="C805" s="25"/>
      <c r="E805" s="25"/>
      <c r="F805" s="25"/>
      <c r="G805" s="25"/>
      <c r="H805" s="25"/>
      <c r="I805" s="25"/>
    </row>
    <row r="806" spans="3:9" ht="13">
      <c r="C806" s="25"/>
      <c r="E806" s="25"/>
      <c r="F806" s="25"/>
      <c r="G806" s="25"/>
      <c r="H806" s="25"/>
      <c r="I806" s="25"/>
    </row>
    <row r="807" spans="3:9" ht="13">
      <c r="C807" s="25"/>
      <c r="E807" s="25"/>
      <c r="F807" s="25"/>
      <c r="G807" s="25"/>
      <c r="H807" s="25"/>
      <c r="I807" s="25"/>
    </row>
    <row r="808" spans="3:9" ht="13">
      <c r="C808" s="25"/>
      <c r="E808" s="25"/>
      <c r="F808" s="25"/>
      <c r="G808" s="25"/>
      <c r="H808" s="25"/>
      <c r="I808" s="25"/>
    </row>
    <row r="809" spans="3:9" ht="13">
      <c r="C809" s="25"/>
      <c r="E809" s="25"/>
      <c r="F809" s="25"/>
      <c r="G809" s="25"/>
      <c r="H809" s="25"/>
      <c r="I809" s="25"/>
    </row>
    <row r="810" spans="3:9" ht="13">
      <c r="C810" s="25"/>
      <c r="E810" s="25"/>
      <c r="F810" s="25"/>
      <c r="G810" s="25"/>
      <c r="H810" s="25"/>
      <c r="I810" s="25"/>
    </row>
    <row r="811" spans="3:9" ht="13">
      <c r="C811" s="25"/>
      <c r="E811" s="25"/>
      <c r="F811" s="25"/>
      <c r="G811" s="25"/>
      <c r="H811" s="25"/>
      <c r="I811" s="25"/>
    </row>
    <row r="812" spans="3:9" ht="13">
      <c r="C812" s="25"/>
      <c r="E812" s="25"/>
      <c r="F812" s="25"/>
      <c r="G812" s="25"/>
      <c r="H812" s="25"/>
      <c r="I812" s="25"/>
    </row>
    <row r="813" spans="3:9" ht="13">
      <c r="C813" s="25"/>
      <c r="E813" s="25"/>
      <c r="F813" s="25"/>
      <c r="G813" s="25"/>
      <c r="H813" s="25"/>
      <c r="I813" s="25"/>
    </row>
    <row r="814" spans="3:9" ht="13">
      <c r="C814" s="25"/>
      <c r="E814" s="25"/>
      <c r="F814" s="25"/>
      <c r="G814" s="25"/>
      <c r="H814" s="25"/>
      <c r="I814" s="25"/>
    </row>
    <row r="815" spans="3:9" ht="13">
      <c r="C815" s="25"/>
      <c r="E815" s="25"/>
      <c r="F815" s="25"/>
      <c r="G815" s="25"/>
      <c r="H815" s="25"/>
      <c r="I815" s="25"/>
    </row>
    <row r="816" spans="3:9" ht="13">
      <c r="C816" s="25"/>
      <c r="E816" s="25"/>
      <c r="F816" s="25"/>
      <c r="G816" s="25"/>
      <c r="H816" s="25"/>
      <c r="I816" s="25"/>
    </row>
    <row r="817" spans="3:9" ht="13">
      <c r="C817" s="25"/>
      <c r="E817" s="25"/>
      <c r="F817" s="25"/>
      <c r="G817" s="25"/>
      <c r="H817" s="25"/>
      <c r="I817" s="25"/>
    </row>
    <row r="818" spans="3:9" ht="13">
      <c r="C818" s="25"/>
      <c r="E818" s="25"/>
      <c r="F818" s="25"/>
      <c r="G818" s="25"/>
      <c r="H818" s="25"/>
      <c r="I818" s="25"/>
    </row>
    <row r="819" spans="3:9" ht="13">
      <c r="C819" s="25"/>
      <c r="E819" s="25"/>
      <c r="F819" s="25"/>
      <c r="G819" s="25"/>
      <c r="H819" s="25"/>
      <c r="I819" s="25"/>
    </row>
    <row r="820" spans="3:9" ht="13">
      <c r="C820" s="25"/>
      <c r="E820" s="25"/>
      <c r="F820" s="25"/>
      <c r="G820" s="25"/>
      <c r="H820" s="25"/>
      <c r="I820" s="25"/>
    </row>
    <row r="821" spans="3:9" ht="13">
      <c r="C821" s="25"/>
      <c r="E821" s="25"/>
      <c r="F821" s="25"/>
      <c r="G821" s="25"/>
      <c r="H821" s="25"/>
      <c r="I821" s="25"/>
    </row>
    <row r="822" spans="3:9" ht="13">
      <c r="C822" s="25"/>
      <c r="E822" s="25"/>
      <c r="F822" s="25"/>
      <c r="G822" s="25"/>
      <c r="H822" s="25"/>
      <c r="I822" s="25"/>
    </row>
    <row r="823" spans="3:9" ht="13">
      <c r="C823" s="25"/>
      <c r="E823" s="25"/>
      <c r="F823" s="25"/>
      <c r="G823" s="25"/>
      <c r="H823" s="25"/>
      <c r="I823" s="25"/>
    </row>
    <row r="824" spans="3:9" ht="13">
      <c r="C824" s="25"/>
      <c r="E824" s="25"/>
      <c r="F824" s="25"/>
      <c r="G824" s="25"/>
      <c r="H824" s="25"/>
      <c r="I824" s="25"/>
    </row>
    <row r="825" spans="3:9" ht="13">
      <c r="C825" s="25"/>
      <c r="E825" s="25"/>
      <c r="F825" s="25"/>
      <c r="G825" s="25"/>
      <c r="H825" s="25"/>
      <c r="I825" s="25"/>
    </row>
    <row r="826" spans="3:9" ht="13">
      <c r="C826" s="25"/>
      <c r="E826" s="25"/>
      <c r="F826" s="25"/>
      <c r="G826" s="25"/>
      <c r="H826" s="25"/>
      <c r="I826" s="25"/>
    </row>
    <row r="827" spans="3:9" ht="13">
      <c r="C827" s="25"/>
      <c r="E827" s="25"/>
      <c r="F827" s="25"/>
      <c r="G827" s="25"/>
      <c r="H827" s="25"/>
      <c r="I827" s="25"/>
    </row>
    <row r="828" spans="3:9" ht="13">
      <c r="C828" s="25"/>
      <c r="E828" s="25"/>
      <c r="F828" s="25"/>
      <c r="G828" s="25"/>
      <c r="H828" s="25"/>
      <c r="I828" s="25"/>
    </row>
    <row r="829" spans="3:9" ht="13">
      <c r="C829" s="25"/>
      <c r="E829" s="25"/>
      <c r="F829" s="25"/>
      <c r="G829" s="25"/>
      <c r="H829" s="25"/>
      <c r="I829" s="25"/>
    </row>
    <row r="830" spans="3:9" ht="13">
      <c r="C830" s="25"/>
      <c r="E830" s="25"/>
      <c r="F830" s="25"/>
      <c r="G830" s="25"/>
      <c r="H830" s="25"/>
      <c r="I830" s="25"/>
    </row>
    <row r="831" spans="3:9" ht="13">
      <c r="C831" s="25"/>
      <c r="E831" s="25"/>
      <c r="F831" s="25"/>
      <c r="G831" s="25"/>
      <c r="H831" s="25"/>
      <c r="I831" s="25"/>
    </row>
    <row r="832" spans="3:9" ht="13">
      <c r="C832" s="25"/>
      <c r="E832" s="25"/>
      <c r="F832" s="25"/>
      <c r="G832" s="25"/>
      <c r="H832" s="25"/>
      <c r="I832" s="25"/>
    </row>
    <row r="833" spans="3:9" ht="13">
      <c r="C833" s="25"/>
      <c r="E833" s="25"/>
      <c r="F833" s="25"/>
      <c r="G833" s="25"/>
      <c r="H833" s="25"/>
      <c r="I833" s="25"/>
    </row>
    <row r="834" spans="3:9" ht="13">
      <c r="C834" s="25"/>
      <c r="E834" s="25"/>
      <c r="F834" s="25"/>
      <c r="G834" s="25"/>
      <c r="H834" s="25"/>
      <c r="I834" s="25"/>
    </row>
    <row r="835" spans="3:9" ht="13">
      <c r="C835" s="25"/>
      <c r="E835" s="25"/>
      <c r="F835" s="25"/>
      <c r="G835" s="25"/>
      <c r="H835" s="25"/>
      <c r="I835" s="25"/>
    </row>
    <row r="836" spans="3:9" ht="13">
      <c r="C836" s="25"/>
      <c r="E836" s="25"/>
      <c r="F836" s="25"/>
      <c r="G836" s="25"/>
      <c r="H836" s="25"/>
      <c r="I836" s="25"/>
    </row>
    <row r="837" spans="3:9" ht="13">
      <c r="C837" s="25"/>
      <c r="E837" s="25"/>
      <c r="F837" s="25"/>
      <c r="G837" s="25"/>
      <c r="H837" s="25"/>
      <c r="I837" s="25"/>
    </row>
    <row r="838" spans="3:9" ht="13">
      <c r="C838" s="25"/>
      <c r="E838" s="25"/>
      <c r="F838" s="25"/>
      <c r="G838" s="25"/>
      <c r="H838" s="25"/>
      <c r="I838" s="25"/>
    </row>
    <row r="839" spans="3:9" ht="13">
      <c r="C839" s="25"/>
      <c r="E839" s="25"/>
      <c r="F839" s="25"/>
      <c r="G839" s="25"/>
      <c r="H839" s="25"/>
      <c r="I839" s="25"/>
    </row>
    <row r="840" spans="3:9" ht="13">
      <c r="C840" s="25"/>
      <c r="E840" s="25"/>
      <c r="F840" s="25"/>
      <c r="G840" s="25"/>
      <c r="H840" s="25"/>
      <c r="I840" s="25"/>
    </row>
    <row r="841" spans="3:9" ht="13">
      <c r="C841" s="25"/>
      <c r="E841" s="25"/>
      <c r="F841" s="25"/>
      <c r="G841" s="25"/>
      <c r="H841" s="25"/>
      <c r="I841" s="25"/>
    </row>
    <row r="842" spans="3:9" ht="13">
      <c r="C842" s="25"/>
      <c r="E842" s="25"/>
      <c r="F842" s="25"/>
      <c r="G842" s="25"/>
      <c r="H842" s="25"/>
      <c r="I842" s="25"/>
    </row>
    <row r="843" spans="3:9" ht="13">
      <c r="C843" s="25"/>
      <c r="E843" s="25"/>
      <c r="F843" s="25"/>
      <c r="G843" s="25"/>
      <c r="H843" s="25"/>
      <c r="I843" s="25"/>
    </row>
    <row r="844" spans="3:9" ht="13">
      <c r="C844" s="25"/>
      <c r="E844" s="25"/>
      <c r="F844" s="25"/>
      <c r="G844" s="25"/>
      <c r="H844" s="25"/>
      <c r="I844" s="25"/>
    </row>
    <row r="845" spans="3:9" ht="13">
      <c r="C845" s="25"/>
      <c r="E845" s="25"/>
      <c r="F845" s="25"/>
      <c r="G845" s="25"/>
      <c r="H845" s="25"/>
      <c r="I845" s="25"/>
    </row>
    <row r="846" spans="3:9" ht="13">
      <c r="C846" s="25"/>
      <c r="E846" s="25"/>
      <c r="F846" s="25"/>
      <c r="G846" s="25"/>
      <c r="H846" s="25"/>
      <c r="I846" s="25"/>
    </row>
    <row r="847" spans="3:9" ht="13">
      <c r="C847" s="25"/>
      <c r="E847" s="25"/>
      <c r="F847" s="25"/>
      <c r="G847" s="25"/>
      <c r="H847" s="25"/>
      <c r="I847" s="25"/>
    </row>
    <row r="848" spans="3:9" ht="13">
      <c r="C848" s="25"/>
      <c r="E848" s="25"/>
      <c r="F848" s="25"/>
      <c r="G848" s="25"/>
      <c r="H848" s="25"/>
      <c r="I848" s="25"/>
    </row>
    <row r="849" spans="3:9" ht="13">
      <c r="C849" s="25"/>
      <c r="E849" s="25"/>
      <c r="F849" s="25"/>
      <c r="G849" s="25"/>
      <c r="H849" s="25"/>
      <c r="I849" s="25"/>
    </row>
    <row r="850" spans="3:9" ht="13">
      <c r="C850" s="25"/>
      <c r="E850" s="25"/>
      <c r="F850" s="25"/>
      <c r="G850" s="25"/>
      <c r="H850" s="25"/>
      <c r="I850" s="25"/>
    </row>
    <row r="851" spans="3:9" ht="13">
      <c r="C851" s="25"/>
      <c r="E851" s="25"/>
      <c r="F851" s="25"/>
      <c r="G851" s="25"/>
      <c r="H851" s="25"/>
      <c r="I851" s="25"/>
    </row>
    <row r="852" spans="3:9" ht="13">
      <c r="C852" s="25"/>
      <c r="E852" s="25"/>
      <c r="F852" s="25"/>
      <c r="G852" s="25"/>
      <c r="H852" s="25"/>
      <c r="I852" s="25"/>
    </row>
    <row r="853" spans="3:9" ht="13">
      <c r="C853" s="25"/>
      <c r="E853" s="25"/>
      <c r="F853" s="25"/>
      <c r="G853" s="25"/>
      <c r="H853" s="25"/>
      <c r="I853" s="25"/>
    </row>
    <row r="854" spans="3:9" ht="13">
      <c r="C854" s="25"/>
      <c r="E854" s="25"/>
      <c r="F854" s="25"/>
      <c r="G854" s="25"/>
      <c r="H854" s="25"/>
      <c r="I854" s="25"/>
    </row>
    <row r="855" spans="3:9" ht="13">
      <c r="C855" s="25"/>
      <c r="E855" s="25"/>
      <c r="F855" s="25"/>
      <c r="G855" s="25"/>
      <c r="H855" s="25"/>
      <c r="I855" s="25"/>
    </row>
    <row r="856" spans="3:9" ht="13">
      <c r="C856" s="25"/>
      <c r="E856" s="25"/>
      <c r="F856" s="25"/>
      <c r="G856" s="25"/>
      <c r="H856" s="25"/>
      <c r="I856" s="25"/>
    </row>
    <row r="857" spans="3:9" ht="13">
      <c r="C857" s="25"/>
      <c r="E857" s="25"/>
      <c r="F857" s="25"/>
      <c r="G857" s="25"/>
      <c r="H857" s="25"/>
      <c r="I857" s="25"/>
    </row>
    <row r="858" spans="3:9" ht="13">
      <c r="C858" s="25"/>
      <c r="E858" s="25"/>
      <c r="F858" s="25"/>
      <c r="G858" s="25"/>
      <c r="H858" s="25"/>
      <c r="I858" s="25"/>
    </row>
    <row r="859" spans="3:9" ht="13">
      <c r="C859" s="25"/>
      <c r="E859" s="25"/>
      <c r="F859" s="25"/>
      <c r="G859" s="25"/>
      <c r="H859" s="25"/>
      <c r="I859" s="25"/>
    </row>
    <row r="860" spans="3:9" ht="13">
      <c r="C860" s="25"/>
      <c r="E860" s="25"/>
      <c r="F860" s="25"/>
      <c r="G860" s="25"/>
      <c r="H860" s="25"/>
      <c r="I860" s="25"/>
    </row>
    <row r="861" spans="3:9" ht="13">
      <c r="C861" s="25"/>
      <c r="E861" s="25"/>
      <c r="F861" s="25"/>
      <c r="G861" s="25"/>
      <c r="H861" s="25"/>
      <c r="I861" s="25"/>
    </row>
    <row r="862" spans="3:9" ht="13">
      <c r="C862" s="25"/>
      <c r="E862" s="25"/>
      <c r="F862" s="25"/>
      <c r="G862" s="25"/>
      <c r="H862" s="25"/>
      <c r="I862" s="25"/>
    </row>
    <row r="863" spans="3:9" ht="13">
      <c r="C863" s="25"/>
      <c r="E863" s="25"/>
      <c r="F863" s="25"/>
      <c r="G863" s="25"/>
      <c r="H863" s="25"/>
      <c r="I863" s="25"/>
    </row>
    <row r="864" spans="3:9" ht="13">
      <c r="C864" s="25"/>
      <c r="E864" s="25"/>
      <c r="F864" s="25"/>
      <c r="G864" s="25"/>
      <c r="H864" s="25"/>
      <c r="I864" s="25"/>
    </row>
    <row r="865" spans="3:9" ht="13">
      <c r="C865" s="25"/>
      <c r="E865" s="25"/>
      <c r="F865" s="25"/>
      <c r="G865" s="25"/>
      <c r="H865" s="25"/>
      <c r="I865" s="25"/>
    </row>
    <row r="866" spans="3:9" ht="13">
      <c r="C866" s="25"/>
      <c r="E866" s="25"/>
      <c r="F866" s="25"/>
      <c r="G866" s="25"/>
      <c r="H866" s="25"/>
      <c r="I866" s="25"/>
    </row>
    <row r="867" spans="3:9" ht="13">
      <c r="C867" s="25"/>
      <c r="E867" s="25"/>
      <c r="F867" s="25"/>
      <c r="G867" s="25"/>
      <c r="H867" s="25"/>
      <c r="I867" s="25"/>
    </row>
    <row r="868" spans="3:9" ht="13">
      <c r="C868" s="25"/>
      <c r="E868" s="25"/>
      <c r="F868" s="25"/>
      <c r="G868" s="25"/>
      <c r="H868" s="25"/>
      <c r="I868" s="25"/>
    </row>
    <row r="869" spans="3:9" ht="13">
      <c r="C869" s="25"/>
      <c r="E869" s="25"/>
      <c r="F869" s="25"/>
      <c r="G869" s="25"/>
      <c r="H869" s="25"/>
      <c r="I869" s="25"/>
    </row>
    <row r="870" spans="3:9" ht="13">
      <c r="C870" s="25"/>
      <c r="E870" s="25"/>
      <c r="F870" s="25"/>
      <c r="G870" s="25"/>
      <c r="H870" s="25"/>
      <c r="I870" s="25"/>
    </row>
    <row r="871" spans="3:9" ht="13">
      <c r="C871" s="25"/>
      <c r="E871" s="25"/>
      <c r="F871" s="25"/>
      <c r="G871" s="25"/>
      <c r="H871" s="25"/>
      <c r="I871" s="25"/>
    </row>
    <row r="872" spans="3:9" ht="13">
      <c r="C872" s="25"/>
      <c r="E872" s="25"/>
      <c r="F872" s="25"/>
      <c r="G872" s="25"/>
      <c r="H872" s="25"/>
      <c r="I872" s="25"/>
    </row>
    <row r="873" spans="3:9" ht="13">
      <c r="C873" s="25"/>
      <c r="E873" s="25"/>
      <c r="F873" s="25"/>
      <c r="G873" s="25"/>
      <c r="H873" s="25"/>
      <c r="I873" s="25"/>
    </row>
    <row r="874" spans="3:9" ht="13">
      <c r="C874" s="25"/>
      <c r="E874" s="25"/>
      <c r="F874" s="25"/>
      <c r="G874" s="25"/>
      <c r="H874" s="25"/>
      <c r="I874" s="25"/>
    </row>
    <row r="875" spans="3:9" ht="13">
      <c r="C875" s="25"/>
      <c r="E875" s="25"/>
      <c r="F875" s="25"/>
      <c r="G875" s="25"/>
      <c r="H875" s="25"/>
      <c r="I875" s="25"/>
    </row>
    <row r="876" spans="3:9" ht="13">
      <c r="C876" s="25"/>
      <c r="E876" s="25"/>
      <c r="F876" s="25"/>
      <c r="G876" s="25"/>
      <c r="H876" s="25"/>
      <c r="I876" s="25"/>
    </row>
    <row r="877" spans="3:9" ht="13">
      <c r="C877" s="25"/>
      <c r="E877" s="25"/>
      <c r="F877" s="25"/>
      <c r="G877" s="25"/>
      <c r="H877" s="25"/>
      <c r="I877" s="25"/>
    </row>
    <row r="878" spans="3:9" ht="13">
      <c r="C878" s="25"/>
      <c r="E878" s="25"/>
      <c r="F878" s="25"/>
      <c r="G878" s="25"/>
      <c r="H878" s="25"/>
      <c r="I878" s="25"/>
    </row>
    <row r="879" spans="3:9" ht="13">
      <c r="C879" s="25"/>
      <c r="E879" s="25"/>
      <c r="F879" s="25"/>
      <c r="G879" s="25"/>
      <c r="H879" s="25"/>
      <c r="I879" s="25"/>
    </row>
    <row r="880" spans="3:9" ht="13">
      <c r="C880" s="25"/>
      <c r="E880" s="25"/>
      <c r="F880" s="25"/>
      <c r="G880" s="25"/>
      <c r="H880" s="25"/>
      <c r="I880" s="25"/>
    </row>
    <row r="881" spans="3:9" ht="13">
      <c r="C881" s="25"/>
      <c r="E881" s="25"/>
      <c r="F881" s="25"/>
      <c r="G881" s="25"/>
      <c r="H881" s="25"/>
      <c r="I881" s="25"/>
    </row>
    <row r="882" spans="3:9" ht="13">
      <c r="C882" s="25"/>
      <c r="E882" s="25"/>
      <c r="F882" s="25"/>
      <c r="G882" s="25"/>
      <c r="H882" s="25"/>
      <c r="I882" s="25"/>
    </row>
    <row r="883" spans="3:9" ht="13">
      <c r="C883" s="25"/>
      <c r="E883" s="25"/>
      <c r="F883" s="25"/>
      <c r="G883" s="25"/>
      <c r="H883" s="25"/>
      <c r="I883" s="25"/>
    </row>
    <row r="884" spans="3:9" ht="13">
      <c r="C884" s="25"/>
      <c r="E884" s="25"/>
      <c r="F884" s="25"/>
      <c r="G884" s="25"/>
      <c r="H884" s="25"/>
      <c r="I884" s="25"/>
    </row>
    <row r="885" spans="3:9" ht="13">
      <c r="C885" s="25"/>
      <c r="E885" s="25"/>
      <c r="F885" s="25"/>
      <c r="G885" s="25"/>
      <c r="H885" s="25"/>
      <c r="I885" s="25"/>
    </row>
    <row r="886" spans="3:9" ht="13">
      <c r="C886" s="25"/>
      <c r="E886" s="25"/>
      <c r="F886" s="25"/>
      <c r="G886" s="25"/>
      <c r="H886" s="25"/>
      <c r="I886" s="25"/>
    </row>
    <row r="887" spans="3:9" ht="13">
      <c r="C887" s="25"/>
      <c r="E887" s="25"/>
      <c r="F887" s="25"/>
      <c r="G887" s="25"/>
      <c r="H887" s="25"/>
      <c r="I887" s="25"/>
    </row>
    <row r="888" spans="3:9" ht="13">
      <c r="C888" s="25"/>
      <c r="E888" s="25"/>
      <c r="F888" s="25"/>
      <c r="G888" s="25"/>
      <c r="H888" s="25"/>
      <c r="I888" s="25"/>
    </row>
    <row r="889" spans="3:9" ht="13">
      <c r="C889" s="25"/>
      <c r="E889" s="25"/>
      <c r="F889" s="25"/>
      <c r="G889" s="25"/>
      <c r="H889" s="25"/>
      <c r="I889" s="25"/>
    </row>
    <row r="890" spans="3:9" ht="13">
      <c r="C890" s="25"/>
      <c r="E890" s="25"/>
      <c r="F890" s="25"/>
      <c r="G890" s="25"/>
      <c r="H890" s="25"/>
      <c r="I890" s="25"/>
    </row>
    <row r="891" spans="3:9" ht="13">
      <c r="C891" s="25"/>
      <c r="E891" s="25"/>
      <c r="F891" s="25"/>
      <c r="G891" s="25"/>
      <c r="H891" s="25"/>
      <c r="I891" s="25"/>
    </row>
    <row r="892" spans="3:9" ht="13">
      <c r="C892" s="25"/>
      <c r="E892" s="25"/>
      <c r="F892" s="25"/>
      <c r="G892" s="25"/>
      <c r="H892" s="25"/>
      <c r="I892" s="25"/>
    </row>
    <row r="893" spans="3:9" ht="13">
      <c r="C893" s="25"/>
      <c r="E893" s="25"/>
      <c r="F893" s="25"/>
      <c r="G893" s="25"/>
      <c r="H893" s="25"/>
      <c r="I893" s="25"/>
    </row>
    <row r="894" spans="3:9" ht="13">
      <c r="C894" s="25"/>
      <c r="E894" s="25"/>
      <c r="F894" s="25"/>
      <c r="G894" s="25"/>
      <c r="H894" s="25"/>
      <c r="I894" s="25"/>
    </row>
    <row r="895" spans="3:9" ht="13">
      <c r="C895" s="25"/>
      <c r="E895" s="25"/>
      <c r="F895" s="25"/>
      <c r="G895" s="25"/>
      <c r="H895" s="25"/>
      <c r="I895" s="25"/>
    </row>
    <row r="896" spans="3:9" ht="13">
      <c r="C896" s="25"/>
      <c r="E896" s="25"/>
      <c r="F896" s="25"/>
      <c r="G896" s="25"/>
      <c r="H896" s="25"/>
      <c r="I896" s="25"/>
    </row>
    <row r="897" spans="3:9" ht="13">
      <c r="C897" s="25"/>
      <c r="E897" s="25"/>
      <c r="F897" s="25"/>
      <c r="G897" s="25"/>
      <c r="H897" s="25"/>
      <c r="I897" s="25"/>
    </row>
    <row r="898" spans="3:9" ht="13">
      <c r="C898" s="25"/>
      <c r="E898" s="25"/>
      <c r="F898" s="25"/>
      <c r="G898" s="25"/>
      <c r="H898" s="25"/>
      <c r="I898" s="25"/>
    </row>
    <row r="899" spans="3:9" ht="13">
      <c r="C899" s="25"/>
      <c r="E899" s="25"/>
      <c r="F899" s="25"/>
      <c r="G899" s="25"/>
      <c r="H899" s="25"/>
      <c r="I899" s="25"/>
    </row>
    <row r="900" spans="3:9" ht="13">
      <c r="C900" s="25"/>
      <c r="E900" s="25"/>
      <c r="F900" s="25"/>
      <c r="G900" s="25"/>
      <c r="H900" s="25"/>
      <c r="I900" s="25"/>
    </row>
    <row r="901" spans="3:9" ht="13">
      <c r="C901" s="25"/>
      <c r="E901" s="25"/>
      <c r="F901" s="25"/>
      <c r="G901" s="25"/>
      <c r="H901" s="25"/>
      <c r="I901" s="25"/>
    </row>
    <row r="902" spans="3:9" ht="13">
      <c r="C902" s="25"/>
      <c r="E902" s="25"/>
      <c r="F902" s="25"/>
      <c r="G902" s="25"/>
      <c r="H902" s="25"/>
      <c r="I902" s="25"/>
    </row>
    <row r="903" spans="3:9" ht="13">
      <c r="C903" s="25"/>
      <c r="E903" s="25"/>
      <c r="F903" s="25"/>
      <c r="G903" s="25"/>
      <c r="H903" s="25"/>
      <c r="I903" s="25"/>
    </row>
    <row r="904" spans="3:9" ht="13">
      <c r="C904" s="25"/>
      <c r="E904" s="25"/>
      <c r="F904" s="25"/>
      <c r="G904" s="25"/>
      <c r="H904" s="25"/>
      <c r="I904" s="25"/>
    </row>
    <row r="905" spans="3:9" ht="13">
      <c r="C905" s="25"/>
      <c r="E905" s="25"/>
      <c r="F905" s="25"/>
      <c r="G905" s="25"/>
      <c r="H905" s="25"/>
      <c r="I905" s="25"/>
    </row>
    <row r="906" spans="3:9" ht="13">
      <c r="C906" s="25"/>
      <c r="E906" s="25"/>
      <c r="F906" s="25"/>
      <c r="G906" s="25"/>
      <c r="H906" s="25"/>
      <c r="I906" s="25"/>
    </row>
    <row r="907" spans="3:9" ht="13">
      <c r="C907" s="25"/>
      <c r="E907" s="25"/>
      <c r="F907" s="25"/>
      <c r="G907" s="25"/>
      <c r="H907" s="25"/>
      <c r="I907" s="25"/>
    </row>
    <row r="908" spans="3:9" ht="13">
      <c r="C908" s="25"/>
      <c r="E908" s="25"/>
      <c r="F908" s="25"/>
      <c r="G908" s="25"/>
      <c r="H908" s="25"/>
      <c r="I908" s="25"/>
    </row>
    <row r="909" spans="3:9" ht="13">
      <c r="C909" s="25"/>
      <c r="E909" s="25"/>
      <c r="F909" s="25"/>
      <c r="G909" s="25"/>
      <c r="H909" s="25"/>
      <c r="I909" s="25"/>
    </row>
    <row r="910" spans="3:9" ht="13">
      <c r="C910" s="25"/>
      <c r="E910" s="25"/>
      <c r="F910" s="25"/>
      <c r="G910" s="25"/>
      <c r="H910" s="25"/>
      <c r="I910" s="25"/>
    </row>
    <row r="911" spans="3:9" ht="13">
      <c r="C911" s="25"/>
      <c r="E911" s="25"/>
      <c r="F911" s="25"/>
      <c r="G911" s="25"/>
      <c r="H911" s="25"/>
      <c r="I911" s="25"/>
    </row>
    <row r="912" spans="3:9" ht="13">
      <c r="C912" s="25"/>
      <c r="E912" s="25"/>
      <c r="F912" s="25"/>
      <c r="G912" s="25"/>
      <c r="H912" s="25"/>
      <c r="I912" s="25"/>
    </row>
    <row r="913" spans="3:9" ht="13">
      <c r="C913" s="25"/>
      <c r="E913" s="25"/>
      <c r="F913" s="25"/>
      <c r="G913" s="25"/>
      <c r="H913" s="25"/>
      <c r="I913" s="25"/>
    </row>
    <row r="914" spans="3:9" ht="13">
      <c r="C914" s="25"/>
      <c r="E914" s="25"/>
      <c r="F914" s="25"/>
      <c r="G914" s="25"/>
      <c r="H914" s="25"/>
      <c r="I914" s="25"/>
    </row>
    <row r="915" spans="3:9" ht="13">
      <c r="C915" s="25"/>
      <c r="E915" s="25"/>
      <c r="F915" s="25"/>
      <c r="G915" s="25"/>
      <c r="H915" s="25"/>
      <c r="I915" s="25"/>
    </row>
    <row r="916" spans="3:9" ht="13">
      <c r="C916" s="25"/>
      <c r="E916" s="25"/>
      <c r="F916" s="25"/>
      <c r="G916" s="25"/>
      <c r="H916" s="25"/>
      <c r="I916" s="25"/>
    </row>
    <row r="917" spans="3:9" ht="13">
      <c r="C917" s="25"/>
      <c r="E917" s="25"/>
      <c r="F917" s="25"/>
      <c r="G917" s="25"/>
      <c r="H917" s="25"/>
      <c r="I917" s="25"/>
    </row>
    <row r="918" spans="3:9" ht="13">
      <c r="C918" s="25"/>
      <c r="E918" s="25"/>
      <c r="F918" s="25"/>
      <c r="G918" s="25"/>
      <c r="H918" s="25"/>
      <c r="I918" s="25"/>
    </row>
    <row r="919" spans="3:9" ht="13">
      <c r="C919" s="25"/>
      <c r="E919" s="25"/>
      <c r="F919" s="25"/>
      <c r="G919" s="25"/>
      <c r="H919" s="25"/>
      <c r="I919" s="25"/>
    </row>
    <row r="920" spans="3:9" ht="13">
      <c r="C920" s="25"/>
      <c r="E920" s="25"/>
      <c r="F920" s="25"/>
      <c r="G920" s="25"/>
      <c r="H920" s="25"/>
      <c r="I920" s="25"/>
    </row>
    <row r="921" spans="3:9" ht="13">
      <c r="C921" s="25"/>
      <c r="E921" s="25"/>
      <c r="F921" s="25"/>
      <c r="G921" s="25"/>
      <c r="H921" s="25"/>
      <c r="I921" s="25"/>
    </row>
    <row r="922" spans="3:9" ht="13">
      <c r="C922" s="25"/>
      <c r="E922" s="25"/>
      <c r="F922" s="25"/>
      <c r="G922" s="25"/>
      <c r="H922" s="25"/>
      <c r="I922" s="25"/>
    </row>
    <row r="923" spans="3:9" ht="13">
      <c r="C923" s="25"/>
      <c r="E923" s="25"/>
      <c r="F923" s="25"/>
      <c r="G923" s="25"/>
      <c r="H923" s="25"/>
      <c r="I923" s="25"/>
    </row>
    <row r="924" spans="3:9" ht="13">
      <c r="C924" s="25"/>
      <c r="E924" s="25"/>
      <c r="F924" s="25"/>
      <c r="G924" s="25"/>
      <c r="H924" s="25"/>
      <c r="I924" s="25"/>
    </row>
    <row r="925" spans="3:9" ht="13">
      <c r="C925" s="25"/>
      <c r="E925" s="25"/>
      <c r="F925" s="25"/>
      <c r="G925" s="25"/>
      <c r="H925" s="25"/>
      <c r="I925" s="25"/>
    </row>
    <row r="926" spans="3:9" ht="13">
      <c r="C926" s="25"/>
      <c r="E926" s="25"/>
      <c r="F926" s="25"/>
      <c r="G926" s="25"/>
      <c r="H926" s="25"/>
      <c r="I926" s="25"/>
    </row>
    <row r="927" spans="3:9" ht="13">
      <c r="C927" s="25"/>
      <c r="E927" s="25"/>
      <c r="F927" s="25"/>
      <c r="G927" s="25"/>
      <c r="H927" s="25"/>
      <c r="I927" s="25"/>
    </row>
    <row r="928" spans="3:9" ht="13">
      <c r="C928" s="25"/>
      <c r="E928" s="25"/>
      <c r="F928" s="25"/>
      <c r="G928" s="25"/>
      <c r="H928" s="25"/>
      <c r="I928" s="25"/>
    </row>
    <row r="929" spans="3:9" ht="13">
      <c r="C929" s="25"/>
      <c r="E929" s="25"/>
      <c r="F929" s="25"/>
      <c r="G929" s="25"/>
      <c r="H929" s="25"/>
      <c r="I929" s="25"/>
    </row>
    <row r="930" spans="3:9" ht="13">
      <c r="C930" s="25"/>
      <c r="E930" s="25"/>
      <c r="F930" s="25"/>
      <c r="G930" s="25"/>
      <c r="H930" s="25"/>
      <c r="I930" s="25"/>
    </row>
    <row r="931" spans="3:9" ht="13">
      <c r="C931" s="25"/>
      <c r="E931" s="25"/>
      <c r="F931" s="25"/>
      <c r="G931" s="25"/>
      <c r="H931" s="25"/>
      <c r="I931" s="25"/>
    </row>
    <row r="932" spans="3:9" ht="13">
      <c r="C932" s="25"/>
      <c r="E932" s="25"/>
      <c r="F932" s="25"/>
      <c r="G932" s="25"/>
      <c r="H932" s="25"/>
      <c r="I932" s="25"/>
    </row>
    <row r="933" spans="3:9" ht="13">
      <c r="C933" s="25"/>
      <c r="E933" s="25"/>
      <c r="F933" s="25"/>
      <c r="G933" s="25"/>
      <c r="H933" s="25"/>
      <c r="I933" s="25"/>
    </row>
    <row r="934" spans="3:9" ht="13">
      <c r="C934" s="25"/>
      <c r="E934" s="25"/>
      <c r="F934" s="25"/>
      <c r="G934" s="25"/>
      <c r="H934" s="25"/>
      <c r="I934" s="25"/>
    </row>
    <row r="935" spans="3:9" ht="13">
      <c r="C935" s="25"/>
      <c r="E935" s="25"/>
      <c r="F935" s="25"/>
      <c r="G935" s="25"/>
      <c r="H935" s="25"/>
      <c r="I935" s="25"/>
    </row>
    <row r="936" spans="3:9" ht="13">
      <c r="C936" s="25"/>
      <c r="E936" s="25"/>
      <c r="F936" s="25"/>
      <c r="G936" s="25"/>
      <c r="H936" s="25"/>
      <c r="I936" s="25"/>
    </row>
    <row r="937" spans="3:9" ht="13">
      <c r="C937" s="25"/>
      <c r="E937" s="25"/>
      <c r="F937" s="25"/>
      <c r="G937" s="25"/>
      <c r="H937" s="25"/>
      <c r="I937" s="25"/>
    </row>
    <row r="938" spans="3:9" ht="13">
      <c r="C938" s="25"/>
      <c r="E938" s="25"/>
      <c r="F938" s="25"/>
      <c r="G938" s="25"/>
      <c r="H938" s="25"/>
      <c r="I938" s="25"/>
    </row>
    <row r="939" spans="3:9" ht="13">
      <c r="C939" s="25"/>
      <c r="E939" s="25"/>
      <c r="F939" s="25"/>
      <c r="G939" s="25"/>
      <c r="H939" s="25"/>
      <c r="I939" s="25"/>
    </row>
    <row r="940" spans="3:9" ht="13">
      <c r="C940" s="25"/>
      <c r="E940" s="25"/>
      <c r="F940" s="25"/>
      <c r="G940" s="25"/>
      <c r="H940" s="25"/>
      <c r="I940" s="25"/>
    </row>
    <row r="941" spans="3:9" ht="13">
      <c r="C941" s="25"/>
      <c r="E941" s="25"/>
      <c r="F941" s="25"/>
      <c r="G941" s="25"/>
      <c r="H941" s="25"/>
      <c r="I941" s="25"/>
    </row>
    <row r="942" spans="3:9" ht="13">
      <c r="C942" s="25"/>
      <c r="E942" s="25"/>
      <c r="F942" s="25"/>
      <c r="G942" s="25"/>
      <c r="H942" s="25"/>
      <c r="I942" s="25"/>
    </row>
    <row r="943" spans="3:9" ht="13">
      <c r="C943" s="25"/>
      <c r="E943" s="25"/>
      <c r="F943" s="25"/>
      <c r="G943" s="25"/>
      <c r="H943" s="25"/>
      <c r="I943" s="25"/>
    </row>
    <row r="944" spans="3:9" ht="13">
      <c r="C944" s="25"/>
      <c r="E944" s="25"/>
      <c r="F944" s="25"/>
      <c r="G944" s="25"/>
      <c r="H944" s="25"/>
      <c r="I944" s="25"/>
    </row>
    <row r="945" spans="3:9" ht="13">
      <c r="C945" s="25"/>
      <c r="E945" s="25"/>
      <c r="F945" s="25"/>
      <c r="G945" s="25"/>
      <c r="H945" s="25"/>
      <c r="I945" s="25"/>
    </row>
    <row r="946" spans="3:9" ht="13">
      <c r="C946" s="25"/>
      <c r="E946" s="25"/>
      <c r="F946" s="25"/>
      <c r="G946" s="25"/>
      <c r="H946" s="25"/>
      <c r="I946" s="25"/>
    </row>
    <row r="947" spans="3:9" ht="13">
      <c r="C947" s="25"/>
      <c r="E947" s="25"/>
      <c r="F947" s="25"/>
      <c r="G947" s="25"/>
      <c r="H947" s="25"/>
      <c r="I947" s="25"/>
    </row>
    <row r="948" spans="3:9" ht="13">
      <c r="C948" s="25"/>
      <c r="E948" s="25"/>
      <c r="F948" s="25"/>
      <c r="G948" s="25"/>
      <c r="H948" s="25"/>
      <c r="I948" s="25"/>
    </row>
    <row r="949" spans="3:9" ht="13">
      <c r="C949" s="25"/>
      <c r="E949" s="25"/>
      <c r="F949" s="25"/>
      <c r="G949" s="25"/>
      <c r="H949" s="25"/>
      <c r="I949" s="25"/>
    </row>
    <row r="950" spans="3:9" ht="13">
      <c r="C950" s="25"/>
      <c r="E950" s="25"/>
      <c r="F950" s="25"/>
      <c r="G950" s="25"/>
      <c r="H950" s="25"/>
      <c r="I950" s="25"/>
    </row>
    <row r="951" spans="3:9" ht="13">
      <c r="C951" s="25"/>
      <c r="E951" s="25"/>
      <c r="F951" s="25"/>
      <c r="G951" s="25"/>
      <c r="H951" s="25"/>
      <c r="I951" s="25"/>
    </row>
    <row r="952" spans="3:9" ht="13">
      <c r="C952" s="25"/>
      <c r="E952" s="25"/>
      <c r="F952" s="25"/>
      <c r="G952" s="25"/>
      <c r="H952" s="25"/>
      <c r="I952" s="25"/>
    </row>
    <row r="953" spans="3:9" ht="13">
      <c r="C953" s="25"/>
      <c r="E953" s="25"/>
      <c r="F953" s="25"/>
      <c r="G953" s="25"/>
      <c r="H953" s="25"/>
      <c r="I953" s="25"/>
    </row>
    <row r="954" spans="3:9" ht="13">
      <c r="C954" s="25"/>
      <c r="E954" s="25"/>
      <c r="F954" s="25"/>
      <c r="G954" s="25"/>
      <c r="H954" s="25"/>
      <c r="I954" s="25"/>
    </row>
    <row r="955" spans="3:9" ht="13">
      <c r="C955" s="25"/>
      <c r="E955" s="25"/>
      <c r="F955" s="25"/>
      <c r="G955" s="25"/>
      <c r="H955" s="25"/>
      <c r="I955" s="25"/>
    </row>
    <row r="956" spans="3:9" ht="13">
      <c r="C956" s="25"/>
      <c r="E956" s="25"/>
      <c r="F956" s="25"/>
      <c r="G956" s="25"/>
      <c r="H956" s="25"/>
      <c r="I956" s="25"/>
    </row>
    <row r="957" spans="3:9" ht="13">
      <c r="C957" s="25"/>
      <c r="E957" s="25"/>
      <c r="F957" s="25"/>
      <c r="G957" s="25"/>
      <c r="H957" s="25"/>
      <c r="I957" s="25"/>
    </row>
    <row r="958" spans="3:9" ht="13">
      <c r="C958" s="25"/>
      <c r="E958" s="25"/>
      <c r="F958" s="25"/>
      <c r="G958" s="25"/>
      <c r="H958" s="25"/>
      <c r="I958" s="25"/>
    </row>
    <row r="959" spans="3:9" ht="13">
      <c r="C959" s="25"/>
      <c r="E959" s="25"/>
      <c r="F959" s="25"/>
      <c r="G959" s="25"/>
      <c r="H959" s="25"/>
      <c r="I959" s="25"/>
    </row>
    <row r="960" spans="3:9" ht="13">
      <c r="C960" s="25"/>
      <c r="E960" s="25"/>
      <c r="F960" s="25"/>
      <c r="G960" s="25"/>
      <c r="H960" s="25"/>
      <c r="I960" s="25"/>
    </row>
    <row r="961" spans="3:9" ht="13">
      <c r="C961" s="25"/>
      <c r="E961" s="25"/>
      <c r="F961" s="25"/>
      <c r="G961" s="25"/>
      <c r="H961" s="25"/>
      <c r="I961" s="25"/>
    </row>
    <row r="962" spans="3:9" ht="13">
      <c r="C962" s="25"/>
      <c r="E962" s="25"/>
      <c r="F962" s="25"/>
      <c r="G962" s="25"/>
      <c r="H962" s="25"/>
      <c r="I962" s="25"/>
    </row>
    <row r="963" spans="3:9" ht="13">
      <c r="C963" s="25"/>
      <c r="E963" s="25"/>
      <c r="F963" s="25"/>
      <c r="G963" s="25"/>
      <c r="H963" s="25"/>
      <c r="I963" s="25"/>
    </row>
    <row r="964" spans="3:9" ht="13">
      <c r="C964" s="25"/>
      <c r="E964" s="25"/>
      <c r="F964" s="25"/>
      <c r="G964" s="25"/>
      <c r="H964" s="25"/>
      <c r="I964" s="25"/>
    </row>
    <row r="965" spans="3:9" ht="13">
      <c r="C965" s="25"/>
      <c r="E965" s="25"/>
      <c r="F965" s="25"/>
      <c r="G965" s="25"/>
      <c r="H965" s="25"/>
      <c r="I965" s="25"/>
    </row>
    <row r="966" spans="3:9" ht="13">
      <c r="C966" s="25"/>
      <c r="E966" s="25"/>
      <c r="F966" s="25"/>
      <c r="G966" s="25"/>
      <c r="H966" s="25"/>
      <c r="I966" s="25"/>
    </row>
    <row r="967" spans="3:9" ht="13">
      <c r="C967" s="25"/>
      <c r="E967" s="25"/>
      <c r="F967" s="25"/>
      <c r="G967" s="25"/>
      <c r="H967" s="25"/>
      <c r="I967" s="25"/>
    </row>
    <row r="968" spans="3:9" ht="13">
      <c r="C968" s="25"/>
      <c r="E968" s="25"/>
      <c r="F968" s="25"/>
      <c r="G968" s="25"/>
      <c r="H968" s="25"/>
      <c r="I968" s="25"/>
    </row>
    <row r="969" spans="3:9" ht="13">
      <c r="C969" s="25"/>
      <c r="E969" s="25"/>
      <c r="F969" s="25"/>
      <c r="G969" s="25"/>
      <c r="H969" s="25"/>
      <c r="I969" s="25"/>
    </row>
    <row r="970" spans="3:9" ht="13">
      <c r="C970" s="25"/>
      <c r="E970" s="25"/>
      <c r="F970" s="25"/>
      <c r="G970" s="25"/>
      <c r="H970" s="25"/>
      <c r="I970" s="25"/>
    </row>
    <row r="971" spans="3:9" ht="13">
      <c r="C971" s="25"/>
      <c r="E971" s="25"/>
      <c r="F971" s="25"/>
      <c r="G971" s="25"/>
      <c r="H971" s="25"/>
      <c r="I971" s="25"/>
    </row>
    <row r="972" spans="3:9" ht="13">
      <c r="C972" s="25"/>
      <c r="E972" s="25"/>
      <c r="F972" s="25"/>
      <c r="G972" s="25"/>
      <c r="H972" s="25"/>
      <c r="I972" s="25"/>
    </row>
    <row r="973" spans="3:9" ht="13">
      <c r="C973" s="25"/>
      <c r="E973" s="25"/>
      <c r="F973" s="25"/>
      <c r="G973" s="25"/>
      <c r="H973" s="25"/>
      <c r="I973" s="25"/>
    </row>
    <row r="974" spans="3:9" ht="13">
      <c r="C974" s="25"/>
      <c r="E974" s="25"/>
      <c r="F974" s="25"/>
      <c r="G974" s="25"/>
      <c r="H974" s="25"/>
      <c r="I974" s="25"/>
    </row>
    <row r="975" spans="3:9" ht="13">
      <c r="C975" s="25"/>
      <c r="E975" s="25"/>
      <c r="F975" s="25"/>
      <c r="G975" s="25"/>
      <c r="H975" s="25"/>
      <c r="I975" s="25"/>
    </row>
    <row r="976" spans="3:9" ht="13">
      <c r="C976" s="25"/>
      <c r="E976" s="25"/>
      <c r="F976" s="25"/>
      <c r="G976" s="25"/>
      <c r="H976" s="25"/>
      <c r="I976" s="25"/>
    </row>
    <row r="977" spans="3:9" ht="13">
      <c r="C977" s="25"/>
      <c r="E977" s="25"/>
      <c r="F977" s="25"/>
      <c r="G977" s="25"/>
      <c r="H977" s="25"/>
      <c r="I977" s="25"/>
    </row>
    <row r="978" spans="3:9" ht="13">
      <c r="C978" s="25"/>
      <c r="E978" s="25"/>
      <c r="F978" s="25"/>
      <c r="G978" s="25"/>
      <c r="H978" s="25"/>
      <c r="I978" s="25"/>
    </row>
    <row r="979" spans="3:9" ht="13">
      <c r="C979" s="25"/>
      <c r="E979" s="25"/>
      <c r="F979" s="25"/>
      <c r="G979" s="25"/>
      <c r="H979" s="25"/>
      <c r="I979" s="25"/>
    </row>
    <row r="980" spans="3:9" ht="13">
      <c r="C980" s="25"/>
      <c r="E980" s="25"/>
      <c r="F980" s="25"/>
      <c r="G980" s="25"/>
      <c r="H980" s="25"/>
      <c r="I980" s="25"/>
    </row>
    <row r="981" spans="3:9" ht="13">
      <c r="C981" s="25"/>
      <c r="E981" s="25"/>
      <c r="F981" s="25"/>
      <c r="G981" s="25"/>
      <c r="H981" s="25"/>
      <c r="I981" s="25"/>
    </row>
    <row r="982" spans="3:9" ht="13">
      <c r="C982" s="25"/>
      <c r="E982" s="25"/>
      <c r="F982" s="25"/>
      <c r="G982" s="25"/>
      <c r="H982" s="25"/>
      <c r="I982" s="25"/>
    </row>
    <row r="983" spans="3:9" ht="13">
      <c r="C983" s="25"/>
      <c r="E983" s="25"/>
      <c r="F983" s="25"/>
      <c r="G983" s="25"/>
      <c r="H983" s="25"/>
      <c r="I983" s="25"/>
    </row>
    <row r="984" spans="3:9" ht="13">
      <c r="C984" s="25"/>
      <c r="E984" s="25"/>
      <c r="F984" s="25"/>
      <c r="G984" s="25"/>
      <c r="H984" s="25"/>
      <c r="I984" s="25"/>
    </row>
    <row r="985" spans="3:9" ht="13">
      <c r="C985" s="25"/>
      <c r="E985" s="25"/>
      <c r="F985" s="25"/>
      <c r="G985" s="25"/>
      <c r="H985" s="25"/>
      <c r="I985" s="25"/>
    </row>
    <row r="986" spans="3:9" ht="13">
      <c r="C986" s="25"/>
      <c r="E986" s="25"/>
      <c r="F986" s="25"/>
      <c r="G986" s="25"/>
      <c r="H986" s="25"/>
      <c r="I986" s="25"/>
    </row>
    <row r="987" spans="3:9" ht="13">
      <c r="C987" s="25"/>
      <c r="E987" s="25"/>
      <c r="F987" s="25"/>
      <c r="G987" s="25"/>
      <c r="H987" s="25"/>
      <c r="I987" s="25"/>
    </row>
    <row r="988" spans="3:9" ht="13">
      <c r="C988" s="25"/>
      <c r="E988" s="25"/>
      <c r="F988" s="25"/>
      <c r="G988" s="25"/>
      <c r="H988" s="25"/>
      <c r="I988" s="25"/>
    </row>
    <row r="989" spans="3:9" ht="13">
      <c r="C989" s="25"/>
      <c r="E989" s="25"/>
      <c r="F989" s="25"/>
      <c r="G989" s="25"/>
      <c r="H989" s="25"/>
      <c r="I989" s="25"/>
    </row>
    <row r="990" spans="3:9" ht="13">
      <c r="C990" s="25"/>
      <c r="E990" s="25"/>
      <c r="F990" s="25"/>
      <c r="G990" s="25"/>
      <c r="H990" s="25"/>
      <c r="I990" s="25"/>
    </row>
    <row r="991" spans="3:9" ht="13">
      <c r="C991" s="25"/>
      <c r="E991" s="25"/>
      <c r="F991" s="25"/>
      <c r="G991" s="25"/>
      <c r="H991" s="25"/>
      <c r="I991" s="25"/>
    </row>
    <row r="992" spans="3:9" ht="13">
      <c r="C992" s="25"/>
      <c r="E992" s="25"/>
      <c r="F992" s="25"/>
      <c r="G992" s="25"/>
      <c r="H992" s="25"/>
      <c r="I992" s="25"/>
    </row>
    <row r="993" spans="3:9" ht="13">
      <c r="C993" s="25"/>
      <c r="E993" s="25"/>
      <c r="F993" s="25"/>
      <c r="G993" s="25"/>
      <c r="H993" s="25"/>
      <c r="I993" s="25"/>
    </row>
    <row r="994" spans="3:9" ht="13">
      <c r="C994" s="25"/>
      <c r="E994" s="25"/>
      <c r="F994" s="25"/>
      <c r="G994" s="25"/>
      <c r="H994" s="25"/>
      <c r="I994" s="25"/>
    </row>
    <row r="995" spans="3:9" ht="13">
      <c r="C995" s="25"/>
      <c r="E995" s="25"/>
      <c r="F995" s="25"/>
      <c r="G995" s="25"/>
      <c r="H995" s="25"/>
      <c r="I995" s="25"/>
    </row>
    <row r="996" spans="3:9" ht="13">
      <c r="C996" s="25"/>
      <c r="E996" s="25"/>
      <c r="F996" s="25"/>
      <c r="G996" s="25"/>
      <c r="H996" s="25"/>
      <c r="I996" s="25"/>
    </row>
    <row r="997" spans="3:9" ht="13">
      <c r="C997" s="25"/>
      <c r="E997" s="25"/>
      <c r="F997" s="25"/>
      <c r="G997" s="25"/>
      <c r="H997" s="25"/>
      <c r="I997" s="25"/>
    </row>
    <row r="998" spans="3:9" ht="13">
      <c r="C998" s="25"/>
      <c r="E998" s="25"/>
      <c r="F998" s="25"/>
      <c r="G998" s="25"/>
      <c r="H998" s="25"/>
      <c r="I998" s="25"/>
    </row>
    <row r="999" spans="3:9" ht="13">
      <c r="C999" s="25"/>
      <c r="E999" s="25"/>
      <c r="F999" s="25"/>
      <c r="G999" s="25"/>
      <c r="H999" s="25"/>
      <c r="I999" s="25"/>
    </row>
    <row r="1000" spans="3:9" ht="13">
      <c r="C1000" s="25"/>
      <c r="E1000" s="25"/>
      <c r="F1000" s="25"/>
      <c r="G1000" s="25"/>
      <c r="H1000" s="25"/>
      <c r="I1000" s="25"/>
    </row>
    <row r="1001" spans="3:9" ht="13">
      <c r="C1001" s="25"/>
      <c r="E1001" s="25"/>
      <c r="F1001" s="25"/>
      <c r="G1001" s="25"/>
      <c r="H1001" s="25"/>
      <c r="I1001" s="25"/>
    </row>
    <row r="1002" spans="3:9" ht="13">
      <c r="C1002" s="25"/>
      <c r="E1002" s="25"/>
      <c r="F1002" s="25"/>
      <c r="G1002" s="25"/>
      <c r="H1002" s="25"/>
      <c r="I1002" s="25"/>
    </row>
    <row r="1003" spans="3:9" ht="13">
      <c r="C1003" s="25"/>
      <c r="E1003" s="25"/>
      <c r="F1003" s="25"/>
      <c r="G1003" s="25"/>
      <c r="H1003" s="25"/>
      <c r="I1003" s="25"/>
    </row>
    <row r="1004" spans="3:9" ht="13">
      <c r="C1004" s="25"/>
      <c r="E1004" s="25"/>
      <c r="F1004" s="25"/>
      <c r="G1004" s="25"/>
      <c r="H1004" s="25"/>
      <c r="I1004" s="25"/>
    </row>
    <row r="1005" spans="3:9" ht="13">
      <c r="C1005" s="25"/>
      <c r="E1005" s="25"/>
      <c r="F1005" s="25"/>
      <c r="G1005" s="25"/>
      <c r="H1005" s="25"/>
      <c r="I1005" s="25"/>
    </row>
    <row r="1006" spans="3:9" ht="13">
      <c r="C1006" s="25"/>
      <c r="E1006" s="25"/>
      <c r="F1006" s="25"/>
      <c r="G1006" s="25"/>
      <c r="H1006" s="25"/>
      <c r="I1006" s="25"/>
    </row>
    <row r="1007" spans="3:9" ht="13">
      <c r="C1007" s="25"/>
      <c r="E1007" s="25"/>
      <c r="F1007" s="25"/>
      <c r="G1007" s="25"/>
      <c r="H1007" s="25"/>
      <c r="I1007" s="25"/>
    </row>
  </sheetData>
  <phoneticPr fontId="85" type="noConversion"/>
  <dataValidations count="6">
    <dataValidation type="list" allowBlank="1" sqref="H2:H33 H41:H1007" xr:uid="{00000000-0002-0000-0900-000000000000}">
      <formula1>"Hepeng Wang,Da Xu,Lingyu Meng,Zhiang Shen,Zhiwen Wang,Wei Jin,Han Shen,Huajia Nie,Shuo Cheng,Nanshu Zhao"</formula1>
    </dataValidation>
    <dataValidation type="list" allowBlank="1" sqref="I2:I33 I41:I1007" xr:uid="{00000000-0002-0000-0900-000001000000}">
      <formula1>"Hepeng Wang,Da Xu,Lingyu Meng,Zhiang Shen,Zhiwen Wang,Wei Jin,"</formula1>
    </dataValidation>
    <dataValidation type="list" allowBlank="1" sqref="F2:F33 F41:F1007" xr:uid="{00000000-0002-0000-0900-000002000000}">
      <formula1>"Good,Bad"</formula1>
    </dataValidation>
    <dataValidation type="list" allowBlank="1" sqref="G2:G33 G41:G1007" xr:uid="{00000000-0002-0000-0900-000003000000}">
      <formula1>"Hepeng Wang,Da Xu,Lingyu Meng,Zhiang Shen,Zhiwen Wang,Wei Jin,Nanshu Zhao"</formula1>
    </dataValidation>
    <dataValidation type="list" allowBlank="1" sqref="E2:E33 E41:E1007" xr:uid="{00000000-0002-0000-0900-000004000000}">
      <formula1>"none,little,much"</formula1>
    </dataValidation>
    <dataValidation type="list" allowBlank="1" sqref="C2:C33 C41:C1007" xr:uid="{00000000-0002-0000-0900-000005000000}">
      <formula1>"commited,reviewing,fixing,done,skip"</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A1020"/>
  <sheetViews>
    <sheetView workbookViewId="0">
      <pane ySplit="1" topLeftCell="A2" activePane="bottomLeft" state="frozen"/>
      <selection pane="bottomLeft" activeCell="B3" sqref="B3"/>
    </sheetView>
  </sheetViews>
  <sheetFormatPr defaultColWidth="14.3984375" defaultRowHeight="15.75" customHeight="1"/>
  <cols>
    <col min="1" max="1" width="16.296875" customWidth="1"/>
    <col min="2" max="2" width="30.8984375" customWidth="1"/>
    <col min="5" max="5" width="24.09765625" customWidth="1"/>
    <col min="6" max="6" width="24.59765625" customWidth="1"/>
    <col min="7" max="8" width="19" customWidth="1"/>
    <col min="9" max="9" width="25" customWidth="1"/>
    <col min="10" max="10" width="93.3984375" customWidth="1"/>
    <col min="11" max="11" width="88.09765625" customWidth="1"/>
  </cols>
  <sheetData>
    <row r="1" spans="1:27" ht="31">
      <c r="A1" s="129" t="s">
        <v>2340</v>
      </c>
      <c r="B1" s="130" t="s">
        <v>2341</v>
      </c>
      <c r="C1" s="131" t="s">
        <v>30</v>
      </c>
      <c r="D1" s="130" t="s">
        <v>2342</v>
      </c>
      <c r="E1" s="130" t="s">
        <v>2343</v>
      </c>
      <c r="F1" s="130" t="s">
        <v>2344</v>
      </c>
      <c r="G1" s="130" t="s">
        <v>29</v>
      </c>
      <c r="H1" s="130" t="s">
        <v>31</v>
      </c>
      <c r="I1" s="130" t="s">
        <v>2345</v>
      </c>
      <c r="J1" s="136" t="s">
        <v>32</v>
      </c>
      <c r="K1" s="130" t="s">
        <v>33</v>
      </c>
      <c r="L1" s="132"/>
      <c r="M1" s="132"/>
      <c r="N1" s="133"/>
      <c r="O1" s="133"/>
      <c r="P1" s="133"/>
      <c r="Q1" s="132"/>
      <c r="R1" s="132"/>
      <c r="S1" s="132"/>
      <c r="T1" s="132"/>
      <c r="U1" s="132"/>
      <c r="V1" s="132"/>
      <c r="W1" s="132"/>
      <c r="X1" s="132"/>
      <c r="Y1" s="132"/>
      <c r="Z1" s="132"/>
      <c r="AA1" s="132"/>
    </row>
    <row r="2" spans="1:27" ht="15.75" customHeight="1">
      <c r="A2" s="134" t="s">
        <v>2369</v>
      </c>
      <c r="B2" s="134" t="s">
        <v>1872</v>
      </c>
      <c r="C2" s="27" t="s">
        <v>71</v>
      </c>
      <c r="D2" s="137">
        <v>44565</v>
      </c>
      <c r="E2" s="22"/>
      <c r="F2" s="25"/>
      <c r="G2" s="22" t="s">
        <v>350</v>
      </c>
      <c r="H2" s="22" t="s">
        <v>244</v>
      </c>
      <c r="I2" s="22"/>
      <c r="J2" s="138"/>
    </row>
    <row r="3" spans="1:27" ht="15.75" customHeight="1">
      <c r="A3" s="134" t="s">
        <v>2369</v>
      </c>
      <c r="B3" s="134" t="s">
        <v>1877</v>
      </c>
      <c r="C3" s="27" t="s">
        <v>71</v>
      </c>
      <c r="D3" s="137">
        <v>44567</v>
      </c>
      <c r="E3" s="22"/>
      <c r="F3" s="25"/>
      <c r="G3" s="22" t="s">
        <v>350</v>
      </c>
      <c r="H3" s="22" t="s">
        <v>244</v>
      </c>
      <c r="I3" s="22"/>
      <c r="J3" s="138" t="s">
        <v>2370</v>
      </c>
    </row>
    <row r="4" spans="1:27" ht="15.75" customHeight="1">
      <c r="A4" s="134" t="s">
        <v>2369</v>
      </c>
      <c r="B4" s="134" t="s">
        <v>1402</v>
      </c>
      <c r="C4" s="27" t="s">
        <v>71</v>
      </c>
      <c r="D4" s="137">
        <v>44567</v>
      </c>
      <c r="E4" s="22"/>
      <c r="F4" s="25"/>
      <c r="G4" s="22" t="s">
        <v>350</v>
      </c>
      <c r="H4" s="22" t="s">
        <v>244</v>
      </c>
      <c r="I4" s="22"/>
      <c r="J4" s="138" t="s">
        <v>2371</v>
      </c>
    </row>
    <row r="5" spans="1:27" ht="15.75" customHeight="1">
      <c r="A5" s="134" t="s">
        <v>2369</v>
      </c>
      <c r="B5" s="134" t="s">
        <v>1881</v>
      </c>
      <c r="C5" s="27" t="s">
        <v>71</v>
      </c>
      <c r="D5" s="137">
        <v>44567</v>
      </c>
      <c r="E5" s="22"/>
      <c r="F5" s="25"/>
      <c r="G5" s="22" t="s">
        <v>350</v>
      </c>
      <c r="H5" s="22" t="s">
        <v>244</v>
      </c>
      <c r="I5" s="22"/>
      <c r="J5" s="138" t="s">
        <v>2372</v>
      </c>
    </row>
    <row r="6" spans="1:27" ht="15.75" customHeight="1">
      <c r="A6" s="134" t="s">
        <v>2369</v>
      </c>
      <c r="B6" s="134" t="s">
        <v>1408</v>
      </c>
      <c r="C6" s="27" t="s">
        <v>71</v>
      </c>
      <c r="D6" s="137">
        <v>44566</v>
      </c>
      <c r="E6" s="22"/>
      <c r="F6" s="25"/>
      <c r="G6" s="22" t="s">
        <v>350</v>
      </c>
      <c r="H6" s="22" t="s">
        <v>244</v>
      </c>
      <c r="I6" s="22"/>
      <c r="J6" s="138" t="s">
        <v>2373</v>
      </c>
    </row>
    <row r="7" spans="1:27" ht="15.75" customHeight="1">
      <c r="A7" s="134" t="s">
        <v>2369</v>
      </c>
      <c r="B7" s="134" t="s">
        <v>1416</v>
      </c>
      <c r="C7" s="27" t="s">
        <v>71</v>
      </c>
      <c r="D7" s="137">
        <v>44566</v>
      </c>
      <c r="E7" s="22"/>
      <c r="F7" s="25"/>
      <c r="G7" s="22" t="s">
        <v>350</v>
      </c>
      <c r="H7" s="22" t="s">
        <v>244</v>
      </c>
      <c r="I7" s="22"/>
      <c r="J7" s="138" t="s">
        <v>2374</v>
      </c>
    </row>
    <row r="8" spans="1:27" ht="15.75" customHeight="1">
      <c r="A8" s="139" t="s">
        <v>2369</v>
      </c>
      <c r="B8" s="139" t="s">
        <v>1905</v>
      </c>
      <c r="C8" s="140" t="s">
        <v>71</v>
      </c>
      <c r="D8" s="141">
        <v>44567</v>
      </c>
      <c r="E8" s="142"/>
      <c r="F8" s="143"/>
      <c r="G8" s="142" t="s">
        <v>350</v>
      </c>
      <c r="H8" s="142" t="s">
        <v>244</v>
      </c>
      <c r="I8" s="142"/>
      <c r="J8" s="144" t="s">
        <v>2375</v>
      </c>
    </row>
    <row r="9" spans="1:27" ht="15.75" customHeight="1">
      <c r="A9" s="134" t="s">
        <v>2369</v>
      </c>
      <c r="B9" s="134" t="s">
        <v>780</v>
      </c>
      <c r="C9" s="27" t="s">
        <v>71</v>
      </c>
      <c r="D9" s="137"/>
      <c r="E9" s="22"/>
      <c r="F9" s="25"/>
      <c r="G9" s="22" t="s">
        <v>73</v>
      </c>
      <c r="H9" s="22" t="s">
        <v>72</v>
      </c>
      <c r="I9" s="22"/>
      <c r="J9" s="138"/>
    </row>
    <row r="10" spans="1:27" ht="15.75" customHeight="1">
      <c r="A10" s="134" t="s">
        <v>2369</v>
      </c>
      <c r="B10" s="134" t="s">
        <v>788</v>
      </c>
      <c r="C10" s="27" t="s">
        <v>71</v>
      </c>
      <c r="D10" s="137"/>
      <c r="E10" s="22"/>
      <c r="F10" s="25"/>
      <c r="G10" s="22" t="s">
        <v>73</v>
      </c>
      <c r="H10" s="22" t="s">
        <v>72</v>
      </c>
      <c r="I10" s="22"/>
      <c r="J10" s="138"/>
    </row>
    <row r="11" spans="1:27" ht="15.75" customHeight="1">
      <c r="A11" s="134" t="s">
        <v>2369</v>
      </c>
      <c r="B11" s="134" t="s">
        <v>794</v>
      </c>
      <c r="C11" s="27" t="s">
        <v>71</v>
      </c>
      <c r="D11" s="137"/>
      <c r="E11" s="22"/>
      <c r="F11" s="25"/>
      <c r="G11" s="22" t="s">
        <v>73</v>
      </c>
      <c r="H11" s="22" t="s">
        <v>72</v>
      </c>
      <c r="I11" s="22"/>
      <c r="J11" s="138"/>
    </row>
    <row r="12" spans="1:27" ht="15.75" customHeight="1">
      <c r="A12" s="134" t="s">
        <v>2369</v>
      </c>
      <c r="B12" s="134" t="s">
        <v>1550</v>
      </c>
      <c r="C12" s="27" t="s">
        <v>71</v>
      </c>
      <c r="D12" s="137"/>
      <c r="E12" s="22"/>
      <c r="F12" s="25"/>
      <c r="G12" s="22" t="s">
        <v>669</v>
      </c>
      <c r="H12" s="22" t="s">
        <v>72</v>
      </c>
      <c r="I12" s="22"/>
      <c r="J12" s="138"/>
    </row>
    <row r="13" spans="1:27" ht="15.75" customHeight="1">
      <c r="A13" s="134" t="s">
        <v>2369</v>
      </c>
      <c r="B13" s="134" t="s">
        <v>1007</v>
      </c>
      <c r="C13" s="27" t="s">
        <v>71</v>
      </c>
      <c r="D13" s="137"/>
      <c r="E13" s="22"/>
      <c r="F13" s="25"/>
      <c r="G13" s="22" t="s">
        <v>669</v>
      </c>
      <c r="H13" s="22" t="s">
        <v>72</v>
      </c>
      <c r="I13" s="22"/>
      <c r="J13" s="138"/>
    </row>
    <row r="14" spans="1:27" ht="15.75" customHeight="1">
      <c r="A14" s="134" t="s">
        <v>2369</v>
      </c>
      <c r="B14" s="134" t="s">
        <v>1013</v>
      </c>
      <c r="C14" s="27" t="s">
        <v>71</v>
      </c>
      <c r="D14" s="137"/>
      <c r="E14" s="22"/>
      <c r="F14" s="25"/>
      <c r="G14" s="22" t="s">
        <v>669</v>
      </c>
      <c r="H14" s="22" t="s">
        <v>73</v>
      </c>
      <c r="I14" s="22"/>
      <c r="J14" s="138" t="s">
        <v>2376</v>
      </c>
      <c r="K14" s="22" t="s">
        <v>2377</v>
      </c>
    </row>
    <row r="15" spans="1:27" ht="15.75" customHeight="1">
      <c r="A15" s="134" t="s">
        <v>2369</v>
      </c>
      <c r="B15" s="134" t="s">
        <v>1024</v>
      </c>
      <c r="C15" s="27" t="s">
        <v>71</v>
      </c>
      <c r="D15" s="137"/>
      <c r="E15" s="22"/>
      <c r="F15" s="25"/>
      <c r="G15" s="22" t="s">
        <v>669</v>
      </c>
      <c r="H15" s="22" t="s">
        <v>73</v>
      </c>
      <c r="I15" s="22"/>
      <c r="J15" s="138" t="s">
        <v>2378</v>
      </c>
      <c r="K15" s="22" t="s">
        <v>2379</v>
      </c>
    </row>
    <row r="16" spans="1:27" ht="15.75" customHeight="1">
      <c r="A16" s="134" t="s">
        <v>2369</v>
      </c>
      <c r="B16" s="134" t="s">
        <v>1139</v>
      </c>
      <c r="C16" s="27" t="s">
        <v>71</v>
      </c>
      <c r="D16" s="137"/>
      <c r="E16" s="22"/>
      <c r="F16" s="25"/>
      <c r="G16" s="22" t="s">
        <v>478</v>
      </c>
      <c r="H16" s="22" t="s">
        <v>73</v>
      </c>
      <c r="I16" s="22"/>
      <c r="J16" s="138" t="s">
        <v>2380</v>
      </c>
    </row>
    <row r="17" spans="1:10" ht="15.75" customHeight="1">
      <c r="A17" s="134" t="s">
        <v>2369</v>
      </c>
      <c r="B17" s="134" t="s">
        <v>1147</v>
      </c>
      <c r="C17" s="27" t="s">
        <v>71</v>
      </c>
      <c r="D17" s="137"/>
      <c r="E17" s="22"/>
      <c r="F17" s="25"/>
      <c r="G17" s="22" t="s">
        <v>478</v>
      </c>
      <c r="H17" s="22" t="s">
        <v>73</v>
      </c>
      <c r="I17" s="22"/>
      <c r="J17" s="138"/>
    </row>
    <row r="18" spans="1:10" ht="15.75" customHeight="1">
      <c r="A18" s="134" t="s">
        <v>2369</v>
      </c>
      <c r="B18" s="134" t="s">
        <v>1679</v>
      </c>
      <c r="C18" s="27" t="s">
        <v>71</v>
      </c>
      <c r="D18" s="137"/>
      <c r="E18" s="22"/>
      <c r="F18" s="25"/>
      <c r="G18" s="22" t="s">
        <v>804</v>
      </c>
      <c r="H18" s="22" t="s">
        <v>73</v>
      </c>
      <c r="I18" s="22"/>
      <c r="J18" s="138" t="s">
        <v>2381</v>
      </c>
    </row>
    <row r="19" spans="1:10" ht="15.75" customHeight="1">
      <c r="A19" s="134" t="s">
        <v>2369</v>
      </c>
      <c r="B19" s="134" t="s">
        <v>1684</v>
      </c>
      <c r="C19" s="27" t="s">
        <v>71</v>
      </c>
      <c r="D19" s="137"/>
      <c r="E19" s="22"/>
      <c r="F19" s="25"/>
      <c r="G19" s="22" t="s">
        <v>804</v>
      </c>
      <c r="H19" s="22" t="s">
        <v>73</v>
      </c>
      <c r="I19" s="22"/>
      <c r="J19" s="145"/>
    </row>
    <row r="20" spans="1:10" ht="15.75" customHeight="1">
      <c r="A20" s="134" t="s">
        <v>2369</v>
      </c>
      <c r="B20" s="134" t="s">
        <v>1435</v>
      </c>
      <c r="C20" s="27" t="s">
        <v>71</v>
      </c>
      <c r="D20" s="137"/>
      <c r="E20" s="22"/>
      <c r="F20" s="25"/>
      <c r="G20" s="22" t="s">
        <v>804</v>
      </c>
      <c r="H20" s="22" t="s">
        <v>478</v>
      </c>
      <c r="I20" s="22"/>
      <c r="J20" s="138" t="s">
        <v>2382</v>
      </c>
    </row>
    <row r="21" spans="1:10" ht="15.75" customHeight="1">
      <c r="A21" s="134" t="s">
        <v>2369</v>
      </c>
      <c r="B21" s="134" t="s">
        <v>1442</v>
      </c>
      <c r="C21" s="27" t="s">
        <v>71</v>
      </c>
      <c r="D21" s="137"/>
      <c r="E21" s="22"/>
      <c r="F21" s="25"/>
      <c r="G21" s="22" t="s">
        <v>804</v>
      </c>
      <c r="H21" s="22" t="s">
        <v>478</v>
      </c>
      <c r="I21" s="22"/>
      <c r="J21" s="138"/>
    </row>
    <row r="22" spans="1:10" ht="15.75" customHeight="1">
      <c r="A22" s="134" t="s">
        <v>2369</v>
      </c>
      <c r="B22" s="134" t="s">
        <v>961</v>
      </c>
      <c r="C22" s="27" t="s">
        <v>71</v>
      </c>
      <c r="D22" s="137"/>
      <c r="E22" s="25"/>
      <c r="F22" s="25"/>
      <c r="G22" s="22" t="s">
        <v>928</v>
      </c>
      <c r="H22" s="22" t="s">
        <v>478</v>
      </c>
      <c r="I22" s="25"/>
      <c r="J22" s="138" t="s">
        <v>2383</v>
      </c>
    </row>
    <row r="23" spans="1:10" ht="15.75" customHeight="1">
      <c r="A23" s="134" t="s">
        <v>2369</v>
      </c>
      <c r="B23" s="134" t="s">
        <v>966</v>
      </c>
      <c r="C23" s="27" t="s">
        <v>71</v>
      </c>
      <c r="D23" s="137"/>
      <c r="E23" s="25"/>
      <c r="F23" s="25"/>
      <c r="G23" s="22" t="s">
        <v>928</v>
      </c>
      <c r="H23" s="22" t="s">
        <v>478</v>
      </c>
      <c r="I23" s="25"/>
      <c r="J23" s="138" t="s">
        <v>2384</v>
      </c>
    </row>
    <row r="24" spans="1:10" ht="15.75" customHeight="1">
      <c r="A24" s="134" t="s">
        <v>2369</v>
      </c>
      <c r="B24" s="134" t="s">
        <v>972</v>
      </c>
      <c r="C24" s="27" t="s">
        <v>71</v>
      </c>
      <c r="D24" s="137"/>
      <c r="E24" s="22"/>
      <c r="F24" s="25"/>
      <c r="G24" s="22" t="s">
        <v>928</v>
      </c>
      <c r="H24" s="22" t="s">
        <v>478</v>
      </c>
      <c r="I24" s="22"/>
      <c r="J24" s="138" t="s">
        <v>2385</v>
      </c>
    </row>
    <row r="25" spans="1:10" ht="15.75" customHeight="1">
      <c r="A25" s="134" t="s">
        <v>2369</v>
      </c>
      <c r="B25" s="134" t="s">
        <v>979</v>
      </c>
      <c r="C25" s="27" t="s">
        <v>71</v>
      </c>
      <c r="D25" s="137"/>
      <c r="E25" s="22"/>
      <c r="F25" s="25"/>
      <c r="G25" s="22" t="s">
        <v>928</v>
      </c>
      <c r="H25" s="22" t="s">
        <v>804</v>
      </c>
      <c r="I25" s="22"/>
      <c r="J25" s="138" t="s">
        <v>2386</v>
      </c>
    </row>
    <row r="26" spans="1:10" ht="15.75" customHeight="1">
      <c r="A26" s="134" t="s">
        <v>2369</v>
      </c>
      <c r="B26" s="134" t="s">
        <v>983</v>
      </c>
      <c r="C26" s="27" t="s">
        <v>71</v>
      </c>
      <c r="D26" s="137"/>
      <c r="E26" s="22"/>
      <c r="F26" s="25"/>
      <c r="G26" s="22" t="s">
        <v>928</v>
      </c>
      <c r="H26" s="22" t="s">
        <v>804</v>
      </c>
      <c r="I26" s="22"/>
      <c r="J26" s="138" t="s">
        <v>2387</v>
      </c>
    </row>
    <row r="27" spans="1:10" ht="15.75" customHeight="1">
      <c r="A27" s="134" t="s">
        <v>2369</v>
      </c>
      <c r="B27" s="134" t="s">
        <v>518</v>
      </c>
      <c r="C27" s="27" t="s">
        <v>71</v>
      </c>
      <c r="D27" s="137">
        <v>44566</v>
      </c>
      <c r="E27" s="22"/>
      <c r="F27" s="25"/>
      <c r="G27" s="22" t="s">
        <v>741</v>
      </c>
      <c r="H27" s="22" t="s">
        <v>804</v>
      </c>
      <c r="I27" s="22"/>
      <c r="J27" s="138" t="s">
        <v>2388</v>
      </c>
    </row>
    <row r="28" spans="1:10" ht="15.75" customHeight="1">
      <c r="A28" s="134" t="s">
        <v>2369</v>
      </c>
      <c r="B28" s="134" t="s">
        <v>1335</v>
      </c>
      <c r="C28" s="27" t="s">
        <v>71</v>
      </c>
      <c r="D28" s="137">
        <v>44566</v>
      </c>
      <c r="E28" s="22"/>
      <c r="F28" s="25"/>
      <c r="G28" s="22" t="s">
        <v>741</v>
      </c>
      <c r="H28" s="22" t="s">
        <v>804</v>
      </c>
      <c r="I28" s="22"/>
      <c r="J28" s="138" t="s">
        <v>2389</v>
      </c>
    </row>
    <row r="29" spans="1:10" ht="15.75" customHeight="1">
      <c r="A29" s="134" t="s">
        <v>2369</v>
      </c>
      <c r="B29" s="135" t="s">
        <v>1340</v>
      </c>
      <c r="C29" s="27" t="s">
        <v>71</v>
      </c>
      <c r="D29" s="137">
        <v>44566</v>
      </c>
      <c r="E29" s="22"/>
      <c r="F29" s="25"/>
      <c r="G29" s="22" t="s">
        <v>741</v>
      </c>
      <c r="H29" s="22" t="s">
        <v>804</v>
      </c>
      <c r="I29" s="22"/>
      <c r="J29" s="138" t="s">
        <v>2390</v>
      </c>
    </row>
    <row r="30" spans="1:10" ht="15.75" customHeight="1">
      <c r="A30" s="134" t="s">
        <v>2391</v>
      </c>
      <c r="B30" s="134" t="s">
        <v>379</v>
      </c>
      <c r="C30" s="27" t="s">
        <v>71</v>
      </c>
      <c r="D30" s="137">
        <v>44559</v>
      </c>
      <c r="E30" s="22"/>
      <c r="F30" s="25"/>
      <c r="G30" s="22" t="s">
        <v>478</v>
      </c>
      <c r="H30" s="22" t="s">
        <v>859</v>
      </c>
      <c r="I30" s="22"/>
      <c r="J30" s="138" t="s">
        <v>2392</v>
      </c>
    </row>
    <row r="31" spans="1:10" ht="15.75" customHeight="1">
      <c r="A31" s="134" t="s">
        <v>2391</v>
      </c>
      <c r="B31" s="134" t="s">
        <v>1126</v>
      </c>
      <c r="C31" s="27" t="s">
        <v>71</v>
      </c>
      <c r="D31" s="137">
        <v>44559</v>
      </c>
      <c r="E31" s="22"/>
      <c r="F31" s="25"/>
      <c r="G31" s="22" t="s">
        <v>478</v>
      </c>
      <c r="H31" s="22" t="s">
        <v>859</v>
      </c>
      <c r="I31" s="22"/>
      <c r="J31" s="138" t="s">
        <v>2393</v>
      </c>
    </row>
    <row r="32" spans="1:10" ht="15.75" customHeight="1">
      <c r="A32" s="134" t="s">
        <v>2391</v>
      </c>
      <c r="B32" s="134" t="s">
        <v>1132</v>
      </c>
      <c r="C32" s="27" t="s">
        <v>71</v>
      </c>
      <c r="D32" s="137">
        <v>44559</v>
      </c>
      <c r="E32" s="22"/>
      <c r="F32" s="25"/>
      <c r="G32" s="22" t="s">
        <v>478</v>
      </c>
      <c r="H32" s="22" t="s">
        <v>859</v>
      </c>
      <c r="I32" s="22"/>
      <c r="J32" s="138" t="s">
        <v>2394</v>
      </c>
    </row>
    <row r="33" spans="1:11" ht="15.75" customHeight="1">
      <c r="A33" s="134" t="s">
        <v>2391</v>
      </c>
      <c r="B33" s="134" t="s">
        <v>757</v>
      </c>
      <c r="C33" s="27" t="s">
        <v>71</v>
      </c>
      <c r="D33" s="137"/>
      <c r="E33" s="22"/>
      <c r="F33" s="25"/>
      <c r="G33" s="22" t="s">
        <v>73</v>
      </c>
      <c r="H33" s="22" t="s">
        <v>859</v>
      </c>
      <c r="I33" s="22"/>
      <c r="J33" s="138" t="s">
        <v>2395</v>
      </c>
    </row>
    <row r="34" spans="1:11" ht="15.75" customHeight="1">
      <c r="A34" s="134" t="s">
        <v>2391</v>
      </c>
      <c r="B34" s="134" t="s">
        <v>762</v>
      </c>
      <c r="C34" s="27" t="s">
        <v>71</v>
      </c>
      <c r="D34" s="137"/>
      <c r="E34" s="22"/>
      <c r="F34" s="25"/>
      <c r="G34" s="22" t="s">
        <v>73</v>
      </c>
      <c r="H34" s="22" t="s">
        <v>859</v>
      </c>
      <c r="I34" s="22"/>
      <c r="J34" s="138" t="s">
        <v>2396</v>
      </c>
    </row>
    <row r="35" spans="1:11" ht="15.75" customHeight="1">
      <c r="A35" s="134" t="s">
        <v>2391</v>
      </c>
      <c r="B35" s="134" t="s">
        <v>767</v>
      </c>
      <c r="C35" s="27" t="s">
        <v>71</v>
      </c>
      <c r="D35" s="137"/>
      <c r="E35" s="22"/>
      <c r="F35" s="25"/>
      <c r="G35" s="22" t="s">
        <v>73</v>
      </c>
      <c r="H35" s="22" t="s">
        <v>928</v>
      </c>
      <c r="I35" s="22"/>
      <c r="J35" s="138" t="s">
        <v>2397</v>
      </c>
    </row>
    <row r="36" spans="1:11" ht="15.75" customHeight="1">
      <c r="A36" s="134" t="s">
        <v>2391</v>
      </c>
      <c r="B36" s="134" t="s">
        <v>773</v>
      </c>
      <c r="C36" s="27" t="s">
        <v>71</v>
      </c>
      <c r="D36" s="137"/>
      <c r="E36" s="22"/>
      <c r="F36" s="25"/>
      <c r="G36" s="22" t="s">
        <v>73</v>
      </c>
      <c r="H36" s="22" t="s">
        <v>928</v>
      </c>
      <c r="I36" s="22"/>
      <c r="J36" s="138" t="s">
        <v>2398</v>
      </c>
    </row>
    <row r="37" spans="1:11" ht="15.75" customHeight="1">
      <c r="A37" s="134" t="s">
        <v>2391</v>
      </c>
      <c r="B37" s="134" t="s">
        <v>679</v>
      </c>
      <c r="C37" s="27" t="s">
        <v>71</v>
      </c>
      <c r="D37" s="137"/>
      <c r="E37" s="22"/>
      <c r="F37" s="25"/>
      <c r="G37" s="22" t="s">
        <v>669</v>
      </c>
      <c r="H37" s="22" t="s">
        <v>928</v>
      </c>
      <c r="I37" s="22"/>
      <c r="J37" s="138" t="s">
        <v>2399</v>
      </c>
      <c r="K37" s="22" t="s">
        <v>2400</v>
      </c>
    </row>
    <row r="38" spans="1:11" ht="15.75" customHeight="1">
      <c r="A38" s="134" t="s">
        <v>2391</v>
      </c>
      <c r="B38" s="134" t="s">
        <v>1602</v>
      </c>
      <c r="C38" s="27" t="s">
        <v>71</v>
      </c>
      <c r="D38" s="137"/>
      <c r="E38" s="22"/>
      <c r="F38" s="25"/>
      <c r="G38" s="22" t="s">
        <v>669</v>
      </c>
      <c r="H38" s="22" t="s">
        <v>928</v>
      </c>
      <c r="I38" s="22"/>
      <c r="J38" s="138"/>
    </row>
    <row r="39" spans="1:11" ht="15.75" customHeight="1">
      <c r="A39" s="134" t="s">
        <v>2391</v>
      </c>
      <c r="B39" s="134" t="s">
        <v>1900</v>
      </c>
      <c r="C39" s="27" t="s">
        <v>71</v>
      </c>
      <c r="D39" s="137"/>
      <c r="E39" s="22"/>
      <c r="F39" s="25"/>
      <c r="G39" s="22" t="s">
        <v>669</v>
      </c>
      <c r="H39" s="22" t="s">
        <v>741</v>
      </c>
      <c r="I39" s="22"/>
      <c r="J39" s="138"/>
    </row>
    <row r="40" spans="1:11" ht="15.75" customHeight="1">
      <c r="A40" s="134" t="s">
        <v>2391</v>
      </c>
      <c r="B40" s="134" t="s">
        <v>1520</v>
      </c>
      <c r="C40" s="27" t="s">
        <v>71</v>
      </c>
      <c r="D40" s="137"/>
      <c r="E40" s="22"/>
      <c r="F40" s="25"/>
      <c r="G40" s="22" t="s">
        <v>669</v>
      </c>
      <c r="H40" s="22" t="s">
        <v>741</v>
      </c>
      <c r="I40" s="22"/>
      <c r="J40" s="138"/>
    </row>
    <row r="41" spans="1:11" ht="15.75" customHeight="1">
      <c r="A41" s="134" t="s">
        <v>2391</v>
      </c>
      <c r="B41" s="134" t="s">
        <v>437</v>
      </c>
      <c r="C41" s="27" t="s">
        <v>71</v>
      </c>
      <c r="D41" s="137"/>
      <c r="E41" s="22"/>
      <c r="F41" s="25"/>
      <c r="G41" s="22" t="s">
        <v>928</v>
      </c>
      <c r="H41" s="22" t="s">
        <v>741</v>
      </c>
      <c r="I41" s="22"/>
      <c r="J41" s="138"/>
    </row>
    <row r="42" spans="1:11" ht="15.75" customHeight="1">
      <c r="A42" s="134" t="s">
        <v>2391</v>
      </c>
      <c r="B42" s="134" t="s">
        <v>452</v>
      </c>
      <c r="C42" s="27" t="s">
        <v>71</v>
      </c>
      <c r="D42" s="137"/>
      <c r="E42" s="22"/>
      <c r="F42" s="25"/>
      <c r="G42" s="22" t="s">
        <v>928</v>
      </c>
      <c r="H42" s="22" t="s">
        <v>741</v>
      </c>
      <c r="I42" s="22"/>
      <c r="J42" s="138"/>
    </row>
    <row r="43" spans="1:11" ht="15.75" customHeight="1">
      <c r="A43" s="134" t="s">
        <v>2391</v>
      </c>
      <c r="B43" s="134" t="s">
        <v>445</v>
      </c>
      <c r="C43" s="27" t="s">
        <v>71</v>
      </c>
      <c r="D43" s="137"/>
      <c r="E43" s="22"/>
      <c r="F43" s="25"/>
      <c r="G43" s="22" t="s">
        <v>928</v>
      </c>
      <c r="H43" s="22" t="s">
        <v>669</v>
      </c>
      <c r="I43" s="22"/>
      <c r="J43" s="138" t="s">
        <v>2401</v>
      </c>
    </row>
    <row r="44" spans="1:11" ht="15.75" customHeight="1">
      <c r="A44" s="134" t="s">
        <v>2391</v>
      </c>
      <c r="B44" s="134" t="s">
        <v>464</v>
      </c>
      <c r="C44" s="27" t="s">
        <v>71</v>
      </c>
      <c r="D44" s="137"/>
      <c r="E44" s="22"/>
      <c r="F44" s="25"/>
      <c r="G44" s="22" t="s">
        <v>928</v>
      </c>
      <c r="H44" s="22" t="s">
        <v>669</v>
      </c>
      <c r="I44" s="22"/>
      <c r="J44" s="138" t="s">
        <v>2402</v>
      </c>
    </row>
    <row r="45" spans="1:11" ht="15.75" customHeight="1">
      <c r="A45" s="134" t="s">
        <v>2391</v>
      </c>
      <c r="B45" s="135" t="s">
        <v>1398</v>
      </c>
      <c r="C45" s="27" t="s">
        <v>71</v>
      </c>
      <c r="D45" s="137"/>
      <c r="E45" s="22"/>
      <c r="F45" s="25"/>
      <c r="G45" s="22" t="s">
        <v>741</v>
      </c>
      <c r="H45" s="22" t="s">
        <v>669</v>
      </c>
      <c r="I45" s="22"/>
      <c r="J45" s="138"/>
    </row>
    <row r="46" spans="1:11" ht="15.75" customHeight="1">
      <c r="A46" s="134" t="s">
        <v>2391</v>
      </c>
      <c r="B46" s="135" t="s">
        <v>730</v>
      </c>
      <c r="C46" s="27" t="s">
        <v>71</v>
      </c>
      <c r="D46" s="137"/>
      <c r="E46" s="22"/>
      <c r="F46" s="25"/>
      <c r="G46" s="22" t="s">
        <v>741</v>
      </c>
      <c r="H46" s="22" t="s">
        <v>669</v>
      </c>
      <c r="I46" s="22"/>
      <c r="J46" s="138" t="s">
        <v>2403</v>
      </c>
    </row>
    <row r="47" spans="1:11" ht="15.75" customHeight="1">
      <c r="A47" s="134" t="s">
        <v>2391</v>
      </c>
      <c r="B47" s="146" t="s">
        <v>309</v>
      </c>
      <c r="C47" s="27" t="s">
        <v>71</v>
      </c>
      <c r="D47" s="137">
        <v>44559</v>
      </c>
      <c r="E47" s="22"/>
      <c r="F47" s="25"/>
      <c r="G47" s="22" t="s">
        <v>804</v>
      </c>
      <c r="H47" s="22" t="s">
        <v>350</v>
      </c>
      <c r="I47" s="22"/>
      <c r="J47" s="138" t="s">
        <v>2404</v>
      </c>
    </row>
    <row r="48" spans="1:11" ht="15.75" customHeight="1">
      <c r="A48" s="134" t="s">
        <v>2391</v>
      </c>
      <c r="B48" s="146" t="s">
        <v>316</v>
      </c>
      <c r="C48" s="27" t="s">
        <v>71</v>
      </c>
      <c r="D48" s="137">
        <v>44559</v>
      </c>
      <c r="E48" s="22"/>
      <c r="F48" s="25"/>
      <c r="G48" s="22" t="s">
        <v>804</v>
      </c>
      <c r="H48" s="22" t="s">
        <v>350</v>
      </c>
      <c r="I48" s="22"/>
      <c r="J48" s="138" t="s">
        <v>2405</v>
      </c>
    </row>
    <row r="49" spans="1:11" ht="15.75" customHeight="1">
      <c r="A49" s="134" t="s">
        <v>2391</v>
      </c>
      <c r="B49" s="146" t="s">
        <v>1645</v>
      </c>
      <c r="C49" s="27" t="s">
        <v>71</v>
      </c>
      <c r="D49" s="137">
        <v>44559</v>
      </c>
      <c r="E49" s="22"/>
      <c r="F49" s="25"/>
      <c r="G49" s="22" t="s">
        <v>804</v>
      </c>
      <c r="H49" s="22" t="s">
        <v>350</v>
      </c>
      <c r="I49" s="22"/>
      <c r="J49" s="138" t="s">
        <v>2406</v>
      </c>
    </row>
    <row r="50" spans="1:11" ht="15.75" customHeight="1">
      <c r="A50" s="134" t="s">
        <v>2391</v>
      </c>
      <c r="B50" s="147" t="s">
        <v>1656</v>
      </c>
      <c r="C50" s="27" t="s">
        <v>71</v>
      </c>
      <c r="D50" s="137">
        <v>44559</v>
      </c>
      <c r="E50" s="22"/>
      <c r="F50" s="25"/>
      <c r="G50" s="22" t="s">
        <v>804</v>
      </c>
      <c r="H50" s="22" t="s">
        <v>350</v>
      </c>
      <c r="I50" s="22"/>
      <c r="J50" s="138" t="s">
        <v>2407</v>
      </c>
    </row>
    <row r="51" spans="1:11" ht="15.75" customHeight="1">
      <c r="A51" s="134" t="s">
        <v>2408</v>
      </c>
      <c r="B51" s="134" t="s">
        <v>75</v>
      </c>
      <c r="C51" s="27" t="s">
        <v>71</v>
      </c>
      <c r="D51" s="137">
        <v>44546</v>
      </c>
      <c r="E51" s="22" t="s">
        <v>2348</v>
      </c>
      <c r="F51" s="25"/>
      <c r="G51" s="22" t="s">
        <v>73</v>
      </c>
      <c r="H51" s="22" t="s">
        <v>244</v>
      </c>
      <c r="I51" s="22" t="s">
        <v>73</v>
      </c>
      <c r="J51" s="138" t="s">
        <v>2409</v>
      </c>
    </row>
    <row r="52" spans="1:11" ht="15.75" customHeight="1">
      <c r="A52" s="134" t="s">
        <v>2408</v>
      </c>
      <c r="B52" s="134" t="s">
        <v>92</v>
      </c>
      <c r="C52" s="27" t="s">
        <v>71</v>
      </c>
      <c r="D52" s="137">
        <v>44546</v>
      </c>
      <c r="E52" s="22" t="s">
        <v>2348</v>
      </c>
      <c r="F52" s="25"/>
      <c r="G52" s="22" t="s">
        <v>73</v>
      </c>
      <c r="H52" s="22" t="s">
        <v>244</v>
      </c>
      <c r="I52" s="22" t="s">
        <v>73</v>
      </c>
      <c r="J52" s="138" t="s">
        <v>2410</v>
      </c>
    </row>
    <row r="53" spans="1:11" ht="15.75" customHeight="1">
      <c r="A53" s="134" t="s">
        <v>2408</v>
      </c>
      <c r="B53" s="134" t="s">
        <v>104</v>
      </c>
      <c r="C53" s="27" t="s">
        <v>71</v>
      </c>
      <c r="D53" s="137">
        <v>44546</v>
      </c>
      <c r="E53" s="22" t="s">
        <v>2348</v>
      </c>
      <c r="F53" s="25"/>
      <c r="G53" s="22" t="s">
        <v>73</v>
      </c>
      <c r="H53" s="22" t="s">
        <v>244</v>
      </c>
      <c r="I53" s="22" t="s">
        <v>73</v>
      </c>
      <c r="J53" s="138" t="s">
        <v>2411</v>
      </c>
    </row>
    <row r="54" spans="1:11" ht="15.75" customHeight="1">
      <c r="A54" s="134" t="s">
        <v>2408</v>
      </c>
      <c r="B54" s="134" t="s">
        <v>115</v>
      </c>
      <c r="C54" s="27" t="s">
        <v>71</v>
      </c>
      <c r="D54" s="137">
        <v>44546</v>
      </c>
      <c r="E54" s="22" t="s">
        <v>2348</v>
      </c>
      <c r="F54" s="25"/>
      <c r="G54" s="22" t="s">
        <v>73</v>
      </c>
      <c r="H54" s="22" t="s">
        <v>244</v>
      </c>
      <c r="I54" s="22" t="s">
        <v>73</v>
      </c>
      <c r="J54" s="138" t="s">
        <v>2412</v>
      </c>
    </row>
    <row r="55" spans="1:11" ht="15.75" customHeight="1">
      <c r="A55" s="134" t="s">
        <v>2408</v>
      </c>
      <c r="B55" s="134" t="s">
        <v>123</v>
      </c>
      <c r="C55" s="27" t="s">
        <v>71</v>
      </c>
      <c r="D55" s="137">
        <v>44546</v>
      </c>
      <c r="E55" s="22" t="s">
        <v>2348</v>
      </c>
      <c r="F55" s="25"/>
      <c r="G55" s="22" t="s">
        <v>73</v>
      </c>
      <c r="H55" s="22" t="s">
        <v>244</v>
      </c>
      <c r="I55" s="22" t="s">
        <v>73</v>
      </c>
      <c r="J55" s="138" t="s">
        <v>2413</v>
      </c>
    </row>
    <row r="56" spans="1:11" ht="15.75" customHeight="1">
      <c r="A56" s="134" t="s">
        <v>2408</v>
      </c>
      <c r="B56" s="134" t="s">
        <v>353</v>
      </c>
      <c r="C56" s="27" t="s">
        <v>71</v>
      </c>
      <c r="D56" s="148" t="s">
        <v>2414</v>
      </c>
      <c r="E56" s="25"/>
      <c r="F56" s="25"/>
      <c r="G56" s="22" t="s">
        <v>478</v>
      </c>
      <c r="H56" s="22" t="s">
        <v>350</v>
      </c>
      <c r="I56" s="25"/>
      <c r="J56" s="138" t="s">
        <v>2415</v>
      </c>
    </row>
    <row r="57" spans="1:11" ht="15.75" customHeight="1">
      <c r="A57" s="134" t="s">
        <v>2408</v>
      </c>
      <c r="B57" s="134" t="s">
        <v>360</v>
      </c>
      <c r="C57" s="27" t="s">
        <v>71</v>
      </c>
      <c r="D57" s="148" t="s">
        <v>2416</v>
      </c>
      <c r="E57" s="25"/>
      <c r="F57" s="25"/>
      <c r="G57" s="22" t="s">
        <v>478</v>
      </c>
      <c r="H57" s="22" t="s">
        <v>350</v>
      </c>
      <c r="I57" s="25"/>
      <c r="J57" s="138" t="s">
        <v>2417</v>
      </c>
    </row>
    <row r="58" spans="1:11" ht="15.75" customHeight="1">
      <c r="A58" s="134" t="s">
        <v>2408</v>
      </c>
      <c r="B58" s="134" t="s">
        <v>367</v>
      </c>
      <c r="C58" s="27" t="s">
        <v>71</v>
      </c>
      <c r="D58" s="148"/>
      <c r="E58" s="25"/>
      <c r="F58" s="25"/>
      <c r="G58" s="22" t="s">
        <v>478</v>
      </c>
      <c r="H58" s="22" t="s">
        <v>73</v>
      </c>
      <c r="I58" s="25"/>
      <c r="J58" s="138" t="s">
        <v>2418</v>
      </c>
    </row>
    <row r="59" spans="1:11" ht="15.75" customHeight="1">
      <c r="A59" s="134" t="s">
        <v>2408</v>
      </c>
      <c r="B59" s="134" t="s">
        <v>372</v>
      </c>
      <c r="C59" s="27" t="s">
        <v>71</v>
      </c>
      <c r="D59" s="148"/>
      <c r="E59" s="25"/>
      <c r="F59" s="25"/>
      <c r="G59" s="22" t="s">
        <v>478</v>
      </c>
      <c r="H59" s="22" t="s">
        <v>73</v>
      </c>
      <c r="I59" s="25"/>
      <c r="J59" s="138" t="s">
        <v>2419</v>
      </c>
    </row>
    <row r="60" spans="1:11" ht="15.75" customHeight="1">
      <c r="A60" s="134" t="s">
        <v>2408</v>
      </c>
      <c r="B60" s="134" t="s">
        <v>403</v>
      </c>
      <c r="C60" s="27" t="s">
        <v>71</v>
      </c>
      <c r="D60" s="148"/>
      <c r="E60" s="25"/>
      <c r="F60" s="25"/>
      <c r="G60" s="22" t="s">
        <v>928</v>
      </c>
      <c r="H60" s="22" t="s">
        <v>73</v>
      </c>
      <c r="I60" s="25"/>
      <c r="J60" s="138" t="s">
        <v>2420</v>
      </c>
    </row>
    <row r="61" spans="1:11" ht="15.75" customHeight="1">
      <c r="A61" s="134" t="s">
        <v>2408</v>
      </c>
      <c r="B61" s="134" t="s">
        <v>411</v>
      </c>
      <c r="C61" s="27" t="s">
        <v>71</v>
      </c>
      <c r="D61" s="148"/>
      <c r="E61" s="25"/>
      <c r="F61" s="25"/>
      <c r="G61" s="22" t="s">
        <v>928</v>
      </c>
      <c r="H61" s="22" t="s">
        <v>73</v>
      </c>
      <c r="I61" s="25"/>
      <c r="J61" s="138" t="s">
        <v>2421</v>
      </c>
    </row>
    <row r="62" spans="1:11" ht="15.75" customHeight="1">
      <c r="A62" s="134" t="s">
        <v>2408</v>
      </c>
      <c r="B62" s="134" t="s">
        <v>418</v>
      </c>
      <c r="C62" s="27" t="s">
        <v>71</v>
      </c>
      <c r="D62" s="148"/>
      <c r="E62" s="25"/>
      <c r="F62" s="25"/>
      <c r="G62" s="22" t="s">
        <v>928</v>
      </c>
      <c r="H62" s="22" t="s">
        <v>73</v>
      </c>
      <c r="I62" s="25"/>
      <c r="J62" s="138" t="s">
        <v>2422</v>
      </c>
    </row>
    <row r="63" spans="1:11" ht="15.75" customHeight="1">
      <c r="A63" s="134" t="s">
        <v>2408</v>
      </c>
      <c r="B63" s="134" t="s">
        <v>428</v>
      </c>
      <c r="C63" s="27" t="s">
        <v>71</v>
      </c>
      <c r="D63" s="148"/>
      <c r="E63" s="25"/>
      <c r="F63" s="25"/>
      <c r="G63" s="22" t="s">
        <v>928</v>
      </c>
      <c r="H63" s="22" t="s">
        <v>478</v>
      </c>
      <c r="I63" s="25"/>
      <c r="J63" s="138" t="s">
        <v>2423</v>
      </c>
    </row>
    <row r="64" spans="1:11" ht="15.75" customHeight="1">
      <c r="A64" s="134" t="s">
        <v>2408</v>
      </c>
      <c r="B64" s="134" t="s">
        <v>218</v>
      </c>
      <c r="C64" s="27" t="s">
        <v>71</v>
      </c>
      <c r="D64" s="148"/>
      <c r="E64" s="25"/>
      <c r="F64" s="25"/>
      <c r="G64" s="22" t="s">
        <v>669</v>
      </c>
      <c r="H64" s="22" t="s">
        <v>478</v>
      </c>
      <c r="I64" s="25"/>
      <c r="J64" s="138" t="s">
        <v>2424</v>
      </c>
      <c r="K64" s="22" t="s">
        <v>2425</v>
      </c>
    </row>
    <row r="65" spans="1:11" ht="15.75" customHeight="1">
      <c r="A65" s="134" t="s">
        <v>2408</v>
      </c>
      <c r="B65" s="134" t="s">
        <v>226</v>
      </c>
      <c r="C65" s="27" t="s">
        <v>71</v>
      </c>
      <c r="D65" s="148"/>
      <c r="E65" s="25"/>
      <c r="F65" s="25"/>
      <c r="G65" s="22" t="s">
        <v>669</v>
      </c>
      <c r="H65" s="22" t="s">
        <v>478</v>
      </c>
      <c r="I65" s="25"/>
      <c r="J65" s="138" t="s">
        <v>2426</v>
      </c>
      <c r="K65" s="22" t="s">
        <v>2427</v>
      </c>
    </row>
    <row r="66" spans="1:11" ht="15.75" customHeight="1">
      <c r="A66" s="134" t="s">
        <v>2408</v>
      </c>
      <c r="B66" s="134" t="s">
        <v>234</v>
      </c>
      <c r="C66" s="27" t="s">
        <v>71</v>
      </c>
      <c r="D66" s="148"/>
      <c r="E66" s="25"/>
      <c r="F66" s="25"/>
      <c r="G66" s="22" t="s">
        <v>669</v>
      </c>
      <c r="H66" s="22" t="s">
        <v>478</v>
      </c>
      <c r="I66" s="25"/>
      <c r="J66" s="138" t="s">
        <v>2428</v>
      </c>
      <c r="K66" s="22" t="s">
        <v>2429</v>
      </c>
    </row>
    <row r="67" spans="1:11" ht="15.75" customHeight="1">
      <c r="A67" s="134" t="s">
        <v>2408</v>
      </c>
      <c r="B67" s="134" t="s">
        <v>245</v>
      </c>
      <c r="C67" s="27" t="s">
        <v>71</v>
      </c>
      <c r="D67" s="148"/>
      <c r="E67" s="25"/>
      <c r="F67" s="25"/>
      <c r="G67" s="22" t="s">
        <v>669</v>
      </c>
      <c r="H67" s="22" t="s">
        <v>478</v>
      </c>
      <c r="I67" s="25"/>
      <c r="J67" s="149" t="s">
        <v>2430</v>
      </c>
      <c r="K67" s="22" t="s">
        <v>2431</v>
      </c>
    </row>
    <row r="68" spans="1:11" ht="15.75" customHeight="1">
      <c r="A68" s="134" t="s">
        <v>2408</v>
      </c>
      <c r="B68" s="134" t="s">
        <v>251</v>
      </c>
      <c r="C68" s="27" t="s">
        <v>71</v>
      </c>
      <c r="D68" s="148"/>
      <c r="E68" s="25"/>
      <c r="F68" s="25"/>
      <c r="G68" s="22" t="s">
        <v>669</v>
      </c>
      <c r="H68" s="22" t="s">
        <v>72</v>
      </c>
      <c r="I68" s="25"/>
      <c r="J68" s="138" t="s">
        <v>2432</v>
      </c>
      <c r="K68" s="22" t="s">
        <v>2433</v>
      </c>
    </row>
    <row r="69" spans="1:11" ht="15.75" customHeight="1">
      <c r="A69" s="134" t="s">
        <v>2408</v>
      </c>
      <c r="B69" s="134" t="s">
        <v>285</v>
      </c>
      <c r="C69" s="27" t="s">
        <v>71</v>
      </c>
      <c r="D69" s="148"/>
      <c r="E69" s="25"/>
      <c r="F69" s="25"/>
      <c r="G69" s="22" t="s">
        <v>804</v>
      </c>
      <c r="H69" s="22" t="s">
        <v>72</v>
      </c>
      <c r="I69" s="25"/>
      <c r="J69" s="138" t="s">
        <v>2434</v>
      </c>
    </row>
    <row r="70" spans="1:11" ht="15.75" customHeight="1">
      <c r="A70" s="134" t="s">
        <v>2408</v>
      </c>
      <c r="B70" s="134" t="s">
        <v>290</v>
      </c>
      <c r="C70" s="27" t="s">
        <v>71</v>
      </c>
      <c r="D70" s="148"/>
      <c r="E70" s="25"/>
      <c r="F70" s="25"/>
      <c r="G70" s="22" t="s">
        <v>804</v>
      </c>
      <c r="H70" s="22" t="s">
        <v>72</v>
      </c>
      <c r="I70" s="25"/>
      <c r="J70" s="138"/>
    </row>
    <row r="71" spans="1:11" ht="15.75" customHeight="1">
      <c r="A71" s="134" t="s">
        <v>2408</v>
      </c>
      <c r="B71" s="134" t="s">
        <v>2311</v>
      </c>
      <c r="C71" s="27" t="s">
        <v>71</v>
      </c>
      <c r="D71" s="148"/>
      <c r="E71" s="25"/>
      <c r="F71" s="25"/>
      <c r="G71" s="22" t="s">
        <v>804</v>
      </c>
      <c r="H71" s="22" t="s">
        <v>72</v>
      </c>
      <c r="I71" s="25"/>
      <c r="J71" s="138"/>
    </row>
    <row r="72" spans="1:11" ht="15.75" customHeight="1">
      <c r="A72" s="134" t="s">
        <v>2408</v>
      </c>
      <c r="B72" s="134" t="s">
        <v>304</v>
      </c>
      <c r="C72" s="27" t="s">
        <v>71</v>
      </c>
      <c r="D72" s="148"/>
      <c r="E72" s="25"/>
      <c r="F72" s="25"/>
      <c r="G72" s="22" t="s">
        <v>804</v>
      </c>
      <c r="H72" s="22" t="s">
        <v>72</v>
      </c>
      <c r="I72" s="25"/>
      <c r="J72" s="138"/>
    </row>
    <row r="73" spans="1:11" ht="15.75" customHeight="1">
      <c r="A73" s="134" t="s">
        <v>2408</v>
      </c>
      <c r="B73" s="150" t="s">
        <v>2304</v>
      </c>
      <c r="C73" s="27" t="s">
        <v>2294</v>
      </c>
      <c r="D73" s="148"/>
      <c r="E73" s="25"/>
      <c r="F73" s="25"/>
      <c r="G73" s="22" t="s">
        <v>741</v>
      </c>
      <c r="H73" s="22" t="s">
        <v>804</v>
      </c>
      <c r="I73" s="25"/>
      <c r="J73" s="138" t="s">
        <v>2435</v>
      </c>
    </row>
    <row r="74" spans="1:11" ht="15.75" customHeight="1">
      <c r="A74" s="134" t="s">
        <v>2408</v>
      </c>
      <c r="B74" s="150" t="s">
        <v>498</v>
      </c>
      <c r="C74" s="27" t="s">
        <v>71</v>
      </c>
      <c r="D74" s="148"/>
      <c r="E74" s="25"/>
      <c r="F74" s="25"/>
      <c r="G74" s="22" t="s">
        <v>741</v>
      </c>
      <c r="H74" s="22" t="s">
        <v>804</v>
      </c>
      <c r="I74" s="25"/>
      <c r="J74" s="138" t="s">
        <v>2436</v>
      </c>
    </row>
    <row r="75" spans="1:11" ht="15.75" customHeight="1">
      <c r="A75" s="134" t="s">
        <v>2408</v>
      </c>
      <c r="B75" s="150" t="s">
        <v>504</v>
      </c>
      <c r="C75" s="27" t="s">
        <v>71</v>
      </c>
      <c r="D75" s="148"/>
      <c r="E75" s="25"/>
      <c r="F75" s="25"/>
      <c r="G75" s="22" t="s">
        <v>741</v>
      </c>
      <c r="H75" s="22" t="s">
        <v>804</v>
      </c>
      <c r="I75" s="25"/>
      <c r="J75" s="138" t="s">
        <v>2437</v>
      </c>
    </row>
    <row r="76" spans="1:11" ht="15.75" customHeight="1">
      <c r="A76" s="134" t="s">
        <v>2408</v>
      </c>
      <c r="B76" s="150" t="s">
        <v>508</v>
      </c>
      <c r="C76" s="27" t="s">
        <v>71</v>
      </c>
      <c r="D76" s="137">
        <v>44546</v>
      </c>
      <c r="E76" s="25"/>
      <c r="F76" s="25"/>
      <c r="G76" s="22" t="s">
        <v>741</v>
      </c>
      <c r="H76" s="22" t="s">
        <v>804</v>
      </c>
      <c r="I76" s="25"/>
      <c r="J76" s="138" t="s">
        <v>2438</v>
      </c>
    </row>
    <row r="77" spans="1:11" ht="15.75" customHeight="1">
      <c r="A77" s="134" t="s">
        <v>2408</v>
      </c>
      <c r="B77" s="151" t="s">
        <v>1895</v>
      </c>
      <c r="C77" s="27" t="s">
        <v>71</v>
      </c>
      <c r="D77" s="148" t="s">
        <v>2439</v>
      </c>
      <c r="E77" s="25"/>
      <c r="F77" s="25"/>
      <c r="G77" s="22" t="s">
        <v>741</v>
      </c>
      <c r="H77" s="22" t="s">
        <v>804</v>
      </c>
      <c r="I77" s="25"/>
      <c r="J77" s="138" t="s">
        <v>2440</v>
      </c>
    </row>
    <row r="78" spans="1:11" ht="15.75" customHeight="1">
      <c r="A78" s="134" t="s">
        <v>2441</v>
      </c>
      <c r="B78" s="134" t="s">
        <v>321</v>
      </c>
      <c r="C78" s="27" t="s">
        <v>71</v>
      </c>
      <c r="D78" s="137">
        <v>44539</v>
      </c>
      <c r="E78" s="25"/>
      <c r="F78" s="25"/>
      <c r="G78" s="22" t="s">
        <v>478</v>
      </c>
      <c r="H78" s="22" t="s">
        <v>859</v>
      </c>
      <c r="I78" s="25"/>
      <c r="J78" s="138" t="s">
        <v>2442</v>
      </c>
    </row>
    <row r="79" spans="1:11" ht="15.75" customHeight="1">
      <c r="A79" s="134" t="s">
        <v>2441</v>
      </c>
      <c r="B79" s="134" t="s">
        <v>329</v>
      </c>
      <c r="C79" s="27" t="s">
        <v>71</v>
      </c>
      <c r="D79" s="137">
        <v>44540</v>
      </c>
      <c r="E79" s="25"/>
      <c r="F79" s="25"/>
      <c r="G79" s="22" t="s">
        <v>478</v>
      </c>
      <c r="H79" s="22" t="s">
        <v>859</v>
      </c>
      <c r="I79" s="25"/>
      <c r="J79" s="138" t="s">
        <v>2443</v>
      </c>
    </row>
    <row r="80" spans="1:11" ht="15.75" customHeight="1">
      <c r="A80" s="134" t="s">
        <v>2441</v>
      </c>
      <c r="B80" s="134" t="s">
        <v>335</v>
      </c>
      <c r="C80" s="27" t="s">
        <v>71</v>
      </c>
      <c r="D80" s="137">
        <v>44541</v>
      </c>
      <c r="E80" s="25"/>
      <c r="F80" s="25"/>
      <c r="G80" s="22" t="s">
        <v>478</v>
      </c>
      <c r="H80" s="22" t="s">
        <v>859</v>
      </c>
      <c r="I80" s="25"/>
      <c r="J80" s="138" t="s">
        <v>2444</v>
      </c>
    </row>
    <row r="81" spans="1:11" ht="15.75" customHeight="1">
      <c r="A81" s="134" t="s">
        <v>2441</v>
      </c>
      <c r="B81" s="134" t="s">
        <v>339</v>
      </c>
      <c r="C81" s="27" t="s">
        <v>71</v>
      </c>
      <c r="D81" s="137">
        <v>44542</v>
      </c>
      <c r="E81" s="25"/>
      <c r="F81" s="25"/>
      <c r="G81" s="22" t="s">
        <v>478</v>
      </c>
      <c r="H81" s="22" t="s">
        <v>859</v>
      </c>
      <c r="I81" s="25"/>
      <c r="J81" s="138" t="s">
        <v>2445</v>
      </c>
    </row>
    <row r="82" spans="1:11" ht="15.75" customHeight="1">
      <c r="A82" s="134" t="s">
        <v>2441</v>
      </c>
      <c r="B82" s="134" t="s">
        <v>345</v>
      </c>
      <c r="C82" s="27" t="s">
        <v>71</v>
      </c>
      <c r="D82" s="137">
        <v>44543</v>
      </c>
      <c r="E82" s="25"/>
      <c r="F82" s="25"/>
      <c r="G82" s="22" t="s">
        <v>478</v>
      </c>
      <c r="H82" s="22" t="s">
        <v>859</v>
      </c>
      <c r="I82" s="25"/>
      <c r="J82" s="138" t="s">
        <v>2446</v>
      </c>
    </row>
    <row r="83" spans="1:11" ht="15.75" customHeight="1">
      <c r="A83" s="134" t="s">
        <v>2441</v>
      </c>
      <c r="B83" s="147" t="s">
        <v>134</v>
      </c>
      <c r="C83" s="27" t="s">
        <v>71</v>
      </c>
      <c r="D83" s="137">
        <v>44536</v>
      </c>
      <c r="E83" s="25"/>
      <c r="F83" s="25"/>
      <c r="G83" s="22" t="s">
        <v>73</v>
      </c>
      <c r="H83" s="22" t="s">
        <v>859</v>
      </c>
      <c r="I83" s="25"/>
      <c r="J83" s="138" t="s">
        <v>2447</v>
      </c>
    </row>
    <row r="84" spans="1:11" ht="15.75" customHeight="1">
      <c r="A84" s="134" t="s">
        <v>2441</v>
      </c>
      <c r="B84" s="147" t="s">
        <v>141</v>
      </c>
      <c r="C84" s="27" t="s">
        <v>71</v>
      </c>
      <c r="D84" s="137">
        <v>44536</v>
      </c>
      <c r="E84" s="25"/>
      <c r="F84" s="25"/>
      <c r="G84" s="22" t="s">
        <v>73</v>
      </c>
      <c r="H84" s="22" t="s">
        <v>859</v>
      </c>
      <c r="I84" s="25"/>
      <c r="J84" s="138" t="s">
        <v>2448</v>
      </c>
    </row>
    <row r="85" spans="1:11" ht="15.75" customHeight="1">
      <c r="A85" s="134" t="s">
        <v>2441</v>
      </c>
      <c r="B85" s="147" t="s">
        <v>149</v>
      </c>
      <c r="C85" s="27" t="s">
        <v>71</v>
      </c>
      <c r="D85" s="137">
        <v>44536</v>
      </c>
      <c r="E85" s="25"/>
      <c r="F85" s="25"/>
      <c r="G85" s="22" t="s">
        <v>73</v>
      </c>
      <c r="H85" s="22" t="s">
        <v>669</v>
      </c>
      <c r="I85" s="25"/>
      <c r="J85" s="138" t="s">
        <v>2449</v>
      </c>
    </row>
    <row r="86" spans="1:11" ht="15.75" customHeight="1">
      <c r="A86" s="134" t="s">
        <v>2441</v>
      </c>
      <c r="B86" s="147" t="s">
        <v>158</v>
      </c>
      <c r="C86" s="27" t="s">
        <v>71</v>
      </c>
      <c r="D86" s="137">
        <v>44536</v>
      </c>
      <c r="E86" s="25"/>
      <c r="F86" s="25"/>
      <c r="G86" s="22" t="s">
        <v>73</v>
      </c>
      <c r="H86" s="22" t="s">
        <v>669</v>
      </c>
      <c r="I86" s="25"/>
      <c r="J86" s="145"/>
    </row>
    <row r="87" spans="1:11" ht="15.75" customHeight="1">
      <c r="A87" s="134" t="s">
        <v>2441</v>
      </c>
      <c r="B87" s="146" t="s">
        <v>736</v>
      </c>
      <c r="C87" s="27" t="s">
        <v>71</v>
      </c>
      <c r="D87" s="137">
        <v>44536</v>
      </c>
      <c r="E87" s="25"/>
      <c r="F87" s="25"/>
      <c r="G87" s="22" t="s">
        <v>73</v>
      </c>
      <c r="H87" s="22" t="s">
        <v>669</v>
      </c>
      <c r="I87" s="25"/>
      <c r="J87" s="138" t="s">
        <v>2450</v>
      </c>
    </row>
    <row r="88" spans="1:11" ht="15.75" customHeight="1">
      <c r="A88" s="139" t="s">
        <v>2441</v>
      </c>
      <c r="B88" s="139" t="s">
        <v>1891</v>
      </c>
      <c r="C88" s="140" t="s">
        <v>71</v>
      </c>
      <c r="D88" s="141">
        <v>44536</v>
      </c>
      <c r="E88" s="143"/>
      <c r="F88" s="143"/>
      <c r="G88" s="142" t="s">
        <v>73</v>
      </c>
      <c r="H88" s="142" t="s">
        <v>669</v>
      </c>
      <c r="I88" s="143"/>
      <c r="J88" s="144" t="s">
        <v>2451</v>
      </c>
    </row>
    <row r="89" spans="1:11" ht="15.75" customHeight="1">
      <c r="A89" s="134" t="s">
        <v>2441</v>
      </c>
      <c r="B89" s="152" t="s">
        <v>471</v>
      </c>
      <c r="C89" s="27" t="s">
        <v>71</v>
      </c>
      <c r="D89" s="132"/>
      <c r="E89" s="25"/>
      <c r="F89" s="25"/>
      <c r="G89" s="22" t="s">
        <v>741</v>
      </c>
      <c r="H89" s="22" t="s">
        <v>669</v>
      </c>
      <c r="I89" s="25"/>
      <c r="J89" s="138" t="s">
        <v>2452</v>
      </c>
    </row>
    <row r="90" spans="1:11" ht="15.75" customHeight="1">
      <c r="A90" s="134" t="s">
        <v>2441</v>
      </c>
      <c r="B90" s="152" t="s">
        <v>487</v>
      </c>
      <c r="C90" s="27" t="s">
        <v>71</v>
      </c>
      <c r="D90" s="132"/>
      <c r="E90" s="25"/>
      <c r="F90" s="25"/>
      <c r="G90" s="22" t="s">
        <v>741</v>
      </c>
      <c r="H90" s="22" t="s">
        <v>669</v>
      </c>
      <c r="I90" s="25"/>
      <c r="J90" s="138" t="s">
        <v>2453</v>
      </c>
    </row>
    <row r="91" spans="1:11" ht="15.75" customHeight="1">
      <c r="A91" s="134" t="s">
        <v>2441</v>
      </c>
      <c r="B91" s="152" t="s">
        <v>492</v>
      </c>
      <c r="C91" s="27" t="s">
        <v>71</v>
      </c>
      <c r="D91" s="132"/>
      <c r="E91" s="25"/>
      <c r="F91" s="25"/>
      <c r="G91" s="22" t="s">
        <v>741</v>
      </c>
      <c r="H91" s="22" t="s">
        <v>669</v>
      </c>
      <c r="I91" s="25"/>
      <c r="J91" s="138" t="s">
        <v>2454</v>
      </c>
    </row>
    <row r="92" spans="1:11" ht="15.75" customHeight="1">
      <c r="A92" s="134" t="s">
        <v>2441</v>
      </c>
      <c r="B92" s="147" t="s">
        <v>479</v>
      </c>
      <c r="C92" s="27" t="s">
        <v>71</v>
      </c>
      <c r="D92" s="132"/>
      <c r="E92" s="25"/>
      <c r="F92" s="25"/>
      <c r="G92" s="22" t="s">
        <v>741</v>
      </c>
      <c r="H92" s="22" t="s">
        <v>928</v>
      </c>
      <c r="I92" s="25"/>
      <c r="J92" s="145"/>
    </row>
    <row r="93" spans="1:11" ht="15.75" customHeight="1">
      <c r="A93" s="134" t="s">
        <v>2441</v>
      </c>
      <c r="B93" s="147" t="s">
        <v>483</v>
      </c>
      <c r="C93" s="27" t="s">
        <v>71</v>
      </c>
      <c r="D93" s="132"/>
      <c r="E93" s="25"/>
      <c r="F93" s="25"/>
      <c r="G93" s="22" t="s">
        <v>741</v>
      </c>
      <c r="H93" s="22" t="s">
        <v>928</v>
      </c>
      <c r="I93" s="25"/>
      <c r="J93" s="145"/>
    </row>
    <row r="94" spans="1:11" ht="15.75" customHeight="1">
      <c r="A94" s="134" t="s">
        <v>2441</v>
      </c>
      <c r="B94" s="134" t="s">
        <v>166</v>
      </c>
      <c r="C94" s="27" t="s">
        <v>71</v>
      </c>
      <c r="D94" s="132"/>
      <c r="E94" s="132"/>
      <c r="F94" s="132"/>
      <c r="G94" s="27" t="s">
        <v>669</v>
      </c>
      <c r="H94" s="22" t="s">
        <v>928</v>
      </c>
      <c r="I94" s="153"/>
      <c r="J94" s="138" t="s">
        <v>2455</v>
      </c>
      <c r="K94" s="22" t="s">
        <v>2456</v>
      </c>
    </row>
    <row r="95" spans="1:11" ht="15.75" customHeight="1">
      <c r="A95" s="134" t="s">
        <v>2441</v>
      </c>
      <c r="B95" s="134" t="s">
        <v>179</v>
      </c>
      <c r="C95" s="27" t="s">
        <v>71</v>
      </c>
      <c r="D95" s="132"/>
      <c r="E95" s="132"/>
      <c r="F95" s="132"/>
      <c r="G95" s="27" t="s">
        <v>669</v>
      </c>
      <c r="H95" s="22" t="s">
        <v>928</v>
      </c>
      <c r="I95" s="153"/>
      <c r="J95" s="138" t="s">
        <v>2457</v>
      </c>
      <c r="K95" s="22" t="s">
        <v>2458</v>
      </c>
    </row>
    <row r="96" spans="1:11" ht="15.75" customHeight="1">
      <c r="A96" s="134" t="s">
        <v>2441</v>
      </c>
      <c r="B96" s="134" t="s">
        <v>189</v>
      </c>
      <c r="C96" s="27" t="s">
        <v>71</v>
      </c>
      <c r="D96" s="132"/>
      <c r="E96" s="132"/>
      <c r="F96" s="132"/>
      <c r="G96" s="27" t="s">
        <v>669</v>
      </c>
      <c r="H96" s="22" t="s">
        <v>928</v>
      </c>
      <c r="I96" s="153"/>
      <c r="J96" s="138" t="s">
        <v>2459</v>
      </c>
      <c r="K96" s="22" t="s">
        <v>2460</v>
      </c>
    </row>
    <row r="97" spans="1:16" ht="15.75" customHeight="1">
      <c r="A97" s="134" t="s">
        <v>2441</v>
      </c>
      <c r="B97" s="146" t="s">
        <v>1885</v>
      </c>
      <c r="C97" s="27" t="s">
        <v>71</v>
      </c>
      <c r="D97" s="137">
        <v>44547</v>
      </c>
      <c r="E97" s="132"/>
      <c r="F97" s="132"/>
      <c r="G97" s="27" t="s">
        <v>669</v>
      </c>
      <c r="H97" s="22" t="s">
        <v>928</v>
      </c>
      <c r="I97" s="153"/>
      <c r="J97" s="138" t="s">
        <v>2461</v>
      </c>
      <c r="K97" s="22" t="s">
        <v>2462</v>
      </c>
    </row>
    <row r="98" spans="1:16" ht="15.75" customHeight="1">
      <c r="A98" s="134" t="s">
        <v>2441</v>
      </c>
      <c r="B98" s="135" t="s">
        <v>210</v>
      </c>
      <c r="C98" s="27" t="s">
        <v>71</v>
      </c>
      <c r="D98" s="132"/>
      <c r="E98" s="132"/>
      <c r="F98" s="132"/>
      <c r="G98" s="27" t="s">
        <v>669</v>
      </c>
      <c r="H98" s="27" t="s">
        <v>741</v>
      </c>
      <c r="I98" s="153"/>
      <c r="J98" s="145"/>
    </row>
    <row r="99" spans="1:16" ht="15.75" customHeight="1">
      <c r="A99" s="134" t="s">
        <v>2441</v>
      </c>
      <c r="B99" s="134" t="s">
        <v>266</v>
      </c>
      <c r="C99" s="27" t="s">
        <v>71</v>
      </c>
      <c r="D99" s="132"/>
      <c r="E99" s="132"/>
      <c r="F99" s="132"/>
      <c r="G99" s="27" t="s">
        <v>804</v>
      </c>
      <c r="H99" s="27" t="s">
        <v>741</v>
      </c>
      <c r="I99" s="153"/>
      <c r="J99" s="145"/>
    </row>
    <row r="100" spans="1:16" ht="15.75" customHeight="1">
      <c r="A100" s="134" t="s">
        <v>2441</v>
      </c>
      <c r="B100" s="134" t="s">
        <v>280</v>
      </c>
      <c r="C100" s="27" t="s">
        <v>71</v>
      </c>
      <c r="D100" s="132"/>
      <c r="E100" s="132"/>
      <c r="F100" s="132"/>
      <c r="G100" s="27" t="s">
        <v>804</v>
      </c>
      <c r="H100" s="27" t="s">
        <v>741</v>
      </c>
      <c r="I100" s="153"/>
      <c r="J100" s="138" t="s">
        <v>2463</v>
      </c>
      <c r="K100" s="22" t="s">
        <v>2464</v>
      </c>
    </row>
    <row r="101" spans="1:16" ht="15.75" customHeight="1">
      <c r="A101" s="134" t="s">
        <v>2441</v>
      </c>
      <c r="B101" s="134" t="s">
        <v>273</v>
      </c>
      <c r="C101" s="27" t="s">
        <v>71</v>
      </c>
      <c r="D101" s="132"/>
      <c r="E101" s="132"/>
      <c r="F101" s="132"/>
      <c r="G101" s="27" t="s">
        <v>804</v>
      </c>
      <c r="H101" s="27" t="s">
        <v>741</v>
      </c>
      <c r="I101" s="153"/>
      <c r="J101" s="145"/>
    </row>
    <row r="102" spans="1:16" ht="15.75" customHeight="1">
      <c r="A102" s="134" t="s">
        <v>2441</v>
      </c>
      <c r="B102" s="134" t="s">
        <v>258</v>
      </c>
      <c r="C102" s="27" t="s">
        <v>71</v>
      </c>
      <c r="D102" s="132"/>
      <c r="E102" s="132"/>
      <c r="F102" s="132"/>
      <c r="G102" s="27" t="s">
        <v>804</v>
      </c>
      <c r="H102" s="27" t="s">
        <v>741</v>
      </c>
      <c r="I102" s="153"/>
      <c r="J102" s="145"/>
    </row>
    <row r="103" spans="1:16" ht="15.75" customHeight="1">
      <c r="A103" s="134" t="s">
        <v>2441</v>
      </c>
      <c r="B103" s="135" t="s">
        <v>395</v>
      </c>
      <c r="C103" s="27" t="s">
        <v>71</v>
      </c>
      <c r="D103" s="132"/>
      <c r="E103" s="25"/>
      <c r="F103" s="25"/>
      <c r="G103" s="22" t="s">
        <v>928</v>
      </c>
      <c r="H103" s="27" t="s">
        <v>741</v>
      </c>
      <c r="I103" s="25"/>
      <c r="J103" s="145"/>
    </row>
    <row r="104" spans="1:16" ht="15.75" customHeight="1">
      <c r="A104" s="134" t="s">
        <v>2441</v>
      </c>
      <c r="B104" s="134" t="s">
        <v>385</v>
      </c>
      <c r="C104" s="27" t="s">
        <v>71</v>
      </c>
      <c r="D104" s="132"/>
      <c r="E104" s="25"/>
      <c r="F104" s="25"/>
      <c r="G104" s="22" t="s">
        <v>928</v>
      </c>
      <c r="H104" s="27" t="s">
        <v>741</v>
      </c>
      <c r="I104" s="25"/>
      <c r="J104" s="145"/>
    </row>
    <row r="105" spans="1:16" ht="15.75" customHeight="1">
      <c r="A105" s="134" t="s">
        <v>2465</v>
      </c>
      <c r="B105" s="134" t="s">
        <v>1083</v>
      </c>
      <c r="C105" s="27" t="s">
        <v>71</v>
      </c>
      <c r="D105" s="154">
        <v>44538</v>
      </c>
      <c r="E105" s="25"/>
      <c r="F105" s="25"/>
      <c r="G105" s="22" t="s">
        <v>478</v>
      </c>
      <c r="H105" s="22" t="s">
        <v>741</v>
      </c>
      <c r="I105" s="25"/>
      <c r="J105" s="145"/>
    </row>
    <row r="106" spans="1:16" ht="15.75" customHeight="1">
      <c r="A106" s="134" t="s">
        <v>2465</v>
      </c>
      <c r="B106" s="134" t="s">
        <v>1091</v>
      </c>
      <c r="C106" s="27" t="s">
        <v>71</v>
      </c>
      <c r="D106" s="154">
        <v>44539</v>
      </c>
      <c r="E106" s="25"/>
      <c r="F106" s="25"/>
      <c r="G106" s="22" t="s">
        <v>478</v>
      </c>
      <c r="H106" s="22" t="s">
        <v>741</v>
      </c>
      <c r="I106" s="25"/>
      <c r="J106" s="145"/>
    </row>
    <row r="107" spans="1:16" ht="15.75" customHeight="1">
      <c r="A107" s="134" t="s">
        <v>2465</v>
      </c>
      <c r="B107" s="135" t="s">
        <v>1829</v>
      </c>
      <c r="C107" s="27" t="s">
        <v>71</v>
      </c>
      <c r="D107" s="154">
        <v>44538</v>
      </c>
      <c r="E107" s="25"/>
      <c r="F107" s="25"/>
      <c r="G107" s="22" t="s">
        <v>478</v>
      </c>
      <c r="H107" s="22" t="s">
        <v>741</v>
      </c>
      <c r="I107" s="25"/>
      <c r="J107" s="145"/>
    </row>
    <row r="108" spans="1:16" ht="15.75" customHeight="1">
      <c r="A108" s="134" t="s">
        <v>2465</v>
      </c>
      <c r="B108" s="134" t="s">
        <v>1105</v>
      </c>
      <c r="C108" s="27" t="s">
        <v>71</v>
      </c>
      <c r="D108" s="154">
        <v>44537</v>
      </c>
      <c r="E108" s="25"/>
      <c r="F108" s="25"/>
      <c r="G108" s="22" t="s">
        <v>478</v>
      </c>
      <c r="H108" s="22" t="s">
        <v>72</v>
      </c>
      <c r="I108" s="25"/>
      <c r="J108" s="145"/>
    </row>
    <row r="109" spans="1:16" ht="15.75" customHeight="1">
      <c r="A109" s="134" t="s">
        <v>2465</v>
      </c>
      <c r="B109" s="134" t="s">
        <v>1113</v>
      </c>
      <c r="C109" s="27" t="s">
        <v>71</v>
      </c>
      <c r="D109" s="154">
        <v>44538</v>
      </c>
      <c r="E109" s="25"/>
      <c r="F109" s="25"/>
      <c r="G109" s="22" t="s">
        <v>478</v>
      </c>
      <c r="H109" s="22" t="s">
        <v>72</v>
      </c>
      <c r="I109" s="25"/>
      <c r="J109" s="145"/>
    </row>
    <row r="110" spans="1:16" ht="15.75" customHeight="1">
      <c r="A110" s="134" t="s">
        <v>2465</v>
      </c>
      <c r="B110" s="134" t="s">
        <v>1120</v>
      </c>
      <c r="C110" s="27" t="s">
        <v>71</v>
      </c>
      <c r="D110" s="154">
        <v>44539</v>
      </c>
      <c r="E110" s="25"/>
      <c r="F110" s="25"/>
      <c r="G110" s="22" t="s">
        <v>478</v>
      </c>
      <c r="H110" s="22" t="s">
        <v>72</v>
      </c>
      <c r="I110" s="25"/>
      <c r="J110" s="145"/>
    </row>
    <row r="111" spans="1:16" ht="15.75" customHeight="1">
      <c r="A111" s="134" t="s">
        <v>2466</v>
      </c>
      <c r="B111" s="155" t="s">
        <v>1053</v>
      </c>
      <c r="C111" s="27" t="s">
        <v>71</v>
      </c>
      <c r="D111" s="137">
        <v>44524</v>
      </c>
      <c r="E111" s="132"/>
      <c r="F111" s="132"/>
      <c r="G111" s="27" t="s">
        <v>478</v>
      </c>
      <c r="H111" s="27" t="s">
        <v>741</v>
      </c>
      <c r="I111" s="153"/>
      <c r="J111" s="145"/>
      <c r="N111" s="132"/>
      <c r="O111" s="132"/>
      <c r="P111" s="132"/>
    </row>
    <row r="112" spans="1:16" ht="15.75" customHeight="1">
      <c r="A112" s="134" t="s">
        <v>2466</v>
      </c>
      <c r="B112" s="156" t="s">
        <v>1059</v>
      </c>
      <c r="C112" s="27" t="s">
        <v>71</v>
      </c>
      <c r="D112" s="148"/>
      <c r="E112" s="132"/>
      <c r="F112" s="132"/>
      <c r="G112" s="27" t="s">
        <v>478</v>
      </c>
      <c r="H112" s="27" t="s">
        <v>741</v>
      </c>
      <c r="I112" s="153"/>
      <c r="J112" s="145"/>
    </row>
    <row r="113" spans="1:10" ht="15.75" customHeight="1">
      <c r="A113" s="134" t="s">
        <v>2466</v>
      </c>
      <c r="B113" s="156" t="s">
        <v>1816</v>
      </c>
      <c r="C113" s="27" t="s">
        <v>71</v>
      </c>
      <c r="D113" s="148"/>
      <c r="E113" s="132"/>
      <c r="F113" s="132"/>
      <c r="G113" s="27" t="s">
        <v>478</v>
      </c>
      <c r="H113" s="27" t="s">
        <v>741</v>
      </c>
      <c r="I113" s="153"/>
      <c r="J113" s="145"/>
    </row>
    <row r="114" spans="1:10" ht="15.75" customHeight="1">
      <c r="A114" s="134" t="s">
        <v>2466</v>
      </c>
      <c r="B114" s="155" t="s">
        <v>1822</v>
      </c>
      <c r="C114" s="27" t="s">
        <v>71</v>
      </c>
      <c r="D114" s="137">
        <v>44524</v>
      </c>
      <c r="E114" s="132"/>
      <c r="F114" s="132"/>
      <c r="G114" s="27" t="s">
        <v>478</v>
      </c>
      <c r="H114" s="27" t="s">
        <v>741</v>
      </c>
      <c r="I114" s="153"/>
      <c r="J114" s="145"/>
    </row>
    <row r="115" spans="1:10" ht="15.75" customHeight="1">
      <c r="A115" s="134" t="s">
        <v>2466</v>
      </c>
      <c r="B115" s="155" t="s">
        <v>1065</v>
      </c>
      <c r="C115" s="27" t="s">
        <v>71</v>
      </c>
      <c r="D115" s="132"/>
      <c r="E115" s="132"/>
      <c r="F115" s="132"/>
      <c r="G115" s="27" t="s">
        <v>478</v>
      </c>
      <c r="H115" s="27" t="s">
        <v>741</v>
      </c>
      <c r="I115" s="153"/>
      <c r="J115" s="157" t="s">
        <v>2467</v>
      </c>
    </row>
    <row r="116" spans="1:10" ht="15.75" customHeight="1">
      <c r="A116" s="134" t="s">
        <v>2466</v>
      </c>
      <c r="B116" s="156" t="s">
        <v>1071</v>
      </c>
      <c r="C116" s="27" t="s">
        <v>71</v>
      </c>
      <c r="D116" s="148"/>
      <c r="E116" s="132"/>
      <c r="F116" s="132"/>
      <c r="G116" s="27" t="s">
        <v>478</v>
      </c>
      <c r="H116" s="27" t="s">
        <v>741</v>
      </c>
      <c r="I116" s="153"/>
      <c r="J116" s="145"/>
    </row>
    <row r="117" spans="1:10" ht="15.75" customHeight="1">
      <c r="A117" s="134" t="s">
        <v>2466</v>
      </c>
      <c r="B117" s="156" t="s">
        <v>1077</v>
      </c>
      <c r="C117" s="27" t="s">
        <v>71</v>
      </c>
      <c r="D117" s="148"/>
      <c r="E117" s="132"/>
      <c r="F117" s="132"/>
      <c r="G117" s="27" t="s">
        <v>478</v>
      </c>
      <c r="H117" s="27" t="s">
        <v>741</v>
      </c>
      <c r="I117" s="153"/>
      <c r="J117" s="145"/>
    </row>
    <row r="118" spans="1:10" ht="15.75" customHeight="1">
      <c r="A118" s="134" t="s">
        <v>2466</v>
      </c>
      <c r="B118" s="156" t="s">
        <v>914</v>
      </c>
      <c r="C118" s="27" t="s">
        <v>71</v>
      </c>
      <c r="D118" s="148"/>
      <c r="E118" s="148" t="s">
        <v>2348</v>
      </c>
      <c r="F118" s="132"/>
      <c r="G118" s="27" t="s">
        <v>928</v>
      </c>
      <c r="H118" s="27" t="s">
        <v>741</v>
      </c>
      <c r="I118" s="27" t="s">
        <v>669</v>
      </c>
      <c r="J118" s="145"/>
    </row>
    <row r="119" spans="1:10" ht="15.75" customHeight="1">
      <c r="A119" s="134" t="s">
        <v>2466</v>
      </c>
      <c r="B119" s="156" t="s">
        <v>929</v>
      </c>
      <c r="C119" s="27" t="s">
        <v>71</v>
      </c>
      <c r="D119" s="148"/>
      <c r="E119" s="148" t="s">
        <v>2468</v>
      </c>
      <c r="F119" s="132"/>
      <c r="G119" s="27" t="s">
        <v>928</v>
      </c>
      <c r="H119" s="27" t="s">
        <v>741</v>
      </c>
      <c r="I119" s="153"/>
      <c r="J119" s="145"/>
    </row>
    <row r="120" spans="1:10" ht="15.75" customHeight="1">
      <c r="A120" s="134" t="s">
        <v>2466</v>
      </c>
      <c r="B120" s="156" t="s">
        <v>944</v>
      </c>
      <c r="C120" s="27" t="s">
        <v>71</v>
      </c>
      <c r="D120" s="148"/>
      <c r="E120" s="148" t="s">
        <v>2468</v>
      </c>
      <c r="F120" s="132"/>
      <c r="G120" s="27" t="s">
        <v>928</v>
      </c>
      <c r="H120" s="27" t="s">
        <v>741</v>
      </c>
      <c r="I120" s="153"/>
      <c r="J120" s="145"/>
    </row>
    <row r="121" spans="1:10" ht="15.75" customHeight="1">
      <c r="A121" s="134" t="s">
        <v>2466</v>
      </c>
      <c r="B121" s="156" t="s">
        <v>948</v>
      </c>
      <c r="C121" s="27" t="s">
        <v>71</v>
      </c>
      <c r="D121" s="148"/>
      <c r="E121" s="148" t="s">
        <v>2468</v>
      </c>
      <c r="F121" s="132"/>
      <c r="G121" s="27" t="s">
        <v>928</v>
      </c>
      <c r="H121" s="27" t="s">
        <v>741</v>
      </c>
      <c r="I121" s="153"/>
      <c r="J121" s="138"/>
    </row>
    <row r="122" spans="1:10" ht="15.75" customHeight="1">
      <c r="A122" s="134" t="s">
        <v>2466</v>
      </c>
      <c r="B122" s="156" t="s">
        <v>955</v>
      </c>
      <c r="C122" s="27" t="s">
        <v>71</v>
      </c>
      <c r="D122" s="148"/>
      <c r="E122" s="148" t="s">
        <v>2468</v>
      </c>
      <c r="F122" s="132"/>
      <c r="G122" s="27" t="s">
        <v>928</v>
      </c>
      <c r="H122" s="27" t="s">
        <v>741</v>
      </c>
      <c r="I122" s="153"/>
      <c r="J122" s="145"/>
    </row>
    <row r="123" spans="1:10" ht="15.75" customHeight="1">
      <c r="A123" s="134" t="s">
        <v>2466</v>
      </c>
      <c r="B123" s="156" t="s">
        <v>1266</v>
      </c>
      <c r="C123" s="27" t="s">
        <v>71</v>
      </c>
      <c r="D123" s="148"/>
      <c r="E123" s="132"/>
      <c r="F123" s="132"/>
      <c r="G123" s="27" t="s">
        <v>741</v>
      </c>
      <c r="H123" s="27" t="s">
        <v>804</v>
      </c>
      <c r="I123" s="153"/>
      <c r="J123" s="145"/>
    </row>
    <row r="124" spans="1:10" ht="15.75" customHeight="1">
      <c r="A124" s="134" t="s">
        <v>2466</v>
      </c>
      <c r="B124" s="156" t="s">
        <v>1271</v>
      </c>
      <c r="C124" s="27" t="s">
        <v>71</v>
      </c>
      <c r="D124" s="148"/>
      <c r="E124" s="132"/>
      <c r="F124" s="132"/>
      <c r="G124" s="27" t="s">
        <v>741</v>
      </c>
      <c r="H124" s="27" t="s">
        <v>804</v>
      </c>
      <c r="I124" s="153"/>
      <c r="J124" s="145"/>
    </row>
    <row r="125" spans="1:10" ht="15.75" customHeight="1">
      <c r="A125" s="134" t="s">
        <v>2466</v>
      </c>
      <c r="B125" s="156" t="s">
        <v>1275</v>
      </c>
      <c r="C125" s="27" t="s">
        <v>71</v>
      </c>
      <c r="D125" s="148"/>
      <c r="E125" s="132"/>
      <c r="F125" s="132"/>
      <c r="G125" s="27" t="s">
        <v>741</v>
      </c>
      <c r="H125" s="27" t="s">
        <v>804</v>
      </c>
      <c r="I125" s="153"/>
      <c r="J125" s="145"/>
    </row>
    <row r="126" spans="1:10" ht="15.75" customHeight="1">
      <c r="A126" s="134" t="s">
        <v>2466</v>
      </c>
      <c r="B126" s="156" t="s">
        <v>1286</v>
      </c>
      <c r="C126" s="27" t="s">
        <v>71</v>
      </c>
      <c r="D126" s="148"/>
      <c r="E126" s="132"/>
      <c r="F126" s="132"/>
      <c r="G126" s="27" t="s">
        <v>741</v>
      </c>
      <c r="H126" s="27" t="s">
        <v>804</v>
      </c>
      <c r="I126" s="153"/>
      <c r="J126" s="145"/>
    </row>
    <row r="127" spans="1:10" ht="15.75" customHeight="1">
      <c r="A127" s="134" t="s">
        <v>2466</v>
      </c>
      <c r="B127" s="156" t="s">
        <v>1291</v>
      </c>
      <c r="C127" s="27" t="s">
        <v>71</v>
      </c>
      <c r="D127" s="148"/>
      <c r="E127" s="132"/>
      <c r="F127" s="132"/>
      <c r="G127" s="27" t="s">
        <v>741</v>
      </c>
      <c r="H127" s="27" t="s">
        <v>804</v>
      </c>
      <c r="I127" s="153"/>
      <c r="J127" s="145"/>
    </row>
    <row r="128" spans="1:10" ht="15.75" customHeight="1">
      <c r="A128" s="134" t="s">
        <v>2466</v>
      </c>
      <c r="B128" s="156" t="s">
        <v>1295</v>
      </c>
      <c r="C128" s="27" t="s">
        <v>71</v>
      </c>
      <c r="D128" s="148"/>
      <c r="E128" s="132"/>
      <c r="F128" s="132"/>
      <c r="G128" s="27" t="s">
        <v>741</v>
      </c>
      <c r="H128" s="27" t="s">
        <v>804</v>
      </c>
      <c r="I128" s="153"/>
      <c r="J128" s="145"/>
    </row>
    <row r="129" spans="1:11" ht="15.75" customHeight="1">
      <c r="A129" s="134" t="s">
        <v>2466</v>
      </c>
      <c r="B129" s="156" t="s">
        <v>798</v>
      </c>
      <c r="C129" s="27" t="s">
        <v>71</v>
      </c>
      <c r="D129" s="137">
        <v>44517</v>
      </c>
      <c r="E129" s="132"/>
      <c r="F129" s="132"/>
      <c r="G129" s="27" t="s">
        <v>73</v>
      </c>
      <c r="H129" s="27" t="s">
        <v>741</v>
      </c>
      <c r="I129" s="153"/>
      <c r="J129" s="145"/>
    </row>
    <row r="130" spans="1:11" ht="15.75" customHeight="1">
      <c r="A130" s="134" t="s">
        <v>2466</v>
      </c>
      <c r="B130" s="156" t="s">
        <v>805</v>
      </c>
      <c r="C130" s="27" t="s">
        <v>71</v>
      </c>
      <c r="D130" s="137">
        <v>44517</v>
      </c>
      <c r="E130" s="132"/>
      <c r="F130" s="132"/>
      <c r="G130" s="27" t="s">
        <v>73</v>
      </c>
      <c r="H130" s="27" t="s">
        <v>741</v>
      </c>
      <c r="I130" s="153"/>
      <c r="J130" s="145"/>
    </row>
    <row r="131" spans="1:11" ht="15.75" customHeight="1">
      <c r="A131" s="134" t="s">
        <v>2466</v>
      </c>
      <c r="B131" s="156" t="s">
        <v>815</v>
      </c>
      <c r="C131" s="27" t="s">
        <v>71</v>
      </c>
      <c r="D131" s="137">
        <v>44517</v>
      </c>
      <c r="E131" s="132"/>
      <c r="F131" s="132"/>
      <c r="G131" s="27" t="s">
        <v>73</v>
      </c>
      <c r="H131" s="27" t="s">
        <v>741</v>
      </c>
      <c r="I131" s="153"/>
      <c r="J131" s="145"/>
    </row>
    <row r="132" spans="1:11" ht="15.75" customHeight="1">
      <c r="A132" s="134" t="s">
        <v>2466</v>
      </c>
      <c r="B132" s="156" t="s">
        <v>820</v>
      </c>
      <c r="C132" s="27" t="s">
        <v>71</v>
      </c>
      <c r="D132" s="137">
        <v>44517</v>
      </c>
      <c r="E132" s="132"/>
      <c r="F132" s="132"/>
      <c r="G132" s="27" t="s">
        <v>73</v>
      </c>
      <c r="H132" s="27" t="s">
        <v>741</v>
      </c>
      <c r="I132" s="153"/>
      <c r="J132" s="145"/>
    </row>
    <row r="133" spans="1:11" ht="15.75" customHeight="1">
      <c r="A133" s="134" t="s">
        <v>2466</v>
      </c>
      <c r="B133" s="156" t="s">
        <v>868</v>
      </c>
      <c r="C133" s="27" t="s">
        <v>71</v>
      </c>
      <c r="D133" s="137">
        <v>44517</v>
      </c>
      <c r="E133" s="132"/>
      <c r="F133" s="132"/>
      <c r="G133" s="27" t="s">
        <v>73</v>
      </c>
      <c r="H133" s="27" t="s">
        <v>741</v>
      </c>
      <c r="I133" s="153"/>
      <c r="J133" s="145"/>
    </row>
    <row r="134" spans="1:11" ht="15.75" customHeight="1">
      <c r="A134" s="156" t="s">
        <v>2469</v>
      </c>
      <c r="B134" s="156" t="s">
        <v>1033</v>
      </c>
      <c r="C134" s="27" t="s">
        <v>71</v>
      </c>
      <c r="D134" s="148"/>
      <c r="E134" s="132"/>
      <c r="F134" s="132"/>
      <c r="G134" s="27" t="s">
        <v>478</v>
      </c>
      <c r="H134" s="27" t="s">
        <v>859</v>
      </c>
      <c r="I134" s="153"/>
      <c r="J134" s="138" t="s">
        <v>2470</v>
      </c>
    </row>
    <row r="135" spans="1:11" ht="15.75" customHeight="1">
      <c r="A135" s="156" t="s">
        <v>2469</v>
      </c>
      <c r="B135" s="158" t="s">
        <v>1038</v>
      </c>
      <c r="C135" s="27" t="s">
        <v>2283</v>
      </c>
      <c r="D135" s="148"/>
      <c r="E135" s="132"/>
      <c r="F135" s="132"/>
      <c r="G135" s="27" t="s">
        <v>478</v>
      </c>
      <c r="H135" s="27" t="s">
        <v>859</v>
      </c>
      <c r="I135" s="153"/>
      <c r="J135" s="145"/>
      <c r="K135" s="22" t="s">
        <v>2471</v>
      </c>
    </row>
    <row r="136" spans="1:11" ht="15.75" customHeight="1">
      <c r="A136" s="156" t="s">
        <v>2469</v>
      </c>
      <c r="B136" s="158" t="s">
        <v>1043</v>
      </c>
      <c r="C136" s="27" t="s">
        <v>2283</v>
      </c>
      <c r="D136" s="148"/>
      <c r="E136" s="132"/>
      <c r="F136" s="132"/>
      <c r="G136" s="27" t="s">
        <v>478</v>
      </c>
      <c r="H136" s="27" t="s">
        <v>859</v>
      </c>
      <c r="I136" s="153"/>
      <c r="J136" s="145"/>
      <c r="K136" s="22" t="s">
        <v>2471</v>
      </c>
    </row>
    <row r="137" spans="1:11" ht="15.75" customHeight="1">
      <c r="A137" s="156" t="s">
        <v>2469</v>
      </c>
      <c r="B137" s="159" t="s">
        <v>1048</v>
      </c>
      <c r="C137" s="27" t="s">
        <v>71</v>
      </c>
      <c r="D137" s="148"/>
      <c r="E137" s="132"/>
      <c r="F137" s="132"/>
      <c r="G137" s="27" t="s">
        <v>478</v>
      </c>
      <c r="H137" s="27" t="s">
        <v>859</v>
      </c>
      <c r="I137" s="153"/>
      <c r="J137" s="145"/>
    </row>
    <row r="138" spans="1:11" ht="15.75" customHeight="1">
      <c r="A138" s="156" t="s">
        <v>2469</v>
      </c>
      <c r="B138" s="160" t="s">
        <v>1811</v>
      </c>
      <c r="C138" s="27" t="s">
        <v>2283</v>
      </c>
      <c r="D138" s="148"/>
      <c r="E138" s="132"/>
      <c r="F138" s="132"/>
      <c r="G138" s="27" t="s">
        <v>478</v>
      </c>
      <c r="H138" s="27" t="s">
        <v>859</v>
      </c>
      <c r="I138" s="153"/>
      <c r="J138" s="145"/>
      <c r="K138" s="22" t="s">
        <v>2471</v>
      </c>
    </row>
    <row r="139" spans="1:11" ht="15.75" customHeight="1">
      <c r="A139" s="156" t="s">
        <v>2469</v>
      </c>
      <c r="B139" s="27" t="s">
        <v>1861</v>
      </c>
      <c r="C139" s="27" t="s">
        <v>71</v>
      </c>
      <c r="D139" s="148"/>
      <c r="E139" s="148" t="s">
        <v>2472</v>
      </c>
      <c r="F139" s="132"/>
      <c r="G139" s="27" t="s">
        <v>928</v>
      </c>
      <c r="H139" s="27" t="s">
        <v>859</v>
      </c>
      <c r="I139" s="27" t="s">
        <v>928</v>
      </c>
      <c r="J139" s="145"/>
    </row>
    <row r="140" spans="1:11" ht="15.75" customHeight="1">
      <c r="A140" s="156" t="s">
        <v>2469</v>
      </c>
      <c r="B140" s="27" t="s">
        <v>1835</v>
      </c>
      <c r="C140" s="27" t="s">
        <v>71</v>
      </c>
      <c r="D140" s="148"/>
      <c r="E140" s="148" t="s">
        <v>2472</v>
      </c>
      <c r="F140" s="132"/>
      <c r="G140" s="27" t="s">
        <v>928</v>
      </c>
      <c r="H140" s="27" t="s">
        <v>859</v>
      </c>
      <c r="I140" s="27" t="s">
        <v>928</v>
      </c>
      <c r="J140" s="145"/>
    </row>
    <row r="141" spans="1:11" ht="15.75" customHeight="1">
      <c r="A141" s="156" t="s">
        <v>2469</v>
      </c>
      <c r="B141" s="27" t="s">
        <v>1840</v>
      </c>
      <c r="C141" s="27" t="s">
        <v>71</v>
      </c>
      <c r="D141" s="148"/>
      <c r="E141" s="148" t="s">
        <v>2348</v>
      </c>
      <c r="F141" s="132"/>
      <c r="G141" s="27" t="s">
        <v>928</v>
      </c>
      <c r="H141" s="27" t="s">
        <v>859</v>
      </c>
      <c r="I141" s="27" t="s">
        <v>928</v>
      </c>
      <c r="J141" s="145"/>
    </row>
    <row r="142" spans="1:11" ht="15.75" customHeight="1">
      <c r="A142" s="156" t="s">
        <v>2469</v>
      </c>
      <c r="B142" s="161" t="s">
        <v>933</v>
      </c>
      <c r="C142" s="27" t="s">
        <v>71</v>
      </c>
      <c r="D142" s="137">
        <v>44526</v>
      </c>
      <c r="E142" s="148" t="s">
        <v>2472</v>
      </c>
      <c r="F142" s="132"/>
      <c r="G142" s="27" t="s">
        <v>928</v>
      </c>
      <c r="H142" s="27" t="s">
        <v>859</v>
      </c>
      <c r="I142" s="27" t="s">
        <v>928</v>
      </c>
      <c r="J142" s="145"/>
    </row>
    <row r="143" spans="1:11" ht="15.75" customHeight="1">
      <c r="A143" s="156" t="s">
        <v>2469</v>
      </c>
      <c r="B143" s="156" t="s">
        <v>1856</v>
      </c>
      <c r="C143" s="27" t="s">
        <v>71</v>
      </c>
      <c r="D143" s="137">
        <v>44526</v>
      </c>
      <c r="E143" s="148" t="s">
        <v>2472</v>
      </c>
      <c r="F143" s="132"/>
      <c r="G143" s="27" t="s">
        <v>669</v>
      </c>
      <c r="H143" s="27" t="s">
        <v>859</v>
      </c>
      <c r="I143" s="27" t="s">
        <v>669</v>
      </c>
      <c r="J143" s="138" t="s">
        <v>2473</v>
      </c>
      <c r="K143" s="22" t="s">
        <v>2474</v>
      </c>
    </row>
    <row r="144" spans="1:11" ht="15.75" customHeight="1">
      <c r="A144" s="156" t="s">
        <v>2469</v>
      </c>
      <c r="B144" s="156" t="s">
        <v>1228</v>
      </c>
      <c r="C144" s="27" t="s">
        <v>71</v>
      </c>
      <c r="D144" s="148"/>
      <c r="E144" s="132"/>
      <c r="F144" s="132"/>
      <c r="G144" s="27" t="s">
        <v>741</v>
      </c>
      <c r="H144" s="27" t="s">
        <v>73</v>
      </c>
      <c r="I144" s="153"/>
      <c r="J144" s="145"/>
    </row>
    <row r="145" spans="1:10" ht="15.75" customHeight="1">
      <c r="A145" s="156" t="s">
        <v>2469</v>
      </c>
      <c r="B145" s="156" t="s">
        <v>1236</v>
      </c>
      <c r="C145" s="27" t="s">
        <v>71</v>
      </c>
      <c r="D145" s="148"/>
      <c r="E145" s="132"/>
      <c r="F145" s="132"/>
      <c r="G145" s="27" t="s">
        <v>741</v>
      </c>
      <c r="H145" s="27" t="s">
        <v>73</v>
      </c>
      <c r="I145" s="153"/>
      <c r="J145" s="145"/>
    </row>
    <row r="146" spans="1:10" ht="15.75" customHeight="1">
      <c r="A146" s="156" t="s">
        <v>2469</v>
      </c>
      <c r="B146" s="156" t="s">
        <v>1240</v>
      </c>
      <c r="C146" s="27" t="s">
        <v>71</v>
      </c>
      <c r="D146" s="137">
        <v>44522</v>
      </c>
      <c r="E146" s="132"/>
      <c r="F146" s="132"/>
      <c r="G146" s="27" t="s">
        <v>741</v>
      </c>
      <c r="H146" s="27" t="s">
        <v>73</v>
      </c>
      <c r="I146" s="153"/>
      <c r="J146" s="162"/>
    </row>
    <row r="147" spans="1:10" ht="15.75" customHeight="1">
      <c r="A147" s="156" t="s">
        <v>2469</v>
      </c>
      <c r="B147" s="156" t="s">
        <v>1249</v>
      </c>
      <c r="C147" s="27" t="s">
        <v>71</v>
      </c>
      <c r="D147" s="148"/>
      <c r="E147" s="132"/>
      <c r="F147" s="132"/>
      <c r="G147" s="27" t="s">
        <v>741</v>
      </c>
      <c r="H147" s="27" t="s">
        <v>73</v>
      </c>
      <c r="I147" s="153"/>
      <c r="J147" s="145"/>
    </row>
    <row r="148" spans="1:10" ht="15.75" customHeight="1">
      <c r="A148" s="156" t="s">
        <v>2469</v>
      </c>
      <c r="B148" s="156" t="s">
        <v>1253</v>
      </c>
      <c r="C148" s="27" t="s">
        <v>71</v>
      </c>
      <c r="D148" s="148"/>
      <c r="E148" s="132"/>
      <c r="F148" s="132"/>
      <c r="G148" s="27" t="s">
        <v>741</v>
      </c>
      <c r="H148" s="27" t="s">
        <v>73</v>
      </c>
      <c r="I148" s="153"/>
      <c r="J148" s="145"/>
    </row>
    <row r="149" spans="1:10" ht="15.75" customHeight="1">
      <c r="A149" s="156" t="s">
        <v>2469</v>
      </c>
      <c r="B149" s="163" t="s">
        <v>2000</v>
      </c>
      <c r="C149" s="27" t="s">
        <v>71</v>
      </c>
      <c r="D149" s="137">
        <v>44517</v>
      </c>
      <c r="E149" s="132"/>
      <c r="F149" s="132"/>
      <c r="G149" s="27" t="s">
        <v>73</v>
      </c>
      <c r="H149" s="27" t="s">
        <v>859</v>
      </c>
      <c r="I149" s="27" t="s">
        <v>73</v>
      </c>
      <c r="J149" s="145"/>
    </row>
    <row r="150" spans="1:10" ht="15.75" customHeight="1">
      <c r="A150" s="156" t="s">
        <v>2469</v>
      </c>
      <c r="B150" s="163" t="s">
        <v>891</v>
      </c>
      <c r="C150" s="27" t="s">
        <v>71</v>
      </c>
      <c r="D150" s="137">
        <v>44517</v>
      </c>
      <c r="E150" s="132"/>
      <c r="F150" s="132"/>
      <c r="G150" s="27" t="s">
        <v>73</v>
      </c>
      <c r="H150" s="27" t="s">
        <v>859</v>
      </c>
      <c r="I150" s="27" t="s">
        <v>73</v>
      </c>
      <c r="J150" s="145"/>
    </row>
    <row r="151" spans="1:10" ht="15.75" customHeight="1">
      <c r="A151" s="156" t="s">
        <v>2469</v>
      </c>
      <c r="B151" s="156" t="s">
        <v>880</v>
      </c>
      <c r="C151" s="27" t="s">
        <v>71</v>
      </c>
      <c r="D151" s="137">
        <v>44524</v>
      </c>
      <c r="E151" s="132"/>
      <c r="F151" s="132"/>
      <c r="G151" s="27" t="s">
        <v>73</v>
      </c>
      <c r="H151" s="27" t="s">
        <v>859</v>
      </c>
      <c r="I151" s="27" t="s">
        <v>73</v>
      </c>
      <c r="J151" s="145"/>
    </row>
    <row r="152" spans="1:10" ht="15.75" customHeight="1">
      <c r="A152" s="156" t="s">
        <v>2469</v>
      </c>
      <c r="B152" s="156" t="s">
        <v>885</v>
      </c>
      <c r="C152" s="27" t="s">
        <v>71</v>
      </c>
      <c r="D152" s="137">
        <v>44524</v>
      </c>
      <c r="E152" s="132"/>
      <c r="F152" s="132"/>
      <c r="G152" s="27" t="s">
        <v>73</v>
      </c>
      <c r="H152" s="27" t="s">
        <v>859</v>
      </c>
      <c r="I152" s="27" t="s">
        <v>73</v>
      </c>
      <c r="J152" s="145"/>
    </row>
    <row r="153" spans="1:10" ht="15.75" customHeight="1">
      <c r="A153" s="156" t="s">
        <v>2469</v>
      </c>
      <c r="B153" s="156" t="s">
        <v>1850</v>
      </c>
      <c r="C153" s="27" t="s">
        <v>71</v>
      </c>
      <c r="D153" s="132"/>
      <c r="E153" s="132"/>
      <c r="F153" s="132"/>
      <c r="G153" s="27" t="s">
        <v>804</v>
      </c>
      <c r="H153" s="27" t="s">
        <v>859</v>
      </c>
      <c r="I153" s="153"/>
      <c r="J153" s="145"/>
    </row>
    <row r="154" spans="1:10" ht="15.75" customHeight="1">
      <c r="A154" s="156" t="s">
        <v>2469</v>
      </c>
      <c r="B154" s="156" t="s">
        <v>1844</v>
      </c>
      <c r="C154" s="27" t="s">
        <v>71</v>
      </c>
      <c r="D154" s="132"/>
      <c r="E154" s="132"/>
      <c r="F154" s="132"/>
      <c r="G154" s="27" t="s">
        <v>804</v>
      </c>
      <c r="H154" s="27" t="s">
        <v>859</v>
      </c>
      <c r="I154" s="153"/>
      <c r="J154" s="145"/>
    </row>
    <row r="155" spans="1:10" ht="15.75" customHeight="1">
      <c r="B155" s="153"/>
      <c r="C155" s="153"/>
      <c r="D155" s="132"/>
      <c r="E155" s="132"/>
      <c r="F155" s="132"/>
      <c r="G155" s="153"/>
      <c r="H155" s="153"/>
      <c r="I155" s="153"/>
      <c r="J155" s="145"/>
    </row>
    <row r="156" spans="1:10" ht="15.75" customHeight="1">
      <c r="B156" s="153"/>
      <c r="C156" s="153"/>
      <c r="D156" s="132"/>
      <c r="E156" s="132"/>
      <c r="F156" s="132"/>
      <c r="G156" s="153"/>
      <c r="H156" s="153"/>
      <c r="I156" s="153"/>
      <c r="J156" s="145"/>
    </row>
    <row r="157" spans="1:10" ht="15.75" customHeight="1">
      <c r="B157" s="153"/>
      <c r="C157" s="153"/>
      <c r="D157" s="132"/>
      <c r="E157" s="132"/>
      <c r="F157" s="132"/>
      <c r="G157" s="153"/>
      <c r="H157" s="153"/>
      <c r="I157" s="153"/>
      <c r="J157" s="145"/>
    </row>
    <row r="158" spans="1:10" ht="15.75" customHeight="1">
      <c r="B158" s="153"/>
      <c r="C158" s="153"/>
      <c r="D158" s="132"/>
      <c r="E158" s="132"/>
      <c r="F158" s="132"/>
      <c r="G158" s="153"/>
      <c r="H158" s="153"/>
      <c r="I158" s="153"/>
      <c r="J158" s="145"/>
    </row>
    <row r="159" spans="1:10" ht="15.75" customHeight="1">
      <c r="B159" s="153"/>
      <c r="C159" s="153"/>
      <c r="D159" s="132"/>
      <c r="E159" s="132"/>
      <c r="F159" s="132"/>
      <c r="G159" s="153"/>
      <c r="H159" s="153"/>
      <c r="I159" s="153"/>
      <c r="J159" s="145"/>
    </row>
    <row r="160" spans="1:10" ht="15.75" customHeight="1">
      <c r="B160" s="153"/>
      <c r="C160" s="153"/>
      <c r="D160" s="132"/>
      <c r="E160" s="132"/>
      <c r="F160" s="132"/>
      <c r="G160" s="153"/>
      <c r="H160" s="153"/>
      <c r="I160" s="153"/>
      <c r="J160" s="145"/>
    </row>
    <row r="161" spans="2:10" ht="15.75" customHeight="1">
      <c r="B161" s="153"/>
      <c r="C161" s="153"/>
      <c r="D161" s="132"/>
      <c r="E161" s="132"/>
      <c r="F161" s="132"/>
      <c r="G161" s="153"/>
      <c r="H161" s="153"/>
      <c r="I161" s="153"/>
      <c r="J161" s="145"/>
    </row>
    <row r="162" spans="2:10" ht="15.75" customHeight="1">
      <c r="B162" s="153"/>
      <c r="C162" s="153"/>
      <c r="D162" s="132"/>
      <c r="E162" s="132"/>
      <c r="F162" s="132"/>
      <c r="G162" s="153"/>
      <c r="H162" s="153"/>
      <c r="I162" s="153"/>
      <c r="J162" s="145"/>
    </row>
    <row r="163" spans="2:10" ht="15.75" customHeight="1">
      <c r="B163" s="153"/>
      <c r="C163" s="153"/>
      <c r="D163" s="132"/>
      <c r="E163" s="132"/>
      <c r="F163" s="132"/>
      <c r="G163" s="153"/>
      <c r="H163" s="153"/>
      <c r="I163" s="153"/>
      <c r="J163" s="145"/>
    </row>
    <row r="164" spans="2:10" ht="15.75" customHeight="1">
      <c r="B164" s="153"/>
      <c r="C164" s="153"/>
      <c r="D164" s="132"/>
      <c r="E164" s="132"/>
      <c r="F164" s="132"/>
      <c r="G164" s="153"/>
      <c r="H164" s="153"/>
      <c r="I164" s="153"/>
      <c r="J164" s="145"/>
    </row>
    <row r="165" spans="2:10" ht="15.75" customHeight="1">
      <c r="B165" s="153"/>
      <c r="C165" s="153"/>
      <c r="D165" s="132"/>
      <c r="E165" s="132"/>
      <c r="F165" s="132"/>
      <c r="G165" s="153"/>
      <c r="H165" s="153"/>
      <c r="I165" s="153"/>
      <c r="J165" s="145"/>
    </row>
    <row r="166" spans="2:10" ht="15.75" customHeight="1">
      <c r="B166" s="153"/>
      <c r="C166" s="153"/>
      <c r="D166" s="132"/>
      <c r="E166" s="132"/>
      <c r="F166" s="132"/>
      <c r="G166" s="153"/>
      <c r="H166" s="153"/>
      <c r="I166" s="153"/>
      <c r="J166" s="145"/>
    </row>
    <row r="167" spans="2:10" ht="15.75" customHeight="1">
      <c r="B167" s="153"/>
      <c r="C167" s="153"/>
      <c r="D167" s="132"/>
      <c r="E167" s="132"/>
      <c r="F167" s="132"/>
      <c r="G167" s="153"/>
      <c r="H167" s="153"/>
      <c r="I167" s="153"/>
      <c r="J167" s="145"/>
    </row>
    <row r="168" spans="2:10" ht="15.75" customHeight="1">
      <c r="B168" s="153"/>
      <c r="C168" s="153"/>
      <c r="D168" s="132"/>
      <c r="E168" s="132"/>
      <c r="F168" s="132"/>
      <c r="G168" s="153"/>
      <c r="H168" s="153"/>
      <c r="I168" s="153"/>
      <c r="J168" s="145"/>
    </row>
    <row r="169" spans="2:10" ht="15.75" customHeight="1">
      <c r="B169" s="153"/>
      <c r="C169" s="153"/>
      <c r="D169" s="132"/>
      <c r="E169" s="132"/>
      <c r="F169" s="132"/>
      <c r="G169" s="153"/>
      <c r="H169" s="153"/>
      <c r="I169" s="153"/>
      <c r="J169" s="145"/>
    </row>
    <row r="170" spans="2:10" ht="15.75" customHeight="1">
      <c r="B170" s="153"/>
      <c r="C170" s="153"/>
      <c r="D170" s="132"/>
      <c r="E170" s="132"/>
      <c r="F170" s="132"/>
      <c r="G170" s="153"/>
      <c r="H170" s="153"/>
      <c r="I170" s="153"/>
      <c r="J170" s="145"/>
    </row>
    <row r="171" spans="2:10" ht="15.75" customHeight="1">
      <c r="B171" s="153"/>
      <c r="C171" s="153"/>
      <c r="D171" s="132"/>
      <c r="E171" s="132"/>
      <c r="F171" s="132"/>
      <c r="G171" s="153"/>
      <c r="H171" s="153"/>
      <c r="I171" s="153"/>
      <c r="J171" s="145"/>
    </row>
    <row r="172" spans="2:10" ht="15.75" customHeight="1">
      <c r="B172" s="153"/>
      <c r="C172" s="153"/>
      <c r="D172" s="132"/>
      <c r="E172" s="132"/>
      <c r="F172" s="132"/>
      <c r="G172" s="153"/>
      <c r="H172" s="153"/>
      <c r="I172" s="153"/>
      <c r="J172" s="145"/>
    </row>
    <row r="173" spans="2:10" ht="15.75" customHeight="1">
      <c r="B173" s="153"/>
      <c r="C173" s="153"/>
      <c r="D173" s="132"/>
      <c r="E173" s="132"/>
      <c r="F173" s="132"/>
      <c r="G173" s="153"/>
      <c r="H173" s="153"/>
      <c r="I173" s="153"/>
      <c r="J173" s="145"/>
    </row>
    <row r="174" spans="2:10" ht="15.75" customHeight="1">
      <c r="B174" s="153"/>
      <c r="C174" s="153"/>
      <c r="D174" s="132"/>
      <c r="E174" s="132"/>
      <c r="F174" s="132"/>
      <c r="G174" s="153"/>
      <c r="H174" s="153"/>
      <c r="I174" s="153"/>
      <c r="J174" s="145"/>
    </row>
    <row r="175" spans="2:10" ht="15.75" customHeight="1">
      <c r="B175" s="153"/>
      <c r="C175" s="153"/>
      <c r="D175" s="132"/>
      <c r="E175" s="132"/>
      <c r="F175" s="132"/>
      <c r="G175" s="153"/>
      <c r="H175" s="153"/>
      <c r="I175" s="153"/>
      <c r="J175" s="145"/>
    </row>
    <row r="176" spans="2:10" ht="15.75" customHeight="1">
      <c r="B176" s="153"/>
      <c r="C176" s="153"/>
      <c r="D176" s="132"/>
      <c r="E176" s="132"/>
      <c r="F176" s="132"/>
      <c r="G176" s="153"/>
      <c r="H176" s="153"/>
      <c r="I176" s="153"/>
      <c r="J176" s="145"/>
    </row>
    <row r="177" spans="2:10" ht="15.75" customHeight="1">
      <c r="B177" s="153"/>
      <c r="C177" s="153"/>
      <c r="D177" s="132"/>
      <c r="E177" s="132"/>
      <c r="F177" s="132"/>
      <c r="G177" s="153"/>
      <c r="H177" s="153"/>
      <c r="I177" s="153"/>
      <c r="J177" s="145"/>
    </row>
    <row r="178" spans="2:10" ht="15.75" customHeight="1">
      <c r="B178" s="153"/>
      <c r="C178" s="153"/>
      <c r="D178" s="132"/>
      <c r="E178" s="132"/>
      <c r="F178" s="132"/>
      <c r="G178" s="153"/>
      <c r="H178" s="153"/>
      <c r="I178" s="153"/>
      <c r="J178" s="145"/>
    </row>
    <row r="179" spans="2:10" ht="15.75" customHeight="1">
      <c r="B179" s="153"/>
      <c r="C179" s="153"/>
      <c r="D179" s="132"/>
      <c r="E179" s="132"/>
      <c r="F179" s="132"/>
      <c r="G179" s="153"/>
      <c r="H179" s="153"/>
      <c r="I179" s="153"/>
      <c r="J179" s="145"/>
    </row>
    <row r="180" spans="2:10" ht="15.75" customHeight="1">
      <c r="B180" s="153"/>
      <c r="C180" s="153"/>
      <c r="D180" s="132"/>
      <c r="E180" s="132"/>
      <c r="F180" s="132"/>
      <c r="G180" s="153"/>
      <c r="H180" s="153"/>
      <c r="I180" s="153"/>
      <c r="J180" s="145"/>
    </row>
    <row r="181" spans="2:10" ht="15.75" customHeight="1">
      <c r="B181" s="153"/>
      <c r="C181" s="153"/>
      <c r="D181" s="132"/>
      <c r="E181" s="132"/>
      <c r="F181" s="132"/>
      <c r="G181" s="153"/>
      <c r="H181" s="153"/>
      <c r="I181" s="153"/>
      <c r="J181" s="145"/>
    </row>
    <row r="182" spans="2:10" ht="15.75" customHeight="1">
      <c r="B182" s="153"/>
      <c r="C182" s="153"/>
      <c r="D182" s="132"/>
      <c r="E182" s="132"/>
      <c r="F182" s="132"/>
      <c r="G182" s="153"/>
      <c r="H182" s="153"/>
      <c r="I182" s="153"/>
      <c r="J182" s="145"/>
    </row>
    <row r="183" spans="2:10" ht="15.75" customHeight="1">
      <c r="B183" s="153"/>
      <c r="C183" s="153"/>
      <c r="D183" s="132"/>
      <c r="E183" s="132"/>
      <c r="F183" s="132"/>
      <c r="G183" s="153"/>
      <c r="H183" s="153"/>
      <c r="I183" s="153"/>
      <c r="J183" s="145"/>
    </row>
    <row r="184" spans="2:10" ht="15.75" customHeight="1">
      <c r="B184" s="153"/>
      <c r="C184" s="153"/>
      <c r="D184" s="132"/>
      <c r="E184" s="132"/>
      <c r="F184" s="132"/>
      <c r="G184" s="153"/>
      <c r="H184" s="153"/>
      <c r="I184" s="153"/>
      <c r="J184" s="145"/>
    </row>
    <row r="185" spans="2:10" ht="15.75" customHeight="1">
      <c r="B185" s="153"/>
      <c r="C185" s="153"/>
      <c r="D185" s="132"/>
      <c r="E185" s="132"/>
      <c r="F185" s="132"/>
      <c r="G185" s="153"/>
      <c r="H185" s="153"/>
      <c r="I185" s="153"/>
      <c r="J185" s="145"/>
    </row>
    <row r="186" spans="2:10" ht="15.75" customHeight="1">
      <c r="B186" s="153"/>
      <c r="C186" s="153"/>
      <c r="D186" s="132"/>
      <c r="E186" s="132"/>
      <c r="F186" s="132"/>
      <c r="G186" s="153"/>
      <c r="H186" s="153"/>
      <c r="I186" s="153"/>
      <c r="J186" s="145"/>
    </row>
    <row r="187" spans="2:10" ht="15.75" customHeight="1">
      <c r="B187" s="153"/>
      <c r="C187" s="153"/>
      <c r="D187" s="132"/>
      <c r="E187" s="132"/>
      <c r="F187" s="132"/>
      <c r="G187" s="153"/>
      <c r="H187" s="153"/>
      <c r="I187" s="153"/>
      <c r="J187" s="145"/>
    </row>
    <row r="188" spans="2:10" ht="15.75" customHeight="1">
      <c r="B188" s="153"/>
      <c r="C188" s="153"/>
      <c r="D188" s="132"/>
      <c r="E188" s="132"/>
      <c r="F188" s="132"/>
      <c r="G188" s="153"/>
      <c r="H188" s="153"/>
      <c r="I188" s="153"/>
      <c r="J188" s="145"/>
    </row>
    <row r="189" spans="2:10" ht="15.75" customHeight="1">
      <c r="B189" s="153"/>
      <c r="C189" s="153"/>
      <c r="D189" s="132"/>
      <c r="E189" s="132"/>
      <c r="F189" s="132"/>
      <c r="G189" s="153"/>
      <c r="H189" s="153"/>
      <c r="I189" s="153"/>
      <c r="J189" s="145"/>
    </row>
    <row r="190" spans="2:10" ht="15.75" customHeight="1">
      <c r="B190" s="153"/>
      <c r="C190" s="153"/>
      <c r="D190" s="132"/>
      <c r="E190" s="132"/>
      <c r="F190" s="132"/>
      <c r="G190" s="153"/>
      <c r="H190" s="153"/>
      <c r="I190" s="153"/>
      <c r="J190" s="145"/>
    </row>
    <row r="191" spans="2:10" ht="15.75" customHeight="1">
      <c r="B191" s="153"/>
      <c r="C191" s="153"/>
      <c r="D191" s="132"/>
      <c r="E191" s="132"/>
      <c r="F191" s="132"/>
      <c r="G191" s="153"/>
      <c r="H191" s="153"/>
      <c r="I191" s="153"/>
      <c r="J191" s="145"/>
    </row>
    <row r="192" spans="2:10" ht="15.75" customHeight="1">
      <c r="B192" s="153"/>
      <c r="C192" s="153"/>
      <c r="D192" s="132"/>
      <c r="E192" s="132"/>
      <c r="F192" s="132"/>
      <c r="G192" s="153"/>
      <c r="H192" s="153"/>
      <c r="I192" s="153"/>
      <c r="J192" s="145"/>
    </row>
    <row r="193" spans="2:10" ht="15.75" customHeight="1">
      <c r="B193" s="153"/>
      <c r="C193" s="153"/>
      <c r="D193" s="132"/>
      <c r="E193" s="132"/>
      <c r="F193" s="132"/>
      <c r="G193" s="153"/>
      <c r="H193" s="153"/>
      <c r="I193" s="153"/>
      <c r="J193" s="145"/>
    </row>
    <row r="194" spans="2:10" ht="15.75" customHeight="1">
      <c r="B194" s="153"/>
      <c r="C194" s="153"/>
      <c r="D194" s="132"/>
      <c r="E194" s="132"/>
      <c r="F194" s="132"/>
      <c r="G194" s="153"/>
      <c r="H194" s="153"/>
      <c r="I194" s="153"/>
      <c r="J194" s="145"/>
    </row>
    <row r="195" spans="2:10" ht="15.75" customHeight="1">
      <c r="B195" s="153"/>
      <c r="C195" s="153"/>
      <c r="D195" s="132"/>
      <c r="E195" s="132"/>
      <c r="F195" s="132"/>
      <c r="G195" s="153"/>
      <c r="H195" s="153"/>
      <c r="I195" s="153"/>
      <c r="J195" s="145"/>
    </row>
    <row r="196" spans="2:10" ht="15.75" customHeight="1">
      <c r="B196" s="153"/>
      <c r="C196" s="153"/>
      <c r="D196" s="132"/>
      <c r="E196" s="132"/>
      <c r="F196" s="132"/>
      <c r="G196" s="153"/>
      <c r="H196" s="153"/>
      <c r="I196" s="153"/>
      <c r="J196" s="145"/>
    </row>
    <row r="197" spans="2:10" ht="15.75" customHeight="1">
      <c r="B197" s="153"/>
      <c r="C197" s="153"/>
      <c r="D197" s="132"/>
      <c r="E197" s="132"/>
      <c r="F197" s="132"/>
      <c r="G197" s="153"/>
      <c r="H197" s="153"/>
      <c r="I197" s="153"/>
      <c r="J197" s="145"/>
    </row>
    <row r="198" spans="2:10" ht="15.75" customHeight="1">
      <c r="B198" s="153"/>
      <c r="C198" s="153"/>
      <c r="D198" s="132"/>
      <c r="E198" s="132"/>
      <c r="F198" s="132"/>
      <c r="G198" s="153"/>
      <c r="H198" s="153"/>
      <c r="I198" s="153"/>
      <c r="J198" s="145"/>
    </row>
    <row r="199" spans="2:10" ht="15.75" customHeight="1">
      <c r="B199" s="153"/>
      <c r="C199" s="153"/>
      <c r="D199" s="132"/>
      <c r="E199" s="132"/>
      <c r="F199" s="132"/>
      <c r="G199" s="153"/>
      <c r="H199" s="153"/>
      <c r="I199" s="153"/>
      <c r="J199" s="145"/>
    </row>
    <row r="200" spans="2:10" ht="15.75" customHeight="1">
      <c r="B200" s="153"/>
      <c r="C200" s="153"/>
      <c r="D200" s="132"/>
      <c r="E200" s="132"/>
      <c r="F200" s="132"/>
      <c r="G200" s="153"/>
      <c r="H200" s="153"/>
      <c r="I200" s="153"/>
      <c r="J200" s="145"/>
    </row>
    <row r="201" spans="2:10" ht="15.75" customHeight="1">
      <c r="B201" s="153"/>
      <c r="C201" s="153"/>
      <c r="D201" s="132"/>
      <c r="E201" s="132"/>
      <c r="F201" s="132"/>
      <c r="G201" s="153"/>
      <c r="H201" s="153"/>
      <c r="I201" s="153"/>
      <c r="J201" s="145"/>
    </row>
    <row r="202" spans="2:10" ht="15.75" customHeight="1">
      <c r="B202" s="153"/>
      <c r="C202" s="153"/>
      <c r="D202" s="132"/>
      <c r="E202" s="132"/>
      <c r="F202" s="132"/>
      <c r="G202" s="153"/>
      <c r="H202" s="153"/>
      <c r="I202" s="153"/>
      <c r="J202" s="145"/>
    </row>
    <row r="203" spans="2:10" ht="15.75" customHeight="1">
      <c r="B203" s="153"/>
      <c r="C203" s="153"/>
      <c r="D203" s="132"/>
      <c r="E203" s="132"/>
      <c r="F203" s="132"/>
      <c r="G203" s="153"/>
      <c r="H203" s="153"/>
      <c r="I203" s="153"/>
      <c r="J203" s="145"/>
    </row>
    <row r="204" spans="2:10" ht="15.75" customHeight="1">
      <c r="B204" s="153"/>
      <c r="C204" s="153"/>
      <c r="D204" s="132"/>
      <c r="E204" s="132"/>
      <c r="F204" s="132"/>
      <c r="G204" s="153"/>
      <c r="H204" s="153"/>
      <c r="I204" s="153"/>
      <c r="J204" s="145"/>
    </row>
    <row r="205" spans="2:10" ht="15.75" customHeight="1">
      <c r="B205" s="153"/>
      <c r="C205" s="153"/>
      <c r="D205" s="132"/>
      <c r="E205" s="132"/>
      <c r="F205" s="132"/>
      <c r="G205" s="153"/>
      <c r="H205" s="153"/>
      <c r="I205" s="153"/>
      <c r="J205" s="145"/>
    </row>
    <row r="206" spans="2:10" ht="15.75" customHeight="1">
      <c r="B206" s="153"/>
      <c r="C206" s="153"/>
      <c r="D206" s="132"/>
      <c r="E206" s="132"/>
      <c r="F206" s="132"/>
      <c r="G206" s="153"/>
      <c r="H206" s="153"/>
      <c r="I206" s="153"/>
      <c r="J206" s="145"/>
    </row>
    <row r="207" spans="2:10" ht="15.75" customHeight="1">
      <c r="B207" s="153"/>
      <c r="C207" s="153"/>
      <c r="D207" s="132"/>
      <c r="E207" s="132"/>
      <c r="F207" s="132"/>
      <c r="G207" s="153"/>
      <c r="H207" s="153"/>
      <c r="I207" s="153"/>
      <c r="J207" s="145"/>
    </row>
    <row r="208" spans="2:10" ht="15.75" customHeight="1">
      <c r="B208" s="153"/>
      <c r="C208" s="153"/>
      <c r="D208" s="132"/>
      <c r="E208" s="132"/>
      <c r="F208" s="132"/>
      <c r="G208" s="153"/>
      <c r="H208" s="153"/>
      <c r="I208" s="153"/>
      <c r="J208" s="145"/>
    </row>
    <row r="209" spans="2:10" ht="15.75" customHeight="1">
      <c r="B209" s="153"/>
      <c r="C209" s="153"/>
      <c r="D209" s="132"/>
      <c r="E209" s="132"/>
      <c r="F209" s="132"/>
      <c r="G209" s="153"/>
      <c r="H209" s="153"/>
      <c r="I209" s="153"/>
      <c r="J209" s="145"/>
    </row>
    <row r="210" spans="2:10" ht="15.75" customHeight="1">
      <c r="B210" s="153"/>
      <c r="C210" s="153"/>
      <c r="D210" s="132"/>
      <c r="E210" s="132"/>
      <c r="F210" s="132"/>
      <c r="G210" s="153"/>
      <c r="H210" s="153"/>
      <c r="I210" s="153"/>
      <c r="J210" s="145"/>
    </row>
    <row r="211" spans="2:10" ht="15.75" customHeight="1">
      <c r="B211" s="153"/>
      <c r="C211" s="153"/>
      <c r="D211" s="132"/>
      <c r="E211" s="132"/>
      <c r="F211" s="132"/>
      <c r="G211" s="153"/>
      <c r="H211" s="153"/>
      <c r="I211" s="153"/>
      <c r="J211" s="145"/>
    </row>
    <row r="212" spans="2:10" ht="15.75" customHeight="1">
      <c r="B212" s="153"/>
      <c r="C212" s="153"/>
      <c r="D212" s="132"/>
      <c r="E212" s="132"/>
      <c r="F212" s="132"/>
      <c r="G212" s="153"/>
      <c r="H212" s="153"/>
      <c r="I212" s="153"/>
      <c r="J212" s="145"/>
    </row>
    <row r="213" spans="2:10" ht="15.75" customHeight="1">
      <c r="B213" s="153"/>
      <c r="C213" s="153"/>
      <c r="D213" s="132"/>
      <c r="E213" s="132"/>
      <c r="F213" s="132"/>
      <c r="G213" s="153"/>
      <c r="H213" s="153"/>
      <c r="I213" s="153"/>
      <c r="J213" s="145"/>
    </row>
    <row r="214" spans="2:10" ht="15.75" customHeight="1">
      <c r="B214" s="153"/>
      <c r="C214" s="153"/>
      <c r="D214" s="132"/>
      <c r="E214" s="132"/>
      <c r="F214" s="132"/>
      <c r="G214" s="153"/>
      <c r="H214" s="153"/>
      <c r="I214" s="153"/>
      <c r="J214" s="145"/>
    </row>
    <row r="215" spans="2:10" ht="15.75" customHeight="1">
      <c r="B215" s="153"/>
      <c r="C215" s="153"/>
      <c r="D215" s="132"/>
      <c r="E215" s="132"/>
      <c r="F215" s="132"/>
      <c r="G215" s="153"/>
      <c r="H215" s="153"/>
      <c r="I215" s="153"/>
      <c r="J215" s="145"/>
    </row>
    <row r="216" spans="2:10" ht="15.75" customHeight="1">
      <c r="B216" s="153"/>
      <c r="C216" s="153"/>
      <c r="D216" s="132"/>
      <c r="E216" s="132"/>
      <c r="F216" s="132"/>
      <c r="G216" s="153"/>
      <c r="H216" s="153"/>
      <c r="I216" s="153"/>
      <c r="J216" s="145"/>
    </row>
    <row r="217" spans="2:10" ht="15.75" customHeight="1">
      <c r="B217" s="153"/>
      <c r="C217" s="153"/>
      <c r="D217" s="132"/>
      <c r="E217" s="132"/>
      <c r="F217" s="132"/>
      <c r="G217" s="153"/>
      <c r="H217" s="153"/>
      <c r="I217" s="153"/>
      <c r="J217" s="145"/>
    </row>
    <row r="218" spans="2:10" ht="15.75" customHeight="1">
      <c r="B218" s="153"/>
      <c r="C218" s="153"/>
      <c r="D218" s="132"/>
      <c r="E218" s="132"/>
      <c r="F218" s="132"/>
      <c r="G218" s="153"/>
      <c r="H218" s="153"/>
      <c r="I218" s="153"/>
      <c r="J218" s="145"/>
    </row>
    <row r="219" spans="2:10" ht="15.75" customHeight="1">
      <c r="B219" s="153"/>
      <c r="C219" s="153"/>
      <c r="D219" s="132"/>
      <c r="E219" s="132"/>
      <c r="F219" s="132"/>
      <c r="G219" s="153"/>
      <c r="H219" s="153"/>
      <c r="I219" s="153"/>
      <c r="J219" s="145"/>
    </row>
    <row r="220" spans="2:10" ht="15.75" customHeight="1">
      <c r="B220" s="153"/>
      <c r="C220" s="153"/>
      <c r="D220" s="132"/>
      <c r="E220" s="132"/>
      <c r="F220" s="132"/>
      <c r="G220" s="153"/>
      <c r="H220" s="153"/>
      <c r="I220" s="153"/>
      <c r="J220" s="145"/>
    </row>
    <row r="221" spans="2:10" ht="15.75" customHeight="1">
      <c r="B221" s="153"/>
      <c r="C221" s="153"/>
      <c r="D221" s="132"/>
      <c r="E221" s="132"/>
      <c r="F221" s="132"/>
      <c r="G221" s="153"/>
      <c r="H221" s="153"/>
      <c r="I221" s="153"/>
      <c r="J221" s="145"/>
    </row>
    <row r="222" spans="2:10" ht="15.75" customHeight="1">
      <c r="B222" s="153"/>
      <c r="C222" s="153"/>
      <c r="D222" s="132"/>
      <c r="E222" s="132"/>
      <c r="F222" s="132"/>
      <c r="G222" s="153"/>
      <c r="H222" s="153"/>
      <c r="I222" s="153"/>
      <c r="J222" s="145"/>
    </row>
    <row r="223" spans="2:10" ht="15.75" customHeight="1">
      <c r="B223" s="153"/>
      <c r="C223" s="153"/>
      <c r="D223" s="132"/>
      <c r="E223" s="132"/>
      <c r="F223" s="132"/>
      <c r="G223" s="153"/>
      <c r="H223" s="153"/>
      <c r="I223" s="153"/>
      <c r="J223" s="145"/>
    </row>
    <row r="224" spans="2:10" ht="15.75" customHeight="1">
      <c r="B224" s="153"/>
      <c r="C224" s="153"/>
      <c r="D224" s="132"/>
      <c r="E224" s="132"/>
      <c r="F224" s="132"/>
      <c r="G224" s="153"/>
      <c r="H224" s="153"/>
      <c r="I224" s="153"/>
      <c r="J224" s="145"/>
    </row>
    <row r="225" spans="2:10" ht="15.75" customHeight="1">
      <c r="B225" s="153"/>
      <c r="C225" s="153"/>
      <c r="D225" s="132"/>
      <c r="E225" s="132"/>
      <c r="F225" s="132"/>
      <c r="G225" s="153"/>
      <c r="H225" s="153"/>
      <c r="I225" s="153"/>
      <c r="J225" s="145"/>
    </row>
    <row r="226" spans="2:10" ht="15.75" customHeight="1">
      <c r="B226" s="153"/>
      <c r="C226" s="153"/>
      <c r="D226" s="132"/>
      <c r="E226" s="132"/>
      <c r="F226" s="132"/>
      <c r="G226" s="153"/>
      <c r="H226" s="153"/>
      <c r="I226" s="153"/>
      <c r="J226" s="145"/>
    </row>
    <row r="227" spans="2:10" ht="15.75" customHeight="1">
      <c r="B227" s="153"/>
      <c r="C227" s="153"/>
      <c r="D227" s="132"/>
      <c r="E227" s="132"/>
      <c r="F227" s="132"/>
      <c r="G227" s="153"/>
      <c r="H227" s="153"/>
      <c r="I227" s="153"/>
      <c r="J227" s="145"/>
    </row>
    <row r="228" spans="2:10" ht="15.75" customHeight="1">
      <c r="B228" s="153"/>
      <c r="C228" s="153"/>
      <c r="D228" s="132"/>
      <c r="E228" s="132"/>
      <c r="F228" s="132"/>
      <c r="G228" s="153"/>
      <c r="H228" s="153"/>
      <c r="I228" s="153"/>
      <c r="J228" s="145"/>
    </row>
    <row r="229" spans="2:10" ht="15.75" customHeight="1">
      <c r="B229" s="153"/>
      <c r="C229" s="153"/>
      <c r="D229" s="132"/>
      <c r="E229" s="132"/>
      <c r="F229" s="132"/>
      <c r="G229" s="153"/>
      <c r="H229" s="153"/>
      <c r="I229" s="153"/>
      <c r="J229" s="145"/>
    </row>
    <row r="230" spans="2:10" ht="15.75" customHeight="1">
      <c r="B230" s="153"/>
      <c r="C230" s="153"/>
      <c r="D230" s="132"/>
      <c r="E230" s="132"/>
      <c r="F230" s="132"/>
      <c r="G230" s="153"/>
      <c r="H230" s="153"/>
      <c r="I230" s="153"/>
      <c r="J230" s="145"/>
    </row>
    <row r="231" spans="2:10" ht="15.75" customHeight="1">
      <c r="B231" s="153"/>
      <c r="C231" s="153"/>
      <c r="D231" s="132"/>
      <c r="E231" s="132"/>
      <c r="F231" s="132"/>
      <c r="G231" s="153"/>
      <c r="H231" s="153"/>
      <c r="I231" s="153"/>
      <c r="J231" s="145"/>
    </row>
    <row r="232" spans="2:10" ht="15.75" customHeight="1">
      <c r="B232" s="153"/>
      <c r="C232" s="153"/>
      <c r="D232" s="132"/>
      <c r="E232" s="132"/>
      <c r="F232" s="132"/>
      <c r="G232" s="153"/>
      <c r="H232" s="153"/>
      <c r="I232" s="153"/>
      <c r="J232" s="145"/>
    </row>
    <row r="233" spans="2:10" ht="15.75" customHeight="1">
      <c r="B233" s="153"/>
      <c r="C233" s="153"/>
      <c r="D233" s="132"/>
      <c r="E233" s="132"/>
      <c r="F233" s="132"/>
      <c r="G233" s="153"/>
      <c r="H233" s="153"/>
      <c r="I233" s="153"/>
      <c r="J233" s="145"/>
    </row>
    <row r="234" spans="2:10" ht="15.75" customHeight="1">
      <c r="B234" s="153"/>
      <c r="C234" s="153"/>
      <c r="D234" s="132"/>
      <c r="E234" s="132"/>
      <c r="F234" s="132"/>
      <c r="G234" s="153"/>
      <c r="H234" s="153"/>
      <c r="I234" s="153"/>
      <c r="J234" s="145"/>
    </row>
    <row r="235" spans="2:10" ht="15.75" customHeight="1">
      <c r="B235" s="153"/>
      <c r="C235" s="153"/>
      <c r="D235" s="132"/>
      <c r="E235" s="132"/>
      <c r="F235" s="132"/>
      <c r="G235" s="153"/>
      <c r="H235" s="153"/>
      <c r="I235" s="153"/>
      <c r="J235" s="145"/>
    </row>
    <row r="236" spans="2:10" ht="15.75" customHeight="1">
      <c r="B236" s="153"/>
      <c r="C236" s="153"/>
      <c r="D236" s="132"/>
      <c r="E236" s="132"/>
      <c r="F236" s="132"/>
      <c r="G236" s="153"/>
      <c r="H236" s="153"/>
      <c r="I236" s="153"/>
      <c r="J236" s="145"/>
    </row>
    <row r="237" spans="2:10" ht="15.75" customHeight="1">
      <c r="B237" s="153"/>
      <c r="C237" s="153"/>
      <c r="D237" s="132"/>
      <c r="E237" s="132"/>
      <c r="F237" s="132"/>
      <c r="G237" s="153"/>
      <c r="H237" s="153"/>
      <c r="I237" s="153"/>
      <c r="J237" s="145"/>
    </row>
    <row r="238" spans="2:10" ht="15.75" customHeight="1">
      <c r="B238" s="153"/>
      <c r="C238" s="153"/>
      <c r="D238" s="132"/>
      <c r="E238" s="132"/>
      <c r="F238" s="132"/>
      <c r="G238" s="153"/>
      <c r="H238" s="153"/>
      <c r="I238" s="153"/>
      <c r="J238" s="145"/>
    </row>
    <row r="239" spans="2:10" ht="15.75" customHeight="1">
      <c r="B239" s="153"/>
      <c r="C239" s="153"/>
      <c r="D239" s="132"/>
      <c r="E239" s="132"/>
      <c r="F239" s="132"/>
      <c r="G239" s="153"/>
      <c r="H239" s="153"/>
      <c r="I239" s="153"/>
      <c r="J239" s="145"/>
    </row>
    <row r="240" spans="2:10" ht="15.75" customHeight="1">
      <c r="B240" s="153"/>
      <c r="C240" s="153"/>
      <c r="D240" s="132"/>
      <c r="E240" s="132"/>
      <c r="F240" s="132"/>
      <c r="G240" s="153"/>
      <c r="H240" s="153"/>
      <c r="I240" s="153"/>
      <c r="J240" s="145"/>
    </row>
    <row r="241" spans="2:10" ht="15.75" customHeight="1">
      <c r="B241" s="153"/>
      <c r="C241" s="153"/>
      <c r="D241" s="132"/>
      <c r="E241" s="132"/>
      <c r="F241" s="132"/>
      <c r="G241" s="153"/>
      <c r="H241" s="153"/>
      <c r="I241" s="153"/>
      <c r="J241" s="145"/>
    </row>
    <row r="242" spans="2:10" ht="15.75" customHeight="1">
      <c r="B242" s="153"/>
      <c r="C242" s="153"/>
      <c r="D242" s="132"/>
      <c r="E242" s="132"/>
      <c r="F242" s="132"/>
      <c r="G242" s="153"/>
      <c r="H242" s="153"/>
      <c r="I242" s="153"/>
      <c r="J242" s="145"/>
    </row>
    <row r="243" spans="2:10" ht="15.75" customHeight="1">
      <c r="B243" s="153"/>
      <c r="C243" s="153"/>
      <c r="D243" s="132"/>
      <c r="E243" s="132"/>
      <c r="F243" s="132"/>
      <c r="G243" s="153"/>
      <c r="H243" s="153"/>
      <c r="I243" s="153"/>
      <c r="J243" s="145"/>
    </row>
    <row r="244" spans="2:10" ht="15.75" customHeight="1">
      <c r="B244" s="153"/>
      <c r="C244" s="153"/>
      <c r="D244" s="132"/>
      <c r="E244" s="132"/>
      <c r="F244" s="132"/>
      <c r="G244" s="153"/>
      <c r="H244" s="153"/>
      <c r="I244" s="153"/>
      <c r="J244" s="145"/>
    </row>
    <row r="245" spans="2:10" ht="15.75" customHeight="1">
      <c r="B245" s="153"/>
      <c r="C245" s="153"/>
      <c r="D245" s="132"/>
      <c r="E245" s="132"/>
      <c r="F245" s="132"/>
      <c r="G245" s="153"/>
      <c r="H245" s="153"/>
      <c r="I245" s="153"/>
      <c r="J245" s="145"/>
    </row>
    <row r="246" spans="2:10" ht="15.75" customHeight="1">
      <c r="B246" s="153"/>
      <c r="C246" s="153"/>
      <c r="D246" s="132"/>
      <c r="E246" s="132"/>
      <c r="F246" s="132"/>
      <c r="G246" s="153"/>
      <c r="H246" s="153"/>
      <c r="I246" s="153"/>
      <c r="J246" s="145"/>
    </row>
    <row r="247" spans="2:10" ht="15.75" customHeight="1">
      <c r="B247" s="153"/>
      <c r="C247" s="153"/>
      <c r="D247" s="132"/>
      <c r="E247" s="132"/>
      <c r="F247" s="132"/>
      <c r="G247" s="153"/>
      <c r="H247" s="153"/>
      <c r="I247" s="153"/>
      <c r="J247" s="145"/>
    </row>
    <row r="248" spans="2:10" ht="15.75" customHeight="1">
      <c r="B248" s="153"/>
      <c r="C248" s="153"/>
      <c r="D248" s="132"/>
      <c r="E248" s="132"/>
      <c r="F248" s="132"/>
      <c r="G248" s="153"/>
      <c r="H248" s="153"/>
      <c r="I248" s="153"/>
      <c r="J248" s="145"/>
    </row>
    <row r="249" spans="2:10" ht="15.75" customHeight="1">
      <c r="B249" s="153"/>
      <c r="C249" s="153"/>
      <c r="D249" s="132"/>
      <c r="E249" s="132"/>
      <c r="F249" s="132"/>
      <c r="G249" s="153"/>
      <c r="H249" s="153"/>
      <c r="I249" s="153"/>
      <c r="J249" s="145"/>
    </row>
    <row r="250" spans="2:10" ht="15.75" customHeight="1">
      <c r="B250" s="153"/>
      <c r="C250" s="153"/>
      <c r="D250" s="132"/>
      <c r="E250" s="132"/>
      <c r="F250" s="132"/>
      <c r="G250" s="153"/>
      <c r="H250" s="153"/>
      <c r="I250" s="153"/>
      <c r="J250" s="145"/>
    </row>
    <row r="251" spans="2:10" ht="15.75" customHeight="1">
      <c r="B251" s="153"/>
      <c r="C251" s="153"/>
      <c r="D251" s="132"/>
      <c r="E251" s="132"/>
      <c r="F251" s="132"/>
      <c r="G251" s="153"/>
      <c r="H251" s="153"/>
      <c r="I251" s="153"/>
      <c r="J251" s="145"/>
    </row>
    <row r="252" spans="2:10" ht="15.75" customHeight="1">
      <c r="B252" s="153"/>
      <c r="C252" s="153"/>
      <c r="D252" s="132"/>
      <c r="E252" s="132"/>
      <c r="F252" s="132"/>
      <c r="G252" s="153"/>
      <c r="H252" s="153"/>
      <c r="I252" s="153"/>
      <c r="J252" s="145"/>
    </row>
    <row r="253" spans="2:10" ht="15.75" customHeight="1">
      <c r="B253" s="153"/>
      <c r="C253" s="153"/>
      <c r="D253" s="132"/>
      <c r="E253" s="132"/>
      <c r="F253" s="132"/>
      <c r="G253" s="153"/>
      <c r="H253" s="153"/>
      <c r="I253" s="153"/>
      <c r="J253" s="145"/>
    </row>
    <row r="254" spans="2:10" ht="15.75" customHeight="1">
      <c r="B254" s="153"/>
      <c r="C254" s="153"/>
      <c r="D254" s="132"/>
      <c r="E254" s="132"/>
      <c r="F254" s="132"/>
      <c r="G254" s="153"/>
      <c r="H254" s="153"/>
      <c r="I254" s="153"/>
      <c r="J254" s="145"/>
    </row>
    <row r="255" spans="2:10" ht="15.75" customHeight="1">
      <c r="B255" s="153"/>
      <c r="C255" s="153"/>
      <c r="D255" s="132"/>
      <c r="E255" s="132"/>
      <c r="F255" s="132"/>
      <c r="G255" s="153"/>
      <c r="H255" s="153"/>
      <c r="I255" s="153"/>
      <c r="J255" s="145"/>
    </row>
    <row r="256" spans="2:10" ht="15.75" customHeight="1">
      <c r="B256" s="153"/>
      <c r="C256" s="153"/>
      <c r="D256" s="132"/>
      <c r="E256" s="132"/>
      <c r="F256" s="132"/>
      <c r="G256" s="153"/>
      <c r="H256" s="153"/>
      <c r="I256" s="153"/>
      <c r="J256" s="145"/>
    </row>
    <row r="257" spans="2:10" ht="15.75" customHeight="1">
      <c r="B257" s="153"/>
      <c r="C257" s="153"/>
      <c r="D257" s="132"/>
      <c r="E257" s="132"/>
      <c r="F257" s="132"/>
      <c r="G257" s="153"/>
      <c r="H257" s="153"/>
      <c r="I257" s="153"/>
      <c r="J257" s="145"/>
    </row>
    <row r="258" spans="2:10" ht="15.75" customHeight="1">
      <c r="B258" s="153"/>
      <c r="C258" s="153"/>
      <c r="D258" s="132"/>
      <c r="E258" s="132"/>
      <c r="F258" s="132"/>
      <c r="G258" s="153"/>
      <c r="H258" s="153"/>
      <c r="I258" s="153"/>
      <c r="J258" s="145"/>
    </row>
    <row r="259" spans="2:10" ht="15.75" customHeight="1">
      <c r="B259" s="153"/>
      <c r="C259" s="153"/>
      <c r="D259" s="132"/>
      <c r="E259" s="132"/>
      <c r="F259" s="132"/>
      <c r="G259" s="153"/>
      <c r="H259" s="153"/>
      <c r="I259" s="153"/>
      <c r="J259" s="145"/>
    </row>
    <row r="260" spans="2:10" ht="15.75" customHeight="1">
      <c r="B260" s="153"/>
      <c r="C260" s="153"/>
      <c r="D260" s="132"/>
      <c r="E260" s="132"/>
      <c r="F260" s="132"/>
      <c r="G260" s="153"/>
      <c r="H260" s="153"/>
      <c r="I260" s="153"/>
      <c r="J260" s="145"/>
    </row>
    <row r="261" spans="2:10" ht="15.75" customHeight="1">
      <c r="B261" s="153"/>
      <c r="C261" s="153"/>
      <c r="D261" s="132"/>
      <c r="E261" s="132"/>
      <c r="F261" s="132"/>
      <c r="G261" s="153"/>
      <c r="H261" s="153"/>
      <c r="I261" s="153"/>
      <c r="J261" s="145"/>
    </row>
    <row r="262" spans="2:10" ht="15.75" customHeight="1">
      <c r="B262" s="153"/>
      <c r="C262" s="153"/>
      <c r="D262" s="132"/>
      <c r="E262" s="132"/>
      <c r="F262" s="132"/>
      <c r="G262" s="153"/>
      <c r="H262" s="153"/>
      <c r="I262" s="153"/>
      <c r="J262" s="145"/>
    </row>
    <row r="263" spans="2:10" ht="15.75" customHeight="1">
      <c r="B263" s="153"/>
      <c r="C263" s="153"/>
      <c r="D263" s="132"/>
      <c r="E263" s="132"/>
      <c r="F263" s="132"/>
      <c r="G263" s="153"/>
      <c r="H263" s="153"/>
      <c r="I263" s="153"/>
      <c r="J263" s="145"/>
    </row>
    <row r="264" spans="2:10" ht="15.75" customHeight="1">
      <c r="B264" s="153"/>
      <c r="C264" s="153"/>
      <c r="D264" s="132"/>
      <c r="E264" s="132"/>
      <c r="F264" s="132"/>
      <c r="G264" s="153"/>
      <c r="H264" s="153"/>
      <c r="I264" s="153"/>
      <c r="J264" s="145"/>
    </row>
    <row r="265" spans="2:10" ht="15.75" customHeight="1">
      <c r="B265" s="153"/>
      <c r="C265" s="153"/>
      <c r="D265" s="132"/>
      <c r="E265" s="132"/>
      <c r="F265" s="132"/>
      <c r="G265" s="153"/>
      <c r="H265" s="153"/>
      <c r="I265" s="153"/>
      <c r="J265" s="145"/>
    </row>
    <row r="266" spans="2:10" ht="15.75" customHeight="1">
      <c r="B266" s="153"/>
      <c r="C266" s="153"/>
      <c r="D266" s="132"/>
      <c r="E266" s="132"/>
      <c r="F266" s="132"/>
      <c r="G266" s="153"/>
      <c r="H266" s="153"/>
      <c r="I266" s="153"/>
      <c r="J266" s="145"/>
    </row>
    <row r="267" spans="2:10" ht="15.75" customHeight="1">
      <c r="B267" s="153"/>
      <c r="C267" s="153"/>
      <c r="D267" s="132"/>
      <c r="E267" s="132"/>
      <c r="F267" s="132"/>
      <c r="G267" s="153"/>
      <c r="H267" s="153"/>
      <c r="I267" s="153"/>
      <c r="J267" s="145"/>
    </row>
    <row r="268" spans="2:10" ht="15.75" customHeight="1">
      <c r="B268" s="153"/>
      <c r="C268" s="153"/>
      <c r="D268" s="132"/>
      <c r="E268" s="132"/>
      <c r="F268" s="132"/>
      <c r="G268" s="153"/>
      <c r="H268" s="153"/>
      <c r="I268" s="153"/>
      <c r="J268" s="145"/>
    </row>
    <row r="269" spans="2:10" ht="15.75" customHeight="1">
      <c r="B269" s="153"/>
      <c r="C269" s="153"/>
      <c r="D269" s="132"/>
      <c r="E269" s="132"/>
      <c r="F269" s="132"/>
      <c r="G269" s="153"/>
      <c r="H269" s="153"/>
      <c r="I269" s="153"/>
      <c r="J269" s="145"/>
    </row>
    <row r="270" spans="2:10" ht="15.75" customHeight="1">
      <c r="B270" s="153"/>
      <c r="C270" s="153"/>
      <c r="D270" s="132"/>
      <c r="E270" s="132"/>
      <c r="F270" s="132"/>
      <c r="G270" s="153"/>
      <c r="H270" s="153"/>
      <c r="I270" s="153"/>
      <c r="J270" s="145"/>
    </row>
    <row r="271" spans="2:10" ht="15.75" customHeight="1">
      <c r="B271" s="153"/>
      <c r="C271" s="153"/>
      <c r="D271" s="132"/>
      <c r="E271" s="132"/>
      <c r="F271" s="132"/>
      <c r="G271" s="153"/>
      <c r="H271" s="153"/>
      <c r="I271" s="153"/>
      <c r="J271" s="145"/>
    </row>
    <row r="272" spans="2:10" ht="15.75" customHeight="1">
      <c r="B272" s="153"/>
      <c r="C272" s="153"/>
      <c r="D272" s="132"/>
      <c r="E272" s="132"/>
      <c r="F272" s="132"/>
      <c r="G272" s="153"/>
      <c r="H272" s="153"/>
      <c r="I272" s="153"/>
      <c r="J272" s="145"/>
    </row>
    <row r="273" spans="2:10" ht="15.75" customHeight="1">
      <c r="B273" s="153"/>
      <c r="C273" s="153"/>
      <c r="D273" s="132"/>
      <c r="E273" s="132"/>
      <c r="F273" s="132"/>
      <c r="G273" s="153"/>
      <c r="H273" s="153"/>
      <c r="I273" s="153"/>
      <c r="J273" s="145"/>
    </row>
    <row r="274" spans="2:10" ht="15.75" customHeight="1">
      <c r="B274" s="153"/>
      <c r="C274" s="153"/>
      <c r="D274" s="132"/>
      <c r="E274" s="132"/>
      <c r="F274" s="132"/>
      <c r="G274" s="153"/>
      <c r="H274" s="153"/>
      <c r="I274" s="153"/>
      <c r="J274" s="145"/>
    </row>
    <row r="275" spans="2:10" ht="15.75" customHeight="1">
      <c r="B275" s="153"/>
      <c r="C275" s="153"/>
      <c r="D275" s="132"/>
      <c r="E275" s="132"/>
      <c r="F275" s="132"/>
      <c r="G275" s="153"/>
      <c r="H275" s="153"/>
      <c r="I275" s="153"/>
      <c r="J275" s="145"/>
    </row>
    <row r="276" spans="2:10" ht="15.75" customHeight="1">
      <c r="B276" s="153"/>
      <c r="C276" s="153"/>
      <c r="D276" s="132"/>
      <c r="E276" s="132"/>
      <c r="F276" s="132"/>
      <c r="G276" s="153"/>
      <c r="H276" s="153"/>
      <c r="I276" s="153"/>
      <c r="J276" s="145"/>
    </row>
    <row r="277" spans="2:10" ht="15.75" customHeight="1">
      <c r="B277" s="153"/>
      <c r="C277" s="153"/>
      <c r="D277" s="132"/>
      <c r="E277" s="132"/>
      <c r="F277" s="132"/>
      <c r="G277" s="153"/>
      <c r="H277" s="153"/>
      <c r="I277" s="153"/>
      <c r="J277" s="145"/>
    </row>
    <row r="278" spans="2:10" ht="15.75" customHeight="1">
      <c r="B278" s="153"/>
      <c r="C278" s="153"/>
      <c r="D278" s="132"/>
      <c r="E278" s="132"/>
      <c r="F278" s="132"/>
      <c r="G278" s="153"/>
      <c r="H278" s="153"/>
      <c r="I278" s="153"/>
      <c r="J278" s="145"/>
    </row>
    <row r="279" spans="2:10" ht="15.75" customHeight="1">
      <c r="B279" s="153"/>
      <c r="C279" s="153"/>
      <c r="D279" s="132"/>
      <c r="E279" s="132"/>
      <c r="F279" s="132"/>
      <c r="G279" s="153"/>
      <c r="H279" s="153"/>
      <c r="I279" s="153"/>
      <c r="J279" s="145"/>
    </row>
    <row r="280" spans="2:10" ht="15.75" customHeight="1">
      <c r="B280" s="153"/>
      <c r="C280" s="153"/>
      <c r="D280" s="132"/>
      <c r="E280" s="132"/>
      <c r="F280" s="132"/>
      <c r="G280" s="153"/>
      <c r="H280" s="153"/>
      <c r="I280" s="153"/>
      <c r="J280" s="145"/>
    </row>
    <row r="281" spans="2:10" ht="15.75" customHeight="1">
      <c r="B281" s="153"/>
      <c r="C281" s="153"/>
      <c r="D281" s="132"/>
      <c r="E281" s="132"/>
      <c r="F281" s="132"/>
      <c r="G281" s="153"/>
      <c r="H281" s="153"/>
      <c r="I281" s="153"/>
      <c r="J281" s="145"/>
    </row>
    <row r="282" spans="2:10" ht="15.75" customHeight="1">
      <c r="B282" s="153"/>
      <c r="C282" s="153"/>
      <c r="D282" s="132"/>
      <c r="E282" s="132"/>
      <c r="F282" s="132"/>
      <c r="G282" s="153"/>
      <c r="H282" s="153"/>
      <c r="I282" s="153"/>
      <c r="J282" s="145"/>
    </row>
    <row r="283" spans="2:10" ht="15.75" customHeight="1">
      <c r="B283" s="153"/>
      <c r="C283" s="153"/>
      <c r="D283" s="132"/>
      <c r="E283" s="132"/>
      <c r="F283" s="132"/>
      <c r="G283" s="153"/>
      <c r="H283" s="153"/>
      <c r="I283" s="153"/>
      <c r="J283" s="145"/>
    </row>
    <row r="284" spans="2:10" ht="15.75" customHeight="1">
      <c r="B284" s="153"/>
      <c r="C284" s="153"/>
      <c r="D284" s="132"/>
      <c r="E284" s="132"/>
      <c r="F284" s="132"/>
      <c r="G284" s="153"/>
      <c r="H284" s="153"/>
      <c r="I284" s="153"/>
      <c r="J284" s="145"/>
    </row>
    <row r="285" spans="2:10" ht="15.75" customHeight="1">
      <c r="B285" s="153"/>
      <c r="C285" s="153"/>
      <c r="D285" s="132"/>
      <c r="E285" s="132"/>
      <c r="F285" s="132"/>
      <c r="G285" s="153"/>
      <c r="H285" s="153"/>
      <c r="I285" s="153"/>
      <c r="J285" s="145"/>
    </row>
    <row r="286" spans="2:10" ht="15.75" customHeight="1">
      <c r="B286" s="153"/>
      <c r="C286" s="153"/>
      <c r="D286" s="132"/>
      <c r="E286" s="132"/>
      <c r="F286" s="132"/>
      <c r="G286" s="153"/>
      <c r="H286" s="153"/>
      <c r="I286" s="153"/>
      <c r="J286" s="145"/>
    </row>
    <row r="287" spans="2:10" ht="15.75" customHeight="1">
      <c r="B287" s="153"/>
      <c r="C287" s="153"/>
      <c r="D287" s="132"/>
      <c r="E287" s="132"/>
      <c r="F287" s="132"/>
      <c r="G287" s="153"/>
      <c r="H287" s="153"/>
      <c r="I287" s="153"/>
      <c r="J287" s="145"/>
    </row>
    <row r="288" spans="2:10" ht="15.75" customHeight="1">
      <c r="B288" s="153"/>
      <c r="C288" s="153"/>
      <c r="D288" s="132"/>
      <c r="E288" s="132"/>
      <c r="F288" s="132"/>
      <c r="G288" s="153"/>
      <c r="H288" s="153"/>
      <c r="I288" s="153"/>
      <c r="J288" s="145"/>
    </row>
    <row r="289" spans="2:10" ht="15.75" customHeight="1">
      <c r="B289" s="153"/>
      <c r="C289" s="153"/>
      <c r="D289" s="132"/>
      <c r="E289" s="132"/>
      <c r="F289" s="132"/>
      <c r="G289" s="153"/>
      <c r="H289" s="153"/>
      <c r="I289" s="153"/>
      <c r="J289" s="145"/>
    </row>
    <row r="290" spans="2:10" ht="15.75" customHeight="1">
      <c r="B290" s="153"/>
      <c r="C290" s="153"/>
      <c r="D290" s="132"/>
      <c r="E290" s="132"/>
      <c r="F290" s="132"/>
      <c r="G290" s="153"/>
      <c r="H290" s="153"/>
      <c r="I290" s="153"/>
      <c r="J290" s="145"/>
    </row>
    <row r="291" spans="2:10" ht="15.75" customHeight="1">
      <c r="B291" s="153"/>
      <c r="C291" s="153"/>
      <c r="D291" s="132"/>
      <c r="E291" s="132"/>
      <c r="F291" s="132"/>
      <c r="G291" s="153"/>
      <c r="H291" s="153"/>
      <c r="I291" s="153"/>
      <c r="J291" s="145"/>
    </row>
    <row r="292" spans="2:10" ht="15.75" customHeight="1">
      <c r="B292" s="153"/>
      <c r="C292" s="153"/>
      <c r="D292" s="132"/>
      <c r="E292" s="132"/>
      <c r="F292" s="132"/>
      <c r="G292" s="153"/>
      <c r="H292" s="153"/>
      <c r="I292" s="153"/>
      <c r="J292" s="145"/>
    </row>
    <row r="293" spans="2:10" ht="15.75" customHeight="1">
      <c r="B293" s="153"/>
      <c r="C293" s="153"/>
      <c r="D293" s="132"/>
      <c r="E293" s="132"/>
      <c r="F293" s="132"/>
      <c r="G293" s="153"/>
      <c r="H293" s="153"/>
      <c r="I293" s="153"/>
      <c r="J293" s="145"/>
    </row>
    <row r="294" spans="2:10" ht="15.75" customHeight="1">
      <c r="B294" s="153"/>
      <c r="C294" s="153"/>
      <c r="D294" s="132"/>
      <c r="E294" s="132"/>
      <c r="F294" s="132"/>
      <c r="G294" s="153"/>
      <c r="H294" s="153"/>
      <c r="I294" s="153"/>
      <c r="J294" s="145"/>
    </row>
    <row r="295" spans="2:10" ht="15.75" customHeight="1">
      <c r="B295" s="153"/>
      <c r="C295" s="153"/>
      <c r="D295" s="132"/>
      <c r="E295" s="132"/>
      <c r="F295" s="132"/>
      <c r="G295" s="153"/>
      <c r="H295" s="153"/>
      <c r="I295" s="153"/>
      <c r="J295" s="145"/>
    </row>
    <row r="296" spans="2:10" ht="15.75" customHeight="1">
      <c r="B296" s="153"/>
      <c r="C296" s="153"/>
      <c r="D296" s="132"/>
      <c r="E296" s="132"/>
      <c r="F296" s="132"/>
      <c r="G296" s="153"/>
      <c r="H296" s="153"/>
      <c r="I296" s="153"/>
      <c r="J296" s="145"/>
    </row>
    <row r="297" spans="2:10" ht="15.75" customHeight="1">
      <c r="B297" s="153"/>
      <c r="C297" s="153"/>
      <c r="D297" s="132"/>
      <c r="E297" s="132"/>
      <c r="F297" s="132"/>
      <c r="G297" s="153"/>
      <c r="H297" s="153"/>
      <c r="I297" s="153"/>
      <c r="J297" s="145"/>
    </row>
    <row r="298" spans="2:10" ht="15.75" customHeight="1">
      <c r="B298" s="153"/>
      <c r="C298" s="153"/>
      <c r="D298" s="132"/>
      <c r="E298" s="132"/>
      <c r="F298" s="132"/>
      <c r="G298" s="153"/>
      <c r="H298" s="153"/>
      <c r="I298" s="153"/>
      <c r="J298" s="145"/>
    </row>
    <row r="299" spans="2:10" ht="15.75" customHeight="1">
      <c r="B299" s="153"/>
      <c r="C299" s="153"/>
      <c r="D299" s="132"/>
      <c r="E299" s="132"/>
      <c r="F299" s="132"/>
      <c r="G299" s="153"/>
      <c r="H299" s="153"/>
      <c r="I299" s="153"/>
      <c r="J299" s="145"/>
    </row>
    <row r="300" spans="2:10" ht="15.75" customHeight="1">
      <c r="B300" s="153"/>
      <c r="C300" s="153"/>
      <c r="D300" s="132"/>
      <c r="E300" s="132"/>
      <c r="F300" s="132"/>
      <c r="G300" s="153"/>
      <c r="H300" s="153"/>
      <c r="I300" s="153"/>
      <c r="J300" s="145"/>
    </row>
    <row r="301" spans="2:10" ht="15.75" customHeight="1">
      <c r="B301" s="153"/>
      <c r="C301" s="153"/>
      <c r="D301" s="132"/>
      <c r="E301" s="132"/>
      <c r="F301" s="132"/>
      <c r="G301" s="153"/>
      <c r="H301" s="153"/>
      <c r="I301" s="153"/>
      <c r="J301" s="145"/>
    </row>
    <row r="302" spans="2:10" ht="15.75" customHeight="1">
      <c r="B302" s="153"/>
      <c r="C302" s="153"/>
      <c r="D302" s="132"/>
      <c r="E302" s="132"/>
      <c r="F302" s="132"/>
      <c r="G302" s="153"/>
      <c r="H302" s="153"/>
      <c r="I302" s="153"/>
      <c r="J302" s="145"/>
    </row>
    <row r="303" spans="2:10" ht="15.75" customHeight="1">
      <c r="B303" s="153"/>
      <c r="C303" s="153"/>
      <c r="D303" s="132"/>
      <c r="E303" s="132"/>
      <c r="F303" s="132"/>
      <c r="G303" s="153"/>
      <c r="H303" s="153"/>
      <c r="I303" s="153"/>
      <c r="J303" s="145"/>
    </row>
    <row r="304" spans="2:10" ht="15.75" customHeight="1">
      <c r="B304" s="153"/>
      <c r="C304" s="153"/>
      <c r="D304" s="132"/>
      <c r="E304" s="132"/>
      <c r="F304" s="132"/>
      <c r="G304" s="153"/>
      <c r="H304" s="153"/>
      <c r="I304" s="153"/>
      <c r="J304" s="145"/>
    </row>
    <row r="305" spans="2:10" ht="15.75" customHeight="1">
      <c r="B305" s="153"/>
      <c r="C305" s="153"/>
      <c r="D305" s="132"/>
      <c r="E305" s="132"/>
      <c r="F305" s="132"/>
      <c r="G305" s="153"/>
      <c r="H305" s="153"/>
      <c r="I305" s="153"/>
      <c r="J305" s="145"/>
    </row>
    <row r="306" spans="2:10" ht="15.75" customHeight="1">
      <c r="B306" s="153"/>
      <c r="C306" s="153"/>
      <c r="D306" s="132"/>
      <c r="E306" s="132"/>
      <c r="F306" s="132"/>
      <c r="G306" s="153"/>
      <c r="H306" s="153"/>
      <c r="I306" s="153"/>
      <c r="J306" s="145"/>
    </row>
    <row r="307" spans="2:10" ht="15.75" customHeight="1">
      <c r="B307" s="153"/>
      <c r="C307" s="153"/>
      <c r="D307" s="132"/>
      <c r="E307" s="132"/>
      <c r="F307" s="132"/>
      <c r="G307" s="153"/>
      <c r="H307" s="153"/>
      <c r="I307" s="153"/>
      <c r="J307" s="145"/>
    </row>
    <row r="308" spans="2:10" ht="15.75" customHeight="1">
      <c r="B308" s="153"/>
      <c r="C308" s="153"/>
      <c r="D308" s="132"/>
      <c r="E308" s="132"/>
      <c r="F308" s="132"/>
      <c r="G308" s="153"/>
      <c r="H308" s="153"/>
      <c r="I308" s="153"/>
      <c r="J308" s="145"/>
    </row>
    <row r="309" spans="2:10" ht="15.75" customHeight="1">
      <c r="B309" s="153"/>
      <c r="C309" s="153"/>
      <c r="D309" s="132"/>
      <c r="E309" s="132"/>
      <c r="F309" s="132"/>
      <c r="G309" s="153"/>
      <c r="H309" s="153"/>
      <c r="I309" s="153"/>
      <c r="J309" s="145"/>
    </row>
    <row r="310" spans="2:10" ht="15.75" customHeight="1">
      <c r="B310" s="153"/>
      <c r="C310" s="153"/>
      <c r="D310" s="132"/>
      <c r="E310" s="132"/>
      <c r="F310" s="132"/>
      <c r="G310" s="153"/>
      <c r="H310" s="153"/>
      <c r="I310" s="153"/>
      <c r="J310" s="145"/>
    </row>
    <row r="311" spans="2:10" ht="15.75" customHeight="1">
      <c r="B311" s="153"/>
      <c r="C311" s="153"/>
      <c r="D311" s="132"/>
      <c r="E311" s="132"/>
      <c r="F311" s="132"/>
      <c r="G311" s="153"/>
      <c r="H311" s="153"/>
      <c r="I311" s="153"/>
      <c r="J311" s="145"/>
    </row>
    <row r="312" spans="2:10" ht="15.75" customHeight="1">
      <c r="B312" s="153"/>
      <c r="C312" s="153"/>
      <c r="D312" s="132"/>
      <c r="E312" s="132"/>
      <c r="F312" s="132"/>
      <c r="G312" s="153"/>
      <c r="H312" s="153"/>
      <c r="I312" s="153"/>
      <c r="J312" s="145"/>
    </row>
    <row r="313" spans="2:10" ht="15.75" customHeight="1">
      <c r="B313" s="153"/>
      <c r="C313" s="153"/>
      <c r="D313" s="132"/>
      <c r="E313" s="132"/>
      <c r="F313" s="132"/>
      <c r="G313" s="153"/>
      <c r="H313" s="153"/>
      <c r="I313" s="153"/>
      <c r="J313" s="145"/>
    </row>
    <row r="314" spans="2:10" ht="15.75" customHeight="1">
      <c r="B314" s="153"/>
      <c r="C314" s="153"/>
      <c r="D314" s="132"/>
      <c r="E314" s="132"/>
      <c r="F314" s="132"/>
      <c r="G314" s="153"/>
      <c r="H314" s="153"/>
      <c r="I314" s="153"/>
      <c r="J314" s="145"/>
    </row>
    <row r="315" spans="2:10" ht="15.75" customHeight="1">
      <c r="B315" s="153"/>
      <c r="C315" s="153"/>
      <c r="D315" s="132"/>
      <c r="E315" s="132"/>
      <c r="F315" s="132"/>
      <c r="G315" s="153"/>
      <c r="H315" s="153"/>
      <c r="I315" s="153"/>
      <c r="J315" s="145"/>
    </row>
    <row r="316" spans="2:10" ht="15.75" customHeight="1">
      <c r="B316" s="153"/>
      <c r="C316" s="153"/>
      <c r="D316" s="132"/>
      <c r="E316" s="132"/>
      <c r="F316" s="132"/>
      <c r="G316" s="153"/>
      <c r="H316" s="153"/>
      <c r="I316" s="153"/>
      <c r="J316" s="145"/>
    </row>
    <row r="317" spans="2:10" ht="15.75" customHeight="1">
      <c r="B317" s="153"/>
      <c r="C317" s="153"/>
      <c r="D317" s="132"/>
      <c r="E317" s="132"/>
      <c r="F317" s="132"/>
      <c r="G317" s="153"/>
      <c r="H317" s="153"/>
      <c r="I317" s="153"/>
      <c r="J317" s="145"/>
    </row>
    <row r="318" spans="2:10" ht="15.75" customHeight="1">
      <c r="B318" s="153"/>
      <c r="C318" s="153"/>
      <c r="D318" s="132"/>
      <c r="E318" s="132"/>
      <c r="F318" s="132"/>
      <c r="G318" s="153"/>
      <c r="H318" s="153"/>
      <c r="I318" s="153"/>
      <c r="J318" s="145"/>
    </row>
    <row r="319" spans="2:10" ht="15.75" customHeight="1">
      <c r="B319" s="153"/>
      <c r="C319" s="153"/>
      <c r="D319" s="132"/>
      <c r="E319" s="132"/>
      <c r="F319" s="132"/>
      <c r="G319" s="153"/>
      <c r="H319" s="153"/>
      <c r="I319" s="153"/>
      <c r="J319" s="145"/>
    </row>
    <row r="320" spans="2:10" ht="15.75" customHeight="1">
      <c r="B320" s="153"/>
      <c r="C320" s="153"/>
      <c r="D320" s="132"/>
      <c r="E320" s="132"/>
      <c r="F320" s="132"/>
      <c r="G320" s="153"/>
      <c r="H320" s="153"/>
      <c r="I320" s="153"/>
      <c r="J320" s="145"/>
    </row>
    <row r="321" spans="2:10" ht="15.75" customHeight="1">
      <c r="B321" s="153"/>
      <c r="C321" s="153"/>
      <c r="D321" s="132"/>
      <c r="E321" s="132"/>
      <c r="F321" s="132"/>
      <c r="G321" s="153"/>
      <c r="H321" s="153"/>
      <c r="I321" s="153"/>
      <c r="J321" s="145"/>
    </row>
    <row r="322" spans="2:10" ht="15.75" customHeight="1">
      <c r="B322" s="153"/>
      <c r="C322" s="153"/>
      <c r="D322" s="132"/>
      <c r="E322" s="132"/>
      <c r="F322" s="132"/>
      <c r="G322" s="153"/>
      <c r="H322" s="153"/>
      <c r="I322" s="153"/>
      <c r="J322" s="145"/>
    </row>
    <row r="323" spans="2:10" ht="15.75" customHeight="1">
      <c r="B323" s="153"/>
      <c r="C323" s="153"/>
      <c r="D323" s="132"/>
      <c r="E323" s="132"/>
      <c r="F323" s="132"/>
      <c r="G323" s="153"/>
      <c r="H323" s="153"/>
      <c r="I323" s="153"/>
      <c r="J323" s="145"/>
    </row>
    <row r="324" spans="2:10" ht="15.75" customHeight="1">
      <c r="B324" s="153"/>
      <c r="C324" s="153"/>
      <c r="D324" s="132"/>
      <c r="E324" s="132"/>
      <c r="F324" s="132"/>
      <c r="G324" s="153"/>
      <c r="H324" s="153"/>
      <c r="I324" s="153"/>
      <c r="J324" s="145"/>
    </row>
    <row r="325" spans="2:10" ht="15.75" customHeight="1">
      <c r="B325" s="153"/>
      <c r="C325" s="153"/>
      <c r="D325" s="132"/>
      <c r="E325" s="132"/>
      <c r="F325" s="132"/>
      <c r="G325" s="153"/>
      <c r="H325" s="153"/>
      <c r="I325" s="153"/>
      <c r="J325" s="145"/>
    </row>
    <row r="326" spans="2:10" ht="15.75" customHeight="1">
      <c r="B326" s="153"/>
      <c r="C326" s="153"/>
      <c r="D326" s="132"/>
      <c r="E326" s="132"/>
      <c r="F326" s="132"/>
      <c r="G326" s="153"/>
      <c r="H326" s="153"/>
      <c r="I326" s="153"/>
      <c r="J326" s="145"/>
    </row>
    <row r="327" spans="2:10" ht="15.75" customHeight="1">
      <c r="B327" s="153"/>
      <c r="C327" s="153"/>
      <c r="D327" s="132"/>
      <c r="E327" s="132"/>
      <c r="F327" s="132"/>
      <c r="G327" s="153"/>
      <c r="H327" s="153"/>
      <c r="I327" s="153"/>
      <c r="J327" s="145"/>
    </row>
    <row r="328" spans="2:10" ht="15.75" customHeight="1">
      <c r="B328" s="153"/>
      <c r="C328" s="153"/>
      <c r="D328" s="132"/>
      <c r="E328" s="132"/>
      <c r="F328" s="132"/>
      <c r="G328" s="153"/>
      <c r="H328" s="153"/>
      <c r="I328" s="153"/>
      <c r="J328" s="145"/>
    </row>
    <row r="329" spans="2:10" ht="15.75" customHeight="1">
      <c r="B329" s="153"/>
      <c r="C329" s="153"/>
      <c r="D329" s="132"/>
      <c r="E329" s="132"/>
      <c r="F329" s="132"/>
      <c r="G329" s="153"/>
      <c r="H329" s="153"/>
      <c r="I329" s="153"/>
      <c r="J329" s="145"/>
    </row>
    <row r="330" spans="2:10" ht="15.75" customHeight="1">
      <c r="B330" s="153"/>
      <c r="C330" s="153"/>
      <c r="D330" s="132"/>
      <c r="E330" s="132"/>
      <c r="F330" s="132"/>
      <c r="G330" s="153"/>
      <c r="H330" s="153"/>
      <c r="I330" s="153"/>
      <c r="J330" s="145"/>
    </row>
    <row r="331" spans="2:10" ht="15.75" customHeight="1">
      <c r="B331" s="153"/>
      <c r="C331" s="153"/>
      <c r="D331" s="132"/>
      <c r="E331" s="132"/>
      <c r="F331" s="132"/>
      <c r="G331" s="153"/>
      <c r="H331" s="153"/>
      <c r="I331" s="153"/>
      <c r="J331" s="145"/>
    </row>
    <row r="332" spans="2:10" ht="15.75" customHeight="1">
      <c r="B332" s="153"/>
      <c r="C332" s="153"/>
      <c r="D332" s="132"/>
      <c r="E332" s="132"/>
      <c r="F332" s="132"/>
      <c r="G332" s="153"/>
      <c r="H332" s="153"/>
      <c r="I332" s="153"/>
      <c r="J332" s="145"/>
    </row>
    <row r="333" spans="2:10" ht="15.75" customHeight="1">
      <c r="B333" s="153"/>
      <c r="C333" s="153"/>
      <c r="D333" s="132"/>
      <c r="E333" s="132"/>
      <c r="F333" s="132"/>
      <c r="G333" s="153"/>
      <c r="H333" s="153"/>
      <c r="I333" s="153"/>
      <c r="J333" s="145"/>
    </row>
    <row r="334" spans="2:10" ht="15.75" customHeight="1">
      <c r="B334" s="153"/>
      <c r="C334" s="153"/>
      <c r="D334" s="132"/>
      <c r="E334" s="132"/>
      <c r="F334" s="132"/>
      <c r="G334" s="153"/>
      <c r="H334" s="153"/>
      <c r="I334" s="153"/>
      <c r="J334" s="145"/>
    </row>
    <row r="335" spans="2:10" ht="15.75" customHeight="1">
      <c r="B335" s="153"/>
      <c r="C335" s="153"/>
      <c r="D335" s="132"/>
      <c r="E335" s="132"/>
      <c r="F335" s="132"/>
      <c r="G335" s="153"/>
      <c r="H335" s="153"/>
      <c r="I335" s="153"/>
      <c r="J335" s="145"/>
    </row>
    <row r="336" spans="2:10" ht="15.75" customHeight="1">
      <c r="B336" s="153"/>
      <c r="C336" s="153"/>
      <c r="D336" s="132"/>
      <c r="E336" s="132"/>
      <c r="F336" s="132"/>
      <c r="G336" s="153"/>
      <c r="H336" s="153"/>
      <c r="I336" s="153"/>
      <c r="J336" s="145"/>
    </row>
    <row r="337" spans="2:10" ht="15.75" customHeight="1">
      <c r="B337" s="153"/>
      <c r="C337" s="153"/>
      <c r="D337" s="132"/>
      <c r="E337" s="132"/>
      <c r="F337" s="132"/>
      <c r="G337" s="153"/>
      <c r="H337" s="153"/>
      <c r="I337" s="153"/>
      <c r="J337" s="145"/>
    </row>
    <row r="338" spans="2:10" ht="15.75" customHeight="1">
      <c r="B338" s="153"/>
      <c r="C338" s="153"/>
      <c r="D338" s="132"/>
      <c r="E338" s="132"/>
      <c r="F338" s="132"/>
      <c r="G338" s="153"/>
      <c r="H338" s="153"/>
      <c r="I338" s="153"/>
      <c r="J338" s="145"/>
    </row>
    <row r="339" spans="2:10" ht="15.75" customHeight="1">
      <c r="B339" s="153"/>
      <c r="C339" s="153"/>
      <c r="D339" s="132"/>
      <c r="E339" s="132"/>
      <c r="F339" s="132"/>
      <c r="G339" s="153"/>
      <c r="H339" s="153"/>
      <c r="I339" s="153"/>
      <c r="J339" s="145"/>
    </row>
    <row r="340" spans="2:10" ht="15.75" customHeight="1">
      <c r="B340" s="153"/>
      <c r="C340" s="153"/>
      <c r="D340" s="132"/>
      <c r="E340" s="132"/>
      <c r="F340" s="132"/>
      <c r="G340" s="153"/>
      <c r="H340" s="153"/>
      <c r="I340" s="153"/>
      <c r="J340" s="145"/>
    </row>
    <row r="341" spans="2:10" ht="15.75" customHeight="1">
      <c r="B341" s="153"/>
      <c r="C341" s="153"/>
      <c r="D341" s="132"/>
      <c r="E341" s="132"/>
      <c r="F341" s="132"/>
      <c r="G341" s="153"/>
      <c r="H341" s="153"/>
      <c r="I341" s="153"/>
      <c r="J341" s="145"/>
    </row>
    <row r="342" spans="2:10" ht="15.75" customHeight="1">
      <c r="B342" s="153"/>
      <c r="C342" s="153"/>
      <c r="D342" s="132"/>
      <c r="E342" s="132"/>
      <c r="F342" s="132"/>
      <c r="G342" s="153"/>
      <c r="H342" s="153"/>
      <c r="I342" s="153"/>
      <c r="J342" s="145"/>
    </row>
    <row r="343" spans="2:10" ht="15.75" customHeight="1">
      <c r="B343" s="153"/>
      <c r="C343" s="153"/>
      <c r="D343" s="132"/>
      <c r="E343" s="132"/>
      <c r="F343" s="132"/>
      <c r="G343" s="153"/>
      <c r="H343" s="153"/>
      <c r="I343" s="153"/>
      <c r="J343" s="145"/>
    </row>
    <row r="344" spans="2:10" ht="15.75" customHeight="1">
      <c r="B344" s="153"/>
      <c r="C344" s="153"/>
      <c r="D344" s="132"/>
      <c r="E344" s="132"/>
      <c r="F344" s="132"/>
      <c r="G344" s="153"/>
      <c r="H344" s="153"/>
      <c r="I344" s="153"/>
      <c r="J344" s="145"/>
    </row>
    <row r="345" spans="2:10" ht="15.75" customHeight="1">
      <c r="B345" s="153"/>
      <c r="C345" s="153"/>
      <c r="D345" s="132"/>
      <c r="E345" s="132"/>
      <c r="F345" s="132"/>
      <c r="G345" s="153"/>
      <c r="H345" s="153"/>
      <c r="I345" s="153"/>
      <c r="J345" s="145"/>
    </row>
    <row r="346" spans="2:10" ht="15.75" customHeight="1">
      <c r="B346" s="153"/>
      <c r="C346" s="153"/>
      <c r="D346" s="132"/>
      <c r="E346" s="132"/>
      <c r="F346" s="132"/>
      <c r="G346" s="153"/>
      <c r="H346" s="153"/>
      <c r="I346" s="153"/>
      <c r="J346" s="145"/>
    </row>
    <row r="347" spans="2:10" ht="15.75" customHeight="1">
      <c r="B347" s="153"/>
      <c r="C347" s="153"/>
      <c r="D347" s="132"/>
      <c r="E347" s="132"/>
      <c r="F347" s="132"/>
      <c r="G347" s="153"/>
      <c r="H347" s="153"/>
      <c r="I347" s="153"/>
      <c r="J347" s="145"/>
    </row>
    <row r="348" spans="2:10" ht="15.75" customHeight="1">
      <c r="B348" s="153"/>
      <c r="C348" s="153"/>
      <c r="D348" s="132"/>
      <c r="E348" s="132"/>
      <c r="F348" s="132"/>
      <c r="G348" s="153"/>
      <c r="H348" s="153"/>
      <c r="I348" s="153"/>
      <c r="J348" s="145"/>
    </row>
    <row r="349" spans="2:10" ht="15.75" customHeight="1">
      <c r="B349" s="153"/>
      <c r="C349" s="153"/>
      <c r="D349" s="132"/>
      <c r="E349" s="132"/>
      <c r="F349" s="132"/>
      <c r="G349" s="153"/>
      <c r="H349" s="153"/>
      <c r="I349" s="153"/>
      <c r="J349" s="145"/>
    </row>
    <row r="350" spans="2:10" ht="15.75" customHeight="1">
      <c r="B350" s="153"/>
      <c r="C350" s="153"/>
      <c r="D350" s="132"/>
      <c r="E350" s="132"/>
      <c r="F350" s="132"/>
      <c r="G350" s="153"/>
      <c r="H350" s="153"/>
      <c r="I350" s="153"/>
      <c r="J350" s="145"/>
    </row>
    <row r="351" spans="2:10" ht="15.75" customHeight="1">
      <c r="B351" s="153"/>
      <c r="C351" s="153"/>
      <c r="D351" s="132"/>
      <c r="E351" s="132"/>
      <c r="F351" s="132"/>
      <c r="G351" s="153"/>
      <c r="H351" s="153"/>
      <c r="I351" s="153"/>
      <c r="J351" s="145"/>
    </row>
    <row r="352" spans="2:10" ht="15.75" customHeight="1">
      <c r="B352" s="153"/>
      <c r="C352" s="153"/>
      <c r="D352" s="132"/>
      <c r="E352" s="132"/>
      <c r="F352" s="132"/>
      <c r="G352" s="153"/>
      <c r="H352" s="153"/>
      <c r="I352" s="153"/>
      <c r="J352" s="145"/>
    </row>
    <row r="353" spans="2:10" ht="15.75" customHeight="1">
      <c r="B353" s="153"/>
      <c r="C353" s="153"/>
      <c r="D353" s="132"/>
      <c r="E353" s="132"/>
      <c r="F353" s="132"/>
      <c r="G353" s="153"/>
      <c r="H353" s="153"/>
      <c r="I353" s="153"/>
      <c r="J353" s="145"/>
    </row>
    <row r="354" spans="2:10" ht="15.75" customHeight="1">
      <c r="B354" s="153"/>
      <c r="C354" s="153"/>
      <c r="D354" s="132"/>
      <c r="E354" s="132"/>
      <c r="F354" s="132"/>
      <c r="G354" s="153"/>
      <c r="H354" s="153"/>
      <c r="I354" s="153"/>
      <c r="J354" s="145"/>
    </row>
    <row r="355" spans="2:10" ht="15.75" customHeight="1">
      <c r="B355" s="153"/>
      <c r="C355" s="153"/>
      <c r="D355" s="132"/>
      <c r="E355" s="132"/>
      <c r="F355" s="132"/>
      <c r="G355" s="153"/>
      <c r="H355" s="153"/>
      <c r="I355" s="153"/>
      <c r="J355" s="145"/>
    </row>
    <row r="356" spans="2:10" ht="15.75" customHeight="1">
      <c r="B356" s="153"/>
      <c r="C356" s="153"/>
      <c r="D356" s="132"/>
      <c r="E356" s="132"/>
      <c r="F356" s="132"/>
      <c r="G356" s="153"/>
      <c r="H356" s="153"/>
      <c r="I356" s="153"/>
      <c r="J356" s="145"/>
    </row>
    <row r="357" spans="2:10" ht="15.75" customHeight="1">
      <c r="B357" s="153"/>
      <c r="C357" s="153"/>
      <c r="D357" s="132"/>
      <c r="E357" s="132"/>
      <c r="F357" s="132"/>
      <c r="G357" s="153"/>
      <c r="H357" s="153"/>
      <c r="I357" s="153"/>
      <c r="J357" s="145"/>
    </row>
    <row r="358" spans="2:10" ht="15.75" customHeight="1">
      <c r="B358" s="153"/>
      <c r="C358" s="153"/>
      <c r="D358" s="132"/>
      <c r="E358" s="132"/>
      <c r="F358" s="132"/>
      <c r="G358" s="153"/>
      <c r="H358" s="153"/>
      <c r="I358" s="153"/>
      <c r="J358" s="145"/>
    </row>
    <row r="359" spans="2:10" ht="15.75" customHeight="1">
      <c r="B359" s="153"/>
      <c r="C359" s="153"/>
      <c r="D359" s="132"/>
      <c r="E359" s="132"/>
      <c r="F359" s="132"/>
      <c r="G359" s="153"/>
      <c r="H359" s="153"/>
      <c r="I359" s="153"/>
      <c r="J359" s="145"/>
    </row>
    <row r="360" spans="2:10" ht="15.75" customHeight="1">
      <c r="B360" s="153"/>
      <c r="C360" s="153"/>
      <c r="D360" s="132"/>
      <c r="E360" s="132"/>
      <c r="F360" s="132"/>
      <c r="G360" s="153"/>
      <c r="H360" s="153"/>
      <c r="I360" s="153"/>
      <c r="J360" s="145"/>
    </row>
    <row r="361" spans="2:10" ht="15.75" customHeight="1">
      <c r="B361" s="153"/>
      <c r="C361" s="153"/>
      <c r="D361" s="132"/>
      <c r="E361" s="132"/>
      <c r="F361" s="132"/>
      <c r="G361" s="153"/>
      <c r="H361" s="153"/>
      <c r="I361" s="153"/>
      <c r="J361" s="145"/>
    </row>
    <row r="362" spans="2:10" ht="15.75" customHeight="1">
      <c r="B362" s="153"/>
      <c r="C362" s="153"/>
      <c r="D362" s="132"/>
      <c r="E362" s="132"/>
      <c r="F362" s="132"/>
      <c r="G362" s="153"/>
      <c r="H362" s="153"/>
      <c r="I362" s="153"/>
      <c r="J362" s="145"/>
    </row>
    <row r="363" spans="2:10" ht="15.75" customHeight="1">
      <c r="B363" s="153"/>
      <c r="C363" s="153"/>
      <c r="D363" s="132"/>
      <c r="E363" s="132"/>
      <c r="F363" s="132"/>
      <c r="G363" s="153"/>
      <c r="H363" s="153"/>
      <c r="I363" s="153"/>
      <c r="J363" s="145"/>
    </row>
    <row r="364" spans="2:10" ht="15.75" customHeight="1">
      <c r="B364" s="153"/>
      <c r="C364" s="153"/>
      <c r="D364" s="132"/>
      <c r="E364" s="132"/>
      <c r="F364" s="132"/>
      <c r="G364" s="153"/>
      <c r="H364" s="153"/>
      <c r="I364" s="153"/>
      <c r="J364" s="145"/>
    </row>
    <row r="365" spans="2:10" ht="15.75" customHeight="1">
      <c r="B365" s="153"/>
      <c r="C365" s="153"/>
      <c r="D365" s="132"/>
      <c r="E365" s="132"/>
      <c r="F365" s="132"/>
      <c r="G365" s="153"/>
      <c r="H365" s="153"/>
      <c r="I365" s="153"/>
      <c r="J365" s="145"/>
    </row>
    <row r="366" spans="2:10" ht="15.75" customHeight="1">
      <c r="B366" s="153"/>
      <c r="C366" s="153"/>
      <c r="D366" s="132"/>
      <c r="E366" s="132"/>
      <c r="F366" s="132"/>
      <c r="G366" s="153"/>
      <c r="H366" s="153"/>
      <c r="I366" s="153"/>
      <c r="J366" s="145"/>
    </row>
    <row r="367" spans="2:10" ht="15.75" customHeight="1">
      <c r="B367" s="153"/>
      <c r="C367" s="153"/>
      <c r="D367" s="132"/>
      <c r="E367" s="132"/>
      <c r="F367" s="132"/>
      <c r="G367" s="153"/>
      <c r="H367" s="153"/>
      <c r="I367" s="153"/>
      <c r="J367" s="145"/>
    </row>
    <row r="368" spans="2:10" ht="15.75" customHeight="1">
      <c r="B368" s="153"/>
      <c r="C368" s="153"/>
      <c r="D368" s="132"/>
      <c r="E368" s="132"/>
      <c r="F368" s="132"/>
      <c r="G368" s="153"/>
      <c r="H368" s="153"/>
      <c r="I368" s="153"/>
      <c r="J368" s="145"/>
    </row>
    <row r="369" spans="2:10" ht="15.75" customHeight="1">
      <c r="B369" s="153"/>
      <c r="C369" s="153"/>
      <c r="D369" s="132"/>
      <c r="E369" s="132"/>
      <c r="F369" s="132"/>
      <c r="G369" s="153"/>
      <c r="H369" s="153"/>
      <c r="I369" s="153"/>
      <c r="J369" s="145"/>
    </row>
    <row r="370" spans="2:10" ht="15.75" customHeight="1">
      <c r="B370" s="153"/>
      <c r="C370" s="153"/>
      <c r="D370" s="132"/>
      <c r="E370" s="132"/>
      <c r="F370" s="132"/>
      <c r="G370" s="153"/>
      <c r="H370" s="153"/>
      <c r="I370" s="153"/>
      <c r="J370" s="145"/>
    </row>
    <row r="371" spans="2:10" ht="15.75" customHeight="1">
      <c r="B371" s="153"/>
      <c r="C371" s="153"/>
      <c r="D371" s="132"/>
      <c r="E371" s="132"/>
      <c r="F371" s="132"/>
      <c r="G371" s="153"/>
      <c r="H371" s="153"/>
      <c r="I371" s="153"/>
      <c r="J371" s="145"/>
    </row>
    <row r="372" spans="2:10" ht="15.75" customHeight="1">
      <c r="B372" s="153"/>
      <c r="C372" s="153"/>
      <c r="D372" s="132"/>
      <c r="E372" s="132"/>
      <c r="F372" s="132"/>
      <c r="G372" s="153"/>
      <c r="H372" s="153"/>
      <c r="I372" s="153"/>
      <c r="J372" s="145"/>
    </row>
    <row r="373" spans="2:10" ht="15.75" customHeight="1">
      <c r="B373" s="153"/>
      <c r="C373" s="153"/>
      <c r="D373" s="132"/>
      <c r="E373" s="132"/>
      <c r="F373" s="132"/>
      <c r="G373" s="153"/>
      <c r="H373" s="153"/>
      <c r="I373" s="153"/>
      <c r="J373" s="145"/>
    </row>
    <row r="374" spans="2:10" ht="15.75" customHeight="1">
      <c r="B374" s="153"/>
      <c r="C374" s="153"/>
      <c r="D374" s="132"/>
      <c r="E374" s="132"/>
      <c r="F374" s="132"/>
      <c r="G374" s="153"/>
      <c r="H374" s="153"/>
      <c r="I374" s="153"/>
      <c r="J374" s="145"/>
    </row>
    <row r="375" spans="2:10" ht="15.75" customHeight="1">
      <c r="B375" s="153"/>
      <c r="C375" s="153"/>
      <c r="D375" s="132"/>
      <c r="E375" s="132"/>
      <c r="F375" s="132"/>
      <c r="G375" s="153"/>
      <c r="H375" s="153"/>
      <c r="I375" s="153"/>
      <c r="J375" s="145"/>
    </row>
    <row r="376" spans="2:10" ht="15.75" customHeight="1">
      <c r="B376" s="153"/>
      <c r="C376" s="153"/>
      <c r="D376" s="132"/>
      <c r="E376" s="132"/>
      <c r="F376" s="132"/>
      <c r="G376" s="153"/>
      <c r="H376" s="153"/>
      <c r="I376" s="153"/>
      <c r="J376" s="145"/>
    </row>
    <row r="377" spans="2:10" ht="15.75" customHeight="1">
      <c r="B377" s="153"/>
      <c r="C377" s="153"/>
      <c r="D377" s="132"/>
      <c r="E377" s="132"/>
      <c r="F377" s="132"/>
      <c r="G377" s="153"/>
      <c r="H377" s="153"/>
      <c r="I377" s="153"/>
      <c r="J377" s="145"/>
    </row>
    <row r="378" spans="2:10" ht="15.75" customHeight="1">
      <c r="B378" s="153"/>
      <c r="C378" s="153"/>
      <c r="D378" s="132"/>
      <c r="E378" s="132"/>
      <c r="F378" s="132"/>
      <c r="G378" s="153"/>
      <c r="H378" s="153"/>
      <c r="I378" s="153"/>
      <c r="J378" s="145"/>
    </row>
    <row r="379" spans="2:10" ht="15.75" customHeight="1">
      <c r="B379" s="153"/>
      <c r="C379" s="153"/>
      <c r="D379" s="132"/>
      <c r="E379" s="132"/>
      <c r="F379" s="132"/>
      <c r="G379" s="153"/>
      <c r="H379" s="153"/>
      <c r="I379" s="153"/>
      <c r="J379" s="145"/>
    </row>
    <row r="380" spans="2:10" ht="15.75" customHeight="1">
      <c r="B380" s="153"/>
      <c r="C380" s="153"/>
      <c r="D380" s="132"/>
      <c r="E380" s="132"/>
      <c r="F380" s="132"/>
      <c r="G380" s="153"/>
      <c r="H380" s="153"/>
      <c r="I380" s="153"/>
      <c r="J380" s="145"/>
    </row>
    <row r="381" spans="2:10" ht="15.75" customHeight="1">
      <c r="B381" s="153"/>
      <c r="C381" s="153"/>
      <c r="D381" s="132"/>
      <c r="E381" s="132"/>
      <c r="F381" s="132"/>
      <c r="G381" s="153"/>
      <c r="H381" s="153"/>
      <c r="I381" s="153"/>
      <c r="J381" s="145"/>
    </row>
    <row r="382" spans="2:10" ht="15.75" customHeight="1">
      <c r="B382" s="153"/>
      <c r="C382" s="153"/>
      <c r="D382" s="132"/>
      <c r="E382" s="132"/>
      <c r="F382" s="132"/>
      <c r="G382" s="153"/>
      <c r="H382" s="153"/>
      <c r="I382" s="153"/>
      <c r="J382" s="145"/>
    </row>
    <row r="383" spans="2:10" ht="15.75" customHeight="1">
      <c r="B383" s="153"/>
      <c r="C383" s="153"/>
      <c r="D383" s="132"/>
      <c r="E383" s="132"/>
      <c r="F383" s="132"/>
      <c r="G383" s="153"/>
      <c r="H383" s="153"/>
      <c r="I383" s="153"/>
      <c r="J383" s="145"/>
    </row>
    <row r="384" spans="2:10" ht="15.75" customHeight="1">
      <c r="B384" s="153"/>
      <c r="C384" s="153"/>
      <c r="D384" s="132"/>
      <c r="E384" s="132"/>
      <c r="F384" s="132"/>
      <c r="G384" s="153"/>
      <c r="H384" s="153"/>
      <c r="I384" s="153"/>
      <c r="J384" s="145"/>
    </row>
    <row r="385" spans="2:10" ht="15.75" customHeight="1">
      <c r="B385" s="153"/>
      <c r="C385" s="153"/>
      <c r="D385" s="132"/>
      <c r="E385" s="132"/>
      <c r="F385" s="132"/>
      <c r="G385" s="153"/>
      <c r="H385" s="153"/>
      <c r="I385" s="153"/>
      <c r="J385" s="145"/>
    </row>
    <row r="386" spans="2:10" ht="15.75" customHeight="1">
      <c r="B386" s="153"/>
      <c r="C386" s="153"/>
      <c r="D386" s="132"/>
      <c r="E386" s="132"/>
      <c r="F386" s="132"/>
      <c r="G386" s="153"/>
      <c r="H386" s="153"/>
      <c r="I386" s="153"/>
      <c r="J386" s="145"/>
    </row>
    <row r="387" spans="2:10" ht="15.75" customHeight="1">
      <c r="B387" s="153"/>
      <c r="C387" s="153"/>
      <c r="D387" s="132"/>
      <c r="E387" s="132"/>
      <c r="F387" s="132"/>
      <c r="G387" s="153"/>
      <c r="H387" s="153"/>
      <c r="I387" s="153"/>
      <c r="J387" s="145"/>
    </row>
    <row r="388" spans="2:10" ht="15.75" customHeight="1">
      <c r="B388" s="153"/>
      <c r="C388" s="153"/>
      <c r="D388" s="132"/>
      <c r="E388" s="132"/>
      <c r="F388" s="132"/>
      <c r="G388" s="153"/>
      <c r="H388" s="153"/>
      <c r="I388" s="153"/>
      <c r="J388" s="145"/>
    </row>
    <row r="389" spans="2:10" ht="15.75" customHeight="1">
      <c r="B389" s="153"/>
      <c r="C389" s="153"/>
      <c r="D389" s="132"/>
      <c r="E389" s="132"/>
      <c r="F389" s="132"/>
      <c r="G389" s="153"/>
      <c r="H389" s="153"/>
      <c r="I389" s="153"/>
      <c r="J389" s="145"/>
    </row>
    <row r="390" spans="2:10" ht="15.75" customHeight="1">
      <c r="B390" s="153"/>
      <c r="C390" s="153"/>
      <c r="D390" s="132"/>
      <c r="E390" s="132"/>
      <c r="F390" s="132"/>
      <c r="G390" s="153"/>
      <c r="H390" s="153"/>
      <c r="I390" s="153"/>
      <c r="J390" s="145"/>
    </row>
    <row r="391" spans="2:10" ht="15.75" customHeight="1">
      <c r="B391" s="153"/>
      <c r="C391" s="153"/>
      <c r="D391" s="132"/>
      <c r="E391" s="132"/>
      <c r="F391" s="132"/>
      <c r="G391" s="153"/>
      <c r="H391" s="153"/>
      <c r="I391" s="153"/>
      <c r="J391" s="145"/>
    </row>
    <row r="392" spans="2:10" ht="15.75" customHeight="1">
      <c r="B392" s="153"/>
      <c r="C392" s="153"/>
      <c r="D392" s="132"/>
      <c r="E392" s="132"/>
      <c r="F392" s="132"/>
      <c r="G392" s="153"/>
      <c r="H392" s="153"/>
      <c r="I392" s="153"/>
      <c r="J392" s="145"/>
    </row>
    <row r="393" spans="2:10" ht="15.75" customHeight="1">
      <c r="B393" s="153"/>
      <c r="C393" s="153"/>
      <c r="D393" s="132"/>
      <c r="E393" s="132"/>
      <c r="F393" s="132"/>
      <c r="G393" s="153"/>
      <c r="H393" s="153"/>
      <c r="I393" s="153"/>
      <c r="J393" s="145"/>
    </row>
    <row r="394" spans="2:10" ht="15.75" customHeight="1">
      <c r="B394" s="153"/>
      <c r="C394" s="153"/>
      <c r="D394" s="132"/>
      <c r="E394" s="132"/>
      <c r="F394" s="132"/>
      <c r="G394" s="153"/>
      <c r="H394" s="153"/>
      <c r="I394" s="153"/>
      <c r="J394" s="145"/>
    </row>
    <row r="395" spans="2:10" ht="15.75" customHeight="1">
      <c r="B395" s="153"/>
      <c r="C395" s="153"/>
      <c r="D395" s="132"/>
      <c r="E395" s="132"/>
      <c r="F395" s="132"/>
      <c r="G395" s="153"/>
      <c r="H395" s="153"/>
      <c r="I395" s="153"/>
      <c r="J395" s="145"/>
    </row>
    <row r="396" spans="2:10" ht="15.75" customHeight="1">
      <c r="B396" s="153"/>
      <c r="C396" s="153"/>
      <c r="D396" s="132"/>
      <c r="E396" s="132"/>
      <c r="F396" s="132"/>
      <c r="G396" s="153"/>
      <c r="H396" s="153"/>
      <c r="I396" s="153"/>
      <c r="J396" s="145"/>
    </row>
    <row r="397" spans="2:10" ht="15.75" customHeight="1">
      <c r="B397" s="153"/>
      <c r="C397" s="153"/>
      <c r="D397" s="132"/>
      <c r="E397" s="132"/>
      <c r="F397" s="132"/>
      <c r="G397" s="153"/>
      <c r="H397" s="153"/>
      <c r="I397" s="153"/>
      <c r="J397" s="145"/>
    </row>
    <row r="398" spans="2:10" ht="15.75" customHeight="1">
      <c r="B398" s="153"/>
      <c r="C398" s="153"/>
      <c r="D398" s="132"/>
      <c r="E398" s="132"/>
      <c r="F398" s="132"/>
      <c r="G398" s="153"/>
      <c r="H398" s="153"/>
      <c r="I398" s="153"/>
      <c r="J398" s="145"/>
    </row>
    <row r="399" spans="2:10" ht="15.75" customHeight="1">
      <c r="B399" s="153"/>
      <c r="C399" s="153"/>
      <c r="D399" s="132"/>
      <c r="E399" s="132"/>
      <c r="F399" s="132"/>
      <c r="G399" s="153"/>
      <c r="H399" s="153"/>
      <c r="I399" s="153"/>
      <c r="J399" s="145"/>
    </row>
    <row r="400" spans="2:10" ht="15.75" customHeight="1">
      <c r="B400" s="153"/>
      <c r="C400" s="153"/>
      <c r="D400" s="132"/>
      <c r="E400" s="132"/>
      <c r="F400" s="132"/>
      <c r="G400" s="153"/>
      <c r="H400" s="153"/>
      <c r="I400" s="153"/>
      <c r="J400" s="145"/>
    </row>
    <row r="401" spans="2:10" ht="15.75" customHeight="1">
      <c r="B401" s="153"/>
      <c r="C401" s="153"/>
      <c r="D401" s="132"/>
      <c r="E401" s="132"/>
      <c r="F401" s="132"/>
      <c r="G401" s="153"/>
      <c r="H401" s="153"/>
      <c r="I401" s="153"/>
      <c r="J401" s="145"/>
    </row>
    <row r="402" spans="2:10" ht="15.75" customHeight="1">
      <c r="B402" s="153"/>
      <c r="C402" s="153"/>
      <c r="D402" s="132"/>
      <c r="E402" s="132"/>
      <c r="F402" s="132"/>
      <c r="G402" s="153"/>
      <c r="H402" s="153"/>
      <c r="I402" s="153"/>
      <c r="J402" s="145"/>
    </row>
    <row r="403" spans="2:10" ht="15.75" customHeight="1">
      <c r="B403" s="153"/>
      <c r="C403" s="153"/>
      <c r="D403" s="132"/>
      <c r="E403" s="132"/>
      <c r="F403" s="132"/>
      <c r="G403" s="153"/>
      <c r="H403" s="153"/>
      <c r="I403" s="153"/>
      <c r="J403" s="145"/>
    </row>
    <row r="404" spans="2:10" ht="15.75" customHeight="1">
      <c r="B404" s="153"/>
      <c r="C404" s="153"/>
      <c r="D404" s="132"/>
      <c r="E404" s="132"/>
      <c r="F404" s="132"/>
      <c r="G404" s="153"/>
      <c r="H404" s="153"/>
      <c r="I404" s="153"/>
      <c r="J404" s="145"/>
    </row>
    <row r="405" spans="2:10" ht="15.75" customHeight="1">
      <c r="B405" s="153"/>
      <c r="C405" s="153"/>
      <c r="D405" s="132"/>
      <c r="E405" s="132"/>
      <c r="F405" s="132"/>
      <c r="G405" s="153"/>
      <c r="H405" s="153"/>
      <c r="I405" s="153"/>
      <c r="J405" s="145"/>
    </row>
    <row r="406" spans="2:10" ht="15.75" customHeight="1">
      <c r="B406" s="153"/>
      <c r="C406" s="153"/>
      <c r="D406" s="132"/>
      <c r="E406" s="132"/>
      <c r="F406" s="132"/>
      <c r="G406" s="153"/>
      <c r="H406" s="153"/>
      <c r="I406" s="153"/>
      <c r="J406" s="145"/>
    </row>
    <row r="407" spans="2:10" ht="15.75" customHeight="1">
      <c r="B407" s="153"/>
      <c r="C407" s="153"/>
      <c r="D407" s="132"/>
      <c r="E407" s="132"/>
      <c r="F407" s="132"/>
      <c r="G407" s="153"/>
      <c r="H407" s="153"/>
      <c r="I407" s="153"/>
      <c r="J407" s="145"/>
    </row>
    <row r="408" spans="2:10" ht="15.75" customHeight="1">
      <c r="B408" s="153"/>
      <c r="C408" s="153"/>
      <c r="D408" s="132"/>
      <c r="E408" s="132"/>
      <c r="F408" s="132"/>
      <c r="G408" s="153"/>
      <c r="H408" s="153"/>
      <c r="I408" s="153"/>
      <c r="J408" s="145"/>
    </row>
    <row r="409" spans="2:10" ht="15.75" customHeight="1">
      <c r="B409" s="153"/>
      <c r="C409" s="153"/>
      <c r="D409" s="132"/>
      <c r="E409" s="132"/>
      <c r="F409" s="132"/>
      <c r="G409" s="153"/>
      <c r="H409" s="153"/>
      <c r="I409" s="153"/>
      <c r="J409" s="145"/>
    </row>
    <row r="410" spans="2:10" ht="15.75" customHeight="1">
      <c r="B410" s="153"/>
      <c r="C410" s="153"/>
      <c r="D410" s="132"/>
      <c r="E410" s="132"/>
      <c r="F410" s="132"/>
      <c r="G410" s="153"/>
      <c r="H410" s="153"/>
      <c r="I410" s="153"/>
      <c r="J410" s="145"/>
    </row>
    <row r="411" spans="2:10" ht="15.75" customHeight="1">
      <c r="B411" s="153"/>
      <c r="C411" s="153"/>
      <c r="D411" s="132"/>
      <c r="E411" s="132"/>
      <c r="F411" s="132"/>
      <c r="G411" s="153"/>
      <c r="H411" s="153"/>
      <c r="I411" s="153"/>
      <c r="J411" s="145"/>
    </row>
    <row r="412" spans="2:10" ht="15.75" customHeight="1">
      <c r="B412" s="153"/>
      <c r="C412" s="153"/>
      <c r="D412" s="132"/>
      <c r="E412" s="132"/>
      <c r="F412" s="132"/>
      <c r="G412" s="153"/>
      <c r="H412" s="153"/>
      <c r="I412" s="153"/>
      <c r="J412" s="145"/>
    </row>
    <row r="413" spans="2:10" ht="15.75" customHeight="1">
      <c r="B413" s="153"/>
      <c r="C413" s="153"/>
      <c r="D413" s="132"/>
      <c r="E413" s="132"/>
      <c r="F413" s="132"/>
      <c r="G413" s="153"/>
      <c r="H413" s="153"/>
      <c r="I413" s="153"/>
      <c r="J413" s="145"/>
    </row>
    <row r="414" spans="2:10" ht="15.75" customHeight="1">
      <c r="B414" s="153"/>
      <c r="C414" s="153"/>
      <c r="D414" s="132"/>
      <c r="E414" s="132"/>
      <c r="F414" s="132"/>
      <c r="G414" s="153"/>
      <c r="H414" s="153"/>
      <c r="I414" s="153"/>
      <c r="J414" s="145"/>
    </row>
    <row r="415" spans="2:10" ht="15.75" customHeight="1">
      <c r="B415" s="153"/>
      <c r="C415" s="153"/>
      <c r="D415" s="132"/>
      <c r="E415" s="132"/>
      <c r="F415" s="132"/>
      <c r="G415" s="153"/>
      <c r="H415" s="153"/>
      <c r="I415" s="153"/>
      <c r="J415" s="145"/>
    </row>
    <row r="416" spans="2:10" ht="15.75" customHeight="1">
      <c r="B416" s="153"/>
      <c r="C416" s="153"/>
      <c r="D416" s="132"/>
      <c r="E416" s="132"/>
      <c r="F416" s="132"/>
      <c r="G416" s="153"/>
      <c r="H416" s="153"/>
      <c r="I416" s="153"/>
      <c r="J416" s="145"/>
    </row>
    <row r="417" spans="2:10" ht="15.75" customHeight="1">
      <c r="B417" s="153"/>
      <c r="C417" s="153"/>
      <c r="D417" s="132"/>
      <c r="E417" s="132"/>
      <c r="F417" s="132"/>
      <c r="G417" s="153"/>
      <c r="H417" s="153"/>
      <c r="I417" s="153"/>
      <c r="J417" s="145"/>
    </row>
    <row r="418" spans="2:10" ht="15.75" customHeight="1">
      <c r="B418" s="153"/>
      <c r="C418" s="153"/>
      <c r="D418" s="132"/>
      <c r="E418" s="132"/>
      <c r="F418" s="132"/>
      <c r="G418" s="153"/>
      <c r="H418" s="153"/>
      <c r="I418" s="153"/>
      <c r="J418" s="145"/>
    </row>
    <row r="419" spans="2:10" ht="15.75" customHeight="1">
      <c r="B419" s="153"/>
      <c r="C419" s="153"/>
      <c r="D419" s="132"/>
      <c r="E419" s="132"/>
      <c r="F419" s="132"/>
      <c r="G419" s="153"/>
      <c r="H419" s="153"/>
      <c r="I419" s="153"/>
      <c r="J419" s="145"/>
    </row>
    <row r="420" spans="2:10" ht="15.75" customHeight="1">
      <c r="B420" s="153"/>
      <c r="C420" s="153"/>
      <c r="D420" s="132"/>
      <c r="E420" s="132"/>
      <c r="F420" s="132"/>
      <c r="G420" s="153"/>
      <c r="H420" s="153"/>
      <c r="I420" s="153"/>
      <c r="J420" s="145"/>
    </row>
    <row r="421" spans="2:10" ht="15.75" customHeight="1">
      <c r="B421" s="153"/>
      <c r="C421" s="153"/>
      <c r="D421" s="132"/>
      <c r="E421" s="132"/>
      <c r="F421" s="132"/>
      <c r="G421" s="153"/>
      <c r="H421" s="153"/>
      <c r="I421" s="153"/>
      <c r="J421" s="145"/>
    </row>
    <row r="422" spans="2:10" ht="15.75" customHeight="1">
      <c r="B422" s="153"/>
      <c r="C422" s="153"/>
      <c r="D422" s="132"/>
      <c r="E422" s="132"/>
      <c r="F422" s="132"/>
      <c r="G422" s="153"/>
      <c r="H422" s="153"/>
      <c r="I422" s="153"/>
      <c r="J422" s="145"/>
    </row>
    <row r="423" spans="2:10" ht="15.75" customHeight="1">
      <c r="B423" s="153"/>
      <c r="C423" s="153"/>
      <c r="D423" s="132"/>
      <c r="E423" s="132"/>
      <c r="F423" s="132"/>
      <c r="G423" s="153"/>
      <c r="H423" s="153"/>
      <c r="I423" s="153"/>
      <c r="J423" s="145"/>
    </row>
    <row r="424" spans="2:10" ht="15.75" customHeight="1">
      <c r="B424" s="153"/>
      <c r="C424" s="153"/>
      <c r="D424" s="132"/>
      <c r="E424" s="132"/>
      <c r="F424" s="132"/>
      <c r="G424" s="153"/>
      <c r="H424" s="153"/>
      <c r="I424" s="153"/>
      <c r="J424" s="145"/>
    </row>
    <row r="425" spans="2:10" ht="15.75" customHeight="1">
      <c r="B425" s="153"/>
      <c r="C425" s="153"/>
      <c r="D425" s="132"/>
      <c r="E425" s="132"/>
      <c r="F425" s="132"/>
      <c r="G425" s="153"/>
      <c r="H425" s="153"/>
      <c r="I425" s="153"/>
      <c r="J425" s="145"/>
    </row>
    <row r="426" spans="2:10" ht="15.75" customHeight="1">
      <c r="B426" s="153"/>
      <c r="C426" s="153"/>
      <c r="D426" s="132"/>
      <c r="E426" s="132"/>
      <c r="F426" s="132"/>
      <c r="G426" s="153"/>
      <c r="H426" s="153"/>
      <c r="I426" s="153"/>
      <c r="J426" s="145"/>
    </row>
    <row r="427" spans="2:10" ht="15.75" customHeight="1">
      <c r="B427" s="153"/>
      <c r="C427" s="153"/>
      <c r="D427" s="132"/>
      <c r="E427" s="132"/>
      <c r="F427" s="132"/>
      <c r="G427" s="153"/>
      <c r="H427" s="153"/>
      <c r="I427" s="153"/>
      <c r="J427" s="145"/>
    </row>
    <row r="428" spans="2:10" ht="15.75" customHeight="1">
      <c r="B428" s="153"/>
      <c r="C428" s="153"/>
      <c r="D428" s="132"/>
      <c r="E428" s="132"/>
      <c r="F428" s="132"/>
      <c r="G428" s="153"/>
      <c r="H428" s="153"/>
      <c r="I428" s="153"/>
      <c r="J428" s="145"/>
    </row>
    <row r="429" spans="2:10" ht="15.75" customHeight="1">
      <c r="B429" s="153"/>
      <c r="C429" s="153"/>
      <c r="D429" s="132"/>
      <c r="E429" s="132"/>
      <c r="F429" s="132"/>
      <c r="G429" s="153"/>
      <c r="H429" s="153"/>
      <c r="I429" s="153"/>
      <c r="J429" s="145"/>
    </row>
    <row r="430" spans="2:10" ht="15.75" customHeight="1">
      <c r="B430" s="153"/>
      <c r="C430" s="153"/>
      <c r="D430" s="132"/>
      <c r="E430" s="132"/>
      <c r="F430" s="132"/>
      <c r="G430" s="153"/>
      <c r="H430" s="153"/>
      <c r="I430" s="153"/>
      <c r="J430" s="145"/>
    </row>
    <row r="431" spans="2:10" ht="15.75" customHeight="1">
      <c r="B431" s="153"/>
      <c r="C431" s="153"/>
      <c r="D431" s="132"/>
      <c r="E431" s="132"/>
      <c r="F431" s="132"/>
      <c r="G431" s="153"/>
      <c r="H431" s="153"/>
      <c r="I431" s="153"/>
      <c r="J431" s="145"/>
    </row>
    <row r="432" spans="2:10" ht="15.75" customHeight="1">
      <c r="B432" s="153"/>
      <c r="C432" s="153"/>
      <c r="D432" s="132"/>
      <c r="E432" s="132"/>
      <c r="F432" s="132"/>
      <c r="G432" s="153"/>
      <c r="H432" s="153"/>
      <c r="I432" s="153"/>
      <c r="J432" s="145"/>
    </row>
    <row r="433" spans="2:10" ht="15.75" customHeight="1">
      <c r="B433" s="153"/>
      <c r="C433" s="153"/>
      <c r="D433" s="132"/>
      <c r="E433" s="132"/>
      <c r="F433" s="132"/>
      <c r="G433" s="153"/>
      <c r="H433" s="153"/>
      <c r="I433" s="153"/>
      <c r="J433" s="145"/>
    </row>
    <row r="434" spans="2:10" ht="15.75" customHeight="1">
      <c r="B434" s="153"/>
      <c r="C434" s="153"/>
      <c r="D434" s="132"/>
      <c r="E434" s="132"/>
      <c r="F434" s="132"/>
      <c r="G434" s="153"/>
      <c r="H434" s="153"/>
      <c r="I434" s="153"/>
      <c r="J434" s="145"/>
    </row>
    <row r="435" spans="2:10" ht="15.75" customHeight="1">
      <c r="B435" s="153"/>
      <c r="C435" s="153"/>
      <c r="D435" s="132"/>
      <c r="E435" s="132"/>
      <c r="F435" s="132"/>
      <c r="G435" s="153"/>
      <c r="H435" s="153"/>
      <c r="I435" s="153"/>
      <c r="J435" s="145"/>
    </row>
    <row r="436" spans="2:10" ht="15.75" customHeight="1">
      <c r="B436" s="153"/>
      <c r="C436" s="153"/>
      <c r="D436" s="132"/>
      <c r="E436" s="132"/>
      <c r="F436" s="132"/>
      <c r="G436" s="153"/>
      <c r="H436" s="153"/>
      <c r="I436" s="153"/>
      <c r="J436" s="145"/>
    </row>
    <row r="437" spans="2:10" ht="15.75" customHeight="1">
      <c r="B437" s="153"/>
      <c r="C437" s="153"/>
      <c r="D437" s="132"/>
      <c r="E437" s="132"/>
      <c r="F437" s="132"/>
      <c r="G437" s="153"/>
      <c r="H437" s="153"/>
      <c r="I437" s="153"/>
      <c r="J437" s="145"/>
    </row>
    <row r="438" spans="2:10" ht="15.75" customHeight="1">
      <c r="B438" s="153"/>
      <c r="C438" s="153"/>
      <c r="D438" s="132"/>
      <c r="E438" s="132"/>
      <c r="F438" s="132"/>
      <c r="G438" s="153"/>
      <c r="H438" s="153"/>
      <c r="I438" s="153"/>
      <c r="J438" s="145"/>
    </row>
    <row r="439" spans="2:10" ht="15.75" customHeight="1">
      <c r="B439" s="153"/>
      <c r="C439" s="153"/>
      <c r="D439" s="132"/>
      <c r="E439" s="132"/>
      <c r="F439" s="132"/>
      <c r="G439" s="153"/>
      <c r="H439" s="153"/>
      <c r="I439" s="153"/>
      <c r="J439" s="145"/>
    </row>
    <row r="440" spans="2:10" ht="15.75" customHeight="1">
      <c r="B440" s="153"/>
      <c r="C440" s="153"/>
      <c r="D440" s="132"/>
      <c r="E440" s="132"/>
      <c r="F440" s="132"/>
      <c r="G440" s="153"/>
      <c r="H440" s="153"/>
      <c r="I440" s="153"/>
      <c r="J440" s="145"/>
    </row>
    <row r="441" spans="2:10" ht="15.75" customHeight="1">
      <c r="B441" s="153"/>
      <c r="C441" s="153"/>
      <c r="D441" s="132"/>
      <c r="E441" s="132"/>
      <c r="F441" s="132"/>
      <c r="G441" s="153"/>
      <c r="H441" s="153"/>
      <c r="I441" s="153"/>
      <c r="J441" s="145"/>
    </row>
    <row r="442" spans="2:10" ht="15.75" customHeight="1">
      <c r="B442" s="153"/>
      <c r="C442" s="153"/>
      <c r="D442" s="132"/>
      <c r="E442" s="132"/>
      <c r="F442" s="132"/>
      <c r="G442" s="153"/>
      <c r="H442" s="153"/>
      <c r="I442" s="153"/>
      <c r="J442" s="145"/>
    </row>
    <row r="443" spans="2:10" ht="15.75" customHeight="1">
      <c r="B443" s="153"/>
      <c r="C443" s="153"/>
      <c r="D443" s="132"/>
      <c r="E443" s="132"/>
      <c r="F443" s="132"/>
      <c r="G443" s="153"/>
      <c r="H443" s="153"/>
      <c r="I443" s="153"/>
      <c r="J443" s="145"/>
    </row>
    <row r="444" spans="2:10" ht="15.75" customHeight="1">
      <c r="B444" s="153"/>
      <c r="C444" s="153"/>
      <c r="D444" s="132"/>
      <c r="E444" s="132"/>
      <c r="F444" s="132"/>
      <c r="G444" s="153"/>
      <c r="H444" s="153"/>
      <c r="I444" s="153"/>
      <c r="J444" s="145"/>
    </row>
    <row r="445" spans="2:10" ht="15.75" customHeight="1">
      <c r="B445" s="153"/>
      <c r="C445" s="153"/>
      <c r="D445" s="132"/>
      <c r="E445" s="132"/>
      <c r="F445" s="132"/>
      <c r="G445" s="153"/>
      <c r="H445" s="153"/>
      <c r="I445" s="153"/>
      <c r="J445" s="145"/>
    </row>
    <row r="446" spans="2:10" ht="15.75" customHeight="1">
      <c r="B446" s="153"/>
      <c r="C446" s="153"/>
      <c r="D446" s="132"/>
      <c r="E446" s="132"/>
      <c r="F446" s="132"/>
      <c r="G446" s="153"/>
      <c r="H446" s="153"/>
      <c r="I446" s="153"/>
      <c r="J446" s="145"/>
    </row>
    <row r="447" spans="2:10" ht="15.75" customHeight="1">
      <c r="B447" s="153"/>
      <c r="C447" s="153"/>
      <c r="D447" s="132"/>
      <c r="E447" s="132"/>
      <c r="F447" s="132"/>
      <c r="G447" s="153"/>
      <c r="H447" s="153"/>
      <c r="I447" s="153"/>
      <c r="J447" s="145"/>
    </row>
    <row r="448" spans="2:10" ht="15.75" customHeight="1">
      <c r="B448" s="153"/>
      <c r="C448" s="153"/>
      <c r="D448" s="132"/>
      <c r="E448" s="132"/>
      <c r="F448" s="132"/>
      <c r="G448" s="153"/>
      <c r="H448" s="153"/>
      <c r="I448" s="153"/>
      <c r="J448" s="145"/>
    </row>
    <row r="449" spans="2:10" ht="15.75" customHeight="1">
      <c r="B449" s="153"/>
      <c r="C449" s="153"/>
      <c r="D449" s="132"/>
      <c r="E449" s="132"/>
      <c r="F449" s="132"/>
      <c r="G449" s="153"/>
      <c r="H449" s="153"/>
      <c r="I449" s="153"/>
      <c r="J449" s="145"/>
    </row>
    <row r="450" spans="2:10" ht="15.75" customHeight="1">
      <c r="B450" s="153"/>
      <c r="C450" s="153"/>
      <c r="D450" s="132"/>
      <c r="E450" s="132"/>
      <c r="F450" s="132"/>
      <c r="G450" s="153"/>
      <c r="H450" s="153"/>
      <c r="I450" s="153"/>
      <c r="J450" s="145"/>
    </row>
    <row r="451" spans="2:10" ht="15.75" customHeight="1">
      <c r="B451" s="153"/>
      <c r="C451" s="153"/>
      <c r="D451" s="132"/>
      <c r="E451" s="132"/>
      <c r="F451" s="132"/>
      <c r="G451" s="153"/>
      <c r="H451" s="153"/>
      <c r="I451" s="153"/>
      <c r="J451" s="145"/>
    </row>
    <row r="452" spans="2:10" ht="15.75" customHeight="1">
      <c r="B452" s="153"/>
      <c r="C452" s="153"/>
      <c r="D452" s="132"/>
      <c r="E452" s="132"/>
      <c r="F452" s="132"/>
      <c r="G452" s="153"/>
      <c r="H452" s="153"/>
      <c r="I452" s="153"/>
      <c r="J452" s="145"/>
    </row>
    <row r="453" spans="2:10" ht="15.75" customHeight="1">
      <c r="B453" s="153"/>
      <c r="C453" s="153"/>
      <c r="D453" s="132"/>
      <c r="E453" s="132"/>
      <c r="F453" s="132"/>
      <c r="G453" s="153"/>
      <c r="H453" s="153"/>
      <c r="I453" s="153"/>
      <c r="J453" s="145"/>
    </row>
    <row r="454" spans="2:10" ht="15.75" customHeight="1">
      <c r="B454" s="153"/>
      <c r="C454" s="153"/>
      <c r="D454" s="132"/>
      <c r="E454" s="132"/>
      <c r="F454" s="132"/>
      <c r="G454" s="153"/>
      <c r="H454" s="153"/>
      <c r="I454" s="153"/>
      <c r="J454" s="145"/>
    </row>
    <row r="455" spans="2:10" ht="15.75" customHeight="1">
      <c r="B455" s="153"/>
      <c r="C455" s="153"/>
      <c r="D455" s="132"/>
      <c r="E455" s="132"/>
      <c r="F455" s="132"/>
      <c r="G455" s="153"/>
      <c r="H455" s="153"/>
      <c r="I455" s="153"/>
      <c r="J455" s="145"/>
    </row>
    <row r="456" spans="2:10" ht="15.75" customHeight="1">
      <c r="B456" s="153"/>
      <c r="C456" s="153"/>
      <c r="D456" s="132"/>
      <c r="E456" s="132"/>
      <c r="F456" s="132"/>
      <c r="G456" s="153"/>
      <c r="H456" s="153"/>
      <c r="I456" s="153"/>
      <c r="J456" s="145"/>
    </row>
    <row r="457" spans="2:10" ht="15.75" customHeight="1">
      <c r="B457" s="153"/>
      <c r="C457" s="153"/>
      <c r="D457" s="132"/>
      <c r="E457" s="132"/>
      <c r="F457" s="132"/>
      <c r="G457" s="153"/>
      <c r="H457" s="153"/>
      <c r="I457" s="153"/>
      <c r="J457" s="145"/>
    </row>
    <row r="458" spans="2:10" ht="15.75" customHeight="1">
      <c r="B458" s="153"/>
      <c r="C458" s="153"/>
      <c r="D458" s="132"/>
      <c r="E458" s="132"/>
      <c r="F458" s="132"/>
      <c r="G458" s="153"/>
      <c r="H458" s="153"/>
      <c r="I458" s="153"/>
      <c r="J458" s="145"/>
    </row>
    <row r="459" spans="2:10" ht="15.75" customHeight="1">
      <c r="B459" s="153"/>
      <c r="C459" s="153"/>
      <c r="D459" s="132"/>
      <c r="E459" s="132"/>
      <c r="F459" s="132"/>
      <c r="G459" s="153"/>
      <c r="H459" s="153"/>
      <c r="I459" s="153"/>
      <c r="J459" s="145"/>
    </row>
    <row r="460" spans="2:10" ht="15.75" customHeight="1">
      <c r="B460" s="153"/>
      <c r="C460" s="153"/>
      <c r="D460" s="132"/>
      <c r="E460" s="132"/>
      <c r="F460" s="132"/>
      <c r="G460" s="153"/>
      <c r="H460" s="153"/>
      <c r="I460" s="153"/>
      <c r="J460" s="145"/>
    </row>
    <row r="461" spans="2:10" ht="15.75" customHeight="1">
      <c r="B461" s="153"/>
      <c r="C461" s="153"/>
      <c r="D461" s="132"/>
      <c r="E461" s="132"/>
      <c r="F461" s="132"/>
      <c r="G461" s="153"/>
      <c r="H461" s="153"/>
      <c r="I461" s="153"/>
      <c r="J461" s="145"/>
    </row>
    <row r="462" spans="2:10" ht="15.75" customHeight="1">
      <c r="B462" s="153"/>
      <c r="C462" s="153"/>
      <c r="D462" s="132"/>
      <c r="E462" s="132"/>
      <c r="F462" s="132"/>
      <c r="G462" s="153"/>
      <c r="H462" s="153"/>
      <c r="I462" s="153"/>
      <c r="J462" s="145"/>
    </row>
    <row r="463" spans="2:10" ht="15.75" customHeight="1">
      <c r="B463" s="153"/>
      <c r="C463" s="153"/>
      <c r="D463" s="132"/>
      <c r="E463" s="132"/>
      <c r="F463" s="132"/>
      <c r="G463" s="153"/>
      <c r="H463" s="153"/>
      <c r="I463" s="153"/>
      <c r="J463" s="145"/>
    </row>
    <row r="464" spans="2:10" ht="15.75" customHeight="1">
      <c r="B464" s="153"/>
      <c r="C464" s="153"/>
      <c r="D464" s="132"/>
      <c r="E464" s="132"/>
      <c r="F464" s="132"/>
      <c r="G464" s="153"/>
      <c r="H464" s="153"/>
      <c r="I464" s="153"/>
      <c r="J464" s="145"/>
    </row>
    <row r="465" spans="2:10" ht="15.75" customHeight="1">
      <c r="B465" s="153"/>
      <c r="C465" s="153"/>
      <c r="D465" s="132"/>
      <c r="E465" s="132"/>
      <c r="F465" s="132"/>
      <c r="G465" s="153"/>
      <c r="H465" s="153"/>
      <c r="I465" s="153"/>
      <c r="J465" s="145"/>
    </row>
    <row r="466" spans="2:10" ht="15.75" customHeight="1">
      <c r="B466" s="153"/>
      <c r="C466" s="153"/>
      <c r="D466" s="132"/>
      <c r="E466" s="132"/>
      <c r="F466" s="132"/>
      <c r="G466" s="153"/>
      <c r="H466" s="153"/>
      <c r="I466" s="153"/>
      <c r="J466" s="145"/>
    </row>
    <row r="467" spans="2:10" ht="15.75" customHeight="1">
      <c r="B467" s="153"/>
      <c r="C467" s="153"/>
      <c r="D467" s="132"/>
      <c r="E467" s="132"/>
      <c r="F467" s="132"/>
      <c r="G467" s="153"/>
      <c r="H467" s="153"/>
      <c r="I467" s="153"/>
      <c r="J467" s="145"/>
    </row>
    <row r="468" spans="2:10" ht="15.75" customHeight="1">
      <c r="B468" s="153"/>
      <c r="C468" s="153"/>
      <c r="D468" s="132"/>
      <c r="E468" s="132"/>
      <c r="F468" s="132"/>
      <c r="G468" s="153"/>
      <c r="H468" s="153"/>
      <c r="I468" s="153"/>
      <c r="J468" s="145"/>
    </row>
    <row r="469" spans="2:10" ht="15.75" customHeight="1">
      <c r="B469" s="153"/>
      <c r="C469" s="153"/>
      <c r="D469" s="132"/>
      <c r="E469" s="132"/>
      <c r="F469" s="132"/>
      <c r="G469" s="153"/>
      <c r="H469" s="153"/>
      <c r="I469" s="153"/>
      <c r="J469" s="145"/>
    </row>
    <row r="470" spans="2:10" ht="15.75" customHeight="1">
      <c r="B470" s="153"/>
      <c r="C470" s="153"/>
      <c r="D470" s="132"/>
      <c r="E470" s="132"/>
      <c r="F470" s="132"/>
      <c r="G470" s="153"/>
      <c r="H470" s="153"/>
      <c r="I470" s="153"/>
      <c r="J470" s="145"/>
    </row>
    <row r="471" spans="2:10" ht="15.75" customHeight="1">
      <c r="B471" s="153"/>
      <c r="C471" s="153"/>
      <c r="D471" s="132"/>
      <c r="E471" s="132"/>
      <c r="F471" s="132"/>
      <c r="G471" s="153"/>
      <c r="H471" s="153"/>
      <c r="I471" s="153"/>
      <c r="J471" s="145"/>
    </row>
    <row r="472" spans="2:10" ht="15.75" customHeight="1">
      <c r="B472" s="153"/>
      <c r="C472" s="153"/>
      <c r="D472" s="132"/>
      <c r="E472" s="132"/>
      <c r="F472" s="132"/>
      <c r="G472" s="153"/>
      <c r="H472" s="153"/>
      <c r="I472" s="153"/>
      <c r="J472" s="145"/>
    </row>
    <row r="473" spans="2:10" ht="15.75" customHeight="1">
      <c r="B473" s="153"/>
      <c r="C473" s="153"/>
      <c r="D473" s="132"/>
      <c r="E473" s="132"/>
      <c r="F473" s="132"/>
      <c r="G473" s="153"/>
      <c r="H473" s="153"/>
      <c r="I473" s="153"/>
      <c r="J473" s="145"/>
    </row>
    <row r="474" spans="2:10" ht="15.75" customHeight="1">
      <c r="B474" s="153"/>
      <c r="C474" s="153"/>
      <c r="D474" s="132"/>
      <c r="E474" s="132"/>
      <c r="F474" s="132"/>
      <c r="G474" s="153"/>
      <c r="H474" s="153"/>
      <c r="I474" s="153"/>
      <c r="J474" s="145"/>
    </row>
    <row r="475" spans="2:10" ht="15.75" customHeight="1">
      <c r="B475" s="153"/>
      <c r="C475" s="153"/>
      <c r="D475" s="132"/>
      <c r="E475" s="132"/>
      <c r="F475" s="132"/>
      <c r="G475" s="153"/>
      <c r="H475" s="153"/>
      <c r="I475" s="153"/>
      <c r="J475" s="145"/>
    </row>
    <row r="476" spans="2:10" ht="15.75" customHeight="1">
      <c r="B476" s="153"/>
      <c r="C476" s="153"/>
      <c r="D476" s="132"/>
      <c r="E476" s="132"/>
      <c r="F476" s="132"/>
      <c r="G476" s="153"/>
      <c r="H476" s="153"/>
      <c r="I476" s="153"/>
      <c r="J476" s="145"/>
    </row>
    <row r="477" spans="2:10" ht="15.75" customHeight="1">
      <c r="B477" s="153"/>
      <c r="C477" s="153"/>
      <c r="D477" s="132"/>
      <c r="E477" s="132"/>
      <c r="F477" s="132"/>
      <c r="G477" s="153"/>
      <c r="H477" s="153"/>
      <c r="I477" s="153"/>
      <c r="J477" s="145"/>
    </row>
    <row r="478" spans="2:10" ht="15.75" customHeight="1">
      <c r="B478" s="153"/>
      <c r="C478" s="153"/>
      <c r="D478" s="132"/>
      <c r="E478" s="132"/>
      <c r="F478" s="132"/>
      <c r="G478" s="153"/>
      <c r="H478" s="153"/>
      <c r="I478" s="153"/>
      <c r="J478" s="145"/>
    </row>
    <row r="479" spans="2:10" ht="15.75" customHeight="1">
      <c r="B479" s="153"/>
      <c r="C479" s="153"/>
      <c r="D479" s="132"/>
      <c r="E479" s="132"/>
      <c r="F479" s="132"/>
      <c r="G479" s="153"/>
      <c r="H479" s="153"/>
      <c r="I479" s="153"/>
      <c r="J479" s="145"/>
    </row>
    <row r="480" spans="2:10" ht="15.75" customHeight="1">
      <c r="B480" s="153"/>
      <c r="C480" s="153"/>
      <c r="D480" s="132"/>
      <c r="E480" s="132"/>
      <c r="F480" s="132"/>
      <c r="G480" s="153"/>
      <c r="H480" s="153"/>
      <c r="I480" s="153"/>
      <c r="J480" s="145"/>
    </row>
    <row r="481" spans="2:10" ht="15.75" customHeight="1">
      <c r="B481" s="153"/>
      <c r="C481" s="153"/>
      <c r="D481" s="132"/>
      <c r="E481" s="132"/>
      <c r="F481" s="132"/>
      <c r="G481" s="153"/>
      <c r="H481" s="153"/>
      <c r="I481" s="153"/>
      <c r="J481" s="145"/>
    </row>
    <row r="482" spans="2:10" ht="15.75" customHeight="1">
      <c r="B482" s="153"/>
      <c r="C482" s="153"/>
      <c r="D482" s="132"/>
      <c r="E482" s="132"/>
      <c r="F482" s="132"/>
      <c r="G482" s="153"/>
      <c r="H482" s="153"/>
      <c r="I482" s="153"/>
      <c r="J482" s="145"/>
    </row>
    <row r="483" spans="2:10" ht="15.75" customHeight="1">
      <c r="B483" s="153"/>
      <c r="C483" s="153"/>
      <c r="D483" s="132"/>
      <c r="E483" s="132"/>
      <c r="F483" s="132"/>
      <c r="G483" s="153"/>
      <c r="H483" s="153"/>
      <c r="I483" s="153"/>
      <c r="J483" s="145"/>
    </row>
    <row r="484" spans="2:10" ht="15.75" customHeight="1">
      <c r="B484" s="153"/>
      <c r="C484" s="153"/>
      <c r="D484" s="132"/>
      <c r="E484" s="132"/>
      <c r="F484" s="132"/>
      <c r="G484" s="153"/>
      <c r="H484" s="153"/>
      <c r="I484" s="153"/>
      <c r="J484" s="145"/>
    </row>
    <row r="485" spans="2:10" ht="15.75" customHeight="1">
      <c r="B485" s="153"/>
      <c r="C485" s="153"/>
      <c r="D485" s="132"/>
      <c r="E485" s="132"/>
      <c r="F485" s="132"/>
      <c r="G485" s="153"/>
      <c r="H485" s="153"/>
      <c r="I485" s="153"/>
      <c r="J485" s="145"/>
    </row>
    <row r="486" spans="2:10" ht="15.75" customHeight="1">
      <c r="B486" s="153"/>
      <c r="C486" s="153"/>
      <c r="D486" s="132"/>
      <c r="E486" s="132"/>
      <c r="F486" s="132"/>
      <c r="G486" s="153"/>
      <c r="H486" s="153"/>
      <c r="I486" s="153"/>
      <c r="J486" s="145"/>
    </row>
    <row r="487" spans="2:10" ht="15.75" customHeight="1">
      <c r="B487" s="153"/>
      <c r="C487" s="153"/>
      <c r="D487" s="132"/>
      <c r="E487" s="132"/>
      <c r="F487" s="132"/>
      <c r="G487" s="153"/>
      <c r="H487" s="153"/>
      <c r="I487" s="153"/>
      <c r="J487" s="145"/>
    </row>
    <row r="488" spans="2:10" ht="15.75" customHeight="1">
      <c r="B488" s="153"/>
      <c r="C488" s="153"/>
      <c r="D488" s="132"/>
      <c r="E488" s="132"/>
      <c r="F488" s="132"/>
      <c r="G488" s="153"/>
      <c r="H488" s="153"/>
      <c r="I488" s="153"/>
      <c r="J488" s="145"/>
    </row>
    <row r="489" spans="2:10" ht="15.75" customHeight="1">
      <c r="B489" s="153"/>
      <c r="C489" s="153"/>
      <c r="D489" s="132"/>
      <c r="E489" s="132"/>
      <c r="F489" s="132"/>
      <c r="G489" s="153"/>
      <c r="H489" s="153"/>
      <c r="I489" s="153"/>
      <c r="J489" s="145"/>
    </row>
    <row r="490" spans="2:10" ht="15.75" customHeight="1">
      <c r="B490" s="153"/>
      <c r="C490" s="153"/>
      <c r="D490" s="132"/>
      <c r="E490" s="132"/>
      <c r="F490" s="132"/>
      <c r="G490" s="153"/>
      <c r="H490" s="153"/>
      <c r="I490" s="153"/>
      <c r="J490" s="145"/>
    </row>
    <row r="491" spans="2:10" ht="15.75" customHeight="1">
      <c r="B491" s="153"/>
      <c r="C491" s="153"/>
      <c r="D491" s="132"/>
      <c r="E491" s="132"/>
      <c r="F491" s="132"/>
      <c r="G491" s="153"/>
      <c r="H491" s="153"/>
      <c r="I491" s="153"/>
      <c r="J491" s="145"/>
    </row>
    <row r="492" spans="2:10" ht="15.75" customHeight="1">
      <c r="B492" s="153"/>
      <c r="C492" s="153"/>
      <c r="D492" s="132"/>
      <c r="E492" s="132"/>
      <c r="F492" s="132"/>
      <c r="G492" s="153"/>
      <c r="H492" s="153"/>
      <c r="I492" s="153"/>
      <c r="J492" s="145"/>
    </row>
    <row r="493" spans="2:10" ht="15.75" customHeight="1">
      <c r="B493" s="153"/>
      <c r="C493" s="153"/>
      <c r="D493" s="132"/>
      <c r="E493" s="132"/>
      <c r="F493" s="132"/>
      <c r="G493" s="153"/>
      <c r="H493" s="153"/>
      <c r="I493" s="153"/>
      <c r="J493" s="145"/>
    </row>
    <row r="494" spans="2:10" ht="15.75" customHeight="1">
      <c r="B494" s="153"/>
      <c r="C494" s="153"/>
      <c r="D494" s="132"/>
      <c r="E494" s="132"/>
      <c r="F494" s="132"/>
      <c r="G494" s="153"/>
      <c r="H494" s="153"/>
      <c r="I494" s="153"/>
      <c r="J494" s="145"/>
    </row>
    <row r="495" spans="2:10" ht="15.75" customHeight="1">
      <c r="B495" s="153"/>
      <c r="C495" s="153"/>
      <c r="D495" s="132"/>
      <c r="E495" s="132"/>
      <c r="F495" s="132"/>
      <c r="G495" s="153"/>
      <c r="H495" s="153"/>
      <c r="I495" s="153"/>
      <c r="J495" s="145"/>
    </row>
    <row r="496" spans="2:10" ht="15.75" customHeight="1">
      <c r="B496" s="153"/>
      <c r="C496" s="153"/>
      <c r="D496" s="132"/>
      <c r="E496" s="132"/>
      <c r="F496" s="132"/>
      <c r="G496" s="153"/>
      <c r="H496" s="153"/>
      <c r="I496" s="153"/>
      <c r="J496" s="145"/>
    </row>
    <row r="497" spans="2:10" ht="15.75" customHeight="1">
      <c r="B497" s="153"/>
      <c r="C497" s="153"/>
      <c r="D497" s="132"/>
      <c r="E497" s="132"/>
      <c r="F497" s="132"/>
      <c r="G497" s="153"/>
      <c r="H497" s="153"/>
      <c r="I497" s="153"/>
      <c r="J497" s="145"/>
    </row>
    <row r="498" spans="2:10" ht="15.75" customHeight="1">
      <c r="B498" s="153"/>
      <c r="C498" s="153"/>
      <c r="D498" s="132"/>
      <c r="E498" s="132"/>
      <c r="F498" s="132"/>
      <c r="G498" s="153"/>
      <c r="H498" s="153"/>
      <c r="I498" s="153"/>
      <c r="J498" s="145"/>
    </row>
    <row r="499" spans="2:10" ht="15.75" customHeight="1">
      <c r="B499" s="153"/>
      <c r="C499" s="153"/>
      <c r="D499" s="132"/>
      <c r="E499" s="132"/>
      <c r="F499" s="132"/>
      <c r="G499" s="153"/>
      <c r="H499" s="153"/>
      <c r="I499" s="153"/>
      <c r="J499" s="145"/>
    </row>
    <row r="500" spans="2:10" ht="15.75" customHeight="1">
      <c r="B500" s="153"/>
      <c r="C500" s="153"/>
      <c r="D500" s="132"/>
      <c r="E500" s="132"/>
      <c r="F500" s="132"/>
      <c r="G500" s="153"/>
      <c r="H500" s="153"/>
      <c r="I500" s="153"/>
      <c r="J500" s="145"/>
    </row>
    <row r="501" spans="2:10" ht="15.75" customHeight="1">
      <c r="B501" s="153"/>
      <c r="C501" s="153"/>
      <c r="D501" s="132"/>
      <c r="E501" s="132"/>
      <c r="F501" s="132"/>
      <c r="G501" s="153"/>
      <c r="H501" s="153"/>
      <c r="I501" s="153"/>
      <c r="J501" s="145"/>
    </row>
    <row r="502" spans="2:10" ht="15.75" customHeight="1">
      <c r="B502" s="153"/>
      <c r="C502" s="153"/>
      <c r="D502" s="132"/>
      <c r="E502" s="132"/>
      <c r="F502" s="132"/>
      <c r="G502" s="153"/>
      <c r="H502" s="153"/>
      <c r="I502" s="153"/>
      <c r="J502" s="145"/>
    </row>
    <row r="503" spans="2:10" ht="15.75" customHeight="1">
      <c r="B503" s="153"/>
      <c r="C503" s="153"/>
      <c r="D503" s="132"/>
      <c r="E503" s="132"/>
      <c r="F503" s="132"/>
      <c r="G503" s="153"/>
      <c r="H503" s="153"/>
      <c r="I503" s="153"/>
      <c r="J503" s="145"/>
    </row>
    <row r="504" spans="2:10" ht="15.75" customHeight="1">
      <c r="B504" s="153"/>
      <c r="C504" s="153"/>
      <c r="D504" s="132"/>
      <c r="E504" s="132"/>
      <c r="F504" s="132"/>
      <c r="G504" s="153"/>
      <c r="H504" s="153"/>
      <c r="I504" s="153"/>
      <c r="J504" s="145"/>
    </row>
    <row r="505" spans="2:10" ht="15.75" customHeight="1">
      <c r="B505" s="153"/>
      <c r="C505" s="153"/>
      <c r="D505" s="132"/>
      <c r="E505" s="132"/>
      <c r="F505" s="132"/>
      <c r="G505" s="153"/>
      <c r="H505" s="153"/>
      <c r="I505" s="153"/>
      <c r="J505" s="145"/>
    </row>
    <row r="506" spans="2:10" ht="15.75" customHeight="1">
      <c r="B506" s="153"/>
      <c r="C506" s="153"/>
      <c r="D506" s="132"/>
      <c r="E506" s="132"/>
      <c r="F506" s="132"/>
      <c r="G506" s="153"/>
      <c r="H506" s="153"/>
      <c r="I506" s="153"/>
      <c r="J506" s="145"/>
    </row>
    <row r="507" spans="2:10" ht="15.75" customHeight="1">
      <c r="B507" s="153"/>
      <c r="C507" s="153"/>
      <c r="D507" s="132"/>
      <c r="E507" s="132"/>
      <c r="F507" s="132"/>
      <c r="G507" s="153"/>
      <c r="H507" s="153"/>
      <c r="I507" s="153"/>
      <c r="J507" s="145"/>
    </row>
    <row r="508" spans="2:10" ht="15.75" customHeight="1">
      <c r="B508" s="153"/>
      <c r="C508" s="153"/>
      <c r="D508" s="132"/>
      <c r="E508" s="132"/>
      <c r="F508" s="132"/>
      <c r="G508" s="153"/>
      <c r="H508" s="153"/>
      <c r="I508" s="153"/>
      <c r="J508" s="145"/>
    </row>
    <row r="509" spans="2:10" ht="15.75" customHeight="1">
      <c r="B509" s="153"/>
      <c r="C509" s="153"/>
      <c r="D509" s="132"/>
      <c r="E509" s="132"/>
      <c r="F509" s="132"/>
      <c r="G509" s="153"/>
      <c r="H509" s="153"/>
      <c r="I509" s="153"/>
      <c r="J509" s="145"/>
    </row>
    <row r="510" spans="2:10" ht="15.75" customHeight="1">
      <c r="B510" s="153"/>
      <c r="C510" s="153"/>
      <c r="D510" s="132"/>
      <c r="E510" s="132"/>
      <c r="F510" s="132"/>
      <c r="G510" s="153"/>
      <c r="H510" s="153"/>
      <c r="I510" s="153"/>
      <c r="J510" s="145"/>
    </row>
    <row r="511" spans="2:10" ht="15.75" customHeight="1">
      <c r="B511" s="153"/>
      <c r="C511" s="153"/>
      <c r="D511" s="132"/>
      <c r="E511" s="132"/>
      <c r="F511" s="132"/>
      <c r="G511" s="153"/>
      <c r="H511" s="153"/>
      <c r="I511" s="153"/>
      <c r="J511" s="145"/>
    </row>
    <row r="512" spans="2:10" ht="15.75" customHeight="1">
      <c r="B512" s="153"/>
      <c r="C512" s="153"/>
      <c r="D512" s="132"/>
      <c r="E512" s="132"/>
      <c r="F512" s="132"/>
      <c r="G512" s="153"/>
      <c r="H512" s="153"/>
      <c r="I512" s="153"/>
      <c r="J512" s="145"/>
    </row>
    <row r="513" spans="2:10" ht="15.75" customHeight="1">
      <c r="B513" s="153"/>
      <c r="C513" s="153"/>
      <c r="D513" s="132"/>
      <c r="E513" s="132"/>
      <c r="F513" s="132"/>
      <c r="G513" s="153"/>
      <c r="H513" s="153"/>
      <c r="I513" s="153"/>
      <c r="J513" s="145"/>
    </row>
    <row r="514" spans="2:10" ht="15.75" customHeight="1">
      <c r="B514" s="153"/>
      <c r="C514" s="153"/>
      <c r="D514" s="132"/>
      <c r="E514" s="132"/>
      <c r="F514" s="132"/>
      <c r="G514" s="153"/>
      <c r="H514" s="153"/>
      <c r="I514" s="153"/>
      <c r="J514" s="145"/>
    </row>
    <row r="515" spans="2:10" ht="15.75" customHeight="1">
      <c r="B515" s="153"/>
      <c r="C515" s="153"/>
      <c r="D515" s="132"/>
      <c r="E515" s="132"/>
      <c r="F515" s="132"/>
      <c r="G515" s="153"/>
      <c r="H515" s="153"/>
      <c r="I515" s="153"/>
      <c r="J515" s="145"/>
    </row>
    <row r="516" spans="2:10" ht="15.75" customHeight="1">
      <c r="B516" s="153"/>
      <c r="C516" s="153"/>
      <c r="D516" s="132"/>
      <c r="E516" s="132"/>
      <c r="F516" s="132"/>
      <c r="G516" s="153"/>
      <c r="H516" s="153"/>
      <c r="I516" s="153"/>
      <c r="J516" s="145"/>
    </row>
    <row r="517" spans="2:10" ht="15.75" customHeight="1">
      <c r="B517" s="153"/>
      <c r="C517" s="153"/>
      <c r="D517" s="132"/>
      <c r="E517" s="132"/>
      <c r="F517" s="132"/>
      <c r="G517" s="153"/>
      <c r="H517" s="153"/>
      <c r="I517" s="153"/>
      <c r="J517" s="145"/>
    </row>
    <row r="518" spans="2:10" ht="15.75" customHeight="1">
      <c r="B518" s="153"/>
      <c r="C518" s="153"/>
      <c r="D518" s="132"/>
      <c r="E518" s="132"/>
      <c r="F518" s="132"/>
      <c r="G518" s="153"/>
      <c r="H518" s="153"/>
      <c r="I518" s="153"/>
      <c r="J518" s="145"/>
    </row>
    <row r="519" spans="2:10" ht="15.75" customHeight="1">
      <c r="B519" s="153"/>
      <c r="C519" s="153"/>
      <c r="D519" s="132"/>
      <c r="E519" s="132"/>
      <c r="F519" s="132"/>
      <c r="G519" s="153"/>
      <c r="H519" s="153"/>
      <c r="I519" s="153"/>
      <c r="J519" s="145"/>
    </row>
    <row r="520" spans="2:10" ht="15.75" customHeight="1">
      <c r="B520" s="153"/>
      <c r="C520" s="153"/>
      <c r="D520" s="132"/>
      <c r="E520" s="132"/>
      <c r="F520" s="132"/>
      <c r="G520" s="153"/>
      <c r="H520" s="153"/>
      <c r="I520" s="153"/>
      <c r="J520" s="145"/>
    </row>
    <row r="521" spans="2:10" ht="15.75" customHeight="1">
      <c r="B521" s="153"/>
      <c r="C521" s="153"/>
      <c r="D521" s="132"/>
      <c r="E521" s="132"/>
      <c r="F521" s="132"/>
      <c r="G521" s="153"/>
      <c r="H521" s="153"/>
      <c r="I521" s="153"/>
      <c r="J521" s="145"/>
    </row>
    <row r="522" spans="2:10" ht="15.75" customHeight="1">
      <c r="B522" s="153"/>
      <c r="C522" s="153"/>
      <c r="D522" s="132"/>
      <c r="E522" s="132"/>
      <c r="F522" s="132"/>
      <c r="G522" s="153"/>
      <c r="H522" s="153"/>
      <c r="I522" s="153"/>
      <c r="J522" s="145"/>
    </row>
    <row r="523" spans="2:10" ht="15.75" customHeight="1">
      <c r="B523" s="153"/>
      <c r="C523" s="153"/>
      <c r="D523" s="132"/>
      <c r="E523" s="132"/>
      <c r="F523" s="132"/>
      <c r="G523" s="153"/>
      <c r="H523" s="153"/>
      <c r="I523" s="153"/>
      <c r="J523" s="145"/>
    </row>
    <row r="524" spans="2:10" ht="15.75" customHeight="1">
      <c r="B524" s="153"/>
      <c r="C524" s="153"/>
      <c r="D524" s="132"/>
      <c r="E524" s="132"/>
      <c r="F524" s="132"/>
      <c r="G524" s="153"/>
      <c r="H524" s="153"/>
      <c r="I524" s="153"/>
      <c r="J524" s="145"/>
    </row>
    <row r="525" spans="2:10" ht="15.75" customHeight="1">
      <c r="B525" s="153"/>
      <c r="C525" s="153"/>
      <c r="D525" s="132"/>
      <c r="E525" s="132"/>
      <c r="F525" s="132"/>
      <c r="G525" s="153"/>
      <c r="H525" s="153"/>
      <c r="I525" s="153"/>
      <c r="J525" s="145"/>
    </row>
    <row r="526" spans="2:10" ht="15.75" customHeight="1">
      <c r="B526" s="153"/>
      <c r="C526" s="153"/>
      <c r="D526" s="132"/>
      <c r="E526" s="132"/>
      <c r="F526" s="132"/>
      <c r="G526" s="153"/>
      <c r="H526" s="153"/>
      <c r="I526" s="153"/>
      <c r="J526" s="145"/>
    </row>
    <row r="527" spans="2:10" ht="15.75" customHeight="1">
      <c r="B527" s="153"/>
      <c r="C527" s="153"/>
      <c r="D527" s="132"/>
      <c r="E527" s="132"/>
      <c r="F527" s="132"/>
      <c r="G527" s="153"/>
      <c r="H527" s="153"/>
      <c r="I527" s="153"/>
      <c r="J527" s="145"/>
    </row>
    <row r="528" spans="2:10" ht="15.75" customHeight="1">
      <c r="B528" s="153"/>
      <c r="C528" s="153"/>
      <c r="D528" s="132"/>
      <c r="E528" s="132"/>
      <c r="F528" s="132"/>
      <c r="G528" s="153"/>
      <c r="H528" s="153"/>
      <c r="I528" s="153"/>
      <c r="J528" s="145"/>
    </row>
    <row r="529" spans="2:10" ht="15.75" customHeight="1">
      <c r="B529" s="153"/>
      <c r="C529" s="153"/>
      <c r="D529" s="132"/>
      <c r="E529" s="132"/>
      <c r="F529" s="132"/>
      <c r="G529" s="153"/>
      <c r="H529" s="153"/>
      <c r="I529" s="153"/>
      <c r="J529" s="145"/>
    </row>
    <row r="530" spans="2:10" ht="15.75" customHeight="1">
      <c r="B530" s="153"/>
      <c r="C530" s="153"/>
      <c r="D530" s="132"/>
      <c r="E530" s="132"/>
      <c r="F530" s="132"/>
      <c r="G530" s="153"/>
      <c r="H530" s="153"/>
      <c r="I530" s="153"/>
      <c r="J530" s="145"/>
    </row>
    <row r="531" spans="2:10" ht="15.75" customHeight="1">
      <c r="B531" s="153"/>
      <c r="C531" s="153"/>
      <c r="D531" s="132"/>
      <c r="E531" s="132"/>
      <c r="F531" s="132"/>
      <c r="G531" s="153"/>
      <c r="H531" s="153"/>
      <c r="I531" s="153"/>
      <c r="J531" s="145"/>
    </row>
    <row r="532" spans="2:10" ht="15.75" customHeight="1">
      <c r="B532" s="153"/>
      <c r="C532" s="153"/>
      <c r="D532" s="132"/>
      <c r="E532" s="132"/>
      <c r="F532" s="132"/>
      <c r="G532" s="153"/>
      <c r="H532" s="153"/>
      <c r="I532" s="153"/>
      <c r="J532" s="145"/>
    </row>
    <row r="533" spans="2:10" ht="15.75" customHeight="1">
      <c r="B533" s="153"/>
      <c r="C533" s="153"/>
      <c r="D533" s="132"/>
      <c r="E533" s="132"/>
      <c r="F533" s="132"/>
      <c r="G533" s="153"/>
      <c r="H533" s="153"/>
      <c r="I533" s="153"/>
      <c r="J533" s="145"/>
    </row>
    <row r="534" spans="2:10" ht="15.75" customHeight="1">
      <c r="B534" s="153"/>
      <c r="C534" s="153"/>
      <c r="D534" s="132"/>
      <c r="E534" s="132"/>
      <c r="F534" s="132"/>
      <c r="G534" s="153"/>
      <c r="H534" s="153"/>
      <c r="I534" s="153"/>
      <c r="J534" s="145"/>
    </row>
    <row r="535" spans="2:10" ht="15.75" customHeight="1">
      <c r="B535" s="153"/>
      <c r="C535" s="153"/>
      <c r="D535" s="132"/>
      <c r="E535" s="132"/>
      <c r="F535" s="132"/>
      <c r="G535" s="153"/>
      <c r="H535" s="153"/>
      <c r="I535" s="153"/>
      <c r="J535" s="145"/>
    </row>
    <row r="536" spans="2:10" ht="15.75" customHeight="1">
      <c r="B536" s="153"/>
      <c r="C536" s="153"/>
      <c r="D536" s="132"/>
      <c r="E536" s="132"/>
      <c r="F536" s="132"/>
      <c r="G536" s="153"/>
      <c r="H536" s="153"/>
      <c r="I536" s="153"/>
      <c r="J536" s="145"/>
    </row>
    <row r="537" spans="2:10" ht="15.75" customHeight="1">
      <c r="B537" s="153"/>
      <c r="C537" s="153"/>
      <c r="D537" s="132"/>
      <c r="E537" s="132"/>
      <c r="F537" s="132"/>
      <c r="G537" s="153"/>
      <c r="H537" s="153"/>
      <c r="I537" s="153"/>
      <c r="J537" s="145"/>
    </row>
    <row r="538" spans="2:10" ht="15.75" customHeight="1">
      <c r="B538" s="153"/>
      <c r="C538" s="153"/>
      <c r="D538" s="132"/>
      <c r="E538" s="132"/>
      <c r="F538" s="132"/>
      <c r="G538" s="153"/>
      <c r="H538" s="153"/>
      <c r="I538" s="153"/>
      <c r="J538" s="145"/>
    </row>
    <row r="539" spans="2:10" ht="15.75" customHeight="1">
      <c r="B539" s="153"/>
      <c r="C539" s="153"/>
      <c r="D539" s="132"/>
      <c r="E539" s="132"/>
      <c r="F539" s="132"/>
      <c r="G539" s="153"/>
      <c r="H539" s="153"/>
      <c r="I539" s="153"/>
      <c r="J539" s="145"/>
    </row>
    <row r="540" spans="2:10" ht="15.75" customHeight="1">
      <c r="B540" s="153"/>
      <c r="C540" s="153"/>
      <c r="D540" s="132"/>
      <c r="E540" s="132"/>
      <c r="F540" s="132"/>
      <c r="G540" s="153"/>
      <c r="H540" s="153"/>
      <c r="I540" s="153"/>
      <c r="J540" s="145"/>
    </row>
    <row r="541" spans="2:10" ht="15.75" customHeight="1">
      <c r="B541" s="153"/>
      <c r="C541" s="153"/>
      <c r="D541" s="132"/>
      <c r="E541" s="132"/>
      <c r="F541" s="132"/>
      <c r="G541" s="153"/>
      <c r="H541" s="153"/>
      <c r="I541" s="153"/>
      <c r="J541" s="145"/>
    </row>
    <row r="542" spans="2:10" ht="15.75" customHeight="1">
      <c r="B542" s="153"/>
      <c r="C542" s="153"/>
      <c r="D542" s="132"/>
      <c r="E542" s="132"/>
      <c r="F542" s="132"/>
      <c r="G542" s="153"/>
      <c r="H542" s="153"/>
      <c r="I542" s="153"/>
      <c r="J542" s="145"/>
    </row>
    <row r="543" spans="2:10" ht="15.75" customHeight="1">
      <c r="B543" s="153"/>
      <c r="C543" s="153"/>
      <c r="D543" s="132"/>
      <c r="E543" s="132"/>
      <c r="F543" s="132"/>
      <c r="G543" s="153"/>
      <c r="H543" s="153"/>
      <c r="I543" s="153"/>
      <c r="J543" s="145"/>
    </row>
    <row r="544" spans="2:10" ht="15.75" customHeight="1">
      <c r="B544" s="153"/>
      <c r="C544" s="153"/>
      <c r="D544" s="132"/>
      <c r="E544" s="132"/>
      <c r="F544" s="132"/>
      <c r="G544" s="153"/>
      <c r="H544" s="153"/>
      <c r="I544" s="153"/>
      <c r="J544" s="145"/>
    </row>
    <row r="545" spans="2:10" ht="15.75" customHeight="1">
      <c r="B545" s="153"/>
      <c r="C545" s="153"/>
      <c r="D545" s="132"/>
      <c r="E545" s="132"/>
      <c r="F545" s="132"/>
      <c r="G545" s="153"/>
      <c r="H545" s="153"/>
      <c r="I545" s="153"/>
      <c r="J545" s="145"/>
    </row>
    <row r="546" spans="2:10" ht="15.75" customHeight="1">
      <c r="B546" s="153"/>
      <c r="C546" s="153"/>
      <c r="D546" s="132"/>
      <c r="E546" s="132"/>
      <c r="F546" s="132"/>
      <c r="G546" s="153"/>
      <c r="H546" s="153"/>
      <c r="I546" s="153"/>
      <c r="J546" s="145"/>
    </row>
    <row r="547" spans="2:10" ht="15.75" customHeight="1">
      <c r="B547" s="153"/>
      <c r="C547" s="153"/>
      <c r="D547" s="132"/>
      <c r="E547" s="132"/>
      <c r="F547" s="132"/>
      <c r="G547" s="153"/>
      <c r="H547" s="153"/>
      <c r="I547" s="153"/>
      <c r="J547" s="145"/>
    </row>
    <row r="548" spans="2:10" ht="15.75" customHeight="1">
      <c r="B548" s="153"/>
      <c r="C548" s="153"/>
      <c r="D548" s="132"/>
      <c r="E548" s="132"/>
      <c r="F548" s="132"/>
      <c r="G548" s="153"/>
      <c r="H548" s="153"/>
      <c r="I548" s="153"/>
      <c r="J548" s="145"/>
    </row>
    <row r="549" spans="2:10" ht="15.75" customHeight="1">
      <c r="B549" s="153"/>
      <c r="C549" s="153"/>
      <c r="D549" s="132"/>
      <c r="E549" s="132"/>
      <c r="F549" s="132"/>
      <c r="G549" s="153"/>
      <c r="H549" s="153"/>
      <c r="I549" s="153"/>
      <c r="J549" s="145"/>
    </row>
    <row r="550" spans="2:10" ht="15.75" customHeight="1">
      <c r="B550" s="153"/>
      <c r="C550" s="153"/>
      <c r="D550" s="132"/>
      <c r="E550" s="132"/>
      <c r="F550" s="132"/>
      <c r="G550" s="153"/>
      <c r="H550" s="153"/>
      <c r="I550" s="153"/>
      <c r="J550" s="145"/>
    </row>
    <row r="551" spans="2:10" ht="15.75" customHeight="1">
      <c r="B551" s="153"/>
      <c r="C551" s="153"/>
      <c r="D551" s="132"/>
      <c r="E551" s="132"/>
      <c r="F551" s="132"/>
      <c r="G551" s="153"/>
      <c r="H551" s="153"/>
      <c r="I551" s="153"/>
      <c r="J551" s="145"/>
    </row>
    <row r="552" spans="2:10" ht="15.75" customHeight="1">
      <c r="B552" s="153"/>
      <c r="C552" s="153"/>
      <c r="D552" s="132"/>
      <c r="E552" s="132"/>
      <c r="F552" s="132"/>
      <c r="G552" s="153"/>
      <c r="H552" s="153"/>
      <c r="I552" s="153"/>
      <c r="J552" s="145"/>
    </row>
    <row r="553" spans="2:10" ht="15.75" customHeight="1">
      <c r="B553" s="153"/>
      <c r="C553" s="153"/>
      <c r="D553" s="132"/>
      <c r="E553" s="132"/>
      <c r="F553" s="132"/>
      <c r="G553" s="153"/>
      <c r="H553" s="153"/>
      <c r="I553" s="153"/>
      <c r="J553" s="145"/>
    </row>
    <row r="554" spans="2:10" ht="15.75" customHeight="1">
      <c r="B554" s="153"/>
      <c r="C554" s="153"/>
      <c r="D554" s="132"/>
      <c r="E554" s="132"/>
      <c r="F554" s="132"/>
      <c r="G554" s="153"/>
      <c r="H554" s="153"/>
      <c r="I554" s="153"/>
      <c r="J554" s="145"/>
    </row>
    <row r="555" spans="2:10" ht="15.75" customHeight="1">
      <c r="B555" s="153"/>
      <c r="C555" s="153"/>
      <c r="D555" s="132"/>
      <c r="E555" s="132"/>
      <c r="F555" s="132"/>
      <c r="G555" s="153"/>
      <c r="H555" s="153"/>
      <c r="I555" s="153"/>
      <c r="J555" s="145"/>
    </row>
    <row r="556" spans="2:10" ht="15.75" customHeight="1">
      <c r="B556" s="153"/>
      <c r="C556" s="153"/>
      <c r="D556" s="132"/>
      <c r="E556" s="132"/>
      <c r="F556" s="132"/>
      <c r="G556" s="153"/>
      <c r="H556" s="153"/>
      <c r="I556" s="153"/>
      <c r="J556" s="145"/>
    </row>
    <row r="557" spans="2:10" ht="15.75" customHeight="1">
      <c r="B557" s="153"/>
      <c r="C557" s="153"/>
      <c r="D557" s="132"/>
      <c r="E557" s="132"/>
      <c r="F557" s="132"/>
      <c r="G557" s="153"/>
      <c r="H557" s="153"/>
      <c r="I557" s="153"/>
      <c r="J557" s="145"/>
    </row>
    <row r="558" spans="2:10" ht="15.75" customHeight="1">
      <c r="B558" s="153"/>
      <c r="C558" s="153"/>
      <c r="D558" s="132"/>
      <c r="E558" s="132"/>
      <c r="F558" s="132"/>
      <c r="G558" s="153"/>
      <c r="H558" s="153"/>
      <c r="I558" s="153"/>
      <c r="J558" s="145"/>
    </row>
    <row r="559" spans="2:10" ht="15.75" customHeight="1">
      <c r="B559" s="153"/>
      <c r="C559" s="153"/>
      <c r="D559" s="132"/>
      <c r="E559" s="132"/>
      <c r="F559" s="132"/>
      <c r="G559" s="153"/>
      <c r="H559" s="153"/>
      <c r="I559" s="153"/>
      <c r="J559" s="145"/>
    </row>
    <row r="560" spans="2:10" ht="15.75" customHeight="1">
      <c r="B560" s="153"/>
      <c r="C560" s="153"/>
      <c r="D560" s="132"/>
      <c r="E560" s="132"/>
      <c r="F560" s="132"/>
      <c r="G560" s="153"/>
      <c r="H560" s="153"/>
      <c r="I560" s="153"/>
      <c r="J560" s="145"/>
    </row>
    <row r="561" spans="2:10" ht="15.75" customHeight="1">
      <c r="B561" s="153"/>
      <c r="C561" s="153"/>
      <c r="D561" s="132"/>
      <c r="E561" s="132"/>
      <c r="F561" s="132"/>
      <c r="G561" s="153"/>
      <c r="H561" s="153"/>
      <c r="I561" s="153"/>
      <c r="J561" s="145"/>
    </row>
    <row r="562" spans="2:10" ht="15.75" customHeight="1">
      <c r="B562" s="153"/>
      <c r="C562" s="153"/>
      <c r="D562" s="132"/>
      <c r="E562" s="132"/>
      <c r="F562" s="132"/>
      <c r="G562" s="153"/>
      <c r="H562" s="153"/>
      <c r="I562" s="153"/>
      <c r="J562" s="145"/>
    </row>
    <row r="563" spans="2:10" ht="15.75" customHeight="1">
      <c r="B563" s="153"/>
      <c r="C563" s="153"/>
      <c r="D563" s="132"/>
      <c r="E563" s="132"/>
      <c r="F563" s="132"/>
      <c r="G563" s="153"/>
      <c r="H563" s="153"/>
      <c r="I563" s="153"/>
      <c r="J563" s="145"/>
    </row>
    <row r="564" spans="2:10" ht="15.75" customHeight="1">
      <c r="B564" s="153"/>
      <c r="C564" s="153"/>
      <c r="D564" s="132"/>
      <c r="E564" s="132"/>
      <c r="F564" s="132"/>
      <c r="G564" s="153"/>
      <c r="H564" s="153"/>
      <c r="I564" s="153"/>
      <c r="J564" s="145"/>
    </row>
    <row r="565" spans="2:10" ht="15.75" customHeight="1">
      <c r="B565" s="153"/>
      <c r="C565" s="153"/>
      <c r="D565" s="132"/>
      <c r="E565" s="132"/>
      <c r="F565" s="132"/>
      <c r="G565" s="153"/>
      <c r="H565" s="153"/>
      <c r="I565" s="153"/>
      <c r="J565" s="145"/>
    </row>
    <row r="566" spans="2:10" ht="15.75" customHeight="1">
      <c r="B566" s="153"/>
      <c r="C566" s="153"/>
      <c r="D566" s="132"/>
      <c r="E566" s="132"/>
      <c r="F566" s="132"/>
      <c r="G566" s="153"/>
      <c r="H566" s="153"/>
      <c r="I566" s="153"/>
      <c r="J566" s="145"/>
    </row>
    <row r="567" spans="2:10" ht="15.75" customHeight="1">
      <c r="B567" s="153"/>
      <c r="C567" s="153"/>
      <c r="D567" s="132"/>
      <c r="E567" s="132"/>
      <c r="F567" s="132"/>
      <c r="G567" s="153"/>
      <c r="H567" s="153"/>
      <c r="I567" s="153"/>
      <c r="J567" s="145"/>
    </row>
    <row r="568" spans="2:10" ht="15.75" customHeight="1">
      <c r="B568" s="153"/>
      <c r="C568" s="153"/>
      <c r="D568" s="132"/>
      <c r="E568" s="132"/>
      <c r="F568" s="132"/>
      <c r="G568" s="153"/>
      <c r="H568" s="153"/>
      <c r="I568" s="153"/>
      <c r="J568" s="145"/>
    </row>
    <row r="569" spans="2:10" ht="15.75" customHeight="1">
      <c r="B569" s="153"/>
      <c r="C569" s="153"/>
      <c r="D569" s="132"/>
      <c r="E569" s="132"/>
      <c r="F569" s="132"/>
      <c r="G569" s="153"/>
      <c r="H569" s="153"/>
      <c r="I569" s="153"/>
      <c r="J569" s="145"/>
    </row>
    <row r="570" spans="2:10" ht="15.75" customHeight="1">
      <c r="B570" s="153"/>
      <c r="C570" s="153"/>
      <c r="D570" s="132"/>
      <c r="E570" s="132"/>
      <c r="F570" s="132"/>
      <c r="G570" s="153"/>
      <c r="H570" s="153"/>
      <c r="I570" s="153"/>
      <c r="J570" s="145"/>
    </row>
    <row r="571" spans="2:10" ht="15.75" customHeight="1">
      <c r="B571" s="153"/>
      <c r="C571" s="153"/>
      <c r="D571" s="132"/>
      <c r="E571" s="132"/>
      <c r="F571" s="132"/>
      <c r="G571" s="153"/>
      <c r="H571" s="153"/>
      <c r="I571" s="153"/>
      <c r="J571" s="145"/>
    </row>
    <row r="572" spans="2:10" ht="15.75" customHeight="1">
      <c r="B572" s="153"/>
      <c r="C572" s="153"/>
      <c r="D572" s="132"/>
      <c r="E572" s="132"/>
      <c r="F572" s="132"/>
      <c r="G572" s="153"/>
      <c r="H572" s="153"/>
      <c r="I572" s="153"/>
      <c r="J572" s="145"/>
    </row>
    <row r="573" spans="2:10" ht="15.75" customHeight="1">
      <c r="B573" s="153"/>
      <c r="C573" s="153"/>
      <c r="D573" s="132"/>
      <c r="E573" s="132"/>
      <c r="F573" s="132"/>
      <c r="G573" s="153"/>
      <c r="H573" s="153"/>
      <c r="I573" s="153"/>
      <c r="J573" s="145"/>
    </row>
    <row r="574" spans="2:10" ht="15.75" customHeight="1">
      <c r="B574" s="153"/>
      <c r="C574" s="153"/>
      <c r="D574" s="132"/>
      <c r="E574" s="132"/>
      <c r="F574" s="132"/>
      <c r="G574" s="153"/>
      <c r="H574" s="153"/>
      <c r="I574" s="153"/>
      <c r="J574" s="145"/>
    </row>
    <row r="575" spans="2:10" ht="15.75" customHeight="1">
      <c r="B575" s="153"/>
      <c r="C575" s="153"/>
      <c r="D575" s="132"/>
      <c r="E575" s="132"/>
      <c r="F575" s="132"/>
      <c r="G575" s="153"/>
      <c r="H575" s="153"/>
      <c r="I575" s="153"/>
      <c r="J575" s="145"/>
    </row>
    <row r="576" spans="2:10" ht="15.75" customHeight="1">
      <c r="B576" s="153"/>
      <c r="C576" s="153"/>
      <c r="D576" s="132"/>
      <c r="E576" s="132"/>
      <c r="F576" s="132"/>
      <c r="G576" s="153"/>
      <c r="H576" s="153"/>
      <c r="I576" s="153"/>
      <c r="J576" s="145"/>
    </row>
    <row r="577" spans="2:10" ht="15.75" customHeight="1">
      <c r="B577" s="153"/>
      <c r="C577" s="153"/>
      <c r="D577" s="132"/>
      <c r="E577" s="132"/>
      <c r="F577" s="132"/>
      <c r="G577" s="153"/>
      <c r="H577" s="153"/>
      <c r="I577" s="153"/>
      <c r="J577" s="145"/>
    </row>
    <row r="578" spans="2:10" ht="15.75" customHeight="1">
      <c r="B578" s="153"/>
      <c r="C578" s="153"/>
      <c r="D578" s="132"/>
      <c r="E578" s="132"/>
      <c r="F578" s="132"/>
      <c r="G578" s="153"/>
      <c r="H578" s="153"/>
      <c r="I578" s="153"/>
      <c r="J578" s="145"/>
    </row>
    <row r="579" spans="2:10" ht="15.75" customHeight="1">
      <c r="B579" s="153"/>
      <c r="C579" s="153"/>
      <c r="D579" s="132"/>
      <c r="E579" s="132"/>
      <c r="F579" s="132"/>
      <c r="G579" s="153"/>
      <c r="H579" s="153"/>
      <c r="I579" s="153"/>
      <c r="J579" s="145"/>
    </row>
    <row r="580" spans="2:10" ht="15.75" customHeight="1">
      <c r="B580" s="153"/>
      <c r="C580" s="153"/>
      <c r="D580" s="132"/>
      <c r="E580" s="132"/>
      <c r="F580" s="132"/>
      <c r="G580" s="153"/>
      <c r="H580" s="153"/>
      <c r="I580" s="153"/>
      <c r="J580" s="145"/>
    </row>
    <row r="581" spans="2:10" ht="15.75" customHeight="1">
      <c r="B581" s="153"/>
      <c r="C581" s="153"/>
      <c r="D581" s="132"/>
      <c r="E581" s="132"/>
      <c r="F581" s="132"/>
      <c r="G581" s="153"/>
      <c r="H581" s="153"/>
      <c r="I581" s="153"/>
      <c r="J581" s="145"/>
    </row>
    <row r="582" spans="2:10" ht="15.75" customHeight="1">
      <c r="B582" s="153"/>
      <c r="C582" s="153"/>
      <c r="D582" s="132"/>
      <c r="E582" s="132"/>
      <c r="F582" s="132"/>
      <c r="G582" s="153"/>
      <c r="H582" s="153"/>
      <c r="I582" s="153"/>
      <c r="J582" s="145"/>
    </row>
    <row r="583" spans="2:10" ht="15.75" customHeight="1">
      <c r="B583" s="153"/>
      <c r="C583" s="153"/>
      <c r="D583" s="132"/>
      <c r="E583" s="132"/>
      <c r="F583" s="132"/>
      <c r="G583" s="153"/>
      <c r="H583" s="153"/>
      <c r="I583" s="153"/>
      <c r="J583" s="145"/>
    </row>
    <row r="584" spans="2:10" ht="15.75" customHeight="1">
      <c r="B584" s="153"/>
      <c r="C584" s="153"/>
      <c r="D584" s="132"/>
      <c r="E584" s="132"/>
      <c r="F584" s="132"/>
      <c r="G584" s="153"/>
      <c r="H584" s="153"/>
      <c r="I584" s="153"/>
      <c r="J584" s="145"/>
    </row>
    <row r="585" spans="2:10" ht="15.75" customHeight="1">
      <c r="B585" s="153"/>
      <c r="C585" s="153"/>
      <c r="D585" s="132"/>
      <c r="E585" s="132"/>
      <c r="F585" s="132"/>
      <c r="G585" s="153"/>
      <c r="H585" s="153"/>
      <c r="I585" s="153"/>
      <c r="J585" s="145"/>
    </row>
    <row r="586" spans="2:10" ht="15.75" customHeight="1">
      <c r="B586" s="153"/>
      <c r="C586" s="153"/>
      <c r="D586" s="132"/>
      <c r="E586" s="132"/>
      <c r="F586" s="132"/>
      <c r="G586" s="153"/>
      <c r="H586" s="153"/>
      <c r="I586" s="153"/>
      <c r="J586" s="145"/>
    </row>
    <row r="587" spans="2:10" ht="15.75" customHeight="1">
      <c r="B587" s="153"/>
      <c r="C587" s="153"/>
      <c r="D587" s="132"/>
      <c r="E587" s="132"/>
      <c r="F587" s="132"/>
      <c r="G587" s="153"/>
      <c r="H587" s="153"/>
      <c r="I587" s="153"/>
      <c r="J587" s="145"/>
    </row>
    <row r="588" spans="2:10" ht="15.75" customHeight="1">
      <c r="B588" s="153"/>
      <c r="C588" s="153"/>
      <c r="D588" s="132"/>
      <c r="E588" s="132"/>
      <c r="F588" s="132"/>
      <c r="G588" s="153"/>
      <c r="H588" s="153"/>
      <c r="I588" s="153"/>
      <c r="J588" s="145"/>
    </row>
    <row r="589" spans="2:10" ht="15.75" customHeight="1">
      <c r="B589" s="153"/>
      <c r="C589" s="153"/>
      <c r="D589" s="132"/>
      <c r="E589" s="132"/>
      <c r="F589" s="132"/>
      <c r="G589" s="153"/>
      <c r="H589" s="153"/>
      <c r="I589" s="153"/>
      <c r="J589" s="145"/>
    </row>
    <row r="590" spans="2:10" ht="15.75" customHeight="1">
      <c r="B590" s="153"/>
      <c r="C590" s="153"/>
      <c r="D590" s="132"/>
      <c r="E590" s="132"/>
      <c r="F590" s="132"/>
      <c r="G590" s="153"/>
      <c r="H590" s="153"/>
      <c r="I590" s="153"/>
      <c r="J590" s="145"/>
    </row>
    <row r="591" spans="2:10" ht="15.75" customHeight="1">
      <c r="B591" s="153"/>
      <c r="C591" s="153"/>
      <c r="D591" s="132"/>
      <c r="E591" s="132"/>
      <c r="F591" s="132"/>
      <c r="G591" s="153"/>
      <c r="H591" s="153"/>
      <c r="I591" s="153"/>
      <c r="J591" s="145"/>
    </row>
    <row r="592" spans="2:10" ht="15.75" customHeight="1">
      <c r="B592" s="153"/>
      <c r="C592" s="153"/>
      <c r="D592" s="132"/>
      <c r="E592" s="132"/>
      <c r="F592" s="132"/>
      <c r="G592" s="153"/>
      <c r="H592" s="153"/>
      <c r="I592" s="153"/>
      <c r="J592" s="145"/>
    </row>
    <row r="593" spans="2:10" ht="15.75" customHeight="1">
      <c r="B593" s="153"/>
      <c r="C593" s="153"/>
      <c r="D593" s="132"/>
      <c r="E593" s="132"/>
      <c r="F593" s="132"/>
      <c r="G593" s="153"/>
      <c r="H593" s="153"/>
      <c r="I593" s="153"/>
      <c r="J593" s="145"/>
    </row>
    <row r="594" spans="2:10" ht="15.75" customHeight="1">
      <c r="B594" s="153"/>
      <c r="C594" s="153"/>
      <c r="D594" s="132"/>
      <c r="E594" s="132"/>
      <c r="F594" s="132"/>
      <c r="G594" s="153"/>
      <c r="H594" s="153"/>
      <c r="I594" s="153"/>
      <c r="J594" s="145"/>
    </row>
    <row r="595" spans="2:10" ht="15.75" customHeight="1">
      <c r="B595" s="153"/>
      <c r="C595" s="153"/>
      <c r="D595" s="132"/>
      <c r="E595" s="132"/>
      <c r="F595" s="132"/>
      <c r="G595" s="153"/>
      <c r="H595" s="153"/>
      <c r="I595" s="153"/>
      <c r="J595" s="145"/>
    </row>
    <row r="596" spans="2:10" ht="15.75" customHeight="1">
      <c r="B596" s="153"/>
      <c r="C596" s="153"/>
      <c r="D596" s="132"/>
      <c r="E596" s="132"/>
      <c r="F596" s="132"/>
      <c r="G596" s="153"/>
      <c r="H596" s="153"/>
      <c r="I596" s="153"/>
      <c r="J596" s="145"/>
    </row>
    <row r="597" spans="2:10" ht="15.75" customHeight="1">
      <c r="B597" s="153"/>
      <c r="C597" s="153"/>
      <c r="D597" s="132"/>
      <c r="E597" s="132"/>
      <c r="F597" s="132"/>
      <c r="G597" s="153"/>
      <c r="H597" s="153"/>
      <c r="I597" s="153"/>
      <c r="J597" s="145"/>
    </row>
    <row r="598" spans="2:10" ht="15.75" customHeight="1">
      <c r="B598" s="153"/>
      <c r="C598" s="153"/>
      <c r="D598" s="132"/>
      <c r="E598" s="132"/>
      <c r="F598" s="132"/>
      <c r="G598" s="153"/>
      <c r="H598" s="153"/>
      <c r="I598" s="153"/>
      <c r="J598" s="145"/>
    </row>
    <row r="599" spans="2:10" ht="15.75" customHeight="1">
      <c r="B599" s="153"/>
      <c r="C599" s="153"/>
      <c r="D599" s="132"/>
      <c r="E599" s="132"/>
      <c r="F599" s="132"/>
      <c r="G599" s="153"/>
      <c r="H599" s="153"/>
      <c r="I599" s="153"/>
      <c r="J599" s="145"/>
    </row>
    <row r="600" spans="2:10" ht="15.75" customHeight="1">
      <c r="B600" s="153"/>
      <c r="C600" s="153"/>
      <c r="D600" s="132"/>
      <c r="E600" s="132"/>
      <c r="F600" s="132"/>
      <c r="G600" s="153"/>
      <c r="H600" s="153"/>
      <c r="I600" s="153"/>
      <c r="J600" s="145"/>
    </row>
    <row r="601" spans="2:10" ht="15.75" customHeight="1">
      <c r="B601" s="153"/>
      <c r="C601" s="153"/>
      <c r="D601" s="132"/>
      <c r="E601" s="132"/>
      <c r="F601" s="132"/>
      <c r="G601" s="153"/>
      <c r="H601" s="153"/>
      <c r="I601" s="153"/>
      <c r="J601" s="145"/>
    </row>
    <row r="602" spans="2:10" ht="15.75" customHeight="1">
      <c r="B602" s="153"/>
      <c r="C602" s="153"/>
      <c r="D602" s="132"/>
      <c r="E602" s="132"/>
      <c r="F602" s="132"/>
      <c r="G602" s="153"/>
      <c r="H602" s="153"/>
      <c r="I602" s="153"/>
      <c r="J602" s="145"/>
    </row>
    <row r="603" spans="2:10" ht="15.75" customHeight="1">
      <c r="B603" s="153"/>
      <c r="C603" s="153"/>
      <c r="D603" s="132"/>
      <c r="E603" s="132"/>
      <c r="F603" s="132"/>
      <c r="G603" s="153"/>
      <c r="H603" s="153"/>
      <c r="I603" s="153"/>
      <c r="J603" s="145"/>
    </row>
    <row r="604" spans="2:10" ht="15.75" customHeight="1">
      <c r="B604" s="153"/>
      <c r="C604" s="153"/>
      <c r="D604" s="132"/>
      <c r="E604" s="132"/>
      <c r="F604" s="132"/>
      <c r="G604" s="153"/>
      <c r="H604" s="153"/>
      <c r="I604" s="153"/>
      <c r="J604" s="145"/>
    </row>
    <row r="605" spans="2:10" ht="15.75" customHeight="1">
      <c r="B605" s="153"/>
      <c r="C605" s="153"/>
      <c r="D605" s="132"/>
      <c r="E605" s="132"/>
      <c r="F605" s="132"/>
      <c r="G605" s="153"/>
      <c r="H605" s="153"/>
      <c r="I605" s="153"/>
      <c r="J605" s="145"/>
    </row>
    <row r="606" spans="2:10" ht="15.75" customHeight="1">
      <c r="B606" s="153"/>
      <c r="C606" s="153"/>
      <c r="D606" s="132"/>
      <c r="E606" s="132"/>
      <c r="F606" s="132"/>
      <c r="G606" s="153"/>
      <c r="H606" s="153"/>
      <c r="I606" s="153"/>
      <c r="J606" s="145"/>
    </row>
    <row r="607" spans="2:10" ht="15.75" customHeight="1">
      <c r="B607" s="153"/>
      <c r="C607" s="153"/>
      <c r="D607" s="132"/>
      <c r="E607" s="132"/>
      <c r="F607" s="132"/>
      <c r="G607" s="153"/>
      <c r="H607" s="153"/>
      <c r="I607" s="153"/>
      <c r="J607" s="145"/>
    </row>
    <row r="608" spans="2:10" ht="15.75" customHeight="1">
      <c r="B608" s="153"/>
      <c r="C608" s="153"/>
      <c r="D608" s="132"/>
      <c r="E608" s="132"/>
      <c r="F608" s="132"/>
      <c r="G608" s="153"/>
      <c r="H608" s="153"/>
      <c r="I608" s="153"/>
      <c r="J608" s="145"/>
    </row>
    <row r="609" spans="2:10" ht="15.75" customHeight="1">
      <c r="B609" s="153"/>
      <c r="C609" s="153"/>
      <c r="D609" s="132"/>
      <c r="E609" s="132"/>
      <c r="F609" s="132"/>
      <c r="G609" s="153"/>
      <c r="H609" s="153"/>
      <c r="I609" s="153"/>
      <c r="J609" s="145"/>
    </row>
    <row r="610" spans="2:10" ht="15.75" customHeight="1">
      <c r="B610" s="153"/>
      <c r="C610" s="153"/>
      <c r="D610" s="132"/>
      <c r="E610" s="132"/>
      <c r="F610" s="132"/>
      <c r="G610" s="153"/>
      <c r="H610" s="153"/>
      <c r="I610" s="153"/>
      <c r="J610" s="145"/>
    </row>
    <row r="611" spans="2:10" ht="15.75" customHeight="1">
      <c r="B611" s="153"/>
      <c r="C611" s="153"/>
      <c r="D611" s="132"/>
      <c r="E611" s="132"/>
      <c r="F611" s="132"/>
      <c r="G611" s="153"/>
      <c r="H611" s="153"/>
      <c r="I611" s="153"/>
      <c r="J611" s="145"/>
    </row>
    <row r="612" spans="2:10" ht="15.75" customHeight="1">
      <c r="B612" s="153"/>
      <c r="C612" s="153"/>
      <c r="D612" s="132"/>
      <c r="E612" s="132"/>
      <c r="F612" s="132"/>
      <c r="G612" s="153"/>
      <c r="H612" s="153"/>
      <c r="I612" s="153"/>
      <c r="J612" s="145"/>
    </row>
    <row r="613" spans="2:10" ht="15.75" customHeight="1">
      <c r="B613" s="153"/>
      <c r="C613" s="153"/>
      <c r="D613" s="132"/>
      <c r="E613" s="132"/>
      <c r="F613" s="132"/>
      <c r="G613" s="153"/>
      <c r="H613" s="153"/>
      <c r="I613" s="153"/>
      <c r="J613" s="145"/>
    </row>
    <row r="614" spans="2:10" ht="15.75" customHeight="1">
      <c r="B614" s="153"/>
      <c r="C614" s="153"/>
      <c r="D614" s="132"/>
      <c r="E614" s="132"/>
      <c r="F614" s="132"/>
      <c r="G614" s="153"/>
      <c r="H614" s="153"/>
      <c r="I614" s="153"/>
      <c r="J614" s="145"/>
    </row>
    <row r="615" spans="2:10" ht="15.75" customHeight="1">
      <c r="B615" s="153"/>
      <c r="C615" s="153"/>
      <c r="D615" s="132"/>
      <c r="E615" s="132"/>
      <c r="F615" s="132"/>
      <c r="G615" s="153"/>
      <c r="H615" s="153"/>
      <c r="I615" s="153"/>
      <c r="J615" s="145"/>
    </row>
    <row r="616" spans="2:10" ht="15.75" customHeight="1">
      <c r="B616" s="153"/>
      <c r="C616" s="153"/>
      <c r="D616" s="132"/>
      <c r="E616" s="132"/>
      <c r="F616" s="132"/>
      <c r="G616" s="153"/>
      <c r="H616" s="153"/>
      <c r="I616" s="153"/>
      <c r="J616" s="145"/>
    </row>
    <row r="617" spans="2:10" ht="15.75" customHeight="1">
      <c r="B617" s="153"/>
      <c r="C617" s="153"/>
      <c r="D617" s="132"/>
      <c r="E617" s="132"/>
      <c r="F617" s="132"/>
      <c r="G617" s="153"/>
      <c r="H617" s="153"/>
      <c r="I617" s="153"/>
      <c r="J617" s="145"/>
    </row>
    <row r="618" spans="2:10" ht="15.75" customHeight="1">
      <c r="B618" s="153"/>
      <c r="C618" s="153"/>
      <c r="D618" s="132"/>
      <c r="E618" s="132"/>
      <c r="F618" s="132"/>
      <c r="G618" s="153"/>
      <c r="H618" s="153"/>
      <c r="I618" s="153"/>
      <c r="J618" s="145"/>
    </row>
    <row r="619" spans="2:10" ht="15.75" customHeight="1">
      <c r="B619" s="153"/>
      <c r="C619" s="153"/>
      <c r="D619" s="132"/>
      <c r="E619" s="132"/>
      <c r="F619" s="132"/>
      <c r="G619" s="153"/>
      <c r="H619" s="153"/>
      <c r="I619" s="153"/>
      <c r="J619" s="145"/>
    </row>
    <row r="620" spans="2:10" ht="15.75" customHeight="1">
      <c r="B620" s="153"/>
      <c r="C620" s="153"/>
      <c r="D620" s="132"/>
      <c r="E620" s="132"/>
      <c r="F620" s="132"/>
      <c r="G620" s="153"/>
      <c r="H620" s="153"/>
      <c r="I620" s="153"/>
      <c r="J620" s="145"/>
    </row>
    <row r="621" spans="2:10" ht="15.75" customHeight="1">
      <c r="B621" s="153"/>
      <c r="C621" s="153"/>
      <c r="D621" s="132"/>
      <c r="E621" s="132"/>
      <c r="F621" s="132"/>
      <c r="G621" s="153"/>
      <c r="H621" s="153"/>
      <c r="I621" s="153"/>
      <c r="J621" s="145"/>
    </row>
    <row r="622" spans="2:10" ht="15.75" customHeight="1">
      <c r="B622" s="153"/>
      <c r="C622" s="153"/>
      <c r="D622" s="132"/>
      <c r="E622" s="132"/>
      <c r="F622" s="132"/>
      <c r="G622" s="153"/>
      <c r="H622" s="153"/>
      <c r="I622" s="153"/>
      <c r="J622" s="145"/>
    </row>
    <row r="623" spans="2:10" ht="15.75" customHeight="1">
      <c r="B623" s="153"/>
      <c r="C623" s="153"/>
      <c r="D623" s="132"/>
      <c r="E623" s="132"/>
      <c r="F623" s="132"/>
      <c r="G623" s="153"/>
      <c r="H623" s="153"/>
      <c r="I623" s="153"/>
      <c r="J623" s="145"/>
    </row>
    <row r="624" spans="2:10" ht="15.75" customHeight="1">
      <c r="B624" s="153"/>
      <c r="C624" s="153"/>
      <c r="D624" s="132"/>
      <c r="E624" s="132"/>
      <c r="F624" s="132"/>
      <c r="G624" s="153"/>
      <c r="H624" s="153"/>
      <c r="I624" s="153"/>
      <c r="J624" s="145"/>
    </row>
    <row r="625" spans="2:10" ht="15.75" customHeight="1">
      <c r="B625" s="153"/>
      <c r="C625" s="153"/>
      <c r="D625" s="132"/>
      <c r="E625" s="132"/>
      <c r="F625" s="132"/>
      <c r="G625" s="153"/>
      <c r="H625" s="153"/>
      <c r="I625" s="153"/>
      <c r="J625" s="145"/>
    </row>
    <row r="626" spans="2:10" ht="15.75" customHeight="1">
      <c r="B626" s="153"/>
      <c r="C626" s="153"/>
      <c r="D626" s="132"/>
      <c r="E626" s="132"/>
      <c r="F626" s="132"/>
      <c r="G626" s="153"/>
      <c r="H626" s="153"/>
      <c r="I626" s="153"/>
      <c r="J626" s="145"/>
    </row>
    <row r="627" spans="2:10" ht="15.75" customHeight="1">
      <c r="B627" s="153"/>
      <c r="C627" s="153"/>
      <c r="D627" s="132"/>
      <c r="E627" s="132"/>
      <c r="F627" s="132"/>
      <c r="G627" s="153"/>
      <c r="H627" s="153"/>
      <c r="I627" s="153"/>
      <c r="J627" s="145"/>
    </row>
    <row r="628" spans="2:10" ht="15.75" customHeight="1">
      <c r="B628" s="153"/>
      <c r="C628" s="153"/>
      <c r="D628" s="132"/>
      <c r="E628" s="132"/>
      <c r="F628" s="132"/>
      <c r="G628" s="153"/>
      <c r="H628" s="153"/>
      <c r="I628" s="153"/>
      <c r="J628" s="145"/>
    </row>
    <row r="629" spans="2:10" ht="15.75" customHeight="1">
      <c r="B629" s="153"/>
      <c r="C629" s="153"/>
      <c r="D629" s="132"/>
      <c r="E629" s="132"/>
      <c r="F629" s="132"/>
      <c r="G629" s="153"/>
      <c r="H629" s="153"/>
      <c r="I629" s="153"/>
      <c r="J629" s="145"/>
    </row>
    <row r="630" spans="2:10" ht="15.75" customHeight="1">
      <c r="B630" s="153"/>
      <c r="C630" s="153"/>
      <c r="D630" s="132"/>
      <c r="E630" s="132"/>
      <c r="F630" s="132"/>
      <c r="G630" s="153"/>
      <c r="H630" s="153"/>
      <c r="I630" s="153"/>
      <c r="J630" s="145"/>
    </row>
    <row r="631" spans="2:10" ht="15.75" customHeight="1">
      <c r="B631" s="153"/>
      <c r="C631" s="153"/>
      <c r="D631" s="132"/>
      <c r="E631" s="132"/>
      <c r="F631" s="132"/>
      <c r="G631" s="153"/>
      <c r="H631" s="153"/>
      <c r="I631" s="153"/>
      <c r="J631" s="145"/>
    </row>
    <row r="632" spans="2:10" ht="15.75" customHeight="1">
      <c r="B632" s="153"/>
      <c r="C632" s="153"/>
      <c r="D632" s="132"/>
      <c r="E632" s="132"/>
      <c r="F632" s="132"/>
      <c r="G632" s="153"/>
      <c r="H632" s="153"/>
      <c r="I632" s="153"/>
      <c r="J632" s="145"/>
    </row>
    <row r="633" spans="2:10" ht="15.75" customHeight="1">
      <c r="B633" s="153"/>
      <c r="C633" s="153"/>
      <c r="D633" s="132"/>
      <c r="E633" s="132"/>
      <c r="F633" s="132"/>
      <c r="G633" s="153"/>
      <c r="H633" s="153"/>
      <c r="I633" s="153"/>
      <c r="J633" s="145"/>
    </row>
    <row r="634" spans="2:10" ht="15.75" customHeight="1">
      <c r="B634" s="153"/>
      <c r="C634" s="153"/>
      <c r="D634" s="132"/>
      <c r="E634" s="132"/>
      <c r="F634" s="132"/>
      <c r="G634" s="153"/>
      <c r="H634" s="153"/>
      <c r="I634" s="153"/>
      <c r="J634" s="145"/>
    </row>
    <row r="635" spans="2:10" ht="15.75" customHeight="1">
      <c r="B635" s="153"/>
      <c r="C635" s="153"/>
      <c r="D635" s="132"/>
      <c r="E635" s="132"/>
      <c r="F635" s="132"/>
      <c r="G635" s="153"/>
      <c r="H635" s="153"/>
      <c r="I635" s="153"/>
      <c r="J635" s="145"/>
    </row>
    <row r="636" spans="2:10" ht="15.75" customHeight="1">
      <c r="B636" s="153"/>
      <c r="C636" s="153"/>
      <c r="D636" s="132"/>
      <c r="E636" s="132"/>
      <c r="F636" s="132"/>
      <c r="G636" s="153"/>
      <c r="H636" s="153"/>
      <c r="I636" s="153"/>
      <c r="J636" s="145"/>
    </row>
    <row r="637" spans="2:10" ht="15.75" customHeight="1">
      <c r="B637" s="153"/>
      <c r="C637" s="153"/>
      <c r="D637" s="132"/>
      <c r="E637" s="132"/>
      <c r="F637" s="132"/>
      <c r="G637" s="153"/>
      <c r="H637" s="153"/>
      <c r="I637" s="153"/>
      <c r="J637" s="145"/>
    </row>
    <row r="638" spans="2:10" ht="15.75" customHeight="1">
      <c r="B638" s="153"/>
      <c r="C638" s="153"/>
      <c r="D638" s="132"/>
      <c r="E638" s="132"/>
      <c r="F638" s="132"/>
      <c r="G638" s="153"/>
      <c r="H638" s="153"/>
      <c r="I638" s="153"/>
      <c r="J638" s="145"/>
    </row>
    <row r="639" spans="2:10" ht="15.75" customHeight="1">
      <c r="B639" s="153"/>
      <c r="C639" s="153"/>
      <c r="D639" s="132"/>
      <c r="E639" s="132"/>
      <c r="F639" s="132"/>
      <c r="G639" s="153"/>
      <c r="H639" s="153"/>
      <c r="I639" s="153"/>
      <c r="J639" s="145"/>
    </row>
    <row r="640" spans="2:10" ht="15.75" customHeight="1">
      <c r="B640" s="153"/>
      <c r="C640" s="153"/>
      <c r="D640" s="132"/>
      <c r="E640" s="132"/>
      <c r="F640" s="132"/>
      <c r="G640" s="153"/>
      <c r="H640" s="153"/>
      <c r="I640" s="153"/>
      <c r="J640" s="145"/>
    </row>
    <row r="641" spans="2:10" ht="15.75" customHeight="1">
      <c r="B641" s="153"/>
      <c r="C641" s="153"/>
      <c r="D641" s="132"/>
      <c r="E641" s="132"/>
      <c r="F641" s="132"/>
      <c r="G641" s="153"/>
      <c r="H641" s="153"/>
      <c r="I641" s="153"/>
      <c r="J641" s="145"/>
    </row>
    <row r="642" spans="2:10" ht="15.75" customHeight="1">
      <c r="B642" s="153"/>
      <c r="C642" s="153"/>
      <c r="D642" s="132"/>
      <c r="E642" s="132"/>
      <c r="F642" s="132"/>
      <c r="G642" s="153"/>
      <c r="H642" s="153"/>
      <c r="I642" s="153"/>
      <c r="J642" s="145"/>
    </row>
    <row r="643" spans="2:10" ht="15.75" customHeight="1">
      <c r="B643" s="153"/>
      <c r="C643" s="153"/>
      <c r="D643" s="132"/>
      <c r="E643" s="132"/>
      <c r="F643" s="132"/>
      <c r="G643" s="153"/>
      <c r="H643" s="153"/>
      <c r="I643" s="153"/>
      <c r="J643" s="145"/>
    </row>
    <row r="644" spans="2:10" ht="15.75" customHeight="1">
      <c r="B644" s="153"/>
      <c r="C644" s="153"/>
      <c r="D644" s="132"/>
      <c r="E644" s="132"/>
      <c r="F644" s="132"/>
      <c r="G644" s="153"/>
      <c r="H644" s="153"/>
      <c r="I644" s="153"/>
      <c r="J644" s="145"/>
    </row>
    <row r="645" spans="2:10" ht="15.75" customHeight="1">
      <c r="B645" s="153"/>
      <c r="C645" s="153"/>
      <c r="D645" s="132"/>
      <c r="E645" s="132"/>
      <c r="F645" s="132"/>
      <c r="G645" s="153"/>
      <c r="H645" s="153"/>
      <c r="I645" s="153"/>
      <c r="J645" s="145"/>
    </row>
    <row r="646" spans="2:10" ht="15.75" customHeight="1">
      <c r="B646" s="153"/>
      <c r="C646" s="153"/>
      <c r="D646" s="132"/>
      <c r="E646" s="132"/>
      <c r="F646" s="132"/>
      <c r="G646" s="153"/>
      <c r="H646" s="153"/>
      <c r="I646" s="153"/>
      <c r="J646" s="145"/>
    </row>
    <row r="647" spans="2:10" ht="15.75" customHeight="1">
      <c r="B647" s="153"/>
      <c r="C647" s="153"/>
      <c r="D647" s="132"/>
      <c r="E647" s="132"/>
      <c r="F647" s="132"/>
      <c r="G647" s="153"/>
      <c r="H647" s="153"/>
      <c r="I647" s="153"/>
      <c r="J647" s="145"/>
    </row>
    <row r="648" spans="2:10" ht="15.75" customHeight="1">
      <c r="B648" s="153"/>
      <c r="C648" s="153"/>
      <c r="D648" s="132"/>
      <c r="E648" s="132"/>
      <c r="F648" s="132"/>
      <c r="G648" s="153"/>
      <c r="H648" s="153"/>
      <c r="I648" s="153"/>
      <c r="J648" s="145"/>
    </row>
    <row r="649" spans="2:10" ht="15.75" customHeight="1">
      <c r="B649" s="153"/>
      <c r="C649" s="153"/>
      <c r="D649" s="132"/>
      <c r="E649" s="132"/>
      <c r="F649" s="132"/>
      <c r="G649" s="153"/>
      <c r="H649" s="153"/>
      <c r="I649" s="153"/>
      <c r="J649" s="145"/>
    </row>
    <row r="650" spans="2:10" ht="15.75" customHeight="1">
      <c r="B650" s="153"/>
      <c r="C650" s="153"/>
      <c r="D650" s="132"/>
      <c r="E650" s="132"/>
      <c r="F650" s="132"/>
      <c r="G650" s="153"/>
      <c r="H650" s="153"/>
      <c r="I650" s="153"/>
      <c r="J650" s="145"/>
    </row>
    <row r="651" spans="2:10" ht="15.75" customHeight="1">
      <c r="B651" s="153"/>
      <c r="C651" s="153"/>
      <c r="D651" s="132"/>
      <c r="E651" s="132"/>
      <c r="F651" s="132"/>
      <c r="G651" s="153"/>
      <c r="H651" s="153"/>
      <c r="I651" s="153"/>
      <c r="J651" s="145"/>
    </row>
    <row r="652" spans="2:10" ht="15.75" customHeight="1">
      <c r="B652" s="153"/>
      <c r="C652" s="153"/>
      <c r="D652" s="132"/>
      <c r="E652" s="132"/>
      <c r="F652" s="132"/>
      <c r="G652" s="153"/>
      <c r="H652" s="153"/>
      <c r="I652" s="153"/>
      <c r="J652" s="145"/>
    </row>
    <row r="653" spans="2:10" ht="15.75" customHeight="1">
      <c r="B653" s="153"/>
      <c r="C653" s="153"/>
      <c r="D653" s="132"/>
      <c r="E653" s="132"/>
      <c r="F653" s="132"/>
      <c r="G653" s="153"/>
      <c r="H653" s="153"/>
      <c r="I653" s="153"/>
      <c r="J653" s="145"/>
    </row>
    <row r="654" spans="2:10" ht="15.75" customHeight="1">
      <c r="B654" s="153"/>
      <c r="C654" s="153"/>
      <c r="D654" s="132"/>
      <c r="E654" s="132"/>
      <c r="F654" s="132"/>
      <c r="G654" s="153"/>
      <c r="H654" s="153"/>
      <c r="I654" s="153"/>
      <c r="J654" s="145"/>
    </row>
    <row r="655" spans="2:10" ht="15.75" customHeight="1">
      <c r="B655" s="153"/>
      <c r="C655" s="153"/>
      <c r="D655" s="132"/>
      <c r="E655" s="132"/>
      <c r="F655" s="132"/>
      <c r="G655" s="153"/>
      <c r="H655" s="153"/>
      <c r="I655" s="153"/>
      <c r="J655" s="145"/>
    </row>
    <row r="656" spans="2:10" ht="15.75" customHeight="1">
      <c r="B656" s="153"/>
      <c r="C656" s="153"/>
      <c r="D656" s="132"/>
      <c r="E656" s="132"/>
      <c r="F656" s="132"/>
      <c r="G656" s="153"/>
      <c r="H656" s="153"/>
      <c r="I656" s="153"/>
      <c r="J656" s="145"/>
    </row>
    <row r="657" spans="2:10" ht="15.75" customHeight="1">
      <c r="B657" s="153"/>
      <c r="C657" s="153"/>
      <c r="D657" s="132"/>
      <c r="E657" s="132"/>
      <c r="F657" s="132"/>
      <c r="G657" s="153"/>
      <c r="H657" s="153"/>
      <c r="I657" s="153"/>
      <c r="J657" s="145"/>
    </row>
    <row r="658" spans="2:10" ht="15.75" customHeight="1">
      <c r="B658" s="153"/>
      <c r="C658" s="153"/>
      <c r="D658" s="132"/>
      <c r="E658" s="132"/>
      <c r="F658" s="132"/>
      <c r="G658" s="153"/>
      <c r="H658" s="153"/>
      <c r="I658" s="153"/>
      <c r="J658" s="145"/>
    </row>
    <row r="659" spans="2:10" ht="15.75" customHeight="1">
      <c r="B659" s="153"/>
      <c r="C659" s="153"/>
      <c r="D659" s="132"/>
      <c r="E659" s="132"/>
      <c r="F659" s="132"/>
      <c r="G659" s="153"/>
      <c r="H659" s="153"/>
      <c r="I659" s="153"/>
      <c r="J659" s="145"/>
    </row>
    <row r="660" spans="2:10" ht="15.75" customHeight="1">
      <c r="B660" s="153"/>
      <c r="C660" s="153"/>
      <c r="D660" s="132"/>
      <c r="E660" s="132"/>
      <c r="F660" s="132"/>
      <c r="G660" s="153"/>
      <c r="H660" s="153"/>
      <c r="I660" s="153"/>
      <c r="J660" s="145"/>
    </row>
    <row r="661" spans="2:10" ht="15.75" customHeight="1">
      <c r="B661" s="153"/>
      <c r="C661" s="153"/>
      <c r="D661" s="132"/>
      <c r="E661" s="132"/>
      <c r="F661" s="132"/>
      <c r="G661" s="153"/>
      <c r="H661" s="153"/>
      <c r="I661" s="153"/>
      <c r="J661" s="145"/>
    </row>
    <row r="662" spans="2:10" ht="15.75" customHeight="1">
      <c r="B662" s="153"/>
      <c r="C662" s="153"/>
      <c r="D662" s="132"/>
      <c r="E662" s="132"/>
      <c r="F662" s="132"/>
      <c r="G662" s="153"/>
      <c r="H662" s="153"/>
      <c r="I662" s="153"/>
      <c r="J662" s="145"/>
    </row>
    <row r="663" spans="2:10" ht="15.75" customHeight="1">
      <c r="B663" s="153"/>
      <c r="C663" s="153"/>
      <c r="D663" s="132"/>
      <c r="E663" s="132"/>
      <c r="F663" s="132"/>
      <c r="G663" s="153"/>
      <c r="H663" s="153"/>
      <c r="I663" s="153"/>
      <c r="J663" s="145"/>
    </row>
    <row r="664" spans="2:10" ht="15.75" customHeight="1">
      <c r="B664" s="153"/>
      <c r="C664" s="153"/>
      <c r="D664" s="132"/>
      <c r="E664" s="132"/>
      <c r="F664" s="132"/>
      <c r="G664" s="153"/>
      <c r="H664" s="153"/>
      <c r="I664" s="153"/>
      <c r="J664" s="145"/>
    </row>
    <row r="665" spans="2:10" ht="15.75" customHeight="1">
      <c r="B665" s="153"/>
      <c r="C665" s="153"/>
      <c r="D665" s="132"/>
      <c r="E665" s="132"/>
      <c r="F665" s="132"/>
      <c r="G665" s="153"/>
      <c r="H665" s="153"/>
      <c r="I665" s="153"/>
      <c r="J665" s="145"/>
    </row>
    <row r="666" spans="2:10" ht="15.75" customHeight="1">
      <c r="B666" s="153"/>
      <c r="C666" s="153"/>
      <c r="D666" s="132"/>
      <c r="E666" s="132"/>
      <c r="F666" s="132"/>
      <c r="G666" s="153"/>
      <c r="H666" s="153"/>
      <c r="I666" s="153"/>
      <c r="J666" s="145"/>
    </row>
    <row r="667" spans="2:10" ht="15.75" customHeight="1">
      <c r="B667" s="153"/>
      <c r="C667" s="153"/>
      <c r="D667" s="132"/>
      <c r="E667" s="132"/>
      <c r="F667" s="132"/>
      <c r="G667" s="153"/>
      <c r="H667" s="153"/>
      <c r="I667" s="153"/>
      <c r="J667" s="145"/>
    </row>
    <row r="668" spans="2:10" ht="15.75" customHeight="1">
      <c r="B668" s="153"/>
      <c r="C668" s="153"/>
      <c r="D668" s="132"/>
      <c r="E668" s="132"/>
      <c r="F668" s="132"/>
      <c r="G668" s="153"/>
      <c r="H668" s="153"/>
      <c r="I668" s="153"/>
      <c r="J668" s="145"/>
    </row>
    <row r="669" spans="2:10" ht="15.75" customHeight="1">
      <c r="B669" s="153"/>
      <c r="C669" s="153"/>
      <c r="D669" s="132"/>
      <c r="E669" s="132"/>
      <c r="F669" s="132"/>
      <c r="G669" s="153"/>
      <c r="H669" s="153"/>
      <c r="I669" s="153"/>
      <c r="J669" s="145"/>
    </row>
    <row r="670" spans="2:10" ht="15.75" customHeight="1">
      <c r="B670" s="153"/>
      <c r="C670" s="153"/>
      <c r="D670" s="132"/>
      <c r="E670" s="132"/>
      <c r="F670" s="132"/>
      <c r="G670" s="153"/>
      <c r="H670" s="153"/>
      <c r="I670" s="153"/>
      <c r="J670" s="145"/>
    </row>
    <row r="671" spans="2:10" ht="15.75" customHeight="1">
      <c r="B671" s="153"/>
      <c r="C671" s="153"/>
      <c r="D671" s="132"/>
      <c r="E671" s="132"/>
      <c r="F671" s="132"/>
      <c r="G671" s="153"/>
      <c r="H671" s="153"/>
      <c r="I671" s="153"/>
      <c r="J671" s="145"/>
    </row>
    <row r="672" spans="2:10" ht="15.75" customHeight="1">
      <c r="B672" s="153"/>
      <c r="C672" s="153"/>
      <c r="D672" s="132"/>
      <c r="E672" s="132"/>
      <c r="F672" s="132"/>
      <c r="G672" s="153"/>
      <c r="H672" s="153"/>
      <c r="I672" s="153"/>
      <c r="J672" s="145"/>
    </row>
    <row r="673" spans="2:10" ht="15.75" customHeight="1">
      <c r="B673" s="153"/>
      <c r="C673" s="153"/>
      <c r="D673" s="132"/>
      <c r="E673" s="132"/>
      <c r="F673" s="132"/>
      <c r="G673" s="153"/>
      <c r="H673" s="153"/>
      <c r="I673" s="153"/>
      <c r="J673" s="145"/>
    </row>
    <row r="674" spans="2:10" ht="15.75" customHeight="1">
      <c r="B674" s="153"/>
      <c r="C674" s="153"/>
      <c r="D674" s="132"/>
      <c r="E674" s="132"/>
      <c r="F674" s="132"/>
      <c r="G674" s="153"/>
      <c r="H674" s="153"/>
      <c r="I674" s="153"/>
      <c r="J674" s="145"/>
    </row>
    <row r="675" spans="2:10" ht="15.75" customHeight="1">
      <c r="B675" s="153"/>
      <c r="C675" s="153"/>
      <c r="D675" s="132"/>
      <c r="E675" s="132"/>
      <c r="F675" s="132"/>
      <c r="G675" s="153"/>
      <c r="H675" s="153"/>
      <c r="I675" s="153"/>
      <c r="J675" s="145"/>
    </row>
    <row r="676" spans="2:10" ht="15.75" customHeight="1">
      <c r="B676" s="153"/>
      <c r="C676" s="153"/>
      <c r="D676" s="132"/>
      <c r="E676" s="132"/>
      <c r="F676" s="132"/>
      <c r="G676" s="153"/>
      <c r="H676" s="153"/>
      <c r="I676" s="153"/>
      <c r="J676" s="145"/>
    </row>
    <row r="677" spans="2:10" ht="15.75" customHeight="1">
      <c r="B677" s="153"/>
      <c r="C677" s="153"/>
      <c r="D677" s="132"/>
      <c r="E677" s="132"/>
      <c r="F677" s="132"/>
      <c r="G677" s="153"/>
      <c r="H677" s="153"/>
      <c r="I677" s="153"/>
      <c r="J677" s="145"/>
    </row>
    <row r="678" spans="2:10" ht="15.75" customHeight="1">
      <c r="B678" s="153"/>
      <c r="C678" s="153"/>
      <c r="D678" s="132"/>
      <c r="E678" s="132"/>
      <c r="F678" s="132"/>
      <c r="G678" s="153"/>
      <c r="H678" s="153"/>
      <c r="I678" s="153"/>
      <c r="J678" s="145"/>
    </row>
    <row r="679" spans="2:10" ht="15.75" customHeight="1">
      <c r="B679" s="153"/>
      <c r="C679" s="153"/>
      <c r="D679" s="132"/>
      <c r="E679" s="132"/>
      <c r="F679" s="132"/>
      <c r="G679" s="153"/>
      <c r="H679" s="153"/>
      <c r="I679" s="153"/>
      <c r="J679" s="145"/>
    </row>
    <row r="680" spans="2:10" ht="15.75" customHeight="1">
      <c r="B680" s="153"/>
      <c r="C680" s="153"/>
      <c r="D680" s="132"/>
      <c r="E680" s="132"/>
      <c r="F680" s="132"/>
      <c r="G680" s="153"/>
      <c r="H680" s="153"/>
      <c r="I680" s="153"/>
      <c r="J680" s="145"/>
    </row>
    <row r="681" spans="2:10" ht="15.75" customHeight="1">
      <c r="B681" s="153"/>
      <c r="C681" s="153"/>
      <c r="D681" s="132"/>
      <c r="E681" s="132"/>
      <c r="F681" s="132"/>
      <c r="G681" s="153"/>
      <c r="H681" s="153"/>
      <c r="I681" s="153"/>
      <c r="J681" s="145"/>
    </row>
    <row r="682" spans="2:10" ht="15.75" customHeight="1">
      <c r="B682" s="153"/>
      <c r="C682" s="153"/>
      <c r="D682" s="132"/>
      <c r="E682" s="132"/>
      <c r="F682" s="132"/>
      <c r="G682" s="153"/>
      <c r="H682" s="153"/>
      <c r="I682" s="153"/>
      <c r="J682" s="145"/>
    </row>
    <row r="683" spans="2:10" ht="15.75" customHeight="1">
      <c r="B683" s="153"/>
      <c r="C683" s="153"/>
      <c r="D683" s="132"/>
      <c r="E683" s="132"/>
      <c r="F683" s="132"/>
      <c r="G683" s="153"/>
      <c r="H683" s="153"/>
      <c r="I683" s="153"/>
      <c r="J683" s="145"/>
    </row>
    <row r="684" spans="2:10" ht="15.75" customHeight="1">
      <c r="B684" s="153"/>
      <c r="C684" s="153"/>
      <c r="D684" s="132"/>
      <c r="E684" s="132"/>
      <c r="F684" s="132"/>
      <c r="G684" s="153"/>
      <c r="H684" s="153"/>
      <c r="I684" s="153"/>
      <c r="J684" s="145"/>
    </row>
    <row r="685" spans="2:10" ht="15.75" customHeight="1">
      <c r="B685" s="153"/>
      <c r="C685" s="153"/>
      <c r="D685" s="132"/>
      <c r="E685" s="132"/>
      <c r="F685" s="132"/>
      <c r="G685" s="153"/>
      <c r="H685" s="153"/>
      <c r="I685" s="153"/>
      <c r="J685" s="145"/>
    </row>
    <row r="686" spans="2:10" ht="15.75" customHeight="1">
      <c r="B686" s="153"/>
      <c r="C686" s="153"/>
      <c r="D686" s="132"/>
      <c r="E686" s="132"/>
      <c r="F686" s="132"/>
      <c r="G686" s="153"/>
      <c r="H686" s="153"/>
      <c r="I686" s="153"/>
      <c r="J686" s="145"/>
    </row>
    <row r="687" spans="2:10" ht="15.75" customHeight="1">
      <c r="B687" s="153"/>
      <c r="C687" s="153"/>
      <c r="D687" s="132"/>
      <c r="E687" s="132"/>
      <c r="F687" s="132"/>
      <c r="G687" s="153"/>
      <c r="H687" s="153"/>
      <c r="I687" s="153"/>
      <c r="J687" s="145"/>
    </row>
    <row r="688" spans="2:10" ht="15.75" customHeight="1">
      <c r="B688" s="153"/>
      <c r="C688" s="153"/>
      <c r="D688" s="132"/>
      <c r="E688" s="132"/>
      <c r="F688" s="132"/>
      <c r="G688" s="153"/>
      <c r="H688" s="153"/>
      <c r="I688" s="153"/>
      <c r="J688" s="145"/>
    </row>
    <row r="689" spans="2:10" ht="15.75" customHeight="1">
      <c r="B689" s="153"/>
      <c r="C689" s="153"/>
      <c r="D689" s="132"/>
      <c r="E689" s="132"/>
      <c r="F689" s="132"/>
      <c r="G689" s="153"/>
      <c r="H689" s="153"/>
      <c r="I689" s="153"/>
      <c r="J689" s="145"/>
    </row>
    <row r="690" spans="2:10" ht="15.75" customHeight="1">
      <c r="B690" s="153"/>
      <c r="C690" s="153"/>
      <c r="D690" s="132"/>
      <c r="E690" s="132"/>
      <c r="F690" s="132"/>
      <c r="G690" s="153"/>
      <c r="H690" s="153"/>
      <c r="I690" s="153"/>
      <c r="J690" s="145"/>
    </row>
    <row r="691" spans="2:10" ht="15.75" customHeight="1">
      <c r="B691" s="153"/>
      <c r="C691" s="153"/>
      <c r="D691" s="132"/>
      <c r="E691" s="132"/>
      <c r="F691" s="132"/>
      <c r="G691" s="153"/>
      <c r="H691" s="153"/>
      <c r="I691" s="153"/>
      <c r="J691" s="145"/>
    </row>
    <row r="692" spans="2:10" ht="15.75" customHeight="1">
      <c r="B692" s="153"/>
      <c r="C692" s="153"/>
      <c r="D692" s="132"/>
      <c r="E692" s="132"/>
      <c r="F692" s="132"/>
      <c r="G692" s="153"/>
      <c r="H692" s="153"/>
      <c r="I692" s="153"/>
      <c r="J692" s="145"/>
    </row>
    <row r="693" spans="2:10" ht="15.75" customHeight="1">
      <c r="B693" s="153"/>
      <c r="C693" s="153"/>
      <c r="D693" s="132"/>
      <c r="E693" s="132"/>
      <c r="F693" s="132"/>
      <c r="G693" s="153"/>
      <c r="H693" s="153"/>
      <c r="I693" s="153"/>
      <c r="J693" s="145"/>
    </row>
    <row r="694" spans="2:10" ht="15.75" customHeight="1">
      <c r="B694" s="153"/>
      <c r="C694" s="153"/>
      <c r="D694" s="132"/>
      <c r="E694" s="132"/>
      <c r="F694" s="132"/>
      <c r="G694" s="153"/>
      <c r="H694" s="153"/>
      <c r="I694" s="153"/>
      <c r="J694" s="145"/>
    </row>
    <row r="695" spans="2:10" ht="15.75" customHeight="1">
      <c r="B695" s="153"/>
      <c r="C695" s="153"/>
      <c r="D695" s="132"/>
      <c r="E695" s="132"/>
      <c r="F695" s="132"/>
      <c r="G695" s="153"/>
      <c r="H695" s="153"/>
      <c r="I695" s="153"/>
      <c r="J695" s="145"/>
    </row>
    <row r="696" spans="2:10" ht="15.75" customHeight="1">
      <c r="B696" s="153"/>
      <c r="C696" s="153"/>
      <c r="D696" s="132"/>
      <c r="E696" s="132"/>
      <c r="F696" s="132"/>
      <c r="G696" s="153"/>
      <c r="H696" s="153"/>
      <c r="I696" s="153"/>
      <c r="J696" s="145"/>
    </row>
    <row r="697" spans="2:10" ht="15.75" customHeight="1">
      <c r="B697" s="153"/>
      <c r="C697" s="153"/>
      <c r="D697" s="132"/>
      <c r="E697" s="132"/>
      <c r="F697" s="132"/>
      <c r="G697" s="153"/>
      <c r="H697" s="153"/>
      <c r="I697" s="153"/>
      <c r="J697" s="145"/>
    </row>
    <row r="698" spans="2:10" ht="15.75" customHeight="1">
      <c r="B698" s="153"/>
      <c r="C698" s="153"/>
      <c r="D698" s="132"/>
      <c r="E698" s="132"/>
      <c r="F698" s="132"/>
      <c r="G698" s="153"/>
      <c r="H698" s="153"/>
      <c r="I698" s="153"/>
      <c r="J698" s="145"/>
    </row>
    <row r="699" spans="2:10" ht="15.75" customHeight="1">
      <c r="B699" s="153"/>
      <c r="C699" s="153"/>
      <c r="D699" s="132"/>
      <c r="E699" s="132"/>
      <c r="F699" s="132"/>
      <c r="G699" s="153"/>
      <c r="H699" s="153"/>
      <c r="I699" s="153"/>
      <c r="J699" s="145"/>
    </row>
    <row r="700" spans="2:10" ht="15.75" customHeight="1">
      <c r="B700" s="153"/>
      <c r="C700" s="153"/>
      <c r="D700" s="132"/>
      <c r="E700" s="132"/>
      <c r="F700" s="132"/>
      <c r="G700" s="153"/>
      <c r="H700" s="153"/>
      <c r="I700" s="153"/>
      <c r="J700" s="145"/>
    </row>
    <row r="701" spans="2:10" ht="15.75" customHeight="1">
      <c r="B701" s="153"/>
      <c r="C701" s="153"/>
      <c r="D701" s="132"/>
      <c r="E701" s="132"/>
      <c r="F701" s="132"/>
      <c r="G701" s="153"/>
      <c r="H701" s="153"/>
      <c r="I701" s="153"/>
      <c r="J701" s="145"/>
    </row>
    <row r="702" spans="2:10" ht="15.75" customHeight="1">
      <c r="B702" s="153"/>
      <c r="C702" s="153"/>
      <c r="D702" s="132"/>
      <c r="E702" s="132"/>
      <c r="F702" s="132"/>
      <c r="G702" s="153"/>
      <c r="H702" s="153"/>
      <c r="I702" s="153"/>
      <c r="J702" s="145"/>
    </row>
    <row r="703" spans="2:10" ht="15.75" customHeight="1">
      <c r="B703" s="153"/>
      <c r="C703" s="153"/>
      <c r="D703" s="132"/>
      <c r="E703" s="132"/>
      <c r="F703" s="132"/>
      <c r="G703" s="153"/>
      <c r="H703" s="153"/>
      <c r="I703" s="153"/>
      <c r="J703" s="145"/>
    </row>
    <row r="704" spans="2:10" ht="15.75" customHeight="1">
      <c r="B704" s="153"/>
      <c r="C704" s="153"/>
      <c r="D704" s="132"/>
      <c r="E704" s="132"/>
      <c r="F704" s="132"/>
      <c r="G704" s="153"/>
      <c r="H704" s="153"/>
      <c r="I704" s="153"/>
      <c r="J704" s="145"/>
    </row>
    <row r="705" spans="2:10" ht="15.75" customHeight="1">
      <c r="B705" s="153"/>
      <c r="C705" s="153"/>
      <c r="D705" s="132"/>
      <c r="E705" s="132"/>
      <c r="F705" s="132"/>
      <c r="G705" s="153"/>
      <c r="H705" s="153"/>
      <c r="I705" s="153"/>
      <c r="J705" s="145"/>
    </row>
    <row r="706" spans="2:10" ht="15.75" customHeight="1">
      <c r="B706" s="153"/>
      <c r="C706" s="153"/>
      <c r="D706" s="132"/>
      <c r="E706" s="132"/>
      <c r="F706" s="132"/>
      <c r="G706" s="153"/>
      <c r="H706" s="153"/>
      <c r="I706" s="153"/>
      <c r="J706" s="145"/>
    </row>
    <row r="707" spans="2:10" ht="15.75" customHeight="1">
      <c r="B707" s="153"/>
      <c r="C707" s="153"/>
      <c r="D707" s="132"/>
      <c r="E707" s="132"/>
      <c r="F707" s="132"/>
      <c r="G707" s="153"/>
      <c r="H707" s="153"/>
      <c r="I707" s="153"/>
      <c r="J707" s="145"/>
    </row>
    <row r="708" spans="2:10" ht="15.75" customHeight="1">
      <c r="B708" s="153"/>
      <c r="C708" s="153"/>
      <c r="D708" s="132"/>
      <c r="E708" s="132"/>
      <c r="F708" s="132"/>
      <c r="G708" s="153"/>
      <c r="H708" s="153"/>
      <c r="I708" s="153"/>
      <c r="J708" s="145"/>
    </row>
    <row r="709" spans="2:10" ht="15.75" customHeight="1">
      <c r="B709" s="153"/>
      <c r="C709" s="153"/>
      <c r="D709" s="132"/>
      <c r="E709" s="132"/>
      <c r="F709" s="132"/>
      <c r="G709" s="153"/>
      <c r="H709" s="153"/>
      <c r="I709" s="153"/>
      <c r="J709" s="145"/>
    </row>
    <row r="710" spans="2:10" ht="15.75" customHeight="1">
      <c r="B710" s="153"/>
      <c r="C710" s="153"/>
      <c r="D710" s="132"/>
      <c r="E710" s="132"/>
      <c r="F710" s="132"/>
      <c r="G710" s="153"/>
      <c r="H710" s="153"/>
      <c r="I710" s="153"/>
      <c r="J710" s="145"/>
    </row>
    <row r="711" spans="2:10" ht="15.75" customHeight="1">
      <c r="B711" s="153"/>
      <c r="C711" s="153"/>
      <c r="D711" s="132"/>
      <c r="E711" s="132"/>
      <c r="F711" s="132"/>
      <c r="G711" s="153"/>
      <c r="H711" s="153"/>
      <c r="I711" s="153"/>
      <c r="J711" s="145"/>
    </row>
    <row r="712" spans="2:10" ht="15.75" customHeight="1">
      <c r="B712" s="153"/>
      <c r="C712" s="153"/>
      <c r="D712" s="132"/>
      <c r="E712" s="132"/>
      <c r="F712" s="132"/>
      <c r="G712" s="153"/>
      <c r="H712" s="153"/>
      <c r="I712" s="153"/>
      <c r="J712" s="145"/>
    </row>
    <row r="713" spans="2:10" ht="15.75" customHeight="1">
      <c r="B713" s="153"/>
      <c r="C713" s="153"/>
      <c r="D713" s="132"/>
      <c r="E713" s="132"/>
      <c r="F713" s="132"/>
      <c r="G713" s="153"/>
      <c r="H713" s="153"/>
      <c r="I713" s="153"/>
      <c r="J713" s="145"/>
    </row>
    <row r="714" spans="2:10" ht="15.75" customHeight="1">
      <c r="B714" s="153"/>
      <c r="C714" s="153"/>
      <c r="D714" s="132"/>
      <c r="E714" s="132"/>
      <c r="F714" s="132"/>
      <c r="G714" s="153"/>
      <c r="H714" s="153"/>
      <c r="I714" s="153"/>
      <c r="J714" s="145"/>
    </row>
    <row r="715" spans="2:10" ht="15.75" customHeight="1">
      <c r="B715" s="153"/>
      <c r="C715" s="153"/>
      <c r="D715" s="132"/>
      <c r="E715" s="132"/>
      <c r="F715" s="132"/>
      <c r="G715" s="153"/>
      <c r="H715" s="153"/>
      <c r="I715" s="153"/>
      <c r="J715" s="145"/>
    </row>
    <row r="716" spans="2:10" ht="15.75" customHeight="1">
      <c r="B716" s="153"/>
      <c r="C716" s="153"/>
      <c r="D716" s="132"/>
      <c r="E716" s="132"/>
      <c r="F716" s="132"/>
      <c r="G716" s="153"/>
      <c r="H716" s="153"/>
      <c r="I716" s="153"/>
      <c r="J716" s="145"/>
    </row>
    <row r="717" spans="2:10" ht="15.75" customHeight="1">
      <c r="B717" s="153"/>
      <c r="C717" s="153"/>
      <c r="D717" s="132"/>
      <c r="E717" s="132"/>
      <c r="F717" s="132"/>
      <c r="G717" s="153"/>
      <c r="H717" s="153"/>
      <c r="I717" s="153"/>
      <c r="J717" s="145"/>
    </row>
    <row r="718" spans="2:10" ht="15.75" customHeight="1">
      <c r="B718" s="153"/>
      <c r="C718" s="153"/>
      <c r="D718" s="132"/>
      <c r="E718" s="132"/>
      <c r="F718" s="132"/>
      <c r="G718" s="153"/>
      <c r="H718" s="153"/>
      <c r="I718" s="153"/>
      <c r="J718" s="145"/>
    </row>
    <row r="719" spans="2:10" ht="15.75" customHeight="1">
      <c r="B719" s="153"/>
      <c r="C719" s="153"/>
      <c r="D719" s="132"/>
      <c r="E719" s="132"/>
      <c r="F719" s="132"/>
      <c r="G719" s="153"/>
      <c r="H719" s="153"/>
      <c r="I719" s="153"/>
      <c r="J719" s="145"/>
    </row>
    <row r="720" spans="2:10" ht="15.75" customHeight="1">
      <c r="B720" s="153"/>
      <c r="C720" s="153"/>
      <c r="D720" s="132"/>
      <c r="E720" s="132"/>
      <c r="F720" s="132"/>
      <c r="G720" s="153"/>
      <c r="H720" s="153"/>
      <c r="I720" s="153"/>
      <c r="J720" s="145"/>
    </row>
    <row r="721" spans="2:10" ht="15.75" customHeight="1">
      <c r="B721" s="153"/>
      <c r="C721" s="153"/>
      <c r="D721" s="132"/>
      <c r="E721" s="132"/>
      <c r="F721" s="132"/>
      <c r="G721" s="153"/>
      <c r="H721" s="153"/>
      <c r="I721" s="153"/>
      <c r="J721" s="145"/>
    </row>
    <row r="722" spans="2:10" ht="15.75" customHeight="1">
      <c r="B722" s="153"/>
      <c r="C722" s="153"/>
      <c r="D722" s="132"/>
      <c r="E722" s="132"/>
      <c r="F722" s="132"/>
      <c r="G722" s="153"/>
      <c r="H722" s="153"/>
      <c r="I722" s="153"/>
      <c r="J722" s="145"/>
    </row>
    <row r="723" spans="2:10" ht="15.75" customHeight="1">
      <c r="B723" s="153"/>
      <c r="C723" s="153"/>
      <c r="D723" s="132"/>
      <c r="E723" s="132"/>
      <c r="F723" s="132"/>
      <c r="G723" s="153"/>
      <c r="H723" s="153"/>
      <c r="I723" s="153"/>
      <c r="J723" s="145"/>
    </row>
    <row r="724" spans="2:10" ht="15.75" customHeight="1">
      <c r="B724" s="153"/>
      <c r="C724" s="153"/>
      <c r="D724" s="132"/>
      <c r="E724" s="132"/>
      <c r="F724" s="132"/>
      <c r="G724" s="153"/>
      <c r="H724" s="153"/>
      <c r="I724" s="153"/>
      <c r="J724" s="145"/>
    </row>
    <row r="725" spans="2:10" ht="15.75" customHeight="1">
      <c r="B725" s="153"/>
      <c r="C725" s="153"/>
      <c r="D725" s="132"/>
      <c r="E725" s="132"/>
      <c r="F725" s="132"/>
      <c r="G725" s="153"/>
      <c r="H725" s="153"/>
      <c r="I725" s="153"/>
      <c r="J725" s="145"/>
    </row>
    <row r="726" spans="2:10" ht="15.75" customHeight="1">
      <c r="B726" s="153"/>
      <c r="C726" s="153"/>
      <c r="D726" s="132"/>
      <c r="E726" s="132"/>
      <c r="F726" s="132"/>
      <c r="G726" s="153"/>
      <c r="H726" s="153"/>
      <c r="I726" s="153"/>
      <c r="J726" s="145"/>
    </row>
    <row r="727" spans="2:10" ht="15.75" customHeight="1">
      <c r="B727" s="153"/>
      <c r="C727" s="153"/>
      <c r="D727" s="132"/>
      <c r="E727" s="132"/>
      <c r="F727" s="132"/>
      <c r="G727" s="153"/>
      <c r="H727" s="153"/>
      <c r="I727" s="153"/>
      <c r="J727" s="145"/>
    </row>
    <row r="728" spans="2:10" ht="15.75" customHeight="1">
      <c r="B728" s="153"/>
      <c r="C728" s="153"/>
      <c r="D728" s="132"/>
      <c r="E728" s="132"/>
      <c r="F728" s="132"/>
      <c r="G728" s="153"/>
      <c r="H728" s="153"/>
      <c r="I728" s="153"/>
      <c r="J728" s="145"/>
    </row>
    <row r="729" spans="2:10" ht="15.75" customHeight="1">
      <c r="B729" s="153"/>
      <c r="C729" s="153"/>
      <c r="D729" s="132"/>
      <c r="E729" s="132"/>
      <c r="F729" s="132"/>
      <c r="G729" s="153"/>
      <c r="H729" s="153"/>
      <c r="I729" s="153"/>
      <c r="J729" s="145"/>
    </row>
    <row r="730" spans="2:10" ht="15.75" customHeight="1">
      <c r="B730" s="153"/>
      <c r="C730" s="153"/>
      <c r="D730" s="132"/>
      <c r="E730" s="132"/>
      <c r="F730" s="132"/>
      <c r="G730" s="153"/>
      <c r="H730" s="153"/>
      <c r="I730" s="153"/>
      <c r="J730" s="145"/>
    </row>
    <row r="731" spans="2:10" ht="15.75" customHeight="1">
      <c r="B731" s="153"/>
      <c r="C731" s="153"/>
      <c r="D731" s="132"/>
      <c r="E731" s="132"/>
      <c r="F731" s="132"/>
      <c r="G731" s="153"/>
      <c r="H731" s="153"/>
      <c r="I731" s="153"/>
      <c r="J731" s="145"/>
    </row>
    <row r="732" spans="2:10" ht="15.75" customHeight="1">
      <c r="B732" s="153"/>
      <c r="C732" s="153"/>
      <c r="D732" s="132"/>
      <c r="E732" s="132"/>
      <c r="F732" s="132"/>
      <c r="G732" s="153"/>
      <c r="H732" s="153"/>
      <c r="I732" s="153"/>
      <c r="J732" s="145"/>
    </row>
    <row r="733" spans="2:10" ht="15.75" customHeight="1">
      <c r="B733" s="153"/>
      <c r="C733" s="153"/>
      <c r="D733" s="132"/>
      <c r="E733" s="132"/>
      <c r="F733" s="132"/>
      <c r="G733" s="153"/>
      <c r="H733" s="153"/>
      <c r="I733" s="153"/>
      <c r="J733" s="145"/>
    </row>
    <row r="734" spans="2:10" ht="15.75" customHeight="1">
      <c r="B734" s="153"/>
      <c r="C734" s="153"/>
      <c r="D734" s="132"/>
      <c r="E734" s="132"/>
      <c r="F734" s="132"/>
      <c r="G734" s="153"/>
      <c r="H734" s="153"/>
      <c r="I734" s="153"/>
      <c r="J734" s="145"/>
    </row>
    <row r="735" spans="2:10" ht="15.75" customHeight="1">
      <c r="B735" s="153"/>
      <c r="C735" s="153"/>
      <c r="D735" s="132"/>
      <c r="E735" s="132"/>
      <c r="F735" s="132"/>
      <c r="G735" s="153"/>
      <c r="H735" s="153"/>
      <c r="I735" s="153"/>
      <c r="J735" s="145"/>
    </row>
    <row r="736" spans="2:10" ht="15.75" customHeight="1">
      <c r="B736" s="153"/>
      <c r="C736" s="153"/>
      <c r="D736" s="132"/>
      <c r="E736" s="132"/>
      <c r="F736" s="132"/>
      <c r="G736" s="153"/>
      <c r="H736" s="153"/>
      <c r="I736" s="153"/>
      <c r="J736" s="145"/>
    </row>
    <row r="737" spans="2:10" ht="15.75" customHeight="1">
      <c r="B737" s="153"/>
      <c r="C737" s="153"/>
      <c r="D737" s="132"/>
      <c r="E737" s="132"/>
      <c r="F737" s="132"/>
      <c r="G737" s="153"/>
      <c r="H737" s="153"/>
      <c r="I737" s="153"/>
      <c r="J737" s="145"/>
    </row>
    <row r="738" spans="2:10" ht="15.75" customHeight="1">
      <c r="B738" s="153"/>
      <c r="C738" s="153"/>
      <c r="D738" s="132"/>
      <c r="E738" s="132"/>
      <c r="F738" s="132"/>
      <c r="G738" s="153"/>
      <c r="H738" s="153"/>
      <c r="I738" s="153"/>
      <c r="J738" s="145"/>
    </row>
    <row r="739" spans="2:10" ht="15.75" customHeight="1">
      <c r="B739" s="153"/>
      <c r="C739" s="153"/>
      <c r="D739" s="132"/>
      <c r="E739" s="132"/>
      <c r="F739" s="132"/>
      <c r="G739" s="153"/>
      <c r="H739" s="153"/>
      <c r="I739" s="153"/>
      <c r="J739" s="145"/>
    </row>
    <row r="740" spans="2:10" ht="15.75" customHeight="1">
      <c r="B740" s="153"/>
      <c r="C740" s="153"/>
      <c r="D740" s="132"/>
      <c r="E740" s="132"/>
      <c r="F740" s="132"/>
      <c r="G740" s="153"/>
      <c r="H740" s="153"/>
      <c r="I740" s="153"/>
      <c r="J740" s="145"/>
    </row>
    <row r="741" spans="2:10" ht="15.75" customHeight="1">
      <c r="B741" s="153"/>
      <c r="C741" s="153"/>
      <c r="D741" s="132"/>
      <c r="E741" s="132"/>
      <c r="F741" s="132"/>
      <c r="G741" s="153"/>
      <c r="H741" s="153"/>
      <c r="I741" s="153"/>
      <c r="J741" s="145"/>
    </row>
    <row r="742" spans="2:10" ht="15.75" customHeight="1">
      <c r="B742" s="153"/>
      <c r="C742" s="153"/>
      <c r="D742" s="132"/>
      <c r="E742" s="132"/>
      <c r="F742" s="132"/>
      <c r="G742" s="153"/>
      <c r="H742" s="153"/>
      <c r="I742" s="153"/>
      <c r="J742" s="145"/>
    </row>
    <row r="743" spans="2:10" ht="15.75" customHeight="1">
      <c r="B743" s="153"/>
      <c r="C743" s="153"/>
      <c r="D743" s="132"/>
      <c r="E743" s="132"/>
      <c r="F743" s="132"/>
      <c r="G743" s="153"/>
      <c r="H743" s="153"/>
      <c r="I743" s="153"/>
      <c r="J743" s="145"/>
    </row>
    <row r="744" spans="2:10" ht="15.75" customHeight="1">
      <c r="B744" s="153"/>
      <c r="C744" s="153"/>
      <c r="D744" s="132"/>
      <c r="E744" s="132"/>
      <c r="F744" s="132"/>
      <c r="G744" s="153"/>
      <c r="H744" s="153"/>
      <c r="I744" s="153"/>
      <c r="J744" s="145"/>
    </row>
    <row r="745" spans="2:10" ht="15.75" customHeight="1">
      <c r="B745" s="153"/>
      <c r="C745" s="153"/>
      <c r="D745" s="132"/>
      <c r="E745" s="132"/>
      <c r="F745" s="132"/>
      <c r="G745" s="153"/>
      <c r="H745" s="153"/>
      <c r="I745" s="153"/>
      <c r="J745" s="145"/>
    </row>
    <row r="746" spans="2:10" ht="15.75" customHeight="1">
      <c r="B746" s="153"/>
      <c r="C746" s="153"/>
      <c r="D746" s="132"/>
      <c r="E746" s="132"/>
      <c r="F746" s="132"/>
      <c r="G746" s="153"/>
      <c r="H746" s="153"/>
      <c r="I746" s="153"/>
      <c r="J746" s="145"/>
    </row>
    <row r="747" spans="2:10" ht="15.75" customHeight="1">
      <c r="B747" s="153"/>
      <c r="C747" s="153"/>
      <c r="D747" s="132"/>
      <c r="E747" s="132"/>
      <c r="F747" s="132"/>
      <c r="G747" s="153"/>
      <c r="H747" s="153"/>
      <c r="I747" s="153"/>
      <c r="J747" s="145"/>
    </row>
    <row r="748" spans="2:10" ht="15.75" customHeight="1">
      <c r="B748" s="153"/>
      <c r="C748" s="153"/>
      <c r="D748" s="132"/>
      <c r="E748" s="132"/>
      <c r="F748" s="132"/>
      <c r="G748" s="153"/>
      <c r="H748" s="153"/>
      <c r="I748" s="153"/>
      <c r="J748" s="145"/>
    </row>
    <row r="749" spans="2:10" ht="15.75" customHeight="1">
      <c r="B749" s="153"/>
      <c r="C749" s="153"/>
      <c r="D749" s="132"/>
      <c r="E749" s="132"/>
      <c r="F749" s="132"/>
      <c r="G749" s="153"/>
      <c r="H749" s="153"/>
      <c r="I749" s="153"/>
      <c r="J749" s="145"/>
    </row>
    <row r="750" spans="2:10" ht="15.75" customHeight="1">
      <c r="B750" s="153"/>
      <c r="C750" s="153"/>
      <c r="D750" s="132"/>
      <c r="E750" s="132"/>
      <c r="F750" s="132"/>
      <c r="G750" s="153"/>
      <c r="H750" s="153"/>
      <c r="I750" s="153"/>
      <c r="J750" s="145"/>
    </row>
    <row r="751" spans="2:10" ht="15.75" customHeight="1">
      <c r="B751" s="153"/>
      <c r="C751" s="153"/>
      <c r="D751" s="132"/>
      <c r="E751" s="132"/>
      <c r="F751" s="132"/>
      <c r="G751" s="153"/>
      <c r="H751" s="153"/>
      <c r="I751" s="153"/>
      <c r="J751" s="145"/>
    </row>
    <row r="752" spans="2:10" ht="15.75" customHeight="1">
      <c r="B752" s="153"/>
      <c r="C752" s="153"/>
      <c r="D752" s="132"/>
      <c r="E752" s="132"/>
      <c r="F752" s="132"/>
      <c r="G752" s="153"/>
      <c r="H752" s="153"/>
      <c r="I752" s="153"/>
      <c r="J752" s="145"/>
    </row>
    <row r="753" spans="2:10" ht="15.75" customHeight="1">
      <c r="B753" s="153"/>
      <c r="C753" s="153"/>
      <c r="D753" s="132"/>
      <c r="E753" s="132"/>
      <c r="F753" s="132"/>
      <c r="G753" s="153"/>
      <c r="H753" s="153"/>
      <c r="I753" s="153"/>
      <c r="J753" s="145"/>
    </row>
    <row r="754" spans="2:10" ht="15.75" customHeight="1">
      <c r="B754" s="153"/>
      <c r="C754" s="153"/>
      <c r="D754" s="132"/>
      <c r="E754" s="132"/>
      <c r="F754" s="132"/>
      <c r="G754" s="153"/>
      <c r="H754" s="153"/>
      <c r="I754" s="153"/>
      <c r="J754" s="145"/>
    </row>
    <row r="755" spans="2:10" ht="15.75" customHeight="1">
      <c r="B755" s="153"/>
      <c r="C755" s="153"/>
      <c r="D755" s="132"/>
      <c r="E755" s="132"/>
      <c r="F755" s="132"/>
      <c r="G755" s="153"/>
      <c r="H755" s="153"/>
      <c r="I755" s="153"/>
      <c r="J755" s="145"/>
    </row>
    <row r="756" spans="2:10" ht="15.75" customHeight="1">
      <c r="B756" s="153"/>
      <c r="C756" s="153"/>
      <c r="D756" s="132"/>
      <c r="E756" s="132"/>
      <c r="F756" s="132"/>
      <c r="G756" s="153"/>
      <c r="H756" s="153"/>
      <c r="I756" s="153"/>
      <c r="J756" s="145"/>
    </row>
    <row r="757" spans="2:10" ht="15.75" customHeight="1">
      <c r="B757" s="153"/>
      <c r="C757" s="153"/>
      <c r="D757" s="132"/>
      <c r="E757" s="132"/>
      <c r="F757" s="132"/>
      <c r="G757" s="153"/>
      <c r="H757" s="153"/>
      <c r="I757" s="153"/>
      <c r="J757" s="145"/>
    </row>
    <row r="758" spans="2:10" ht="15.75" customHeight="1">
      <c r="B758" s="153"/>
      <c r="C758" s="153"/>
      <c r="D758" s="132"/>
      <c r="E758" s="132"/>
      <c r="F758" s="132"/>
      <c r="G758" s="153"/>
      <c r="H758" s="153"/>
      <c r="I758" s="153"/>
      <c r="J758" s="145"/>
    </row>
    <row r="759" spans="2:10" ht="15.75" customHeight="1">
      <c r="B759" s="153"/>
      <c r="C759" s="153"/>
      <c r="D759" s="132"/>
      <c r="E759" s="132"/>
      <c r="F759" s="132"/>
      <c r="G759" s="153"/>
      <c r="H759" s="153"/>
      <c r="I759" s="153"/>
      <c r="J759" s="145"/>
    </row>
    <row r="760" spans="2:10" ht="15.75" customHeight="1">
      <c r="B760" s="153"/>
      <c r="C760" s="153"/>
      <c r="D760" s="132"/>
      <c r="E760" s="132"/>
      <c r="F760" s="132"/>
      <c r="G760" s="153"/>
      <c r="H760" s="153"/>
      <c r="I760" s="153"/>
      <c r="J760" s="145"/>
    </row>
    <row r="761" spans="2:10" ht="15.75" customHeight="1">
      <c r="B761" s="153"/>
      <c r="C761" s="153"/>
      <c r="D761" s="132"/>
      <c r="E761" s="132"/>
      <c r="F761" s="132"/>
      <c r="G761" s="153"/>
      <c r="H761" s="153"/>
      <c r="I761" s="153"/>
      <c r="J761" s="145"/>
    </row>
    <row r="762" spans="2:10" ht="15.75" customHeight="1">
      <c r="B762" s="153"/>
      <c r="C762" s="153"/>
      <c r="D762" s="132"/>
      <c r="E762" s="132"/>
      <c r="F762" s="132"/>
      <c r="G762" s="153"/>
      <c r="H762" s="153"/>
      <c r="I762" s="153"/>
      <c r="J762" s="145"/>
    </row>
    <row r="763" spans="2:10" ht="15.75" customHeight="1">
      <c r="B763" s="153"/>
      <c r="C763" s="153"/>
      <c r="D763" s="132"/>
      <c r="E763" s="132"/>
      <c r="F763" s="132"/>
      <c r="G763" s="153"/>
      <c r="H763" s="153"/>
      <c r="I763" s="153"/>
      <c r="J763" s="145"/>
    </row>
    <row r="764" spans="2:10" ht="15.75" customHeight="1">
      <c r="B764" s="153"/>
      <c r="C764" s="153"/>
      <c r="D764" s="132"/>
      <c r="E764" s="132"/>
      <c r="F764" s="132"/>
      <c r="G764" s="153"/>
      <c r="H764" s="153"/>
      <c r="I764" s="153"/>
      <c r="J764" s="145"/>
    </row>
    <row r="765" spans="2:10" ht="15.75" customHeight="1">
      <c r="B765" s="153"/>
      <c r="C765" s="153"/>
      <c r="D765" s="132"/>
      <c r="E765" s="132"/>
      <c r="F765" s="132"/>
      <c r="G765" s="153"/>
      <c r="H765" s="153"/>
      <c r="I765" s="153"/>
      <c r="J765" s="145"/>
    </row>
    <row r="766" spans="2:10" ht="15.75" customHeight="1">
      <c r="B766" s="153"/>
      <c r="C766" s="153"/>
      <c r="D766" s="132"/>
      <c r="E766" s="132"/>
      <c r="F766" s="132"/>
      <c r="G766" s="153"/>
      <c r="H766" s="153"/>
      <c r="I766" s="153"/>
      <c r="J766" s="145"/>
    </row>
    <row r="767" spans="2:10" ht="15.75" customHeight="1">
      <c r="B767" s="153"/>
      <c r="C767" s="153"/>
      <c r="D767" s="132"/>
      <c r="E767" s="132"/>
      <c r="F767" s="132"/>
      <c r="G767" s="153"/>
      <c r="H767" s="153"/>
      <c r="I767" s="153"/>
      <c r="J767" s="145"/>
    </row>
    <row r="768" spans="2:10" ht="15.75" customHeight="1">
      <c r="B768" s="153"/>
      <c r="C768" s="153"/>
      <c r="D768" s="132"/>
      <c r="E768" s="132"/>
      <c r="F768" s="132"/>
      <c r="G768" s="153"/>
      <c r="H768" s="153"/>
      <c r="I768" s="153"/>
      <c r="J768" s="145"/>
    </row>
    <row r="769" spans="2:10" ht="15.75" customHeight="1">
      <c r="B769" s="153"/>
      <c r="C769" s="153"/>
      <c r="D769" s="132"/>
      <c r="E769" s="132"/>
      <c r="F769" s="132"/>
      <c r="G769" s="153"/>
      <c r="H769" s="153"/>
      <c r="I769" s="153"/>
      <c r="J769" s="145"/>
    </row>
    <row r="770" spans="2:10" ht="15.75" customHeight="1">
      <c r="B770" s="153"/>
      <c r="C770" s="153"/>
      <c r="D770" s="132"/>
      <c r="E770" s="132"/>
      <c r="F770" s="132"/>
      <c r="G770" s="153"/>
      <c r="H770" s="153"/>
      <c r="I770" s="153"/>
      <c r="J770" s="145"/>
    </row>
    <row r="771" spans="2:10" ht="15.75" customHeight="1">
      <c r="B771" s="153"/>
      <c r="C771" s="153"/>
      <c r="D771" s="132"/>
      <c r="E771" s="132"/>
      <c r="F771" s="132"/>
      <c r="G771" s="153"/>
      <c r="H771" s="153"/>
      <c r="I771" s="153"/>
      <c r="J771" s="145"/>
    </row>
    <row r="772" spans="2:10" ht="15.75" customHeight="1">
      <c r="B772" s="153"/>
      <c r="C772" s="153"/>
      <c r="D772" s="132"/>
      <c r="E772" s="132"/>
      <c r="F772" s="132"/>
      <c r="G772" s="153"/>
      <c r="H772" s="153"/>
      <c r="I772" s="153"/>
      <c r="J772" s="145"/>
    </row>
    <row r="773" spans="2:10" ht="15.75" customHeight="1">
      <c r="B773" s="153"/>
      <c r="C773" s="153"/>
      <c r="D773" s="132"/>
      <c r="E773" s="132"/>
      <c r="F773" s="132"/>
      <c r="G773" s="153"/>
      <c r="H773" s="153"/>
      <c r="I773" s="153"/>
      <c r="J773" s="145"/>
    </row>
    <row r="774" spans="2:10" ht="15.75" customHeight="1">
      <c r="B774" s="153"/>
      <c r="C774" s="153"/>
      <c r="D774" s="132"/>
      <c r="E774" s="132"/>
      <c r="F774" s="132"/>
      <c r="G774" s="153"/>
      <c r="H774" s="153"/>
      <c r="I774" s="153"/>
      <c r="J774" s="145"/>
    </row>
    <row r="775" spans="2:10" ht="15.75" customHeight="1">
      <c r="B775" s="153"/>
      <c r="C775" s="153"/>
      <c r="D775" s="132"/>
      <c r="E775" s="132"/>
      <c r="F775" s="132"/>
      <c r="G775" s="153"/>
      <c r="H775" s="153"/>
      <c r="I775" s="153"/>
      <c r="J775" s="145"/>
    </row>
    <row r="776" spans="2:10" ht="15.75" customHeight="1">
      <c r="B776" s="153"/>
      <c r="C776" s="153"/>
      <c r="D776" s="132"/>
      <c r="E776" s="132"/>
      <c r="F776" s="132"/>
      <c r="G776" s="153"/>
      <c r="H776" s="153"/>
      <c r="I776" s="153"/>
      <c r="J776" s="145"/>
    </row>
    <row r="777" spans="2:10" ht="15.75" customHeight="1">
      <c r="B777" s="153"/>
      <c r="C777" s="153"/>
      <c r="D777" s="132"/>
      <c r="E777" s="132"/>
      <c r="F777" s="132"/>
      <c r="G777" s="153"/>
      <c r="H777" s="153"/>
      <c r="I777" s="153"/>
      <c r="J777" s="145"/>
    </row>
    <row r="778" spans="2:10" ht="15.75" customHeight="1">
      <c r="B778" s="153"/>
      <c r="C778" s="153"/>
      <c r="D778" s="132"/>
      <c r="E778" s="132"/>
      <c r="F778" s="132"/>
      <c r="G778" s="153"/>
      <c r="H778" s="153"/>
      <c r="I778" s="153"/>
      <c r="J778" s="145"/>
    </row>
    <row r="779" spans="2:10" ht="15.75" customHeight="1">
      <c r="B779" s="153"/>
      <c r="C779" s="153"/>
      <c r="D779" s="132"/>
      <c r="E779" s="132"/>
      <c r="F779" s="132"/>
      <c r="G779" s="153"/>
      <c r="H779" s="153"/>
      <c r="I779" s="153"/>
      <c r="J779" s="145"/>
    </row>
    <row r="780" spans="2:10" ht="15.75" customHeight="1">
      <c r="B780" s="153"/>
      <c r="C780" s="153"/>
      <c r="D780" s="132"/>
      <c r="E780" s="132"/>
      <c r="F780" s="132"/>
      <c r="G780" s="153"/>
      <c r="H780" s="153"/>
      <c r="I780" s="153"/>
      <c r="J780" s="145"/>
    </row>
    <row r="781" spans="2:10" ht="15.75" customHeight="1">
      <c r="B781" s="153"/>
      <c r="C781" s="153"/>
      <c r="D781" s="132"/>
      <c r="E781" s="132"/>
      <c r="F781" s="132"/>
      <c r="G781" s="153"/>
      <c r="H781" s="153"/>
      <c r="I781" s="153"/>
      <c r="J781" s="145"/>
    </row>
    <row r="782" spans="2:10" ht="15.75" customHeight="1">
      <c r="B782" s="153"/>
      <c r="C782" s="153"/>
      <c r="D782" s="132"/>
      <c r="E782" s="132"/>
      <c r="F782" s="132"/>
      <c r="G782" s="153"/>
      <c r="H782" s="153"/>
      <c r="I782" s="153"/>
      <c r="J782" s="145"/>
    </row>
    <row r="783" spans="2:10" ht="15.75" customHeight="1">
      <c r="B783" s="153"/>
      <c r="C783" s="153"/>
      <c r="D783" s="132"/>
      <c r="E783" s="132"/>
      <c r="F783" s="132"/>
      <c r="G783" s="153"/>
      <c r="H783" s="153"/>
      <c r="I783" s="153"/>
      <c r="J783" s="145"/>
    </row>
    <row r="784" spans="2:10" ht="15.75" customHeight="1">
      <c r="B784" s="153"/>
      <c r="C784" s="153"/>
      <c r="D784" s="132"/>
      <c r="E784" s="132"/>
      <c r="F784" s="132"/>
      <c r="G784" s="153"/>
      <c r="H784" s="153"/>
      <c r="I784" s="153"/>
      <c r="J784" s="145"/>
    </row>
    <row r="785" spans="2:10" ht="15.75" customHeight="1">
      <c r="B785" s="153"/>
      <c r="C785" s="153"/>
      <c r="D785" s="132"/>
      <c r="E785" s="132"/>
      <c r="F785" s="132"/>
      <c r="G785" s="153"/>
      <c r="H785" s="153"/>
      <c r="I785" s="153"/>
      <c r="J785" s="145"/>
    </row>
    <row r="786" spans="2:10" ht="15.75" customHeight="1">
      <c r="B786" s="153"/>
      <c r="C786" s="153"/>
      <c r="D786" s="132"/>
      <c r="E786" s="132"/>
      <c r="F786" s="132"/>
      <c r="G786" s="153"/>
      <c r="H786" s="153"/>
      <c r="I786" s="153"/>
      <c r="J786" s="145"/>
    </row>
    <row r="787" spans="2:10" ht="15.75" customHeight="1">
      <c r="B787" s="153"/>
      <c r="C787" s="153"/>
      <c r="D787" s="132"/>
      <c r="E787" s="132"/>
      <c r="F787" s="132"/>
      <c r="G787" s="153"/>
      <c r="H787" s="153"/>
      <c r="I787" s="153"/>
      <c r="J787" s="145"/>
    </row>
    <row r="788" spans="2:10" ht="15.75" customHeight="1">
      <c r="B788" s="153"/>
      <c r="C788" s="153"/>
      <c r="D788" s="132"/>
      <c r="E788" s="132"/>
      <c r="F788" s="132"/>
      <c r="G788" s="153"/>
      <c r="H788" s="153"/>
      <c r="I788" s="153"/>
      <c r="J788" s="145"/>
    </row>
    <row r="789" spans="2:10" ht="15.75" customHeight="1">
      <c r="B789" s="153"/>
      <c r="C789" s="153"/>
      <c r="D789" s="132"/>
      <c r="E789" s="132"/>
      <c r="F789" s="132"/>
      <c r="G789" s="153"/>
      <c r="H789" s="153"/>
      <c r="I789" s="153"/>
      <c r="J789" s="145"/>
    </row>
    <row r="790" spans="2:10" ht="15.75" customHeight="1">
      <c r="B790" s="153"/>
      <c r="C790" s="153"/>
      <c r="D790" s="132"/>
      <c r="E790" s="132"/>
      <c r="F790" s="132"/>
      <c r="G790" s="153"/>
      <c r="H790" s="153"/>
      <c r="I790" s="153"/>
      <c r="J790" s="145"/>
    </row>
    <row r="791" spans="2:10" ht="15.75" customHeight="1">
      <c r="B791" s="153"/>
      <c r="C791" s="153"/>
      <c r="D791" s="132"/>
      <c r="E791" s="132"/>
      <c r="F791" s="132"/>
      <c r="G791" s="153"/>
      <c r="H791" s="153"/>
      <c r="I791" s="153"/>
      <c r="J791" s="145"/>
    </row>
    <row r="792" spans="2:10" ht="15.75" customHeight="1">
      <c r="B792" s="153"/>
      <c r="C792" s="153"/>
      <c r="D792" s="132"/>
      <c r="E792" s="132"/>
      <c r="F792" s="132"/>
      <c r="G792" s="153"/>
      <c r="H792" s="153"/>
      <c r="I792" s="153"/>
      <c r="J792" s="145"/>
    </row>
    <row r="793" spans="2:10" ht="15.75" customHeight="1">
      <c r="B793" s="153"/>
      <c r="C793" s="153"/>
      <c r="D793" s="132"/>
      <c r="E793" s="132"/>
      <c r="F793" s="132"/>
      <c r="G793" s="153"/>
      <c r="H793" s="153"/>
      <c r="I793" s="153"/>
      <c r="J793" s="145"/>
    </row>
    <row r="794" spans="2:10" ht="15.75" customHeight="1">
      <c r="B794" s="153"/>
      <c r="C794" s="153"/>
      <c r="D794" s="132"/>
      <c r="E794" s="132"/>
      <c r="F794" s="132"/>
      <c r="G794" s="153"/>
      <c r="H794" s="153"/>
      <c r="I794" s="153"/>
      <c r="J794" s="145"/>
    </row>
    <row r="795" spans="2:10" ht="15.75" customHeight="1">
      <c r="B795" s="153"/>
      <c r="C795" s="153"/>
      <c r="D795" s="132"/>
      <c r="E795" s="132"/>
      <c r="F795" s="132"/>
      <c r="G795" s="153"/>
      <c r="H795" s="153"/>
      <c r="I795" s="153"/>
      <c r="J795" s="145"/>
    </row>
    <row r="796" spans="2:10" ht="15.75" customHeight="1">
      <c r="B796" s="153"/>
      <c r="C796" s="153"/>
      <c r="D796" s="132"/>
      <c r="E796" s="132"/>
      <c r="F796" s="132"/>
      <c r="G796" s="153"/>
      <c r="H796" s="153"/>
      <c r="I796" s="153"/>
      <c r="J796" s="145"/>
    </row>
    <row r="797" spans="2:10" ht="15.75" customHeight="1">
      <c r="B797" s="153"/>
      <c r="C797" s="153"/>
      <c r="D797" s="132"/>
      <c r="E797" s="132"/>
      <c r="F797" s="132"/>
      <c r="G797" s="153"/>
      <c r="H797" s="153"/>
      <c r="I797" s="153"/>
      <c r="J797" s="145"/>
    </row>
    <row r="798" spans="2:10" ht="15.75" customHeight="1">
      <c r="B798" s="153"/>
      <c r="C798" s="153"/>
      <c r="D798" s="132"/>
      <c r="E798" s="132"/>
      <c r="F798" s="132"/>
      <c r="G798" s="153"/>
      <c r="H798" s="153"/>
      <c r="I798" s="153"/>
      <c r="J798" s="145"/>
    </row>
    <row r="799" spans="2:10" ht="15.75" customHeight="1">
      <c r="B799" s="153"/>
      <c r="C799" s="153"/>
      <c r="D799" s="132"/>
      <c r="E799" s="132"/>
      <c r="F799" s="132"/>
      <c r="G799" s="153"/>
      <c r="H799" s="153"/>
      <c r="I799" s="153"/>
      <c r="J799" s="145"/>
    </row>
    <row r="800" spans="2:10" ht="15.75" customHeight="1">
      <c r="B800" s="153"/>
      <c r="C800" s="153"/>
      <c r="D800" s="132"/>
      <c r="E800" s="132"/>
      <c r="F800" s="132"/>
      <c r="G800" s="153"/>
      <c r="H800" s="153"/>
      <c r="I800" s="153"/>
      <c r="J800" s="145"/>
    </row>
    <row r="801" spans="2:10" ht="15.75" customHeight="1">
      <c r="B801" s="153"/>
      <c r="C801" s="153"/>
      <c r="D801" s="132"/>
      <c r="E801" s="132"/>
      <c r="F801" s="132"/>
      <c r="G801" s="153"/>
      <c r="H801" s="153"/>
      <c r="I801" s="153"/>
      <c r="J801" s="145"/>
    </row>
    <row r="802" spans="2:10" ht="15.75" customHeight="1">
      <c r="B802" s="153"/>
      <c r="C802" s="153"/>
      <c r="D802" s="132"/>
      <c r="E802" s="132"/>
      <c r="F802" s="132"/>
      <c r="G802" s="153"/>
      <c r="H802" s="153"/>
      <c r="I802" s="153"/>
      <c r="J802" s="145"/>
    </row>
    <row r="803" spans="2:10" ht="15.75" customHeight="1">
      <c r="B803" s="153"/>
      <c r="C803" s="153"/>
      <c r="D803" s="132"/>
      <c r="E803" s="132"/>
      <c r="F803" s="132"/>
      <c r="G803" s="153"/>
      <c r="H803" s="153"/>
      <c r="I803" s="153"/>
      <c r="J803" s="145"/>
    </row>
    <row r="804" spans="2:10" ht="15.75" customHeight="1">
      <c r="B804" s="153"/>
      <c r="C804" s="153"/>
      <c r="D804" s="132"/>
      <c r="E804" s="132"/>
      <c r="F804" s="132"/>
      <c r="G804" s="153"/>
      <c r="H804" s="153"/>
      <c r="I804" s="153"/>
      <c r="J804" s="145"/>
    </row>
    <row r="805" spans="2:10" ht="15.75" customHeight="1">
      <c r="B805" s="153"/>
      <c r="C805" s="153"/>
      <c r="D805" s="132"/>
      <c r="E805" s="132"/>
      <c r="F805" s="132"/>
      <c r="G805" s="153"/>
      <c r="H805" s="153"/>
      <c r="I805" s="153"/>
      <c r="J805" s="145"/>
    </row>
    <row r="806" spans="2:10" ht="15.75" customHeight="1">
      <c r="B806" s="153"/>
      <c r="C806" s="153"/>
      <c r="D806" s="132"/>
      <c r="E806" s="132"/>
      <c r="F806" s="132"/>
      <c r="G806" s="153"/>
      <c r="H806" s="153"/>
      <c r="I806" s="153"/>
      <c r="J806" s="145"/>
    </row>
    <row r="807" spans="2:10" ht="15.75" customHeight="1">
      <c r="B807" s="153"/>
      <c r="C807" s="153"/>
      <c r="D807" s="132"/>
      <c r="E807" s="132"/>
      <c r="F807" s="132"/>
      <c r="G807" s="153"/>
      <c r="H807" s="153"/>
      <c r="I807" s="153"/>
      <c r="J807" s="145"/>
    </row>
    <row r="808" spans="2:10" ht="15.75" customHeight="1">
      <c r="B808" s="153"/>
      <c r="C808" s="153"/>
      <c r="D808" s="132"/>
      <c r="E808" s="132"/>
      <c r="F808" s="132"/>
      <c r="G808" s="153"/>
      <c r="H808" s="153"/>
      <c r="I808" s="153"/>
      <c r="J808" s="145"/>
    </row>
    <row r="809" spans="2:10" ht="15.75" customHeight="1">
      <c r="B809" s="153"/>
      <c r="C809" s="153"/>
      <c r="D809" s="132"/>
      <c r="E809" s="132"/>
      <c r="F809" s="132"/>
      <c r="G809" s="153"/>
      <c r="H809" s="153"/>
      <c r="I809" s="153"/>
      <c r="J809" s="145"/>
    </row>
    <row r="810" spans="2:10" ht="15.75" customHeight="1">
      <c r="B810" s="153"/>
      <c r="C810" s="153"/>
      <c r="D810" s="132"/>
      <c r="E810" s="132"/>
      <c r="F810" s="132"/>
      <c r="G810" s="153"/>
      <c r="H810" s="153"/>
      <c r="I810" s="153"/>
      <c r="J810" s="145"/>
    </row>
    <row r="811" spans="2:10" ht="15.75" customHeight="1">
      <c r="B811" s="153"/>
      <c r="C811" s="153"/>
      <c r="D811" s="132"/>
      <c r="E811" s="132"/>
      <c r="F811" s="132"/>
      <c r="G811" s="153"/>
      <c r="H811" s="153"/>
      <c r="I811" s="153"/>
      <c r="J811" s="145"/>
    </row>
    <row r="812" spans="2:10" ht="15.75" customHeight="1">
      <c r="B812" s="153"/>
      <c r="C812" s="153"/>
      <c r="D812" s="132"/>
      <c r="E812" s="132"/>
      <c r="F812" s="132"/>
      <c r="G812" s="153"/>
      <c r="H812" s="153"/>
      <c r="I812" s="153"/>
      <c r="J812" s="145"/>
    </row>
    <row r="813" spans="2:10" ht="15.75" customHeight="1">
      <c r="B813" s="153"/>
      <c r="C813" s="153"/>
      <c r="D813" s="132"/>
      <c r="E813" s="132"/>
      <c r="F813" s="132"/>
      <c r="G813" s="153"/>
      <c r="H813" s="153"/>
      <c r="I813" s="153"/>
      <c r="J813" s="145"/>
    </row>
    <row r="814" spans="2:10" ht="15.75" customHeight="1">
      <c r="B814" s="153"/>
      <c r="C814" s="153"/>
      <c r="D814" s="132"/>
      <c r="E814" s="132"/>
      <c r="F814" s="132"/>
      <c r="G814" s="153"/>
      <c r="H814" s="153"/>
      <c r="I814" s="153"/>
      <c r="J814" s="145"/>
    </row>
    <row r="815" spans="2:10" ht="15.75" customHeight="1">
      <c r="B815" s="153"/>
      <c r="C815" s="153"/>
      <c r="D815" s="132"/>
      <c r="E815" s="132"/>
      <c r="F815" s="132"/>
      <c r="G815" s="153"/>
      <c r="H815" s="153"/>
      <c r="I815" s="153"/>
      <c r="J815" s="145"/>
    </row>
    <row r="816" spans="2:10" ht="15.75" customHeight="1">
      <c r="B816" s="153"/>
      <c r="C816" s="153"/>
      <c r="D816" s="132"/>
      <c r="E816" s="132"/>
      <c r="F816" s="132"/>
      <c r="G816" s="153"/>
      <c r="H816" s="153"/>
      <c r="I816" s="153"/>
      <c r="J816" s="145"/>
    </row>
    <row r="817" spans="2:10" ht="15.75" customHeight="1">
      <c r="B817" s="153"/>
      <c r="C817" s="153"/>
      <c r="D817" s="132"/>
      <c r="E817" s="132"/>
      <c r="F817" s="132"/>
      <c r="G817" s="153"/>
      <c r="H817" s="153"/>
      <c r="I817" s="153"/>
      <c r="J817" s="145"/>
    </row>
    <row r="818" spans="2:10" ht="15.75" customHeight="1">
      <c r="B818" s="153"/>
      <c r="C818" s="153"/>
      <c r="D818" s="132"/>
      <c r="E818" s="132"/>
      <c r="F818" s="132"/>
      <c r="G818" s="153"/>
      <c r="H818" s="153"/>
      <c r="I818" s="153"/>
      <c r="J818" s="145"/>
    </row>
    <row r="819" spans="2:10" ht="15.75" customHeight="1">
      <c r="B819" s="153"/>
      <c r="C819" s="153"/>
      <c r="D819" s="132"/>
      <c r="E819" s="132"/>
      <c r="F819" s="132"/>
      <c r="G819" s="153"/>
      <c r="H819" s="153"/>
      <c r="I819" s="153"/>
      <c r="J819" s="145"/>
    </row>
    <row r="820" spans="2:10" ht="15.75" customHeight="1">
      <c r="B820" s="153"/>
      <c r="C820" s="153"/>
      <c r="D820" s="132"/>
      <c r="E820" s="132"/>
      <c r="F820" s="132"/>
      <c r="G820" s="153"/>
      <c r="H820" s="153"/>
      <c r="I820" s="153"/>
      <c r="J820" s="145"/>
    </row>
    <row r="821" spans="2:10" ht="15.75" customHeight="1">
      <c r="B821" s="153"/>
      <c r="C821" s="153"/>
      <c r="D821" s="132"/>
      <c r="E821" s="132"/>
      <c r="F821" s="132"/>
      <c r="G821" s="153"/>
      <c r="H821" s="153"/>
      <c r="I821" s="153"/>
      <c r="J821" s="145"/>
    </row>
    <row r="822" spans="2:10" ht="15.75" customHeight="1">
      <c r="B822" s="153"/>
      <c r="C822" s="153"/>
      <c r="D822" s="132"/>
      <c r="E822" s="132"/>
      <c r="F822" s="132"/>
      <c r="G822" s="153"/>
      <c r="H822" s="153"/>
      <c r="I822" s="153"/>
      <c r="J822" s="145"/>
    </row>
    <row r="823" spans="2:10" ht="15.75" customHeight="1">
      <c r="B823" s="153"/>
      <c r="C823" s="153"/>
      <c r="D823" s="132"/>
      <c r="E823" s="132"/>
      <c r="F823" s="132"/>
      <c r="G823" s="153"/>
      <c r="H823" s="153"/>
      <c r="I823" s="153"/>
      <c r="J823" s="145"/>
    </row>
    <row r="824" spans="2:10" ht="15.75" customHeight="1">
      <c r="B824" s="153"/>
      <c r="C824" s="153"/>
      <c r="D824" s="132"/>
      <c r="E824" s="132"/>
      <c r="F824" s="132"/>
      <c r="G824" s="153"/>
      <c r="H824" s="153"/>
      <c r="I824" s="153"/>
      <c r="J824" s="145"/>
    </row>
    <row r="825" spans="2:10" ht="15.75" customHeight="1">
      <c r="B825" s="153"/>
      <c r="C825" s="153"/>
      <c r="D825" s="132"/>
      <c r="E825" s="132"/>
      <c r="F825" s="132"/>
      <c r="G825" s="153"/>
      <c r="H825" s="153"/>
      <c r="I825" s="153"/>
      <c r="J825" s="145"/>
    </row>
    <row r="826" spans="2:10" ht="15.75" customHeight="1">
      <c r="B826" s="153"/>
      <c r="C826" s="153"/>
      <c r="D826" s="132"/>
      <c r="E826" s="132"/>
      <c r="F826" s="132"/>
      <c r="G826" s="153"/>
      <c r="H826" s="153"/>
      <c r="I826" s="153"/>
      <c r="J826" s="145"/>
    </row>
    <row r="827" spans="2:10" ht="15.75" customHeight="1">
      <c r="B827" s="153"/>
      <c r="C827" s="153"/>
      <c r="D827" s="132"/>
      <c r="E827" s="132"/>
      <c r="F827" s="132"/>
      <c r="G827" s="153"/>
      <c r="H827" s="153"/>
      <c r="I827" s="153"/>
      <c r="J827" s="145"/>
    </row>
    <row r="828" spans="2:10" ht="15.75" customHeight="1">
      <c r="B828" s="153"/>
      <c r="C828" s="153"/>
      <c r="D828" s="132"/>
      <c r="E828" s="132"/>
      <c r="F828" s="132"/>
      <c r="G828" s="153"/>
      <c r="H828" s="153"/>
      <c r="I828" s="153"/>
      <c r="J828" s="145"/>
    </row>
    <row r="829" spans="2:10" ht="15.75" customHeight="1">
      <c r="B829" s="153"/>
      <c r="C829" s="153"/>
      <c r="D829" s="132"/>
      <c r="E829" s="132"/>
      <c r="F829" s="132"/>
      <c r="G829" s="153"/>
      <c r="H829" s="153"/>
      <c r="I829" s="153"/>
      <c r="J829" s="145"/>
    </row>
    <row r="830" spans="2:10" ht="15.75" customHeight="1">
      <c r="B830" s="153"/>
      <c r="C830" s="153"/>
      <c r="D830" s="132"/>
      <c r="E830" s="132"/>
      <c r="F830" s="132"/>
      <c r="G830" s="153"/>
      <c r="H830" s="153"/>
      <c r="I830" s="153"/>
      <c r="J830" s="145"/>
    </row>
    <row r="831" spans="2:10" ht="15.75" customHeight="1">
      <c r="B831" s="153"/>
      <c r="C831" s="153"/>
      <c r="D831" s="132"/>
      <c r="E831" s="132"/>
      <c r="F831" s="132"/>
      <c r="G831" s="153"/>
      <c r="H831" s="153"/>
      <c r="I831" s="153"/>
      <c r="J831" s="145"/>
    </row>
    <row r="832" spans="2:10" ht="15.75" customHeight="1">
      <c r="B832" s="153"/>
      <c r="C832" s="153"/>
      <c r="D832" s="132"/>
      <c r="E832" s="132"/>
      <c r="F832" s="132"/>
      <c r="G832" s="153"/>
      <c r="H832" s="153"/>
      <c r="I832" s="153"/>
      <c r="J832" s="145"/>
    </row>
    <row r="833" spans="2:10" ht="15.75" customHeight="1">
      <c r="B833" s="153"/>
      <c r="C833" s="153"/>
      <c r="D833" s="132"/>
      <c r="E833" s="132"/>
      <c r="F833" s="132"/>
      <c r="G833" s="153"/>
      <c r="H833" s="153"/>
      <c r="I833" s="153"/>
      <c r="J833" s="145"/>
    </row>
    <row r="834" spans="2:10" ht="15.75" customHeight="1">
      <c r="B834" s="153"/>
      <c r="C834" s="153"/>
      <c r="D834" s="132"/>
      <c r="E834" s="132"/>
      <c r="F834" s="132"/>
      <c r="G834" s="153"/>
      <c r="H834" s="153"/>
      <c r="I834" s="153"/>
      <c r="J834" s="145"/>
    </row>
    <row r="835" spans="2:10" ht="15.75" customHeight="1">
      <c r="B835" s="153"/>
      <c r="C835" s="153"/>
      <c r="D835" s="132"/>
      <c r="E835" s="132"/>
      <c r="F835" s="132"/>
      <c r="G835" s="153"/>
      <c r="H835" s="153"/>
      <c r="I835" s="153"/>
      <c r="J835" s="145"/>
    </row>
    <row r="836" spans="2:10" ht="15.75" customHeight="1">
      <c r="B836" s="153"/>
      <c r="C836" s="153"/>
      <c r="D836" s="132"/>
      <c r="E836" s="132"/>
      <c r="F836" s="132"/>
      <c r="G836" s="153"/>
      <c r="H836" s="153"/>
      <c r="I836" s="153"/>
      <c r="J836" s="145"/>
    </row>
    <row r="837" spans="2:10" ht="15.75" customHeight="1">
      <c r="B837" s="153"/>
      <c r="C837" s="153"/>
      <c r="D837" s="132"/>
      <c r="E837" s="132"/>
      <c r="F837" s="132"/>
      <c r="G837" s="153"/>
      <c r="H837" s="153"/>
      <c r="I837" s="153"/>
      <c r="J837" s="145"/>
    </row>
    <row r="838" spans="2:10" ht="15.75" customHeight="1">
      <c r="B838" s="153"/>
      <c r="C838" s="153"/>
      <c r="D838" s="132"/>
      <c r="E838" s="132"/>
      <c r="F838" s="132"/>
      <c r="G838" s="153"/>
      <c r="H838" s="153"/>
      <c r="I838" s="153"/>
      <c r="J838" s="145"/>
    </row>
    <row r="839" spans="2:10" ht="15.75" customHeight="1">
      <c r="B839" s="153"/>
      <c r="C839" s="153"/>
      <c r="D839" s="132"/>
      <c r="E839" s="132"/>
      <c r="F839" s="132"/>
      <c r="G839" s="153"/>
      <c r="H839" s="153"/>
      <c r="I839" s="153"/>
      <c r="J839" s="145"/>
    </row>
    <row r="840" spans="2:10" ht="15.75" customHeight="1">
      <c r="B840" s="153"/>
      <c r="C840" s="153"/>
      <c r="D840" s="132"/>
      <c r="E840" s="132"/>
      <c r="F840" s="132"/>
      <c r="G840" s="153"/>
      <c r="H840" s="153"/>
      <c r="I840" s="153"/>
      <c r="J840" s="145"/>
    </row>
    <row r="841" spans="2:10" ht="15.75" customHeight="1">
      <c r="B841" s="153"/>
      <c r="C841" s="153"/>
      <c r="D841" s="132"/>
      <c r="E841" s="132"/>
      <c r="F841" s="132"/>
      <c r="G841" s="153"/>
      <c r="H841" s="153"/>
      <c r="I841" s="153"/>
      <c r="J841" s="145"/>
    </row>
    <row r="842" spans="2:10" ht="15.75" customHeight="1">
      <c r="B842" s="153"/>
      <c r="C842" s="153"/>
      <c r="D842" s="132"/>
      <c r="E842" s="132"/>
      <c r="F842" s="132"/>
      <c r="G842" s="153"/>
      <c r="H842" s="153"/>
      <c r="I842" s="153"/>
      <c r="J842" s="145"/>
    </row>
    <row r="843" spans="2:10" ht="15.75" customHeight="1">
      <c r="B843" s="153"/>
      <c r="C843" s="153"/>
      <c r="D843" s="132"/>
      <c r="E843" s="132"/>
      <c r="F843" s="132"/>
      <c r="G843" s="153"/>
      <c r="H843" s="153"/>
      <c r="I843" s="153"/>
      <c r="J843" s="145"/>
    </row>
    <row r="844" spans="2:10" ht="15.75" customHeight="1">
      <c r="B844" s="153"/>
      <c r="C844" s="153"/>
      <c r="D844" s="132"/>
      <c r="E844" s="132"/>
      <c r="F844" s="132"/>
      <c r="G844" s="153"/>
      <c r="H844" s="153"/>
      <c r="I844" s="153"/>
      <c r="J844" s="145"/>
    </row>
    <row r="845" spans="2:10" ht="15.75" customHeight="1">
      <c r="B845" s="153"/>
      <c r="C845" s="153"/>
      <c r="D845" s="132"/>
      <c r="E845" s="132"/>
      <c r="F845" s="132"/>
      <c r="G845" s="153"/>
      <c r="H845" s="153"/>
      <c r="I845" s="153"/>
      <c r="J845" s="145"/>
    </row>
    <row r="846" spans="2:10" ht="15.75" customHeight="1">
      <c r="B846" s="153"/>
      <c r="C846" s="153"/>
      <c r="D846" s="132"/>
      <c r="E846" s="132"/>
      <c r="F846" s="132"/>
      <c r="G846" s="153"/>
      <c r="H846" s="153"/>
      <c r="I846" s="153"/>
      <c r="J846" s="145"/>
    </row>
    <row r="847" spans="2:10" ht="15.75" customHeight="1">
      <c r="B847" s="153"/>
      <c r="C847" s="153"/>
      <c r="D847" s="132"/>
      <c r="E847" s="132"/>
      <c r="F847" s="132"/>
      <c r="G847" s="153"/>
      <c r="H847" s="153"/>
      <c r="I847" s="153"/>
      <c r="J847" s="145"/>
    </row>
    <row r="848" spans="2:10" ht="15.75" customHeight="1">
      <c r="B848" s="153"/>
      <c r="C848" s="153"/>
      <c r="D848" s="132"/>
      <c r="E848" s="132"/>
      <c r="F848" s="132"/>
      <c r="G848" s="153"/>
      <c r="H848" s="153"/>
      <c r="I848" s="153"/>
      <c r="J848" s="145"/>
    </row>
    <row r="849" spans="2:10" ht="15.75" customHeight="1">
      <c r="B849" s="153"/>
      <c r="C849" s="153"/>
      <c r="D849" s="132"/>
      <c r="E849" s="132"/>
      <c r="F849" s="132"/>
      <c r="G849" s="153"/>
      <c r="H849" s="153"/>
      <c r="I849" s="153"/>
      <c r="J849" s="145"/>
    </row>
    <row r="850" spans="2:10" ht="15.75" customHeight="1">
      <c r="B850" s="153"/>
      <c r="C850" s="153"/>
      <c r="D850" s="132"/>
      <c r="E850" s="132"/>
      <c r="F850" s="132"/>
      <c r="G850" s="153"/>
      <c r="H850" s="153"/>
      <c r="I850" s="153"/>
      <c r="J850" s="145"/>
    </row>
    <row r="851" spans="2:10" ht="15.75" customHeight="1">
      <c r="B851" s="153"/>
      <c r="C851" s="153"/>
      <c r="D851" s="132"/>
      <c r="E851" s="132"/>
      <c r="F851" s="132"/>
      <c r="G851" s="153"/>
      <c r="H851" s="153"/>
      <c r="I851" s="153"/>
      <c r="J851" s="145"/>
    </row>
    <row r="852" spans="2:10" ht="15.75" customHeight="1">
      <c r="B852" s="153"/>
      <c r="C852" s="153"/>
      <c r="D852" s="132"/>
      <c r="E852" s="132"/>
      <c r="F852" s="132"/>
      <c r="G852" s="153"/>
      <c r="H852" s="153"/>
      <c r="I852" s="153"/>
      <c r="J852" s="145"/>
    </row>
    <row r="853" spans="2:10" ht="15.75" customHeight="1">
      <c r="B853" s="153"/>
      <c r="C853" s="153"/>
      <c r="D853" s="132"/>
      <c r="E853" s="132"/>
      <c r="F853" s="132"/>
      <c r="G853" s="153"/>
      <c r="H853" s="153"/>
      <c r="I853" s="153"/>
      <c r="J853" s="145"/>
    </row>
    <row r="854" spans="2:10" ht="15.75" customHeight="1">
      <c r="B854" s="153"/>
      <c r="C854" s="153"/>
      <c r="D854" s="132"/>
      <c r="E854" s="132"/>
      <c r="F854" s="132"/>
      <c r="G854" s="153"/>
      <c r="H854" s="153"/>
      <c r="I854" s="153"/>
      <c r="J854" s="145"/>
    </row>
    <row r="855" spans="2:10" ht="15.75" customHeight="1">
      <c r="B855" s="153"/>
      <c r="C855" s="153"/>
      <c r="D855" s="132"/>
      <c r="E855" s="132"/>
      <c r="F855" s="132"/>
      <c r="G855" s="153"/>
      <c r="H855" s="153"/>
      <c r="I855" s="153"/>
      <c r="J855" s="145"/>
    </row>
    <row r="856" spans="2:10" ht="15.75" customHeight="1">
      <c r="B856" s="153"/>
      <c r="C856" s="153"/>
      <c r="D856" s="132"/>
      <c r="E856" s="132"/>
      <c r="F856" s="132"/>
      <c r="G856" s="153"/>
      <c r="H856" s="153"/>
      <c r="I856" s="153"/>
      <c r="J856" s="145"/>
    </row>
    <row r="857" spans="2:10" ht="15.75" customHeight="1">
      <c r="B857" s="153"/>
      <c r="C857" s="153"/>
      <c r="D857" s="132"/>
      <c r="E857" s="132"/>
      <c r="F857" s="132"/>
      <c r="G857" s="153"/>
      <c r="H857" s="153"/>
      <c r="I857" s="153"/>
      <c r="J857" s="145"/>
    </row>
    <row r="858" spans="2:10" ht="15.75" customHeight="1">
      <c r="B858" s="153"/>
      <c r="C858" s="153"/>
      <c r="D858" s="132"/>
      <c r="E858" s="132"/>
      <c r="F858" s="132"/>
      <c r="G858" s="153"/>
      <c r="H858" s="153"/>
      <c r="I858" s="153"/>
      <c r="J858" s="145"/>
    </row>
    <row r="859" spans="2:10" ht="15.75" customHeight="1">
      <c r="B859" s="153"/>
      <c r="C859" s="153"/>
      <c r="D859" s="132"/>
      <c r="E859" s="132"/>
      <c r="F859" s="132"/>
      <c r="G859" s="153"/>
      <c r="H859" s="153"/>
      <c r="I859" s="153"/>
      <c r="J859" s="145"/>
    </row>
    <row r="860" spans="2:10" ht="15.75" customHeight="1">
      <c r="B860" s="153"/>
      <c r="C860" s="153"/>
      <c r="D860" s="132"/>
      <c r="E860" s="132"/>
      <c r="F860" s="132"/>
      <c r="G860" s="153"/>
      <c r="H860" s="153"/>
      <c r="I860" s="153"/>
      <c r="J860" s="145"/>
    </row>
    <row r="861" spans="2:10" ht="15.75" customHeight="1">
      <c r="B861" s="153"/>
      <c r="C861" s="153"/>
      <c r="D861" s="132"/>
      <c r="E861" s="132"/>
      <c r="F861" s="132"/>
      <c r="G861" s="153"/>
      <c r="H861" s="153"/>
      <c r="I861" s="153"/>
      <c r="J861" s="145"/>
    </row>
    <row r="862" spans="2:10" ht="15.75" customHeight="1">
      <c r="B862" s="153"/>
      <c r="C862" s="153"/>
      <c r="D862" s="132"/>
      <c r="E862" s="132"/>
      <c r="F862" s="132"/>
      <c r="G862" s="153"/>
      <c r="H862" s="153"/>
      <c r="I862" s="153"/>
      <c r="J862" s="145"/>
    </row>
    <row r="863" spans="2:10" ht="15.75" customHeight="1">
      <c r="B863" s="153"/>
      <c r="C863" s="153"/>
      <c r="D863" s="132"/>
      <c r="E863" s="132"/>
      <c r="F863" s="132"/>
      <c r="G863" s="153"/>
      <c r="H863" s="153"/>
      <c r="I863" s="153"/>
      <c r="J863" s="145"/>
    </row>
    <row r="864" spans="2:10" ht="15.75" customHeight="1">
      <c r="B864" s="153"/>
      <c r="C864" s="153"/>
      <c r="D864" s="132"/>
      <c r="E864" s="132"/>
      <c r="F864" s="132"/>
      <c r="G864" s="153"/>
      <c r="H864" s="153"/>
      <c r="I864" s="153"/>
      <c r="J864" s="145"/>
    </row>
    <row r="865" spans="2:10" ht="15.75" customHeight="1">
      <c r="B865" s="153"/>
      <c r="C865" s="153"/>
      <c r="D865" s="132"/>
      <c r="E865" s="132"/>
      <c r="F865" s="132"/>
      <c r="G865" s="153"/>
      <c r="H865" s="153"/>
      <c r="I865" s="153"/>
      <c r="J865" s="145"/>
    </row>
    <row r="866" spans="2:10" ht="15.75" customHeight="1">
      <c r="B866" s="153"/>
      <c r="C866" s="153"/>
      <c r="D866" s="132"/>
      <c r="E866" s="132"/>
      <c r="F866" s="132"/>
      <c r="G866" s="153"/>
      <c r="H866" s="153"/>
      <c r="I866" s="153"/>
      <c r="J866" s="145"/>
    </row>
    <row r="867" spans="2:10" ht="15.75" customHeight="1">
      <c r="B867" s="153"/>
      <c r="C867" s="153"/>
      <c r="D867" s="132"/>
      <c r="E867" s="132"/>
      <c r="F867" s="132"/>
      <c r="G867" s="153"/>
      <c r="H867" s="153"/>
      <c r="I867" s="153"/>
      <c r="J867" s="145"/>
    </row>
    <row r="868" spans="2:10" ht="15.75" customHeight="1">
      <c r="B868" s="153"/>
      <c r="C868" s="153"/>
      <c r="D868" s="132"/>
      <c r="E868" s="132"/>
      <c r="F868" s="132"/>
      <c r="G868" s="153"/>
      <c r="H868" s="153"/>
      <c r="I868" s="153"/>
      <c r="J868" s="145"/>
    </row>
    <row r="869" spans="2:10" ht="15.75" customHeight="1">
      <c r="B869" s="153"/>
      <c r="C869" s="153"/>
      <c r="D869" s="132"/>
      <c r="E869" s="132"/>
      <c r="F869" s="132"/>
      <c r="G869" s="153"/>
      <c r="H869" s="153"/>
      <c r="I869" s="153"/>
      <c r="J869" s="145"/>
    </row>
    <row r="870" spans="2:10" ht="15.75" customHeight="1">
      <c r="B870" s="153"/>
      <c r="C870" s="153"/>
      <c r="D870" s="132"/>
      <c r="E870" s="132"/>
      <c r="F870" s="132"/>
      <c r="G870" s="153"/>
      <c r="H870" s="153"/>
      <c r="I870" s="153"/>
      <c r="J870" s="145"/>
    </row>
    <row r="871" spans="2:10" ht="15.75" customHeight="1">
      <c r="B871" s="153"/>
      <c r="C871" s="153"/>
      <c r="D871" s="132"/>
      <c r="E871" s="132"/>
      <c r="F871" s="132"/>
      <c r="G871" s="153"/>
      <c r="H871" s="153"/>
      <c r="I871" s="153"/>
      <c r="J871" s="145"/>
    </row>
    <row r="872" spans="2:10" ht="15.75" customHeight="1">
      <c r="B872" s="153"/>
      <c r="C872" s="153"/>
      <c r="D872" s="132"/>
      <c r="E872" s="132"/>
      <c r="F872" s="132"/>
      <c r="G872" s="153"/>
      <c r="H872" s="153"/>
      <c r="I872" s="153"/>
      <c r="J872" s="145"/>
    </row>
    <row r="873" spans="2:10" ht="15.75" customHeight="1">
      <c r="B873" s="153"/>
      <c r="C873" s="153"/>
      <c r="D873" s="132"/>
      <c r="E873" s="132"/>
      <c r="F873" s="132"/>
      <c r="G873" s="153"/>
      <c r="H873" s="153"/>
      <c r="I873" s="153"/>
      <c r="J873" s="145"/>
    </row>
    <row r="874" spans="2:10" ht="15.75" customHeight="1">
      <c r="B874" s="153"/>
      <c r="C874" s="153"/>
      <c r="D874" s="132"/>
      <c r="E874" s="132"/>
      <c r="F874" s="132"/>
      <c r="G874" s="153"/>
      <c r="H874" s="153"/>
      <c r="I874" s="153"/>
      <c r="J874" s="145"/>
    </row>
    <row r="875" spans="2:10" ht="15.75" customHeight="1">
      <c r="B875" s="153"/>
      <c r="C875" s="153"/>
      <c r="D875" s="132"/>
      <c r="E875" s="132"/>
      <c r="F875" s="132"/>
      <c r="G875" s="153"/>
      <c r="H875" s="153"/>
      <c r="I875" s="153"/>
      <c r="J875" s="145"/>
    </row>
    <row r="876" spans="2:10" ht="15.75" customHeight="1">
      <c r="B876" s="153"/>
      <c r="C876" s="153"/>
      <c r="D876" s="132"/>
      <c r="E876" s="132"/>
      <c r="F876" s="132"/>
      <c r="G876" s="153"/>
      <c r="H876" s="153"/>
      <c r="I876" s="153"/>
      <c r="J876" s="145"/>
    </row>
    <row r="877" spans="2:10" ht="15.75" customHeight="1">
      <c r="B877" s="153"/>
      <c r="C877" s="153"/>
      <c r="D877" s="132"/>
      <c r="E877" s="132"/>
      <c r="F877" s="132"/>
      <c r="G877" s="153"/>
      <c r="H877" s="153"/>
      <c r="I877" s="153"/>
      <c r="J877" s="145"/>
    </row>
    <row r="878" spans="2:10" ht="15.75" customHeight="1">
      <c r="B878" s="153"/>
      <c r="C878" s="153"/>
      <c r="D878" s="132"/>
      <c r="E878" s="132"/>
      <c r="F878" s="132"/>
      <c r="G878" s="153"/>
      <c r="H878" s="153"/>
      <c r="I878" s="153"/>
      <c r="J878" s="145"/>
    </row>
    <row r="879" spans="2:10" ht="15.75" customHeight="1">
      <c r="B879" s="153"/>
      <c r="C879" s="153"/>
      <c r="D879" s="132"/>
      <c r="E879" s="132"/>
      <c r="F879" s="132"/>
      <c r="G879" s="153"/>
      <c r="H879" s="153"/>
      <c r="I879" s="153"/>
      <c r="J879" s="145"/>
    </row>
    <row r="880" spans="2:10" ht="15.75" customHeight="1">
      <c r="B880" s="153"/>
      <c r="C880" s="153"/>
      <c r="D880" s="132"/>
      <c r="E880" s="132"/>
      <c r="F880" s="132"/>
      <c r="G880" s="153"/>
      <c r="H880" s="153"/>
      <c r="I880" s="153"/>
      <c r="J880" s="145"/>
    </row>
    <row r="881" spans="2:10" ht="15.75" customHeight="1">
      <c r="B881" s="153"/>
      <c r="C881" s="153"/>
      <c r="D881" s="132"/>
      <c r="E881" s="132"/>
      <c r="F881" s="132"/>
      <c r="G881" s="153"/>
      <c r="H881" s="153"/>
      <c r="I881" s="153"/>
      <c r="J881" s="145"/>
    </row>
    <row r="882" spans="2:10" ht="15.75" customHeight="1">
      <c r="B882" s="153"/>
      <c r="C882" s="153"/>
      <c r="D882" s="132"/>
      <c r="E882" s="132"/>
      <c r="F882" s="132"/>
      <c r="G882" s="153"/>
      <c r="H882" s="153"/>
      <c r="I882" s="153"/>
      <c r="J882" s="145"/>
    </row>
    <row r="883" spans="2:10" ht="15.75" customHeight="1">
      <c r="B883" s="153"/>
      <c r="C883" s="153"/>
      <c r="D883" s="132"/>
      <c r="E883" s="132"/>
      <c r="F883" s="132"/>
      <c r="G883" s="153"/>
      <c r="H883" s="153"/>
      <c r="I883" s="153"/>
      <c r="J883" s="145"/>
    </row>
    <row r="884" spans="2:10" ht="15.75" customHeight="1">
      <c r="B884" s="153"/>
      <c r="C884" s="153"/>
      <c r="D884" s="132"/>
      <c r="E884" s="132"/>
      <c r="F884" s="132"/>
      <c r="G884" s="153"/>
      <c r="H884" s="153"/>
      <c r="I884" s="153"/>
      <c r="J884" s="145"/>
    </row>
    <row r="885" spans="2:10" ht="15.75" customHeight="1">
      <c r="B885" s="153"/>
      <c r="C885" s="153"/>
      <c r="D885" s="132"/>
      <c r="E885" s="132"/>
      <c r="F885" s="132"/>
      <c r="G885" s="153"/>
      <c r="H885" s="153"/>
      <c r="I885" s="153"/>
      <c r="J885" s="145"/>
    </row>
    <row r="886" spans="2:10" ht="15.75" customHeight="1">
      <c r="B886" s="153"/>
      <c r="C886" s="153"/>
      <c r="D886" s="132"/>
      <c r="E886" s="132"/>
      <c r="F886" s="132"/>
      <c r="G886" s="153"/>
      <c r="H886" s="153"/>
      <c r="I886" s="153"/>
      <c r="J886" s="145"/>
    </row>
    <row r="887" spans="2:10" ht="15.75" customHeight="1">
      <c r="B887" s="153"/>
      <c r="C887" s="153"/>
      <c r="D887" s="132"/>
      <c r="E887" s="132"/>
      <c r="F887" s="132"/>
      <c r="G887" s="153"/>
      <c r="H887" s="153"/>
      <c r="I887" s="153"/>
      <c r="J887" s="145"/>
    </row>
    <row r="888" spans="2:10" ht="15.75" customHeight="1">
      <c r="B888" s="153"/>
      <c r="C888" s="153"/>
      <c r="D888" s="132"/>
      <c r="E888" s="132"/>
      <c r="F888" s="132"/>
      <c r="G888" s="153"/>
      <c r="H888" s="153"/>
      <c r="I888" s="153"/>
      <c r="J888" s="145"/>
    </row>
    <row r="889" spans="2:10" ht="15.75" customHeight="1">
      <c r="B889" s="153"/>
      <c r="C889" s="153"/>
      <c r="D889" s="132"/>
      <c r="E889" s="132"/>
      <c r="F889" s="132"/>
      <c r="G889" s="153"/>
      <c r="H889" s="153"/>
      <c r="I889" s="153"/>
      <c r="J889" s="145"/>
    </row>
    <row r="890" spans="2:10" ht="15.75" customHeight="1">
      <c r="B890" s="153"/>
      <c r="C890" s="153"/>
      <c r="D890" s="132"/>
      <c r="E890" s="132"/>
      <c r="F890" s="132"/>
      <c r="G890" s="153"/>
      <c r="H890" s="153"/>
      <c r="I890" s="153"/>
      <c r="J890" s="145"/>
    </row>
    <row r="891" spans="2:10" ht="15.75" customHeight="1">
      <c r="B891" s="153"/>
      <c r="C891" s="153"/>
      <c r="D891" s="132"/>
      <c r="E891" s="132"/>
      <c r="F891" s="132"/>
      <c r="G891" s="153"/>
      <c r="H891" s="153"/>
      <c r="I891" s="153"/>
      <c r="J891" s="145"/>
    </row>
    <row r="892" spans="2:10" ht="15.75" customHeight="1">
      <c r="B892" s="153"/>
      <c r="C892" s="153"/>
      <c r="D892" s="132"/>
      <c r="E892" s="132"/>
      <c r="F892" s="132"/>
      <c r="G892" s="153"/>
      <c r="H892" s="153"/>
      <c r="I892" s="153"/>
      <c r="J892" s="145"/>
    </row>
    <row r="893" spans="2:10" ht="15.75" customHeight="1">
      <c r="B893" s="153"/>
      <c r="C893" s="153"/>
      <c r="D893" s="132"/>
      <c r="E893" s="132"/>
      <c r="F893" s="132"/>
      <c r="G893" s="153"/>
      <c r="H893" s="153"/>
      <c r="I893" s="153"/>
      <c r="J893" s="145"/>
    </row>
    <row r="894" spans="2:10" ht="15.75" customHeight="1">
      <c r="B894" s="153"/>
      <c r="C894" s="153"/>
      <c r="D894" s="132"/>
      <c r="E894" s="132"/>
      <c r="F894" s="132"/>
      <c r="G894" s="153"/>
      <c r="H894" s="153"/>
      <c r="I894" s="153"/>
      <c r="J894" s="145"/>
    </row>
    <row r="895" spans="2:10" ht="15.75" customHeight="1">
      <c r="B895" s="153"/>
      <c r="C895" s="153"/>
      <c r="D895" s="132"/>
      <c r="E895" s="132"/>
      <c r="F895" s="132"/>
      <c r="G895" s="153"/>
      <c r="H895" s="153"/>
      <c r="I895" s="153"/>
      <c r="J895" s="145"/>
    </row>
    <row r="896" spans="2:10" ht="15.75" customHeight="1">
      <c r="B896" s="153"/>
      <c r="C896" s="153"/>
      <c r="D896" s="132"/>
      <c r="E896" s="132"/>
      <c r="F896" s="132"/>
      <c r="G896" s="153"/>
      <c r="H896" s="153"/>
      <c r="I896" s="153"/>
      <c r="J896" s="145"/>
    </row>
    <row r="897" spans="2:10" ht="15.75" customHeight="1">
      <c r="B897" s="153"/>
      <c r="C897" s="153"/>
      <c r="D897" s="132"/>
      <c r="E897" s="132"/>
      <c r="F897" s="132"/>
      <c r="G897" s="153"/>
      <c r="H897" s="153"/>
      <c r="I897" s="153"/>
      <c r="J897" s="145"/>
    </row>
    <row r="898" spans="2:10" ht="15.75" customHeight="1">
      <c r="B898" s="153"/>
      <c r="C898" s="153"/>
      <c r="D898" s="132"/>
      <c r="E898" s="132"/>
      <c r="F898" s="132"/>
      <c r="G898" s="153"/>
      <c r="H898" s="153"/>
      <c r="I898" s="153"/>
      <c r="J898" s="145"/>
    </row>
    <row r="899" spans="2:10" ht="15.75" customHeight="1">
      <c r="B899" s="153"/>
      <c r="C899" s="153"/>
      <c r="D899" s="132"/>
      <c r="E899" s="132"/>
      <c r="F899" s="132"/>
      <c r="G899" s="153"/>
      <c r="H899" s="153"/>
      <c r="I899" s="153"/>
      <c r="J899" s="145"/>
    </row>
    <row r="900" spans="2:10" ht="15.75" customHeight="1">
      <c r="B900" s="153"/>
      <c r="C900" s="153"/>
      <c r="D900" s="132"/>
      <c r="E900" s="132"/>
      <c r="F900" s="132"/>
      <c r="G900" s="153"/>
      <c r="H900" s="153"/>
      <c r="I900" s="153"/>
      <c r="J900" s="145"/>
    </row>
    <row r="901" spans="2:10" ht="15.75" customHeight="1">
      <c r="B901" s="153"/>
      <c r="C901" s="153"/>
      <c r="D901" s="132"/>
      <c r="E901" s="132"/>
      <c r="F901" s="132"/>
      <c r="G901" s="153"/>
      <c r="H901" s="153"/>
      <c r="I901" s="153"/>
      <c r="J901" s="145"/>
    </row>
    <row r="902" spans="2:10" ht="15.75" customHeight="1">
      <c r="B902" s="153"/>
      <c r="C902" s="153"/>
      <c r="D902" s="132"/>
      <c r="E902" s="132"/>
      <c r="F902" s="132"/>
      <c r="G902" s="153"/>
      <c r="H902" s="153"/>
      <c r="I902" s="153"/>
      <c r="J902" s="145"/>
    </row>
    <row r="903" spans="2:10" ht="15.75" customHeight="1">
      <c r="B903" s="153"/>
      <c r="C903" s="153"/>
      <c r="D903" s="132"/>
      <c r="E903" s="132"/>
      <c r="F903" s="132"/>
      <c r="G903" s="153"/>
      <c r="H903" s="153"/>
      <c r="I903" s="153"/>
      <c r="J903" s="145"/>
    </row>
    <row r="904" spans="2:10" ht="15.75" customHeight="1">
      <c r="B904" s="153"/>
      <c r="C904" s="153"/>
      <c r="D904" s="132"/>
      <c r="E904" s="132"/>
      <c r="F904" s="132"/>
      <c r="G904" s="153"/>
      <c r="H904" s="153"/>
      <c r="I904" s="153"/>
      <c r="J904" s="145"/>
    </row>
    <row r="905" spans="2:10" ht="15.75" customHeight="1">
      <c r="B905" s="153"/>
      <c r="C905" s="153"/>
      <c r="D905" s="132"/>
      <c r="E905" s="132"/>
      <c r="F905" s="132"/>
      <c r="G905" s="153"/>
      <c r="H905" s="153"/>
      <c r="I905" s="153"/>
      <c r="J905" s="145"/>
    </row>
    <row r="906" spans="2:10" ht="15.75" customHeight="1">
      <c r="B906" s="153"/>
      <c r="C906" s="153"/>
      <c r="D906" s="132"/>
      <c r="E906" s="132"/>
      <c r="F906" s="132"/>
      <c r="G906" s="153"/>
      <c r="H906" s="153"/>
      <c r="I906" s="153"/>
      <c r="J906" s="145"/>
    </row>
    <row r="907" spans="2:10" ht="15.75" customHeight="1">
      <c r="B907" s="153"/>
      <c r="C907" s="153"/>
      <c r="D907" s="132"/>
      <c r="E907" s="132"/>
      <c r="F907" s="132"/>
      <c r="G907" s="153"/>
      <c r="H907" s="153"/>
      <c r="I907" s="153"/>
      <c r="J907" s="145"/>
    </row>
    <row r="908" spans="2:10" ht="15.75" customHeight="1">
      <c r="B908" s="153"/>
      <c r="C908" s="153"/>
      <c r="D908" s="132"/>
      <c r="E908" s="132"/>
      <c r="F908" s="132"/>
      <c r="G908" s="153"/>
      <c r="H908" s="153"/>
      <c r="I908" s="153"/>
      <c r="J908" s="145"/>
    </row>
    <row r="909" spans="2:10" ht="15.75" customHeight="1">
      <c r="B909" s="153"/>
      <c r="C909" s="153"/>
      <c r="D909" s="132"/>
      <c r="E909" s="132"/>
      <c r="F909" s="132"/>
      <c r="G909" s="153"/>
      <c r="H909" s="153"/>
      <c r="I909" s="153"/>
      <c r="J909" s="145"/>
    </row>
    <row r="910" spans="2:10" ht="15.75" customHeight="1">
      <c r="B910" s="153"/>
      <c r="C910" s="153"/>
      <c r="D910" s="132"/>
      <c r="E910" s="132"/>
      <c r="F910" s="132"/>
      <c r="G910" s="153"/>
      <c r="H910" s="153"/>
      <c r="I910" s="153"/>
      <c r="J910" s="145"/>
    </row>
    <row r="911" spans="2:10" ht="15.75" customHeight="1">
      <c r="B911" s="153"/>
      <c r="C911" s="153"/>
      <c r="D911" s="132"/>
      <c r="E911" s="132"/>
      <c r="F911" s="132"/>
      <c r="G911" s="153"/>
      <c r="H911" s="153"/>
      <c r="I911" s="153"/>
      <c r="J911" s="145"/>
    </row>
    <row r="912" spans="2:10" ht="15.75" customHeight="1">
      <c r="B912" s="153"/>
      <c r="C912" s="153"/>
      <c r="D912" s="132"/>
      <c r="E912" s="132"/>
      <c r="F912" s="132"/>
      <c r="G912" s="153"/>
      <c r="H912" s="153"/>
      <c r="I912" s="153"/>
      <c r="J912" s="145"/>
    </row>
    <row r="913" spans="2:10" ht="15.75" customHeight="1">
      <c r="B913" s="153"/>
      <c r="C913" s="153"/>
      <c r="D913" s="132"/>
      <c r="E913" s="132"/>
      <c r="F913" s="132"/>
      <c r="G913" s="153"/>
      <c r="H913" s="153"/>
      <c r="I913" s="153"/>
      <c r="J913" s="145"/>
    </row>
    <row r="914" spans="2:10" ht="15.75" customHeight="1">
      <c r="B914" s="153"/>
      <c r="C914" s="153"/>
      <c r="D914" s="132"/>
      <c r="E914" s="132"/>
      <c r="F914" s="132"/>
      <c r="G914" s="153"/>
      <c r="H914" s="153"/>
      <c r="I914" s="153"/>
      <c r="J914" s="145"/>
    </row>
    <row r="915" spans="2:10" ht="15.75" customHeight="1">
      <c r="B915" s="153"/>
      <c r="C915" s="153"/>
      <c r="D915" s="132"/>
      <c r="E915" s="132"/>
      <c r="F915" s="132"/>
      <c r="G915" s="153"/>
      <c r="H915" s="153"/>
      <c r="I915" s="153"/>
      <c r="J915" s="145"/>
    </row>
    <row r="916" spans="2:10" ht="15.75" customHeight="1">
      <c r="B916" s="153"/>
      <c r="C916" s="153"/>
      <c r="D916" s="132"/>
      <c r="E916" s="132"/>
      <c r="F916" s="132"/>
      <c r="G916" s="153"/>
      <c r="H916" s="153"/>
      <c r="I916" s="153"/>
      <c r="J916" s="145"/>
    </row>
    <row r="917" spans="2:10" ht="15.75" customHeight="1">
      <c r="B917" s="153"/>
      <c r="C917" s="153"/>
      <c r="D917" s="132"/>
      <c r="E917" s="132"/>
      <c r="F917" s="132"/>
      <c r="G917" s="153"/>
      <c r="H917" s="153"/>
      <c r="I917" s="153"/>
      <c r="J917" s="145"/>
    </row>
    <row r="918" spans="2:10" ht="15.75" customHeight="1">
      <c r="B918" s="153"/>
      <c r="C918" s="153"/>
      <c r="D918" s="132"/>
      <c r="E918" s="132"/>
      <c r="F918" s="132"/>
      <c r="G918" s="153"/>
      <c r="H918" s="153"/>
      <c r="I918" s="153"/>
      <c r="J918" s="145"/>
    </row>
    <row r="919" spans="2:10" ht="15.75" customHeight="1">
      <c r="B919" s="153"/>
      <c r="C919" s="153"/>
      <c r="D919" s="132"/>
      <c r="E919" s="132"/>
      <c r="F919" s="132"/>
      <c r="G919" s="153"/>
      <c r="H919" s="153"/>
      <c r="I919" s="153"/>
      <c r="J919" s="145"/>
    </row>
    <row r="920" spans="2:10" ht="15.75" customHeight="1">
      <c r="B920" s="153"/>
      <c r="C920" s="153"/>
      <c r="D920" s="132"/>
      <c r="E920" s="132"/>
      <c r="F920" s="132"/>
      <c r="G920" s="153"/>
      <c r="H920" s="153"/>
      <c r="I920" s="153"/>
      <c r="J920" s="145"/>
    </row>
    <row r="921" spans="2:10" ht="15.75" customHeight="1">
      <c r="B921" s="153"/>
      <c r="C921" s="153"/>
      <c r="D921" s="132"/>
      <c r="E921" s="132"/>
      <c r="F921" s="132"/>
      <c r="G921" s="153"/>
      <c r="H921" s="153"/>
      <c r="I921" s="153"/>
      <c r="J921" s="145"/>
    </row>
    <row r="922" spans="2:10" ht="15.75" customHeight="1">
      <c r="B922" s="153"/>
      <c r="C922" s="153"/>
      <c r="D922" s="132"/>
      <c r="E922" s="132"/>
      <c r="F922" s="132"/>
      <c r="G922" s="153"/>
      <c r="H922" s="153"/>
      <c r="I922" s="153"/>
      <c r="J922" s="145"/>
    </row>
    <row r="923" spans="2:10" ht="15.75" customHeight="1">
      <c r="B923" s="153"/>
      <c r="C923" s="153"/>
      <c r="D923" s="132"/>
      <c r="E923" s="132"/>
      <c r="F923" s="132"/>
      <c r="G923" s="153"/>
      <c r="H923" s="153"/>
      <c r="I923" s="153"/>
      <c r="J923" s="145"/>
    </row>
    <row r="924" spans="2:10" ht="15.75" customHeight="1">
      <c r="B924" s="153"/>
      <c r="C924" s="153"/>
      <c r="D924" s="132"/>
      <c r="E924" s="132"/>
      <c r="F924" s="132"/>
      <c r="G924" s="153"/>
      <c r="H924" s="153"/>
      <c r="I924" s="153"/>
      <c r="J924" s="145"/>
    </row>
    <row r="925" spans="2:10" ht="15.75" customHeight="1">
      <c r="B925" s="153"/>
      <c r="C925" s="153"/>
      <c r="D925" s="132"/>
      <c r="E925" s="132"/>
      <c r="F925" s="132"/>
      <c r="G925" s="153"/>
      <c r="H925" s="153"/>
      <c r="I925" s="153"/>
      <c r="J925" s="145"/>
    </row>
    <row r="926" spans="2:10" ht="15.75" customHeight="1">
      <c r="B926" s="153"/>
      <c r="C926" s="153"/>
      <c r="D926" s="132"/>
      <c r="E926" s="132"/>
      <c r="F926" s="132"/>
      <c r="G926" s="153"/>
      <c r="H926" s="153"/>
      <c r="I926" s="153"/>
      <c r="J926" s="145"/>
    </row>
    <row r="927" spans="2:10" ht="15.75" customHeight="1">
      <c r="B927" s="153"/>
      <c r="C927" s="153"/>
      <c r="D927" s="132"/>
      <c r="E927" s="132"/>
      <c r="F927" s="132"/>
      <c r="G927" s="153"/>
      <c r="H927" s="153"/>
      <c r="I927" s="153"/>
      <c r="J927" s="145"/>
    </row>
    <row r="928" spans="2:10" ht="15.75" customHeight="1">
      <c r="B928" s="153"/>
      <c r="C928" s="153"/>
      <c r="D928" s="132"/>
      <c r="E928" s="132"/>
      <c r="F928" s="132"/>
      <c r="G928" s="153"/>
      <c r="H928" s="153"/>
      <c r="I928" s="153"/>
      <c r="J928" s="145"/>
    </row>
    <row r="929" spans="2:10" ht="15.75" customHeight="1">
      <c r="B929" s="153"/>
      <c r="C929" s="153"/>
      <c r="D929" s="132"/>
      <c r="E929" s="132"/>
      <c r="F929" s="132"/>
      <c r="G929" s="153"/>
      <c r="H929" s="153"/>
      <c r="I929" s="153"/>
      <c r="J929" s="145"/>
    </row>
    <row r="930" spans="2:10" ht="15.75" customHeight="1">
      <c r="B930" s="153"/>
      <c r="C930" s="153"/>
      <c r="D930" s="132"/>
      <c r="E930" s="132"/>
      <c r="F930" s="132"/>
      <c r="G930" s="153"/>
      <c r="H930" s="153"/>
      <c r="I930" s="153"/>
      <c r="J930" s="145"/>
    </row>
    <row r="931" spans="2:10" ht="15.75" customHeight="1">
      <c r="B931" s="153"/>
      <c r="C931" s="153"/>
      <c r="D931" s="132"/>
      <c r="E931" s="132"/>
      <c r="F931" s="132"/>
      <c r="G931" s="153"/>
      <c r="H931" s="153"/>
      <c r="I931" s="153"/>
      <c r="J931" s="145"/>
    </row>
    <row r="932" spans="2:10" ht="15.75" customHeight="1">
      <c r="B932" s="153"/>
      <c r="C932" s="153"/>
      <c r="D932" s="132"/>
      <c r="E932" s="132"/>
      <c r="F932" s="132"/>
      <c r="G932" s="153"/>
      <c r="H932" s="153"/>
      <c r="I932" s="153"/>
      <c r="J932" s="145"/>
    </row>
    <row r="933" spans="2:10" ht="15.75" customHeight="1">
      <c r="B933" s="153"/>
      <c r="C933" s="153"/>
      <c r="D933" s="132"/>
      <c r="E933" s="132"/>
      <c r="F933" s="132"/>
      <c r="G933" s="153"/>
      <c r="H933" s="153"/>
      <c r="I933" s="153"/>
      <c r="J933" s="145"/>
    </row>
    <row r="934" spans="2:10" ht="15.75" customHeight="1">
      <c r="B934" s="153"/>
      <c r="C934" s="153"/>
      <c r="D934" s="132"/>
      <c r="E934" s="132"/>
      <c r="F934" s="132"/>
      <c r="G934" s="153"/>
      <c r="H934" s="153"/>
      <c r="I934" s="153"/>
      <c r="J934" s="145"/>
    </row>
    <row r="935" spans="2:10" ht="15.75" customHeight="1">
      <c r="B935" s="153"/>
      <c r="C935" s="153"/>
      <c r="D935" s="132"/>
      <c r="E935" s="132"/>
      <c r="F935" s="132"/>
      <c r="G935" s="153"/>
      <c r="H935" s="153"/>
      <c r="I935" s="153"/>
      <c r="J935" s="145"/>
    </row>
    <row r="936" spans="2:10" ht="15.75" customHeight="1">
      <c r="B936" s="153"/>
      <c r="C936" s="153"/>
      <c r="D936" s="132"/>
      <c r="E936" s="132"/>
      <c r="F936" s="132"/>
      <c r="G936" s="153"/>
      <c r="H936" s="153"/>
      <c r="I936" s="153"/>
      <c r="J936" s="145"/>
    </row>
    <row r="937" spans="2:10" ht="15.75" customHeight="1">
      <c r="B937" s="153"/>
      <c r="C937" s="153"/>
      <c r="D937" s="132"/>
      <c r="E937" s="132"/>
      <c r="F937" s="132"/>
      <c r="G937" s="153"/>
      <c r="H937" s="153"/>
      <c r="I937" s="153"/>
      <c r="J937" s="145"/>
    </row>
    <row r="938" spans="2:10" ht="15.75" customHeight="1">
      <c r="B938" s="153"/>
      <c r="C938" s="153"/>
      <c r="D938" s="132"/>
      <c r="E938" s="132"/>
      <c r="F938" s="132"/>
      <c r="G938" s="153"/>
      <c r="H938" s="153"/>
      <c r="I938" s="153"/>
      <c r="J938" s="145"/>
    </row>
    <row r="939" spans="2:10" ht="15.75" customHeight="1">
      <c r="B939" s="153"/>
      <c r="C939" s="153"/>
      <c r="D939" s="132"/>
      <c r="E939" s="132"/>
      <c r="F939" s="132"/>
      <c r="G939" s="153"/>
      <c r="H939" s="153"/>
      <c r="I939" s="153"/>
      <c r="J939" s="145"/>
    </row>
    <row r="940" spans="2:10" ht="15.75" customHeight="1">
      <c r="B940" s="153"/>
      <c r="C940" s="153"/>
      <c r="D940" s="132"/>
      <c r="E940" s="132"/>
      <c r="F940" s="132"/>
      <c r="G940" s="153"/>
      <c r="H940" s="153"/>
      <c r="I940" s="153"/>
      <c r="J940" s="145"/>
    </row>
    <row r="941" spans="2:10" ht="15.75" customHeight="1">
      <c r="B941" s="153"/>
      <c r="C941" s="153"/>
      <c r="D941" s="132"/>
      <c r="E941" s="132"/>
      <c r="F941" s="132"/>
      <c r="G941" s="153"/>
      <c r="H941" s="153"/>
      <c r="I941" s="153"/>
      <c r="J941" s="145"/>
    </row>
    <row r="942" spans="2:10" ht="15.75" customHeight="1">
      <c r="B942" s="153"/>
      <c r="C942" s="153"/>
      <c r="D942" s="132"/>
      <c r="E942" s="132"/>
      <c r="F942" s="132"/>
      <c r="G942" s="153"/>
      <c r="H942" s="153"/>
      <c r="I942" s="153"/>
      <c r="J942" s="145"/>
    </row>
    <row r="943" spans="2:10" ht="15.75" customHeight="1">
      <c r="B943" s="153"/>
      <c r="C943" s="153"/>
      <c r="D943" s="132"/>
      <c r="E943" s="132"/>
      <c r="F943" s="132"/>
      <c r="G943" s="153"/>
      <c r="H943" s="153"/>
      <c r="I943" s="153"/>
      <c r="J943" s="145"/>
    </row>
    <row r="944" spans="2:10" ht="15.75" customHeight="1">
      <c r="B944" s="153"/>
      <c r="C944" s="153"/>
      <c r="D944" s="132"/>
      <c r="E944" s="132"/>
      <c r="F944" s="132"/>
      <c r="G944" s="153"/>
      <c r="H944" s="153"/>
      <c r="I944" s="153"/>
      <c r="J944" s="145"/>
    </row>
    <row r="945" spans="2:10" ht="15.75" customHeight="1">
      <c r="B945" s="153"/>
      <c r="C945" s="153"/>
      <c r="D945" s="132"/>
      <c r="E945" s="132"/>
      <c r="F945" s="132"/>
      <c r="G945" s="153"/>
      <c r="H945" s="153"/>
      <c r="I945" s="153"/>
      <c r="J945" s="145"/>
    </row>
    <row r="946" spans="2:10" ht="15.75" customHeight="1">
      <c r="B946" s="153"/>
      <c r="C946" s="153"/>
      <c r="D946" s="132"/>
      <c r="E946" s="132"/>
      <c r="F946" s="132"/>
      <c r="G946" s="153"/>
      <c r="H946" s="153"/>
      <c r="I946" s="153"/>
      <c r="J946" s="145"/>
    </row>
    <row r="947" spans="2:10" ht="15.75" customHeight="1">
      <c r="B947" s="153"/>
      <c r="C947" s="153"/>
      <c r="D947" s="132"/>
      <c r="E947" s="132"/>
      <c r="F947" s="132"/>
      <c r="G947" s="153"/>
      <c r="H947" s="153"/>
      <c r="I947" s="153"/>
      <c r="J947" s="145"/>
    </row>
    <row r="948" spans="2:10" ht="15.75" customHeight="1">
      <c r="B948" s="153"/>
      <c r="C948" s="153"/>
      <c r="D948" s="132"/>
      <c r="E948" s="132"/>
      <c r="F948" s="132"/>
      <c r="G948" s="153"/>
      <c r="H948" s="153"/>
      <c r="I948" s="153"/>
      <c r="J948" s="145"/>
    </row>
    <row r="949" spans="2:10" ht="15.75" customHeight="1">
      <c r="B949" s="153"/>
      <c r="C949" s="153"/>
      <c r="D949" s="132"/>
      <c r="E949" s="132"/>
      <c r="F949" s="132"/>
      <c r="G949" s="153"/>
      <c r="H949" s="153"/>
      <c r="I949" s="153"/>
      <c r="J949" s="145"/>
    </row>
    <row r="950" spans="2:10" ht="15.75" customHeight="1">
      <c r="B950" s="153"/>
      <c r="C950" s="153"/>
      <c r="D950" s="132"/>
      <c r="E950" s="132"/>
      <c r="F950" s="132"/>
      <c r="G950" s="153"/>
      <c r="H950" s="153"/>
      <c r="I950" s="153"/>
      <c r="J950" s="145"/>
    </row>
    <row r="951" spans="2:10" ht="15.75" customHeight="1">
      <c r="B951" s="153"/>
      <c r="C951" s="153"/>
      <c r="D951" s="132"/>
      <c r="E951" s="132"/>
      <c r="F951" s="132"/>
      <c r="G951" s="153"/>
      <c r="H951" s="153"/>
      <c r="I951" s="153"/>
      <c r="J951" s="145"/>
    </row>
    <row r="952" spans="2:10" ht="15.75" customHeight="1">
      <c r="B952" s="153"/>
      <c r="C952" s="153"/>
      <c r="D952" s="132"/>
      <c r="E952" s="132"/>
      <c r="F952" s="132"/>
      <c r="G952" s="153"/>
      <c r="H952" s="153"/>
      <c r="I952" s="153"/>
      <c r="J952" s="145"/>
    </row>
    <row r="953" spans="2:10" ht="15.75" customHeight="1">
      <c r="B953" s="153"/>
      <c r="C953" s="153"/>
      <c r="D953" s="132"/>
      <c r="E953" s="132"/>
      <c r="F953" s="132"/>
      <c r="G953" s="153"/>
      <c r="H953" s="153"/>
      <c r="I953" s="153"/>
      <c r="J953" s="145"/>
    </row>
    <row r="954" spans="2:10" ht="15.75" customHeight="1">
      <c r="B954" s="153"/>
      <c r="C954" s="153"/>
      <c r="D954" s="132"/>
      <c r="E954" s="132"/>
      <c r="F954" s="132"/>
      <c r="G954" s="153"/>
      <c r="H954" s="153"/>
      <c r="I954" s="153"/>
      <c r="J954" s="145"/>
    </row>
    <row r="955" spans="2:10" ht="15.75" customHeight="1">
      <c r="B955" s="153"/>
      <c r="C955" s="153"/>
      <c r="D955" s="132"/>
      <c r="E955" s="132"/>
      <c r="F955" s="132"/>
      <c r="G955" s="153"/>
      <c r="H955" s="153"/>
      <c r="I955" s="153"/>
      <c r="J955" s="145"/>
    </row>
    <row r="956" spans="2:10" ht="15.75" customHeight="1">
      <c r="B956" s="153"/>
      <c r="C956" s="153"/>
      <c r="D956" s="132"/>
      <c r="E956" s="132"/>
      <c r="F956" s="132"/>
      <c r="G956" s="153"/>
      <c r="H956" s="153"/>
      <c r="I956" s="153"/>
      <c r="J956" s="145"/>
    </row>
    <row r="957" spans="2:10" ht="15.75" customHeight="1">
      <c r="B957" s="153"/>
      <c r="C957" s="153"/>
      <c r="D957" s="132"/>
      <c r="E957" s="132"/>
      <c r="F957" s="132"/>
      <c r="G957" s="153"/>
      <c r="H957" s="153"/>
      <c r="I957" s="153"/>
      <c r="J957" s="145"/>
    </row>
    <row r="958" spans="2:10" ht="15.75" customHeight="1">
      <c r="B958" s="153"/>
      <c r="C958" s="153"/>
      <c r="D958" s="132"/>
      <c r="E958" s="132"/>
      <c r="F958" s="132"/>
      <c r="G958" s="153"/>
      <c r="H958" s="153"/>
      <c r="I958" s="153"/>
      <c r="J958" s="145"/>
    </row>
    <row r="959" spans="2:10" ht="15.75" customHeight="1">
      <c r="B959" s="153"/>
      <c r="C959" s="153"/>
      <c r="D959" s="132"/>
      <c r="E959" s="132"/>
      <c r="F959" s="132"/>
      <c r="G959" s="153"/>
      <c r="H959" s="153"/>
      <c r="I959" s="153"/>
      <c r="J959" s="145"/>
    </row>
    <row r="960" spans="2:10" ht="15.75" customHeight="1">
      <c r="B960" s="153"/>
      <c r="C960" s="153"/>
      <c r="D960" s="132"/>
      <c r="E960" s="132"/>
      <c r="F960" s="132"/>
      <c r="G960" s="153"/>
      <c r="H960" s="153"/>
      <c r="I960" s="153"/>
      <c r="J960" s="145"/>
    </row>
    <row r="961" spans="2:10" ht="15.75" customHeight="1">
      <c r="B961" s="153"/>
      <c r="C961" s="153"/>
      <c r="D961" s="132"/>
      <c r="E961" s="132"/>
      <c r="F961" s="132"/>
      <c r="G961" s="153"/>
      <c r="H961" s="153"/>
      <c r="I961" s="153"/>
      <c r="J961" s="145"/>
    </row>
    <row r="962" spans="2:10" ht="15.75" customHeight="1">
      <c r="B962" s="153"/>
      <c r="C962" s="153"/>
      <c r="D962" s="132"/>
      <c r="E962" s="132"/>
      <c r="F962" s="132"/>
      <c r="G962" s="153"/>
      <c r="H962" s="153"/>
      <c r="I962" s="153"/>
      <c r="J962" s="145"/>
    </row>
    <row r="963" spans="2:10" ht="15.75" customHeight="1">
      <c r="B963" s="153"/>
      <c r="C963" s="153"/>
      <c r="D963" s="132"/>
      <c r="E963" s="132"/>
      <c r="F963" s="132"/>
      <c r="G963" s="153"/>
      <c r="H963" s="153"/>
      <c r="I963" s="153"/>
      <c r="J963" s="145"/>
    </row>
    <row r="964" spans="2:10" ht="15.75" customHeight="1">
      <c r="B964" s="153"/>
      <c r="C964" s="153"/>
      <c r="D964" s="132"/>
      <c r="E964" s="132"/>
      <c r="F964" s="132"/>
      <c r="G964" s="153"/>
      <c r="H964" s="153"/>
      <c r="I964" s="153"/>
      <c r="J964" s="145"/>
    </row>
    <row r="965" spans="2:10" ht="15.75" customHeight="1">
      <c r="B965" s="153"/>
      <c r="C965" s="153"/>
      <c r="D965" s="132"/>
      <c r="E965" s="132"/>
      <c r="F965" s="132"/>
      <c r="G965" s="153"/>
      <c r="H965" s="153"/>
      <c r="I965" s="153"/>
      <c r="J965" s="145"/>
    </row>
    <row r="966" spans="2:10" ht="15.75" customHeight="1">
      <c r="B966" s="153"/>
      <c r="C966" s="153"/>
      <c r="D966" s="132"/>
      <c r="E966" s="132"/>
      <c r="F966" s="132"/>
      <c r="G966" s="153"/>
      <c r="H966" s="153"/>
      <c r="I966" s="153"/>
      <c r="J966" s="145"/>
    </row>
    <row r="967" spans="2:10" ht="15.75" customHeight="1">
      <c r="B967" s="153"/>
      <c r="C967" s="153"/>
      <c r="D967" s="132"/>
      <c r="E967" s="132"/>
      <c r="F967" s="132"/>
      <c r="G967" s="153"/>
      <c r="H967" s="153"/>
      <c r="I967" s="153"/>
      <c r="J967" s="145"/>
    </row>
    <row r="968" spans="2:10" ht="15.75" customHeight="1">
      <c r="B968" s="153"/>
      <c r="C968" s="153"/>
      <c r="D968" s="132"/>
      <c r="E968" s="132"/>
      <c r="F968" s="132"/>
      <c r="G968" s="153"/>
      <c r="H968" s="153"/>
      <c r="I968" s="153"/>
      <c r="J968" s="145"/>
    </row>
    <row r="969" spans="2:10" ht="15.75" customHeight="1">
      <c r="B969" s="153"/>
      <c r="C969" s="153"/>
      <c r="D969" s="132"/>
      <c r="E969" s="132"/>
      <c r="F969" s="132"/>
      <c r="G969" s="153"/>
      <c r="H969" s="153"/>
      <c r="I969" s="153"/>
      <c r="J969" s="145"/>
    </row>
    <row r="970" spans="2:10" ht="15.75" customHeight="1">
      <c r="B970" s="153"/>
      <c r="C970" s="153"/>
      <c r="D970" s="132"/>
      <c r="E970" s="132"/>
      <c r="F970" s="132"/>
      <c r="G970" s="153"/>
      <c r="H970" s="153"/>
      <c r="I970" s="153"/>
      <c r="J970" s="145"/>
    </row>
    <row r="971" spans="2:10" ht="15.75" customHeight="1">
      <c r="B971" s="153"/>
      <c r="C971" s="153"/>
      <c r="D971" s="132"/>
      <c r="E971" s="132"/>
      <c r="F971" s="132"/>
      <c r="G971" s="153"/>
      <c r="H971" s="153"/>
      <c r="I971" s="153"/>
      <c r="J971" s="145"/>
    </row>
    <row r="972" spans="2:10" ht="15.75" customHeight="1">
      <c r="B972" s="153"/>
      <c r="C972" s="153"/>
      <c r="D972" s="132"/>
      <c r="E972" s="132"/>
      <c r="F972" s="132"/>
      <c r="G972" s="153"/>
      <c r="H972" s="153"/>
      <c r="I972" s="153"/>
      <c r="J972" s="145"/>
    </row>
    <row r="973" spans="2:10" ht="15.75" customHeight="1">
      <c r="B973" s="153"/>
      <c r="C973" s="153"/>
      <c r="D973" s="132"/>
      <c r="E973" s="132"/>
      <c r="F973" s="132"/>
      <c r="G973" s="153"/>
      <c r="H973" s="153"/>
      <c r="I973" s="153"/>
      <c r="J973" s="145"/>
    </row>
    <row r="974" spans="2:10" ht="15.75" customHeight="1">
      <c r="B974" s="153"/>
      <c r="C974" s="153"/>
      <c r="D974" s="132"/>
      <c r="E974" s="132"/>
      <c r="F974" s="132"/>
      <c r="G974" s="153"/>
      <c r="H974" s="153"/>
      <c r="I974" s="153"/>
      <c r="J974" s="145"/>
    </row>
    <row r="975" spans="2:10" ht="15.75" customHeight="1">
      <c r="B975" s="153"/>
      <c r="C975" s="153"/>
      <c r="D975" s="132"/>
      <c r="E975" s="132"/>
      <c r="F975" s="132"/>
      <c r="G975" s="153"/>
      <c r="H975" s="153"/>
      <c r="I975" s="153"/>
      <c r="J975" s="145"/>
    </row>
    <row r="976" spans="2:10" ht="15.75" customHeight="1">
      <c r="B976" s="153"/>
      <c r="C976" s="153"/>
      <c r="D976" s="132"/>
      <c r="E976" s="132"/>
      <c r="F976" s="132"/>
      <c r="G976" s="153"/>
      <c r="H976" s="153"/>
      <c r="I976" s="153"/>
      <c r="J976" s="145"/>
    </row>
    <row r="977" spans="2:10" ht="15.75" customHeight="1">
      <c r="B977" s="153"/>
      <c r="C977" s="153"/>
      <c r="D977" s="132"/>
      <c r="E977" s="132"/>
      <c r="F977" s="132"/>
      <c r="G977" s="153"/>
      <c r="H977" s="153"/>
      <c r="I977" s="153"/>
      <c r="J977" s="145"/>
    </row>
    <row r="978" spans="2:10" ht="15.75" customHeight="1">
      <c r="B978" s="153"/>
      <c r="C978" s="153"/>
      <c r="D978" s="132"/>
      <c r="E978" s="132"/>
      <c r="F978" s="132"/>
      <c r="G978" s="153"/>
      <c r="H978" s="153"/>
      <c r="I978" s="153"/>
      <c r="J978" s="145"/>
    </row>
    <row r="979" spans="2:10" ht="15.75" customHeight="1">
      <c r="B979" s="153"/>
      <c r="C979" s="153"/>
      <c r="D979" s="132"/>
      <c r="E979" s="132"/>
      <c r="F979" s="132"/>
      <c r="G979" s="153"/>
      <c r="H979" s="153"/>
      <c r="I979" s="153"/>
      <c r="J979" s="145"/>
    </row>
    <row r="980" spans="2:10" ht="15.75" customHeight="1">
      <c r="B980" s="153"/>
      <c r="C980" s="153"/>
      <c r="D980" s="132"/>
      <c r="E980" s="132"/>
      <c r="F980" s="132"/>
      <c r="G980" s="153"/>
      <c r="H980" s="153"/>
      <c r="I980" s="153"/>
      <c r="J980" s="145"/>
    </row>
    <row r="981" spans="2:10" ht="15.75" customHeight="1">
      <c r="B981" s="153"/>
      <c r="C981" s="153"/>
      <c r="D981" s="132"/>
      <c r="E981" s="132"/>
      <c r="F981" s="132"/>
      <c r="G981" s="153"/>
      <c r="H981" s="153"/>
      <c r="I981" s="153"/>
      <c r="J981" s="145"/>
    </row>
    <row r="982" spans="2:10" ht="15.75" customHeight="1">
      <c r="B982" s="153"/>
      <c r="C982" s="153"/>
      <c r="D982" s="132"/>
      <c r="E982" s="132"/>
      <c r="F982" s="132"/>
      <c r="G982" s="153"/>
      <c r="H982" s="153"/>
      <c r="I982" s="153"/>
      <c r="J982" s="145"/>
    </row>
    <row r="983" spans="2:10" ht="15.75" customHeight="1">
      <c r="B983" s="153"/>
      <c r="C983" s="153"/>
      <c r="D983" s="132"/>
      <c r="E983" s="132"/>
      <c r="F983" s="132"/>
      <c r="G983" s="153"/>
      <c r="H983" s="153"/>
      <c r="I983" s="153"/>
      <c r="J983" s="145"/>
    </row>
    <row r="984" spans="2:10" ht="15.75" customHeight="1">
      <c r="B984" s="153"/>
      <c r="C984" s="153"/>
      <c r="D984" s="132"/>
      <c r="E984" s="132"/>
      <c r="F984" s="132"/>
      <c r="G984" s="153"/>
      <c r="H984" s="153"/>
      <c r="I984" s="153"/>
      <c r="J984" s="145"/>
    </row>
    <row r="985" spans="2:10" ht="15.75" customHeight="1">
      <c r="B985" s="153"/>
      <c r="C985" s="153"/>
      <c r="D985" s="132"/>
      <c r="E985" s="132"/>
      <c r="F985" s="132"/>
      <c r="G985" s="153"/>
      <c r="H985" s="153"/>
      <c r="I985" s="153"/>
      <c r="J985" s="145"/>
    </row>
    <row r="986" spans="2:10" ht="15.75" customHeight="1">
      <c r="B986" s="153"/>
      <c r="C986" s="153"/>
      <c r="D986" s="132"/>
      <c r="E986" s="132"/>
      <c r="F986" s="132"/>
      <c r="G986" s="153"/>
      <c r="H986" s="153"/>
      <c r="I986" s="153"/>
      <c r="J986" s="145"/>
    </row>
    <row r="987" spans="2:10" ht="15.75" customHeight="1">
      <c r="B987" s="153"/>
      <c r="C987" s="153"/>
      <c r="D987" s="132"/>
      <c r="E987" s="132"/>
      <c r="F987" s="132"/>
      <c r="G987" s="153"/>
      <c r="H987" s="153"/>
      <c r="I987" s="153"/>
      <c r="J987" s="145"/>
    </row>
    <row r="988" spans="2:10" ht="15.75" customHeight="1">
      <c r="B988" s="153"/>
      <c r="C988" s="153"/>
      <c r="D988" s="132"/>
      <c r="E988" s="132"/>
      <c r="F988" s="132"/>
      <c r="G988" s="153"/>
      <c r="H988" s="153"/>
      <c r="I988" s="153"/>
      <c r="J988" s="145"/>
    </row>
    <row r="989" spans="2:10" ht="15.75" customHeight="1">
      <c r="B989" s="153"/>
      <c r="C989" s="153"/>
      <c r="D989" s="132"/>
      <c r="E989" s="132"/>
      <c r="F989" s="132"/>
      <c r="G989" s="153"/>
      <c r="H989" s="153"/>
      <c r="I989" s="153"/>
      <c r="J989" s="145"/>
    </row>
    <row r="990" spans="2:10" ht="15.75" customHeight="1">
      <c r="B990" s="153"/>
      <c r="C990" s="153"/>
      <c r="D990" s="132"/>
      <c r="E990" s="132"/>
      <c r="F990" s="132"/>
      <c r="G990" s="153"/>
      <c r="H990" s="153"/>
      <c r="I990" s="153"/>
      <c r="J990" s="145"/>
    </row>
    <row r="991" spans="2:10" ht="15.75" customHeight="1">
      <c r="B991" s="153"/>
      <c r="C991" s="153"/>
      <c r="D991" s="132"/>
      <c r="E991" s="132"/>
      <c r="F991" s="132"/>
      <c r="G991" s="153"/>
      <c r="H991" s="153"/>
      <c r="I991" s="153"/>
      <c r="J991" s="145"/>
    </row>
    <row r="992" spans="2:10" ht="15.75" customHeight="1">
      <c r="B992" s="153"/>
      <c r="C992" s="153"/>
      <c r="D992" s="132"/>
      <c r="E992" s="132"/>
      <c r="F992" s="132"/>
      <c r="G992" s="153"/>
      <c r="H992" s="153"/>
      <c r="I992" s="153"/>
      <c r="J992" s="145"/>
    </row>
    <row r="993" spans="2:10" ht="15.75" customHeight="1">
      <c r="B993" s="153"/>
      <c r="C993" s="153"/>
      <c r="D993" s="132"/>
      <c r="E993" s="132"/>
      <c r="F993" s="132"/>
      <c r="G993" s="153"/>
      <c r="H993" s="153"/>
      <c r="I993" s="153"/>
      <c r="J993" s="145"/>
    </row>
    <row r="994" spans="2:10" ht="15.75" customHeight="1">
      <c r="B994" s="153"/>
      <c r="C994" s="153"/>
      <c r="D994" s="132"/>
      <c r="E994" s="132"/>
      <c r="F994" s="132"/>
      <c r="G994" s="153"/>
      <c r="H994" s="153"/>
      <c r="I994" s="153"/>
      <c r="J994" s="145"/>
    </row>
    <row r="995" spans="2:10" ht="15.75" customHeight="1">
      <c r="B995" s="153"/>
      <c r="C995" s="153"/>
      <c r="D995" s="132"/>
      <c r="E995" s="132"/>
      <c r="F995" s="132"/>
      <c r="G995" s="153"/>
      <c r="H995" s="153"/>
      <c r="I995" s="153"/>
      <c r="J995" s="145"/>
    </row>
    <row r="996" spans="2:10" ht="15.75" customHeight="1">
      <c r="B996" s="153"/>
      <c r="C996" s="153"/>
      <c r="D996" s="132"/>
      <c r="E996" s="132"/>
      <c r="F996" s="132"/>
      <c r="G996" s="153"/>
      <c r="H996" s="153"/>
      <c r="I996" s="153"/>
      <c r="J996" s="145"/>
    </row>
    <row r="997" spans="2:10" ht="15.75" customHeight="1">
      <c r="B997" s="153"/>
      <c r="C997" s="153"/>
      <c r="D997" s="132"/>
      <c r="E997" s="132"/>
      <c r="F997" s="132"/>
      <c r="G997" s="153"/>
      <c r="H997" s="153"/>
      <c r="I997" s="153"/>
      <c r="J997" s="145"/>
    </row>
    <row r="998" spans="2:10" ht="15.75" customHeight="1">
      <c r="B998" s="153"/>
      <c r="C998" s="153"/>
      <c r="D998" s="132"/>
      <c r="E998" s="132"/>
      <c r="F998" s="132"/>
      <c r="G998" s="153"/>
      <c r="H998" s="153"/>
      <c r="I998" s="153"/>
      <c r="J998" s="145"/>
    </row>
    <row r="999" spans="2:10" ht="15.75" customHeight="1">
      <c r="B999" s="153"/>
      <c r="C999" s="153"/>
      <c r="D999" s="132"/>
      <c r="E999" s="132"/>
      <c r="F999" s="132"/>
      <c r="G999" s="153"/>
      <c r="H999" s="153"/>
      <c r="I999" s="153"/>
      <c r="J999" s="145"/>
    </row>
    <row r="1000" spans="2:10" ht="15.75" customHeight="1">
      <c r="B1000" s="153"/>
      <c r="C1000" s="153"/>
      <c r="D1000" s="132"/>
      <c r="E1000" s="132"/>
      <c r="F1000" s="132"/>
      <c r="G1000" s="153"/>
      <c r="H1000" s="153"/>
      <c r="I1000" s="153"/>
      <c r="J1000" s="145"/>
    </row>
    <row r="1001" spans="2:10" ht="15.75" customHeight="1">
      <c r="B1001" s="153"/>
      <c r="C1001" s="153"/>
      <c r="D1001" s="132"/>
      <c r="E1001" s="132"/>
      <c r="F1001" s="132"/>
      <c r="G1001" s="153"/>
      <c r="H1001" s="153"/>
      <c r="I1001" s="153"/>
      <c r="J1001" s="145"/>
    </row>
    <row r="1002" spans="2:10" ht="15.75" customHeight="1">
      <c r="B1002" s="153"/>
      <c r="C1002" s="153"/>
      <c r="D1002" s="132"/>
      <c r="E1002" s="132"/>
      <c r="F1002" s="132"/>
      <c r="G1002" s="153"/>
      <c r="H1002" s="153"/>
      <c r="I1002" s="153"/>
      <c r="J1002" s="145"/>
    </row>
    <row r="1003" spans="2:10" ht="15.75" customHeight="1">
      <c r="B1003" s="153"/>
      <c r="C1003" s="153"/>
      <c r="D1003" s="132"/>
      <c r="E1003" s="132"/>
      <c r="F1003" s="132"/>
      <c r="G1003" s="153"/>
      <c r="H1003" s="153"/>
      <c r="I1003" s="153"/>
      <c r="J1003" s="145"/>
    </row>
    <row r="1004" spans="2:10" ht="15.75" customHeight="1">
      <c r="B1004" s="153"/>
      <c r="C1004" s="153"/>
      <c r="D1004" s="132"/>
      <c r="E1004" s="132"/>
      <c r="F1004" s="132"/>
      <c r="G1004" s="153"/>
      <c r="H1004" s="153"/>
      <c r="I1004" s="153"/>
      <c r="J1004" s="145"/>
    </row>
    <row r="1005" spans="2:10" ht="15.75" customHeight="1">
      <c r="B1005" s="153"/>
      <c r="C1005" s="153"/>
      <c r="D1005" s="132"/>
      <c r="E1005" s="132"/>
      <c r="F1005" s="132"/>
      <c r="G1005" s="153"/>
      <c r="H1005" s="153"/>
      <c r="I1005" s="153"/>
      <c r="J1005" s="145"/>
    </row>
    <row r="1006" spans="2:10" ht="15.75" customHeight="1">
      <c r="B1006" s="153"/>
      <c r="C1006" s="153"/>
      <c r="D1006" s="132"/>
      <c r="E1006" s="132"/>
      <c r="F1006" s="132"/>
      <c r="G1006" s="153"/>
      <c r="H1006" s="153"/>
      <c r="I1006" s="153"/>
      <c r="J1006" s="145"/>
    </row>
    <row r="1007" spans="2:10" ht="15.75" customHeight="1">
      <c r="B1007" s="153"/>
      <c r="C1007" s="153"/>
      <c r="D1007" s="132"/>
      <c r="E1007" s="132"/>
      <c r="F1007" s="132"/>
      <c r="G1007" s="153"/>
      <c r="H1007" s="153"/>
      <c r="I1007" s="153"/>
      <c r="J1007" s="145"/>
    </row>
    <row r="1008" spans="2:10" ht="15.75" customHeight="1">
      <c r="B1008" s="153"/>
      <c r="C1008" s="153"/>
      <c r="D1008" s="132"/>
      <c r="E1008" s="132"/>
      <c r="F1008" s="132"/>
      <c r="G1008" s="153"/>
      <c r="H1008" s="153"/>
      <c r="I1008" s="153"/>
      <c r="J1008" s="145"/>
    </row>
    <row r="1009" spans="2:10" ht="15.75" customHeight="1">
      <c r="B1009" s="153"/>
      <c r="C1009" s="153"/>
      <c r="D1009" s="132"/>
      <c r="E1009" s="132"/>
      <c r="F1009" s="132"/>
      <c r="G1009" s="153"/>
      <c r="H1009" s="153"/>
      <c r="I1009" s="153"/>
      <c r="J1009" s="145"/>
    </row>
    <row r="1010" spans="2:10" ht="15.75" customHeight="1">
      <c r="B1010" s="153"/>
      <c r="C1010" s="153"/>
      <c r="D1010" s="132"/>
      <c r="E1010" s="132"/>
      <c r="F1010" s="132"/>
      <c r="G1010" s="153"/>
      <c r="H1010" s="153"/>
      <c r="I1010" s="153"/>
      <c r="J1010" s="145"/>
    </row>
    <row r="1011" spans="2:10" ht="15.75" customHeight="1">
      <c r="B1011" s="153"/>
      <c r="C1011" s="153"/>
      <c r="D1011" s="132"/>
      <c r="E1011" s="132"/>
      <c r="F1011" s="132"/>
      <c r="G1011" s="153"/>
      <c r="H1011" s="153"/>
      <c r="I1011" s="153"/>
      <c r="J1011" s="145"/>
    </row>
    <row r="1012" spans="2:10" ht="15.75" customHeight="1">
      <c r="B1012" s="153"/>
      <c r="C1012" s="153"/>
      <c r="D1012" s="132"/>
      <c r="E1012" s="132"/>
      <c r="F1012" s="132"/>
      <c r="G1012" s="153"/>
      <c r="H1012" s="153"/>
      <c r="I1012" s="153"/>
      <c r="J1012" s="145"/>
    </row>
    <row r="1013" spans="2:10" ht="15.75" customHeight="1">
      <c r="B1013" s="153"/>
      <c r="C1013" s="153"/>
      <c r="D1013" s="132"/>
      <c r="E1013" s="132"/>
      <c r="F1013" s="132"/>
      <c r="G1013" s="153"/>
      <c r="H1013" s="153"/>
      <c r="I1013" s="153"/>
      <c r="J1013" s="145"/>
    </row>
    <row r="1014" spans="2:10" ht="15.75" customHeight="1">
      <c r="B1014" s="153"/>
      <c r="C1014" s="153"/>
      <c r="D1014" s="132"/>
      <c r="E1014" s="132"/>
      <c r="F1014" s="132"/>
      <c r="G1014" s="153"/>
      <c r="H1014" s="153"/>
      <c r="I1014" s="153"/>
      <c r="J1014" s="145"/>
    </row>
    <row r="1015" spans="2:10" ht="15.75" customHeight="1">
      <c r="B1015" s="153"/>
      <c r="C1015" s="153"/>
      <c r="D1015" s="132"/>
      <c r="E1015" s="132"/>
      <c r="F1015" s="132"/>
      <c r="G1015" s="153"/>
      <c r="H1015" s="153"/>
      <c r="I1015" s="153"/>
      <c r="J1015" s="145"/>
    </row>
    <row r="1016" spans="2:10" ht="15.75" customHeight="1">
      <c r="B1016" s="153"/>
      <c r="C1016" s="153"/>
      <c r="D1016" s="132"/>
      <c r="E1016" s="132"/>
      <c r="F1016" s="132"/>
      <c r="G1016" s="153"/>
      <c r="H1016" s="153"/>
      <c r="I1016" s="153"/>
      <c r="J1016" s="145"/>
    </row>
    <row r="1017" spans="2:10" ht="15.75" customHeight="1">
      <c r="B1017" s="153"/>
      <c r="C1017" s="153"/>
      <c r="D1017" s="132"/>
      <c r="E1017" s="132"/>
      <c r="F1017" s="132"/>
      <c r="G1017" s="153"/>
      <c r="H1017" s="153"/>
      <c r="I1017" s="153"/>
      <c r="J1017" s="145"/>
    </row>
    <row r="1018" spans="2:10" ht="15.75" customHeight="1">
      <c r="B1018" s="153"/>
      <c r="C1018" s="153"/>
      <c r="D1018" s="132"/>
      <c r="E1018" s="132"/>
      <c r="F1018" s="132"/>
      <c r="G1018" s="153"/>
      <c r="H1018" s="153"/>
      <c r="I1018" s="153"/>
      <c r="J1018" s="145"/>
    </row>
    <row r="1019" spans="2:10" ht="15.75" customHeight="1">
      <c r="B1019" s="153"/>
      <c r="C1019" s="153"/>
      <c r="D1019" s="132"/>
      <c r="E1019" s="132"/>
      <c r="F1019" s="132"/>
      <c r="G1019" s="153"/>
      <c r="H1019" s="153"/>
      <c r="I1019" s="153"/>
      <c r="J1019" s="145"/>
    </row>
    <row r="1020" spans="2:10" ht="15.75" customHeight="1">
      <c r="B1020" s="153"/>
      <c r="C1020" s="153"/>
      <c r="D1020" s="132"/>
      <c r="E1020" s="132"/>
      <c r="F1020" s="132"/>
      <c r="G1020" s="153"/>
      <c r="H1020" s="153"/>
      <c r="I1020" s="153"/>
      <c r="J1020" s="145"/>
    </row>
  </sheetData>
  <phoneticPr fontId="85" type="noConversion"/>
  <dataValidations count="6">
    <dataValidation type="list" allowBlank="1" sqref="H2:H72 H78:H1020" xr:uid="{00000000-0002-0000-0A00-000000000000}">
      <formula1>"Hepeng Wang,Da Xu,Lingyu Meng,Zhiang Shen,Zhiwen Wang,Wei Jin,Han Shen,Huajia Nie,Shuo Cheng,Nanshu Zhao"</formula1>
    </dataValidation>
    <dataValidation type="list" allowBlank="1" sqref="I2:I72 H73:I77 I78:I1020" xr:uid="{00000000-0002-0000-0A00-000001000000}">
      <formula1>"Hepeng Wang,Da Xu,Lingyu Meng,Zhiang Shen,Zhiwen Wang,Wei Jin,"</formula1>
    </dataValidation>
    <dataValidation type="list" allowBlank="1" sqref="F2:F1020" xr:uid="{00000000-0002-0000-0A00-000002000000}">
      <formula1>"Good,Bad"</formula1>
    </dataValidation>
    <dataValidation type="list" allowBlank="1" sqref="G2:G1020" xr:uid="{00000000-0002-0000-0A00-000003000000}">
      <formula1>"Hepeng Wang,Da Xu,Lingyu Meng,Zhiang Shen,Zhiwen Wang,Wei Jin,Nanshu Zhao"</formula1>
    </dataValidation>
    <dataValidation type="list" allowBlank="1" sqref="E2:E1020" xr:uid="{00000000-0002-0000-0A00-000004000000}">
      <formula1>"none,little,much"</formula1>
    </dataValidation>
    <dataValidation type="list" allowBlank="1" sqref="C2:C1020" xr:uid="{00000000-0002-0000-0A00-000005000000}">
      <formula1>"commited,reviewing,fixing,done,skip"</formula1>
    </dataValidation>
  </dataValidations>
  <hyperlinks>
    <hyperlink ref="J115" r:id="rId1" xr:uid="{00000000-0004-0000-0A00-000000000000}"/>
  </hyperlinks>
  <pageMargins left="0.7" right="0.7" top="0.75" bottom="0.75" header="0.3" footer="0.3"/>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C14"/>
  <sheetViews>
    <sheetView workbookViewId="0"/>
  </sheetViews>
  <sheetFormatPr defaultColWidth="14.3984375" defaultRowHeight="15.75" customHeight="1"/>
  <cols>
    <col min="1" max="2" width="6" customWidth="1"/>
  </cols>
  <sheetData>
    <row r="1" spans="1:29" ht="26.25" customHeight="1">
      <c r="A1" s="164"/>
      <c r="B1" s="164"/>
      <c r="C1" s="164"/>
      <c r="D1" s="164"/>
      <c r="E1" s="164"/>
      <c r="F1" s="164"/>
      <c r="G1" s="164"/>
      <c r="H1" s="164"/>
      <c r="I1" s="165"/>
      <c r="J1" s="165"/>
      <c r="K1" s="165"/>
      <c r="L1" s="166"/>
      <c r="M1" s="165"/>
      <c r="N1" s="165"/>
      <c r="O1" s="165"/>
      <c r="P1" s="165"/>
      <c r="Q1" s="165"/>
      <c r="R1" s="165"/>
      <c r="S1" s="165"/>
      <c r="T1" s="165"/>
      <c r="U1" s="165"/>
      <c r="V1" s="165"/>
      <c r="W1" s="165"/>
      <c r="X1" s="165"/>
      <c r="Y1" s="165"/>
      <c r="AA1" s="165"/>
      <c r="AB1" s="165"/>
      <c r="AC1" s="165"/>
    </row>
    <row r="2" spans="1:29" ht="26.25" customHeight="1">
      <c r="A2" s="164"/>
      <c r="B2" s="164"/>
      <c r="C2" s="164"/>
      <c r="D2" s="164"/>
      <c r="E2" s="164"/>
      <c r="F2" s="164"/>
      <c r="G2" s="164"/>
      <c r="H2" s="164"/>
      <c r="I2" s="165"/>
      <c r="J2" s="165"/>
      <c r="K2" s="165"/>
      <c r="L2" s="166"/>
      <c r="M2" s="165"/>
      <c r="N2" s="165"/>
      <c r="O2" s="165"/>
      <c r="P2" s="165"/>
      <c r="Q2" s="165"/>
      <c r="R2" s="165"/>
      <c r="S2" s="165"/>
      <c r="T2" s="165"/>
      <c r="U2" s="165"/>
      <c r="V2" s="165"/>
      <c r="W2" s="165"/>
      <c r="X2" s="165"/>
      <c r="Y2" s="165"/>
      <c r="Z2" s="25" t="s">
        <v>859</v>
      </c>
      <c r="AA2" s="165"/>
      <c r="AB2" s="165"/>
      <c r="AC2" s="165"/>
    </row>
    <row r="3" spans="1:29" ht="24" customHeight="1">
      <c r="A3" s="164"/>
      <c r="B3" s="164"/>
      <c r="C3" s="86" t="s">
        <v>2342</v>
      </c>
      <c r="D3" s="86" t="s">
        <v>2475</v>
      </c>
      <c r="E3" s="86" t="s">
        <v>71</v>
      </c>
      <c r="F3" s="86" t="s">
        <v>2283</v>
      </c>
      <c r="G3" s="86" t="s">
        <v>2277</v>
      </c>
      <c r="H3" s="86" t="s">
        <v>2294</v>
      </c>
      <c r="I3" s="86" t="s">
        <v>2476</v>
      </c>
      <c r="J3" s="164"/>
      <c r="K3" s="165"/>
      <c r="L3" s="166"/>
      <c r="M3" s="165"/>
      <c r="N3" s="165"/>
      <c r="O3" s="165"/>
      <c r="P3" s="165"/>
      <c r="Q3" s="165"/>
      <c r="R3" s="165"/>
      <c r="S3" s="165"/>
      <c r="T3" s="165"/>
      <c r="U3" s="165"/>
      <c r="V3" s="165"/>
      <c r="W3" s="165"/>
      <c r="X3" s="165"/>
      <c r="Y3" s="165"/>
      <c r="Z3" s="25" t="s">
        <v>244</v>
      </c>
      <c r="AA3" s="165"/>
      <c r="AB3" s="165"/>
      <c r="AC3" s="165"/>
    </row>
    <row r="4" spans="1:29" ht="24" customHeight="1">
      <c r="A4" s="164"/>
      <c r="B4" s="164"/>
      <c r="C4" s="86" t="s">
        <v>2477</v>
      </c>
      <c r="D4" s="167">
        <v>7</v>
      </c>
      <c r="E4" s="167">
        <v>7</v>
      </c>
      <c r="F4" s="167">
        <v>0</v>
      </c>
      <c r="G4" s="167">
        <v>0</v>
      </c>
      <c r="H4" s="167">
        <v>0</v>
      </c>
      <c r="I4" s="167"/>
      <c r="J4" s="165"/>
      <c r="K4" s="165"/>
      <c r="L4" s="165"/>
      <c r="M4" s="165"/>
      <c r="N4" s="165"/>
      <c r="O4" s="165"/>
      <c r="P4" s="165"/>
      <c r="Q4" s="165"/>
      <c r="R4" s="165"/>
      <c r="S4" s="165"/>
      <c r="T4" s="165"/>
      <c r="U4" s="165"/>
      <c r="V4" s="165"/>
      <c r="W4" s="165"/>
      <c r="X4" s="165"/>
      <c r="Y4" s="165"/>
      <c r="Z4" s="25" t="s">
        <v>72</v>
      </c>
      <c r="AA4" s="165"/>
      <c r="AB4" s="165"/>
      <c r="AC4" s="165"/>
    </row>
    <row r="5" spans="1:29" ht="24" customHeight="1">
      <c r="A5" s="164"/>
      <c r="B5" s="164"/>
      <c r="C5" s="86" t="s">
        <v>2478</v>
      </c>
      <c r="D5" s="167">
        <v>24</v>
      </c>
      <c r="E5" s="167">
        <v>24</v>
      </c>
      <c r="F5" s="167">
        <v>0</v>
      </c>
      <c r="G5" s="167">
        <v>0</v>
      </c>
      <c r="H5" s="167">
        <v>0</v>
      </c>
      <c r="I5" s="167"/>
      <c r="J5" s="165"/>
      <c r="K5" s="165"/>
      <c r="L5" s="165"/>
      <c r="M5" s="165"/>
      <c r="N5" s="165"/>
      <c r="O5" s="165"/>
      <c r="P5" s="165"/>
      <c r="Q5" s="165"/>
      <c r="R5" s="165"/>
      <c r="S5" s="165"/>
      <c r="T5" s="165"/>
      <c r="U5" s="165"/>
      <c r="V5" s="165"/>
      <c r="W5" s="165"/>
      <c r="X5" s="165"/>
      <c r="Y5" s="165"/>
      <c r="Z5" s="25" t="s">
        <v>350</v>
      </c>
      <c r="AA5" s="165"/>
      <c r="AB5" s="165"/>
      <c r="AC5" s="165"/>
    </row>
    <row r="6" spans="1:29" ht="24" customHeight="1">
      <c r="A6" s="164"/>
      <c r="B6" s="164"/>
      <c r="C6" s="86" t="s">
        <v>2479</v>
      </c>
      <c r="D6" s="167">
        <v>27</v>
      </c>
      <c r="E6" s="167">
        <v>26</v>
      </c>
      <c r="F6" s="167">
        <v>1</v>
      </c>
      <c r="G6" s="167">
        <v>0</v>
      </c>
      <c r="H6" s="167">
        <v>0</v>
      </c>
      <c r="I6" s="167">
        <v>1</v>
      </c>
      <c r="J6" s="165"/>
      <c r="K6" s="165"/>
      <c r="L6" s="165"/>
      <c r="M6" s="165"/>
      <c r="N6" s="165"/>
      <c r="O6" s="165"/>
      <c r="P6" s="165"/>
      <c r="Q6" s="165"/>
      <c r="R6" s="165"/>
      <c r="S6" s="165"/>
      <c r="T6" s="165"/>
      <c r="U6" s="165"/>
      <c r="V6" s="165"/>
      <c r="W6" s="165"/>
      <c r="X6" s="165"/>
      <c r="Y6" s="165"/>
      <c r="Z6" s="25" t="s">
        <v>741</v>
      </c>
      <c r="AA6" s="165"/>
      <c r="AB6" s="165"/>
      <c r="AC6" s="165"/>
    </row>
    <row r="7" spans="1:29" ht="24" customHeight="1">
      <c r="A7" s="164"/>
      <c r="B7" s="164"/>
      <c r="C7" s="86" t="s">
        <v>2480</v>
      </c>
      <c r="D7" s="167">
        <v>21</v>
      </c>
      <c r="E7" s="167">
        <v>21</v>
      </c>
      <c r="F7" s="167">
        <v>0</v>
      </c>
      <c r="G7" s="167">
        <v>0</v>
      </c>
      <c r="H7" s="167">
        <v>0</v>
      </c>
      <c r="I7" s="168"/>
      <c r="J7" s="165"/>
      <c r="K7" s="165"/>
      <c r="L7" s="165"/>
      <c r="M7" s="165"/>
      <c r="N7" s="165"/>
      <c r="O7" s="165"/>
      <c r="P7" s="165"/>
      <c r="Q7" s="165"/>
      <c r="R7" s="165"/>
      <c r="S7" s="165"/>
      <c r="T7" s="165"/>
      <c r="U7" s="165"/>
      <c r="V7" s="165"/>
      <c r="W7" s="164" t="s">
        <v>2481</v>
      </c>
      <c r="X7" s="165"/>
      <c r="Y7" s="165"/>
      <c r="Z7" s="25" t="s">
        <v>73</v>
      </c>
      <c r="AA7" s="165"/>
      <c r="AB7" s="165"/>
      <c r="AC7" s="165"/>
    </row>
    <row r="8" spans="1:29" ht="24" customHeight="1">
      <c r="A8" s="164"/>
      <c r="B8" s="164"/>
      <c r="C8" s="86" t="s">
        <v>2482</v>
      </c>
      <c r="D8" s="167">
        <v>27</v>
      </c>
      <c r="E8" s="167">
        <v>26</v>
      </c>
      <c r="F8" s="167">
        <v>0</v>
      </c>
      <c r="G8" s="167">
        <v>0</v>
      </c>
      <c r="H8" s="167">
        <v>1</v>
      </c>
      <c r="I8" s="168"/>
      <c r="J8" s="165"/>
      <c r="K8" s="165"/>
      <c r="L8" s="165"/>
      <c r="M8" s="165"/>
      <c r="N8" s="165"/>
      <c r="O8" s="165"/>
      <c r="P8" s="165"/>
      <c r="Q8" s="165"/>
      <c r="R8" s="165"/>
      <c r="S8" s="165"/>
      <c r="T8" s="165"/>
      <c r="U8" s="165"/>
      <c r="V8" s="165"/>
      <c r="W8" s="165"/>
      <c r="X8" s="165"/>
      <c r="Y8" s="165"/>
      <c r="Z8" s="25" t="s">
        <v>928</v>
      </c>
      <c r="AA8" s="165"/>
      <c r="AB8" s="165"/>
      <c r="AC8" s="165"/>
    </row>
    <row r="9" spans="1:29" ht="24" customHeight="1">
      <c r="A9" s="164"/>
      <c r="B9" s="164"/>
      <c r="C9" s="86" t="s">
        <v>2483</v>
      </c>
      <c r="D9" s="167">
        <v>26</v>
      </c>
      <c r="E9" s="167">
        <v>26</v>
      </c>
      <c r="F9" s="167">
        <v>0</v>
      </c>
      <c r="G9" s="167">
        <v>0</v>
      </c>
      <c r="H9" s="167">
        <v>0</v>
      </c>
      <c r="I9" s="167">
        <v>1</v>
      </c>
      <c r="J9" s="166"/>
      <c r="K9" s="166"/>
      <c r="L9" s="166"/>
      <c r="M9" s="166"/>
      <c r="N9" s="166"/>
      <c r="O9" s="166"/>
      <c r="P9" s="166"/>
      <c r="Q9" s="166"/>
      <c r="R9" s="166"/>
      <c r="S9" s="166"/>
      <c r="T9" s="166"/>
      <c r="U9" s="166"/>
      <c r="V9" s="166"/>
      <c r="W9" s="166"/>
      <c r="X9" s="166"/>
      <c r="Y9" s="166"/>
      <c r="Z9" s="25" t="s">
        <v>804</v>
      </c>
      <c r="AA9" s="166"/>
      <c r="AB9" s="166"/>
      <c r="AC9" s="166"/>
    </row>
    <row r="10" spans="1:29" ht="24" customHeight="1">
      <c r="A10" s="164"/>
      <c r="B10" s="164"/>
      <c r="C10" s="86" t="s">
        <v>2484</v>
      </c>
      <c r="D10" s="167">
        <f t="shared" ref="D10:D11" si="0">SUM(E10:H10)</f>
        <v>6</v>
      </c>
      <c r="E10" s="167">
        <v>6</v>
      </c>
      <c r="F10" s="167">
        <v>0</v>
      </c>
      <c r="G10" s="167">
        <v>0</v>
      </c>
      <c r="H10" s="167">
        <v>0</v>
      </c>
      <c r="I10" s="168"/>
      <c r="J10" s="166"/>
      <c r="K10" s="166"/>
      <c r="L10" s="166"/>
      <c r="M10" s="166"/>
      <c r="N10" s="166"/>
      <c r="O10" s="166"/>
      <c r="P10" s="166"/>
      <c r="Q10" s="166"/>
      <c r="R10" s="166"/>
      <c r="S10" s="166"/>
      <c r="T10" s="166"/>
      <c r="U10" s="166"/>
      <c r="V10" s="166"/>
      <c r="W10" s="166"/>
      <c r="X10" s="166"/>
      <c r="Y10" s="166"/>
      <c r="Z10" s="25" t="s">
        <v>478</v>
      </c>
      <c r="AA10" s="166"/>
      <c r="AB10" s="166"/>
      <c r="AC10" s="166"/>
    </row>
    <row r="11" spans="1:29" ht="24" customHeight="1">
      <c r="A11" s="166"/>
      <c r="B11" s="166"/>
      <c r="C11" s="86" t="s">
        <v>2485</v>
      </c>
      <c r="D11" s="167">
        <f t="shared" si="0"/>
        <v>43</v>
      </c>
      <c r="E11" s="167">
        <v>40</v>
      </c>
      <c r="F11" s="167">
        <v>3</v>
      </c>
      <c r="G11" s="167">
        <v>0</v>
      </c>
      <c r="H11" s="167">
        <v>0</v>
      </c>
      <c r="I11" s="167">
        <v>1</v>
      </c>
      <c r="J11" s="166"/>
      <c r="K11" s="166"/>
      <c r="L11" s="166"/>
      <c r="M11" s="166"/>
      <c r="N11" s="166"/>
      <c r="O11" s="166"/>
      <c r="P11" s="166"/>
      <c r="Q11" s="166"/>
      <c r="R11" s="166"/>
      <c r="S11" s="166"/>
      <c r="T11" s="166"/>
      <c r="U11" s="166"/>
      <c r="V11" s="166"/>
      <c r="W11" s="166"/>
      <c r="X11" s="166"/>
      <c r="Y11" s="166"/>
      <c r="Z11" s="25" t="s">
        <v>669</v>
      </c>
      <c r="AA11" s="166"/>
      <c r="AB11" s="166"/>
      <c r="AC11" s="166"/>
    </row>
    <row r="12" spans="1:29" ht="24" customHeight="1">
      <c r="A12" s="164"/>
      <c r="B12" s="164"/>
      <c r="C12" s="86" t="s">
        <v>2486</v>
      </c>
      <c r="D12" s="167">
        <f t="shared" ref="D12:I12" si="1">SUM(D4:D11)</f>
        <v>181</v>
      </c>
      <c r="E12" s="167">
        <f t="shared" si="1"/>
        <v>176</v>
      </c>
      <c r="F12" s="167">
        <f t="shared" si="1"/>
        <v>4</v>
      </c>
      <c r="G12" s="167">
        <f t="shared" si="1"/>
        <v>0</v>
      </c>
      <c r="H12" s="167">
        <f t="shared" si="1"/>
        <v>1</v>
      </c>
      <c r="I12" s="167">
        <f t="shared" si="1"/>
        <v>3</v>
      </c>
      <c r="J12" s="166"/>
      <c r="K12" s="166"/>
      <c r="L12" s="166"/>
      <c r="M12" s="166"/>
      <c r="N12" s="166"/>
      <c r="O12" s="166"/>
      <c r="P12" s="166"/>
      <c r="Q12" s="166"/>
      <c r="R12" s="166"/>
      <c r="S12" s="166"/>
      <c r="T12" s="166"/>
      <c r="U12" s="166"/>
      <c r="V12" s="166"/>
      <c r="W12" s="166"/>
      <c r="X12" s="166"/>
      <c r="Y12" s="166"/>
      <c r="AA12" s="166"/>
      <c r="AB12" s="166"/>
      <c r="AC12" s="166"/>
    </row>
    <row r="13" spans="1:29" ht="24" customHeight="1">
      <c r="A13" s="166"/>
      <c r="B13" s="166"/>
      <c r="C13" s="86" t="s">
        <v>2487</v>
      </c>
      <c r="D13" s="86">
        <v>181</v>
      </c>
      <c r="E13" s="86" t="s">
        <v>2488</v>
      </c>
      <c r="F13" s="86">
        <f>D12</f>
        <v>181</v>
      </c>
      <c r="G13" s="86" t="s">
        <v>2489</v>
      </c>
      <c r="H13" s="86">
        <f>I12</f>
        <v>3</v>
      </c>
      <c r="I13" s="87"/>
      <c r="J13" s="169"/>
      <c r="K13" s="166"/>
      <c r="L13" s="166"/>
      <c r="M13" s="166"/>
      <c r="N13" s="166"/>
      <c r="O13" s="166"/>
      <c r="P13" s="166"/>
      <c r="Q13" s="166"/>
      <c r="R13" s="166"/>
      <c r="S13" s="166"/>
      <c r="T13" s="166"/>
      <c r="U13" s="166"/>
      <c r="V13" s="166"/>
      <c r="W13" s="166"/>
      <c r="X13" s="166"/>
      <c r="Y13" s="166"/>
      <c r="AA13" s="166"/>
      <c r="AB13" s="166"/>
      <c r="AC13" s="166"/>
    </row>
    <row r="14" spans="1:29" ht="24" customHeight="1">
      <c r="A14" s="166"/>
      <c r="B14" s="166"/>
      <c r="C14" s="253" t="str">
        <f>"共181个，已抛出"&amp;D12&amp;"个"</f>
        <v>共181个，已抛出181个</v>
      </c>
      <c r="D14" s="254"/>
      <c r="E14" s="254"/>
      <c r="F14" s="254"/>
      <c r="G14" s="254"/>
      <c r="H14" s="254"/>
      <c r="I14" s="255"/>
      <c r="J14" s="169"/>
      <c r="K14" s="166"/>
      <c r="L14" s="166"/>
      <c r="M14" s="166"/>
      <c r="N14" s="166"/>
      <c r="O14" s="166"/>
      <c r="P14" s="166"/>
      <c r="Q14" s="166"/>
      <c r="R14" s="166"/>
      <c r="S14" s="166"/>
      <c r="T14" s="166"/>
      <c r="U14" s="166"/>
      <c r="V14" s="166"/>
      <c r="W14" s="166"/>
      <c r="X14" s="166"/>
      <c r="Y14" s="166"/>
      <c r="AA14" s="166"/>
      <c r="AB14" s="166"/>
      <c r="AC14" s="166"/>
    </row>
  </sheetData>
  <mergeCells count="1">
    <mergeCell ref="C14:I14"/>
  </mergeCells>
  <phoneticPr fontId="85"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A1001"/>
  <sheetViews>
    <sheetView workbookViewId="0">
      <pane ySplit="2" topLeftCell="A3" activePane="bottomLeft" state="frozen"/>
      <selection pane="bottomLeft" activeCell="B4" sqref="B4"/>
    </sheetView>
  </sheetViews>
  <sheetFormatPr defaultColWidth="14.3984375" defaultRowHeight="15.75" customHeight="1"/>
  <cols>
    <col min="1" max="1" width="40.69921875" customWidth="1"/>
    <col min="2" max="2" width="71" customWidth="1"/>
    <col min="3" max="3" width="43" customWidth="1"/>
    <col min="4" max="4" width="46.8984375" customWidth="1"/>
    <col min="5" max="5" width="31.59765625" customWidth="1"/>
    <col min="6" max="6" width="37.69921875" customWidth="1"/>
    <col min="7" max="7" width="34.69921875" customWidth="1"/>
    <col min="8" max="8" width="21.296875" customWidth="1"/>
    <col min="14" max="14" width="33.09765625" customWidth="1"/>
    <col min="15" max="15" width="32.296875" customWidth="1"/>
  </cols>
  <sheetData>
    <row r="1" spans="1:27" ht="15.75" customHeight="1">
      <c r="A1" s="256" t="s">
        <v>2490</v>
      </c>
      <c r="B1" s="252"/>
      <c r="C1" s="252"/>
      <c r="D1" s="252"/>
      <c r="E1" s="252"/>
      <c r="F1" s="34"/>
      <c r="G1" s="33"/>
      <c r="H1" s="34"/>
      <c r="I1" s="34"/>
      <c r="J1" s="33"/>
      <c r="K1" s="34"/>
      <c r="L1" s="34"/>
      <c r="M1" s="34"/>
      <c r="N1" s="34"/>
      <c r="O1" s="34"/>
      <c r="P1" s="34"/>
      <c r="Q1" s="34"/>
      <c r="R1" s="34"/>
      <c r="S1" s="34"/>
      <c r="T1" s="34"/>
      <c r="U1" s="34"/>
      <c r="V1" s="34"/>
      <c r="W1" s="34"/>
      <c r="X1" s="34"/>
      <c r="Y1" s="34"/>
      <c r="Z1" s="34"/>
      <c r="AA1" s="34"/>
    </row>
    <row r="2" spans="1:27">
      <c r="A2" s="9" t="s">
        <v>2491</v>
      </c>
      <c r="B2" s="9"/>
      <c r="C2" s="9" t="s">
        <v>2492</v>
      </c>
      <c r="D2" s="9" t="s">
        <v>2493</v>
      </c>
      <c r="E2" s="9" t="s">
        <v>2494</v>
      </c>
      <c r="F2" s="9" t="s">
        <v>2495</v>
      </c>
      <c r="G2" s="9" t="s">
        <v>2496</v>
      </c>
      <c r="H2" s="34"/>
      <c r="I2" s="34"/>
      <c r="J2" s="33"/>
      <c r="K2" s="34"/>
      <c r="L2" s="34"/>
      <c r="M2" s="34"/>
      <c r="N2" s="34"/>
      <c r="O2" s="34"/>
      <c r="P2" s="34"/>
      <c r="Q2" s="34"/>
      <c r="R2" s="34"/>
      <c r="S2" s="34"/>
      <c r="T2" s="34"/>
      <c r="U2" s="34"/>
      <c r="V2" s="34"/>
      <c r="W2" s="34"/>
      <c r="X2" s="34"/>
      <c r="Y2" s="34"/>
      <c r="Z2" s="34"/>
      <c r="AA2" s="34"/>
    </row>
    <row r="3" spans="1:27" ht="15.75" customHeight="1">
      <c r="A3" s="76" t="s">
        <v>134</v>
      </c>
      <c r="B3" s="170" t="s">
        <v>2497</v>
      </c>
      <c r="C3" s="170"/>
      <c r="D3" s="48"/>
      <c r="E3" s="34" t="s">
        <v>471</v>
      </c>
      <c r="F3" s="34"/>
      <c r="G3" s="33"/>
      <c r="H3" s="34"/>
      <c r="I3" s="33"/>
      <c r="J3" s="33"/>
      <c r="K3" s="34"/>
      <c r="L3" s="34"/>
      <c r="M3" s="34"/>
      <c r="N3" s="171"/>
      <c r="O3" s="172"/>
      <c r="P3" s="34"/>
      <c r="Q3" s="34"/>
      <c r="R3" s="34"/>
      <c r="S3" s="34"/>
      <c r="T3" s="34"/>
      <c r="U3" s="34"/>
      <c r="V3" s="34"/>
      <c r="W3" s="34"/>
      <c r="X3" s="34"/>
      <c r="Y3" s="34"/>
      <c r="Z3" s="34"/>
      <c r="AA3" s="34"/>
    </row>
    <row r="4" spans="1:27" ht="15.75" customHeight="1">
      <c r="A4" s="76" t="s">
        <v>141</v>
      </c>
      <c r="B4" s="170" t="s">
        <v>2497</v>
      </c>
      <c r="C4" s="170"/>
      <c r="D4" s="48"/>
      <c r="E4" s="34" t="s">
        <v>479</v>
      </c>
      <c r="F4" s="34"/>
      <c r="G4" s="33"/>
      <c r="H4" s="34"/>
      <c r="I4" s="33"/>
      <c r="J4" s="33"/>
      <c r="K4" s="34"/>
      <c r="L4" s="34"/>
      <c r="M4" s="34"/>
      <c r="N4" s="171"/>
      <c r="O4" s="172"/>
      <c r="P4" s="34"/>
      <c r="Q4" s="34"/>
      <c r="R4" s="34"/>
      <c r="S4" s="34"/>
      <c r="T4" s="34"/>
      <c r="U4" s="34"/>
      <c r="V4" s="34"/>
      <c r="W4" s="34"/>
      <c r="X4" s="34"/>
      <c r="Y4" s="34"/>
      <c r="Z4" s="34"/>
      <c r="AA4" s="34"/>
    </row>
    <row r="5" spans="1:27" ht="15.75" customHeight="1">
      <c r="A5" s="173" t="s">
        <v>149</v>
      </c>
      <c r="B5" s="170"/>
      <c r="C5" s="170"/>
      <c r="D5" s="48"/>
      <c r="E5" s="34" t="s">
        <v>483</v>
      </c>
      <c r="F5" s="34"/>
      <c r="G5" s="33"/>
      <c r="H5" s="34"/>
      <c r="I5" s="33"/>
      <c r="J5" s="33"/>
      <c r="K5" s="34"/>
      <c r="L5" s="34"/>
      <c r="M5" s="34"/>
      <c r="N5" s="171"/>
      <c r="O5" s="172"/>
      <c r="P5" s="34"/>
      <c r="Q5" s="34"/>
      <c r="R5" s="34"/>
      <c r="S5" s="34"/>
      <c r="T5" s="34"/>
      <c r="U5" s="34"/>
      <c r="V5" s="34"/>
      <c r="W5" s="34"/>
      <c r="X5" s="34"/>
      <c r="Y5" s="34"/>
      <c r="Z5" s="34"/>
      <c r="AA5" s="34"/>
    </row>
    <row r="6" spans="1:27" ht="15.75" customHeight="1">
      <c r="A6" s="173" t="s">
        <v>158</v>
      </c>
      <c r="B6" s="52"/>
      <c r="C6" s="170"/>
      <c r="D6" s="48"/>
      <c r="E6" s="34" t="s">
        <v>487</v>
      </c>
      <c r="F6" s="34"/>
      <c r="G6" s="33"/>
      <c r="H6" s="34"/>
      <c r="I6" s="33"/>
      <c r="J6" s="33"/>
      <c r="K6" s="34"/>
      <c r="L6" s="34"/>
      <c r="M6" s="34"/>
      <c r="N6" s="171"/>
      <c r="O6" s="172"/>
      <c r="P6" s="34"/>
      <c r="Q6" s="34"/>
      <c r="R6" s="34"/>
      <c r="S6" s="34"/>
      <c r="T6" s="34"/>
      <c r="U6" s="34"/>
      <c r="V6" s="34"/>
      <c r="W6" s="34"/>
      <c r="X6" s="34"/>
      <c r="Y6" s="34"/>
      <c r="Z6" s="34"/>
      <c r="AA6" s="34"/>
    </row>
    <row r="7" spans="1:27" ht="15.75" customHeight="1">
      <c r="A7" s="76" t="s">
        <v>736</v>
      </c>
      <c r="B7" s="170" t="s">
        <v>2497</v>
      </c>
      <c r="C7" s="170"/>
      <c r="D7" s="48"/>
      <c r="E7" s="34" t="s">
        <v>492</v>
      </c>
      <c r="F7" s="34"/>
      <c r="G7" s="33"/>
      <c r="H7" s="34"/>
      <c r="I7" s="33"/>
      <c r="J7" s="33"/>
      <c r="K7" s="34"/>
      <c r="L7" s="34"/>
      <c r="M7" s="34"/>
      <c r="N7" s="171"/>
      <c r="O7" s="172"/>
      <c r="P7" s="34"/>
      <c r="Q7" s="34"/>
      <c r="R7" s="34"/>
      <c r="S7" s="34"/>
      <c r="T7" s="34"/>
      <c r="U7" s="34"/>
      <c r="V7" s="34"/>
      <c r="W7" s="34"/>
      <c r="X7" s="34"/>
      <c r="Y7" s="34"/>
      <c r="Z7" s="34"/>
      <c r="AA7" s="34"/>
    </row>
    <row r="8" spans="1:27" ht="15.75" customHeight="1">
      <c r="A8" s="76" t="s">
        <v>75</v>
      </c>
      <c r="B8" s="170" t="s">
        <v>2497</v>
      </c>
      <c r="C8" s="170"/>
      <c r="D8" s="48"/>
      <c r="E8" s="174" t="s">
        <v>2304</v>
      </c>
      <c r="F8" s="33"/>
      <c r="G8" s="33"/>
      <c r="H8" s="33"/>
      <c r="I8" s="33"/>
      <c r="J8" s="33"/>
      <c r="K8" s="34"/>
      <c r="L8" s="34"/>
      <c r="M8" s="34"/>
      <c r="N8" s="171"/>
      <c r="O8" s="172"/>
      <c r="P8" s="34"/>
      <c r="Q8" s="34"/>
      <c r="R8" s="34"/>
      <c r="S8" s="34"/>
      <c r="T8" s="34"/>
      <c r="U8" s="34"/>
      <c r="V8" s="34"/>
      <c r="W8" s="34"/>
      <c r="X8" s="34"/>
      <c r="Y8" s="34"/>
      <c r="Z8" s="34"/>
      <c r="AA8" s="34"/>
    </row>
    <row r="9" spans="1:27" ht="15.75" customHeight="1">
      <c r="A9" s="76" t="s">
        <v>92</v>
      </c>
      <c r="B9" s="170" t="s">
        <v>2497</v>
      </c>
      <c r="C9" s="170"/>
      <c r="D9" s="48"/>
      <c r="E9" s="174" t="s">
        <v>498</v>
      </c>
      <c r="F9" s="33"/>
      <c r="G9" s="33"/>
      <c r="H9" s="33"/>
      <c r="I9" s="33"/>
      <c r="J9" s="33"/>
      <c r="K9" s="33"/>
      <c r="L9" s="34"/>
      <c r="M9" s="34"/>
      <c r="N9" s="171"/>
      <c r="O9" s="172"/>
      <c r="P9" s="34"/>
      <c r="Q9" s="34"/>
      <c r="R9" s="34"/>
      <c r="S9" s="34"/>
      <c r="T9" s="34"/>
      <c r="U9" s="34"/>
      <c r="V9" s="34"/>
      <c r="W9" s="34"/>
      <c r="X9" s="34"/>
      <c r="Y9" s="34"/>
      <c r="Z9" s="34"/>
      <c r="AA9" s="34"/>
    </row>
    <row r="10" spans="1:27" ht="15.75" customHeight="1">
      <c r="A10" s="173" t="s">
        <v>104</v>
      </c>
      <c r="B10" s="170"/>
      <c r="C10" s="170"/>
      <c r="D10" s="48"/>
      <c r="E10" s="174" t="s">
        <v>504</v>
      </c>
      <c r="F10" s="33"/>
      <c r="G10" s="33"/>
      <c r="H10" s="33"/>
      <c r="I10" s="33"/>
      <c r="J10" s="33"/>
      <c r="K10" s="33"/>
      <c r="L10" s="34"/>
      <c r="M10" s="34"/>
      <c r="N10" s="171"/>
      <c r="O10" s="172"/>
      <c r="P10" s="34"/>
      <c r="Q10" s="34"/>
      <c r="R10" s="34"/>
      <c r="S10" s="34"/>
      <c r="T10" s="34"/>
      <c r="U10" s="34"/>
      <c r="V10" s="34"/>
      <c r="W10" s="34"/>
      <c r="X10" s="34"/>
      <c r="Y10" s="34"/>
      <c r="Z10" s="34"/>
      <c r="AA10" s="34"/>
    </row>
    <row r="11" spans="1:27" ht="15.75" customHeight="1">
      <c r="A11" s="76" t="s">
        <v>115</v>
      </c>
      <c r="B11" s="170" t="s">
        <v>2497</v>
      </c>
      <c r="C11" s="170"/>
      <c r="D11" s="48"/>
      <c r="E11" s="174" t="s">
        <v>508</v>
      </c>
      <c r="F11" s="34"/>
      <c r="G11" s="33"/>
      <c r="H11" s="34"/>
      <c r="I11" s="33"/>
      <c r="J11" s="33"/>
      <c r="K11" s="33"/>
      <c r="L11" s="172"/>
      <c r="M11" s="34"/>
      <c r="N11" s="171"/>
      <c r="O11" s="172"/>
      <c r="P11" s="34"/>
      <c r="Q11" s="34"/>
      <c r="R11" s="34"/>
      <c r="S11" s="34"/>
      <c r="T11" s="34"/>
      <c r="U11" s="34"/>
      <c r="V11" s="34"/>
      <c r="W11" s="34"/>
      <c r="X11" s="34"/>
      <c r="Y11" s="34"/>
      <c r="Z11" s="34"/>
      <c r="AA11" s="34"/>
    </row>
    <row r="12" spans="1:27" ht="15.75" customHeight="1">
      <c r="A12" s="76" t="s">
        <v>123</v>
      </c>
      <c r="B12" s="170" t="s">
        <v>2497</v>
      </c>
      <c r="C12" s="170"/>
      <c r="D12" s="48"/>
      <c r="E12" s="174" t="s">
        <v>512</v>
      </c>
      <c r="F12" s="34"/>
      <c r="G12" s="33"/>
      <c r="H12" s="34"/>
      <c r="I12" s="33"/>
      <c r="J12" s="33"/>
      <c r="K12" s="34"/>
      <c r="L12" s="172"/>
      <c r="M12" s="34"/>
      <c r="N12" s="171"/>
      <c r="O12" s="172"/>
      <c r="P12" s="34"/>
      <c r="Q12" s="34"/>
      <c r="R12" s="34"/>
      <c r="S12" s="34"/>
      <c r="T12" s="34"/>
      <c r="U12" s="34"/>
      <c r="V12" s="34"/>
      <c r="W12" s="34"/>
      <c r="X12" s="34"/>
      <c r="Y12" s="34"/>
      <c r="Z12" s="34"/>
      <c r="AA12" s="34"/>
    </row>
    <row r="13" spans="1:27" ht="15.75" customHeight="1">
      <c r="A13" s="173" t="s">
        <v>757</v>
      </c>
      <c r="B13" s="170"/>
      <c r="C13" s="175" t="s">
        <v>2498</v>
      </c>
      <c r="D13" s="48"/>
      <c r="E13" s="174" t="s">
        <v>518</v>
      </c>
      <c r="F13" s="34"/>
      <c r="G13" s="33"/>
      <c r="H13" s="34"/>
      <c r="I13" s="33"/>
      <c r="J13" s="33"/>
      <c r="K13" s="34"/>
      <c r="L13" s="172"/>
      <c r="M13" s="34"/>
      <c r="N13" s="171"/>
      <c r="O13" s="172"/>
      <c r="P13" s="34"/>
      <c r="Q13" s="34"/>
      <c r="R13" s="34"/>
      <c r="S13" s="34"/>
      <c r="T13" s="34"/>
      <c r="U13" s="34"/>
      <c r="V13" s="34"/>
      <c r="W13" s="34"/>
      <c r="X13" s="34"/>
      <c r="Y13" s="34"/>
      <c r="Z13" s="34"/>
      <c r="AA13" s="34"/>
    </row>
    <row r="14" spans="1:27" ht="15.75" customHeight="1">
      <c r="A14" s="176" t="s">
        <v>762</v>
      </c>
      <c r="B14" s="170" t="s">
        <v>2499</v>
      </c>
      <c r="C14" s="175" t="s">
        <v>2500</v>
      </c>
      <c r="D14" s="48"/>
      <c r="E14" s="174" t="s">
        <v>1335</v>
      </c>
      <c r="F14" s="34"/>
      <c r="G14" s="33"/>
      <c r="H14" s="34"/>
      <c r="I14" s="33"/>
      <c r="J14" s="33"/>
      <c r="K14" s="34"/>
      <c r="L14" s="172"/>
      <c r="M14" s="34"/>
      <c r="N14" s="171"/>
      <c r="O14" s="172"/>
      <c r="P14" s="34"/>
      <c r="Q14" s="34"/>
      <c r="R14" s="34"/>
      <c r="S14" s="34"/>
      <c r="T14" s="34"/>
      <c r="U14" s="34"/>
      <c r="V14" s="34"/>
      <c r="W14" s="34"/>
      <c r="X14" s="34"/>
      <c r="Y14" s="34"/>
      <c r="Z14" s="34"/>
      <c r="AA14" s="34"/>
    </row>
    <row r="15" spans="1:27" ht="15.75" customHeight="1">
      <c r="A15" s="176" t="s">
        <v>767</v>
      </c>
      <c r="B15" s="170" t="s">
        <v>2501</v>
      </c>
      <c r="C15" s="76" t="s">
        <v>2502</v>
      </c>
      <c r="D15" s="48"/>
      <c r="E15" s="174" t="s">
        <v>1340</v>
      </c>
      <c r="F15" s="34"/>
      <c r="G15" s="33"/>
      <c r="H15" s="34"/>
      <c r="I15" s="33"/>
      <c r="J15" s="33"/>
      <c r="K15" s="34"/>
      <c r="L15" s="172"/>
      <c r="M15" s="34"/>
      <c r="N15" s="171"/>
      <c r="O15" s="172"/>
      <c r="P15" s="34"/>
      <c r="Q15" s="34"/>
      <c r="R15" s="34"/>
      <c r="S15" s="34"/>
      <c r="T15" s="34"/>
      <c r="U15" s="34"/>
      <c r="V15" s="34"/>
      <c r="W15" s="34"/>
      <c r="X15" s="34"/>
      <c r="Y15" s="34"/>
      <c r="Z15" s="34"/>
      <c r="AA15" s="34"/>
    </row>
    <row r="16" spans="1:27" ht="15.75" customHeight="1">
      <c r="A16" s="176" t="s">
        <v>773</v>
      </c>
      <c r="B16" s="170" t="s">
        <v>2503</v>
      </c>
      <c r="C16" s="177" t="s">
        <v>411</v>
      </c>
      <c r="D16" s="48"/>
      <c r="E16" s="174" t="s">
        <v>1398</v>
      </c>
      <c r="F16" s="34"/>
      <c r="G16" s="33"/>
      <c r="H16" s="34"/>
      <c r="I16" s="33"/>
      <c r="J16" s="33"/>
      <c r="K16" s="34"/>
      <c r="L16" s="172"/>
      <c r="M16" s="34"/>
      <c r="N16" s="171"/>
      <c r="O16" s="172"/>
      <c r="P16" s="34"/>
      <c r="Q16" s="34"/>
      <c r="R16" s="34"/>
      <c r="S16" s="34"/>
      <c r="T16" s="34"/>
      <c r="U16" s="34"/>
      <c r="V16" s="34"/>
      <c r="W16" s="34"/>
      <c r="X16" s="34"/>
      <c r="Y16" s="34"/>
      <c r="Z16" s="34"/>
      <c r="AA16" s="34"/>
    </row>
    <row r="17" spans="1:27" ht="15.75" customHeight="1">
      <c r="A17" s="173" t="s">
        <v>780</v>
      </c>
      <c r="B17" s="170"/>
      <c r="C17" s="76" t="s">
        <v>2504</v>
      </c>
      <c r="D17" s="48"/>
      <c r="E17" s="174" t="s">
        <v>730</v>
      </c>
      <c r="F17" s="34"/>
      <c r="G17" s="33"/>
      <c r="H17" s="34"/>
      <c r="I17" s="33"/>
      <c r="J17" s="33"/>
      <c r="K17" s="34"/>
      <c r="L17" s="172"/>
      <c r="M17" s="34"/>
      <c r="N17" s="171"/>
      <c r="O17" s="172"/>
      <c r="P17" s="34"/>
      <c r="Q17" s="34"/>
      <c r="R17" s="34"/>
      <c r="S17" s="34"/>
      <c r="T17" s="34"/>
      <c r="U17" s="34"/>
      <c r="V17" s="34"/>
      <c r="W17" s="34"/>
      <c r="X17" s="34"/>
      <c r="Y17" s="34"/>
      <c r="Z17" s="34"/>
      <c r="AA17" s="34"/>
    </row>
    <row r="18" spans="1:27" ht="15.75" customHeight="1">
      <c r="A18" s="173" t="s">
        <v>788</v>
      </c>
      <c r="B18" s="170" t="s">
        <v>2505</v>
      </c>
      <c r="C18" s="177" t="s">
        <v>428</v>
      </c>
      <c r="D18" s="48"/>
      <c r="E18" s="174" t="s">
        <v>2506</v>
      </c>
      <c r="F18" s="34"/>
      <c r="G18" s="33"/>
      <c r="H18" s="34"/>
      <c r="I18" s="33"/>
      <c r="J18" s="33"/>
      <c r="K18" s="34"/>
      <c r="L18" s="172"/>
      <c r="M18" s="34"/>
      <c r="N18" s="171"/>
      <c r="O18" s="172"/>
      <c r="P18" s="34"/>
      <c r="Q18" s="34"/>
      <c r="R18" s="34"/>
      <c r="S18" s="34"/>
      <c r="T18" s="34"/>
      <c r="U18" s="34"/>
      <c r="V18" s="34"/>
      <c r="W18" s="34"/>
      <c r="X18" s="34"/>
      <c r="Y18" s="34"/>
      <c r="Z18" s="34"/>
      <c r="AA18" s="34"/>
    </row>
    <row r="19" spans="1:27" ht="15.75" customHeight="1">
      <c r="A19" s="176" t="s">
        <v>794</v>
      </c>
      <c r="B19" s="170" t="s">
        <v>2507</v>
      </c>
      <c r="C19" s="177" t="s">
        <v>437</v>
      </c>
      <c r="D19" s="48" t="s">
        <v>2508</v>
      </c>
      <c r="E19" s="174" t="s">
        <v>1402</v>
      </c>
      <c r="F19" s="34"/>
      <c r="G19" s="33"/>
      <c r="H19" s="34"/>
      <c r="I19" s="33"/>
      <c r="J19" s="33"/>
      <c r="K19" s="34"/>
      <c r="L19" s="172"/>
      <c r="M19" s="34"/>
      <c r="N19" s="171"/>
      <c r="O19" s="172"/>
      <c r="P19" s="34"/>
      <c r="Q19" s="34"/>
      <c r="R19" s="34"/>
      <c r="S19" s="34"/>
      <c r="T19" s="34"/>
      <c r="U19" s="34"/>
      <c r="V19" s="34"/>
      <c r="W19" s="34"/>
      <c r="X19" s="34"/>
      <c r="Y19" s="34"/>
      <c r="Z19" s="34"/>
      <c r="AA19" s="34"/>
    </row>
    <row r="20" spans="1:27" ht="15.75" customHeight="1">
      <c r="A20" s="173" t="s">
        <v>46</v>
      </c>
      <c r="B20" s="170"/>
      <c r="C20" s="76" t="s">
        <v>2509</v>
      </c>
      <c r="D20" s="48" t="s">
        <v>2510</v>
      </c>
      <c r="E20" s="174" t="s">
        <v>1408</v>
      </c>
      <c r="F20" s="34"/>
      <c r="G20" s="33"/>
      <c r="H20" s="34"/>
      <c r="I20" s="33"/>
      <c r="J20" s="33"/>
      <c r="K20" s="34"/>
      <c r="L20" s="172"/>
      <c r="M20" s="34"/>
      <c r="N20" s="171"/>
      <c r="O20" s="172"/>
      <c r="P20" s="34"/>
      <c r="Q20" s="34"/>
      <c r="R20" s="34"/>
      <c r="S20" s="34"/>
      <c r="T20" s="34"/>
      <c r="U20" s="34"/>
      <c r="V20" s="34"/>
      <c r="W20" s="34"/>
      <c r="X20" s="34"/>
      <c r="Y20" s="34"/>
      <c r="Z20" s="34"/>
      <c r="AA20" s="34"/>
    </row>
    <row r="21" spans="1:27" ht="15.75" customHeight="1">
      <c r="A21" s="176"/>
      <c r="B21" s="178"/>
      <c r="C21" s="76" t="s">
        <v>2511</v>
      </c>
      <c r="D21" s="48" t="s">
        <v>2512</v>
      </c>
      <c r="E21" s="174" t="s">
        <v>1416</v>
      </c>
      <c r="F21" s="34"/>
      <c r="G21" s="33"/>
      <c r="H21" s="34"/>
      <c r="I21" s="33"/>
      <c r="J21" s="33"/>
      <c r="K21" s="34"/>
      <c r="L21" s="172"/>
      <c r="M21" s="34"/>
      <c r="N21" s="171"/>
      <c r="O21" s="172"/>
      <c r="P21" s="34"/>
      <c r="Q21" s="34"/>
      <c r="R21" s="34"/>
      <c r="S21" s="34"/>
      <c r="T21" s="34"/>
      <c r="U21" s="34"/>
      <c r="V21" s="34"/>
      <c r="W21" s="34"/>
      <c r="X21" s="34"/>
      <c r="Y21" s="34"/>
      <c r="Z21" s="34"/>
      <c r="AA21" s="34"/>
    </row>
    <row r="22" spans="1:27" ht="15.75" customHeight="1">
      <c r="A22" s="176"/>
      <c r="B22" s="178"/>
      <c r="C22" s="76" t="s">
        <v>2513</v>
      </c>
      <c r="D22" s="48" t="s">
        <v>2514</v>
      </c>
      <c r="E22" s="174" t="s">
        <v>2515</v>
      </c>
      <c r="F22" s="34"/>
      <c r="G22" s="33"/>
      <c r="H22" s="34"/>
      <c r="I22" s="33"/>
      <c r="J22" s="33"/>
      <c r="K22" s="34"/>
      <c r="L22" s="172"/>
      <c r="M22" s="34"/>
      <c r="N22" s="171"/>
      <c r="O22" s="172"/>
      <c r="P22" s="34"/>
      <c r="Q22" s="34"/>
      <c r="R22" s="34"/>
      <c r="S22" s="34"/>
      <c r="T22" s="34"/>
      <c r="U22" s="34"/>
      <c r="V22" s="34"/>
      <c r="W22" s="34"/>
      <c r="X22" s="34"/>
      <c r="Y22" s="34"/>
      <c r="Z22" s="34"/>
      <c r="AA22" s="34"/>
    </row>
    <row r="23" spans="1:27" ht="15.75" customHeight="1">
      <c r="A23" s="176"/>
      <c r="B23" s="178"/>
      <c r="C23" s="177" t="s">
        <v>961</v>
      </c>
      <c r="D23" s="48" t="s">
        <v>2516</v>
      </c>
      <c r="E23" s="174" t="s">
        <v>1423</v>
      </c>
      <c r="F23" s="34"/>
      <c r="G23" s="33"/>
      <c r="H23" s="34"/>
      <c r="I23" s="33"/>
      <c r="J23" s="33"/>
      <c r="K23" s="34"/>
      <c r="L23" s="172"/>
      <c r="M23" s="34"/>
      <c r="N23" s="171"/>
      <c r="O23" s="172"/>
      <c r="P23" s="34"/>
      <c r="Q23" s="34"/>
      <c r="R23" s="34"/>
      <c r="S23" s="34"/>
      <c r="T23" s="34"/>
      <c r="U23" s="34"/>
      <c r="V23" s="34"/>
      <c r="W23" s="34"/>
      <c r="X23" s="34"/>
      <c r="Y23" s="34"/>
      <c r="Z23" s="34"/>
      <c r="AA23" s="34"/>
    </row>
    <row r="24" spans="1:27" ht="15.75" customHeight="1">
      <c r="A24" s="176"/>
      <c r="B24" s="178"/>
      <c r="C24" s="177" t="s">
        <v>966</v>
      </c>
      <c r="D24" s="178" t="s">
        <v>2517</v>
      </c>
      <c r="E24" s="174" t="s">
        <v>2518</v>
      </c>
      <c r="F24" s="34"/>
      <c r="G24" s="33"/>
      <c r="H24" s="34"/>
      <c r="I24" s="33"/>
      <c r="J24" s="33"/>
      <c r="K24" s="34"/>
      <c r="L24" s="172"/>
      <c r="M24" s="34"/>
      <c r="N24" s="171"/>
      <c r="O24" s="172"/>
      <c r="P24" s="34"/>
      <c r="Q24" s="34"/>
      <c r="R24" s="34"/>
      <c r="S24" s="34"/>
      <c r="T24" s="34"/>
      <c r="U24" s="34"/>
      <c r="V24" s="34"/>
      <c r="W24" s="34"/>
      <c r="X24" s="34"/>
      <c r="Y24" s="34"/>
      <c r="Z24" s="34"/>
      <c r="AA24" s="34"/>
    </row>
    <row r="25" spans="1:27" ht="15.75" customHeight="1">
      <c r="A25" s="176"/>
      <c r="B25" s="178"/>
      <c r="C25" s="177" t="s">
        <v>972</v>
      </c>
      <c r="D25" s="177" t="s">
        <v>360</v>
      </c>
      <c r="E25" s="174" t="s">
        <v>1435</v>
      </c>
      <c r="F25" s="34"/>
      <c r="G25" s="33"/>
      <c r="H25" s="34"/>
      <c r="I25" s="33"/>
      <c r="J25" s="33"/>
      <c r="K25" s="34"/>
      <c r="L25" s="172"/>
      <c r="M25" s="34"/>
      <c r="N25" s="171"/>
      <c r="O25" s="172"/>
      <c r="P25" s="34"/>
      <c r="Q25" s="34"/>
      <c r="R25" s="34"/>
      <c r="S25" s="34"/>
      <c r="T25" s="34"/>
      <c r="U25" s="34"/>
      <c r="V25" s="34"/>
      <c r="W25" s="34"/>
      <c r="X25" s="34"/>
      <c r="Y25" s="34"/>
      <c r="Z25" s="34"/>
      <c r="AA25" s="34"/>
    </row>
    <row r="26" spans="1:27" ht="15.75" customHeight="1">
      <c r="A26" s="176"/>
      <c r="B26" s="179"/>
      <c r="C26" s="76" t="s">
        <v>2519</v>
      </c>
      <c r="D26" s="178" t="s">
        <v>2520</v>
      </c>
      <c r="E26" s="174" t="s">
        <v>1442</v>
      </c>
      <c r="F26" s="34"/>
      <c r="G26" s="33"/>
      <c r="H26" s="34"/>
      <c r="I26" s="33"/>
      <c r="J26" s="33"/>
      <c r="K26" s="34"/>
      <c r="L26" s="172"/>
      <c r="M26" s="34"/>
      <c r="N26" s="171"/>
      <c r="O26" s="172"/>
      <c r="P26" s="34"/>
      <c r="Q26" s="34"/>
      <c r="R26" s="34"/>
      <c r="S26" s="34"/>
      <c r="T26" s="34"/>
      <c r="U26" s="34"/>
      <c r="V26" s="34"/>
      <c r="W26" s="34"/>
      <c r="X26" s="34"/>
      <c r="Y26" s="34"/>
      <c r="Z26" s="34"/>
      <c r="AA26" s="34"/>
    </row>
    <row r="27" spans="1:27" ht="15.75" customHeight="1">
      <c r="A27" s="176"/>
      <c r="B27" s="179"/>
      <c r="C27" s="76" t="s">
        <v>2521</v>
      </c>
      <c r="D27" s="177" t="s">
        <v>372</v>
      </c>
      <c r="E27" s="174" t="s">
        <v>1448</v>
      </c>
      <c r="F27" s="34"/>
      <c r="G27" s="33"/>
      <c r="H27" s="34"/>
      <c r="I27" s="33"/>
      <c r="J27" s="33"/>
      <c r="K27" s="34"/>
      <c r="L27" s="172"/>
      <c r="M27" s="34"/>
      <c r="N27" s="171"/>
      <c r="O27" s="172"/>
      <c r="P27" s="34"/>
      <c r="Q27" s="34"/>
      <c r="R27" s="34"/>
      <c r="S27" s="34"/>
      <c r="T27" s="34"/>
      <c r="U27" s="34"/>
      <c r="V27" s="34"/>
      <c r="W27" s="34"/>
      <c r="X27" s="34"/>
      <c r="Y27" s="34"/>
      <c r="Z27" s="34"/>
      <c r="AA27" s="34"/>
    </row>
    <row r="28" spans="1:27" ht="13">
      <c r="A28" s="176"/>
      <c r="B28" s="179"/>
      <c r="C28" s="76" t="s">
        <v>2522</v>
      </c>
      <c r="D28" s="177" t="s">
        <v>379</v>
      </c>
      <c r="E28" s="174" t="s">
        <v>1452</v>
      </c>
      <c r="F28" s="34"/>
      <c r="G28" s="33"/>
      <c r="H28" s="34"/>
      <c r="I28" s="33"/>
      <c r="J28" s="33"/>
      <c r="K28" s="34"/>
      <c r="L28" s="172"/>
      <c r="M28" s="34"/>
      <c r="N28" s="171"/>
      <c r="O28" s="172"/>
      <c r="P28" s="34"/>
      <c r="Q28" s="34"/>
      <c r="R28" s="34"/>
      <c r="S28" s="34"/>
      <c r="T28" s="34"/>
      <c r="U28" s="34"/>
      <c r="V28" s="34"/>
      <c r="W28" s="34"/>
      <c r="X28" s="34"/>
      <c r="Y28" s="34"/>
      <c r="Z28" s="34"/>
      <c r="AA28" s="34"/>
    </row>
    <row r="29" spans="1:27" ht="13">
      <c r="A29" s="176"/>
      <c r="B29" s="179"/>
      <c r="C29" s="76" t="s">
        <v>2523</v>
      </c>
      <c r="D29" s="178" t="s">
        <v>2524</v>
      </c>
      <c r="E29" s="174" t="s">
        <v>2160</v>
      </c>
      <c r="F29" s="34"/>
      <c r="G29" s="33"/>
      <c r="H29" s="34"/>
      <c r="I29" s="33"/>
      <c r="J29" s="33"/>
      <c r="K29" s="34"/>
      <c r="L29" s="172"/>
      <c r="M29" s="34"/>
      <c r="N29" s="171"/>
      <c r="O29" s="172"/>
      <c r="P29" s="34"/>
      <c r="Q29" s="34"/>
      <c r="R29" s="34"/>
      <c r="S29" s="34"/>
      <c r="T29" s="34"/>
      <c r="U29" s="34"/>
      <c r="V29" s="34"/>
      <c r="W29" s="34"/>
      <c r="X29" s="34"/>
      <c r="Y29" s="34"/>
      <c r="Z29" s="34"/>
      <c r="AA29" s="34"/>
    </row>
    <row r="30" spans="1:27" ht="13">
      <c r="A30" s="34" t="s">
        <v>897</v>
      </c>
      <c r="B30" s="170" t="s">
        <v>2525</v>
      </c>
      <c r="C30" s="76" t="s">
        <v>2526</v>
      </c>
      <c r="D30" s="178" t="s">
        <v>2527</v>
      </c>
      <c r="E30" s="174" t="s">
        <v>1687</v>
      </c>
      <c r="F30" s="34"/>
      <c r="G30" s="33"/>
      <c r="H30" s="34"/>
      <c r="I30" s="33"/>
      <c r="J30" s="33"/>
      <c r="K30" s="34"/>
      <c r="L30" s="172"/>
      <c r="M30" s="34"/>
      <c r="N30" s="171"/>
      <c r="O30" s="172"/>
      <c r="P30" s="34"/>
      <c r="Q30" s="34"/>
      <c r="R30" s="34"/>
      <c r="S30" s="34"/>
      <c r="T30" s="34"/>
      <c r="U30" s="34"/>
      <c r="V30" s="34"/>
      <c r="W30" s="34"/>
      <c r="X30" s="34"/>
      <c r="Y30" s="34"/>
      <c r="Z30" s="34"/>
      <c r="AA30" s="34"/>
    </row>
    <row r="31" spans="1:27" ht="13">
      <c r="A31" s="176" t="s">
        <v>266</v>
      </c>
      <c r="B31" s="170" t="s">
        <v>2528</v>
      </c>
      <c r="C31" s="76" t="s">
        <v>2529</v>
      </c>
      <c r="D31" s="177" t="s">
        <v>1135</v>
      </c>
      <c r="E31" s="174" t="s">
        <v>742</v>
      </c>
      <c r="F31" s="34"/>
      <c r="G31" s="33"/>
      <c r="H31" s="34"/>
      <c r="I31" s="33"/>
      <c r="J31" s="33"/>
      <c r="K31" s="34"/>
      <c r="L31" s="172"/>
      <c r="M31" s="34"/>
      <c r="N31" s="171"/>
      <c r="O31" s="172"/>
      <c r="P31" s="34"/>
      <c r="Q31" s="34"/>
      <c r="R31" s="34"/>
      <c r="S31" s="34"/>
      <c r="T31" s="34"/>
      <c r="U31" s="34"/>
      <c r="V31" s="34"/>
      <c r="W31" s="34"/>
      <c r="X31" s="34"/>
      <c r="Y31" s="34"/>
      <c r="Z31" s="34"/>
      <c r="AA31" s="34"/>
    </row>
    <row r="32" spans="1:27" ht="13">
      <c r="A32" s="180" t="s">
        <v>903</v>
      </c>
      <c r="B32" s="170" t="s">
        <v>2530</v>
      </c>
      <c r="C32" s="76" t="s">
        <v>2531</v>
      </c>
      <c r="D32" s="177" t="s">
        <v>1139</v>
      </c>
      <c r="E32" s="174" t="s">
        <v>747</v>
      </c>
      <c r="F32" s="34"/>
      <c r="G32" s="33"/>
      <c r="H32" s="34"/>
      <c r="I32" s="33"/>
      <c r="J32" s="33"/>
      <c r="K32" s="34"/>
      <c r="L32" s="172"/>
      <c r="M32" s="34"/>
      <c r="N32" s="171"/>
      <c r="O32" s="172"/>
      <c r="P32" s="34"/>
      <c r="Q32" s="34"/>
      <c r="R32" s="34"/>
      <c r="S32" s="34"/>
      <c r="T32" s="34"/>
      <c r="U32" s="34"/>
      <c r="V32" s="34"/>
      <c r="W32" s="34"/>
      <c r="X32" s="34"/>
      <c r="Y32" s="34"/>
      <c r="Z32" s="34"/>
      <c r="AA32" s="34"/>
    </row>
    <row r="33" spans="1:27" ht="13">
      <c r="A33" s="176" t="s">
        <v>280</v>
      </c>
      <c r="B33" s="170" t="s">
        <v>2532</v>
      </c>
      <c r="C33" s="177" t="s">
        <v>1007</v>
      </c>
      <c r="D33" s="177" t="s">
        <v>1147</v>
      </c>
      <c r="E33" s="174" t="s">
        <v>752</v>
      </c>
      <c r="F33" s="34"/>
      <c r="G33" s="33"/>
      <c r="H33" s="34"/>
      <c r="I33" s="33"/>
      <c r="J33" s="33"/>
      <c r="K33" s="34"/>
      <c r="L33" s="172"/>
      <c r="M33" s="34"/>
      <c r="N33" s="171"/>
      <c r="O33" s="172"/>
      <c r="P33" s="34"/>
      <c r="Q33" s="34"/>
      <c r="R33" s="34"/>
      <c r="S33" s="34"/>
      <c r="T33" s="34"/>
      <c r="U33" s="34"/>
      <c r="V33" s="34"/>
      <c r="W33" s="34"/>
      <c r="X33" s="34"/>
      <c r="Y33" s="34"/>
      <c r="Z33" s="34"/>
      <c r="AA33" s="34"/>
    </row>
    <row r="34" spans="1:27" ht="13">
      <c r="A34" s="173" t="s">
        <v>273</v>
      </c>
      <c r="B34" s="52"/>
      <c r="C34" s="177" t="s">
        <v>1013</v>
      </c>
      <c r="D34" s="177" t="s">
        <v>1151</v>
      </c>
      <c r="E34" s="174" t="s">
        <v>1540</v>
      </c>
      <c r="F34" s="34"/>
      <c r="G34" s="33"/>
      <c r="H34" s="34"/>
      <c r="I34" s="33"/>
      <c r="J34" s="33"/>
      <c r="K34" s="34"/>
      <c r="L34" s="172"/>
      <c r="M34" s="34"/>
      <c r="N34" s="171"/>
      <c r="O34" s="172"/>
      <c r="P34" s="34"/>
      <c r="Q34" s="34"/>
      <c r="R34" s="34"/>
      <c r="S34" s="34"/>
      <c r="T34" s="34"/>
      <c r="U34" s="34"/>
      <c r="V34" s="34"/>
      <c r="W34" s="34"/>
      <c r="X34" s="34"/>
      <c r="Y34" s="34"/>
      <c r="Z34" s="34"/>
      <c r="AA34" s="34"/>
    </row>
    <row r="35" spans="1:27" ht="13">
      <c r="A35" s="176" t="s">
        <v>285</v>
      </c>
      <c r="B35" s="170" t="s">
        <v>2533</v>
      </c>
      <c r="C35" s="177" t="s">
        <v>1024</v>
      </c>
      <c r="D35" s="178" t="s">
        <v>2534</v>
      </c>
      <c r="E35" s="174" t="s">
        <v>1525</v>
      </c>
      <c r="F35" s="34"/>
      <c r="G35" s="33"/>
      <c r="H35" s="34"/>
      <c r="I35" s="33"/>
      <c r="J35" s="181"/>
      <c r="K35" s="34"/>
      <c r="L35" s="172"/>
      <c r="M35" s="34"/>
      <c r="N35" s="171"/>
      <c r="O35" s="172"/>
      <c r="P35" s="34"/>
      <c r="Q35" s="34"/>
      <c r="R35" s="34"/>
      <c r="S35" s="34"/>
      <c r="T35" s="34"/>
      <c r="U35" s="34"/>
      <c r="V35" s="34"/>
      <c r="W35" s="34"/>
      <c r="X35" s="34"/>
      <c r="Y35" s="34"/>
      <c r="Z35" s="34"/>
      <c r="AA35" s="34"/>
    </row>
    <row r="36" spans="1:27" ht="13">
      <c r="A36" s="176" t="s">
        <v>258</v>
      </c>
      <c r="B36" s="170" t="s">
        <v>2535</v>
      </c>
      <c r="C36" s="76" t="s">
        <v>2536</v>
      </c>
      <c r="D36" s="177" t="s">
        <v>1181</v>
      </c>
      <c r="E36" s="174" t="s">
        <v>1529</v>
      </c>
      <c r="F36" s="34"/>
      <c r="G36" s="33"/>
      <c r="H36" s="34"/>
      <c r="I36" s="33"/>
      <c r="J36" s="33"/>
      <c r="K36" s="34"/>
      <c r="L36" s="172"/>
      <c r="M36" s="34"/>
      <c r="N36" s="171"/>
      <c r="O36" s="172"/>
      <c r="P36" s="34"/>
      <c r="Q36" s="34"/>
      <c r="R36" s="34"/>
      <c r="S36" s="34"/>
      <c r="T36" s="34"/>
      <c r="U36" s="34"/>
      <c r="V36" s="34"/>
      <c r="W36" s="34"/>
      <c r="X36" s="34"/>
      <c r="Y36" s="34"/>
      <c r="Z36" s="34"/>
      <c r="AA36" s="34"/>
    </row>
    <row r="37" spans="1:27" ht="13">
      <c r="A37" s="176" t="s">
        <v>290</v>
      </c>
      <c r="B37" s="170" t="s">
        <v>2537</v>
      </c>
      <c r="C37" s="76" t="s">
        <v>2538</v>
      </c>
      <c r="D37" s="177" t="s">
        <v>1187</v>
      </c>
      <c r="E37" s="174" t="s">
        <v>1544</v>
      </c>
      <c r="F37" s="34"/>
      <c r="G37" s="33"/>
      <c r="H37" s="34"/>
      <c r="I37" s="33"/>
      <c r="J37" s="33"/>
      <c r="K37" s="34"/>
      <c r="L37" s="172"/>
      <c r="M37" s="34"/>
      <c r="N37" s="171"/>
      <c r="O37" s="172"/>
      <c r="P37" s="34"/>
      <c r="Q37" s="34"/>
      <c r="R37" s="34"/>
      <c r="S37" s="34"/>
      <c r="T37" s="34"/>
      <c r="U37" s="34"/>
      <c r="V37" s="34"/>
      <c r="W37" s="34"/>
      <c r="X37" s="34"/>
      <c r="Y37" s="34"/>
      <c r="Z37" s="34"/>
      <c r="AA37" s="34"/>
    </row>
    <row r="38" spans="1:27" ht="13">
      <c r="A38" s="180" t="s">
        <v>2310</v>
      </c>
      <c r="B38" s="170" t="s">
        <v>2539</v>
      </c>
      <c r="C38" s="177" t="s">
        <v>189</v>
      </c>
      <c r="D38" s="177" t="s">
        <v>1194</v>
      </c>
      <c r="E38" s="174" t="s">
        <v>309</v>
      </c>
      <c r="F38" s="34"/>
      <c r="G38" s="33"/>
      <c r="H38" s="34"/>
      <c r="I38" s="33"/>
      <c r="J38" s="33"/>
      <c r="K38" s="34"/>
      <c r="L38" s="172"/>
      <c r="M38" s="34"/>
      <c r="N38" s="171"/>
      <c r="O38" s="172"/>
      <c r="P38" s="34"/>
      <c r="Q38" s="34"/>
      <c r="R38" s="34"/>
      <c r="S38" s="34"/>
      <c r="T38" s="34"/>
      <c r="U38" s="34"/>
      <c r="V38" s="34"/>
      <c r="W38" s="34"/>
      <c r="X38" s="34"/>
      <c r="Y38" s="34"/>
      <c r="Z38" s="34"/>
      <c r="AA38" s="34"/>
    </row>
    <row r="39" spans="1:27" ht="13">
      <c r="A39" s="176" t="s">
        <v>2540</v>
      </c>
      <c r="B39" s="170" t="s">
        <v>2541</v>
      </c>
      <c r="C39" s="177" t="s">
        <v>200</v>
      </c>
      <c r="D39" s="177" t="s">
        <v>1210</v>
      </c>
      <c r="E39" s="174" t="s">
        <v>316</v>
      </c>
      <c r="F39" s="34"/>
      <c r="G39" s="33"/>
      <c r="H39" s="34"/>
      <c r="I39" s="33"/>
      <c r="J39" s="33"/>
      <c r="K39" s="34"/>
      <c r="L39" s="172"/>
      <c r="M39" s="34"/>
      <c r="N39" s="171"/>
      <c r="O39" s="172"/>
      <c r="P39" s="34"/>
      <c r="Q39" s="34"/>
      <c r="R39" s="34"/>
      <c r="S39" s="34"/>
      <c r="T39" s="34"/>
      <c r="U39" s="34"/>
      <c r="V39" s="34"/>
      <c r="W39" s="34"/>
      <c r="X39" s="34"/>
      <c r="Y39" s="34"/>
      <c r="Z39" s="34"/>
      <c r="AA39" s="34"/>
    </row>
    <row r="40" spans="1:27" ht="13">
      <c r="A40" s="176" t="s">
        <v>2311</v>
      </c>
      <c r="B40" s="170" t="s">
        <v>2542</v>
      </c>
      <c r="C40" s="177" t="s">
        <v>210</v>
      </c>
      <c r="D40" s="178" t="s">
        <v>2543</v>
      </c>
      <c r="E40" s="174" t="s">
        <v>1639</v>
      </c>
      <c r="F40" s="34"/>
      <c r="G40" s="33"/>
      <c r="H40" s="34"/>
      <c r="I40" s="33"/>
      <c r="J40" s="33"/>
      <c r="K40" s="34"/>
      <c r="L40" s="172"/>
      <c r="M40" s="34"/>
      <c r="N40" s="171"/>
      <c r="O40" s="172"/>
      <c r="P40" s="34"/>
      <c r="Q40" s="34"/>
      <c r="R40" s="34"/>
      <c r="S40" s="34"/>
      <c r="T40" s="34"/>
      <c r="U40" s="34"/>
      <c r="V40" s="34"/>
      <c r="W40" s="34"/>
      <c r="X40" s="34"/>
      <c r="Y40" s="34"/>
      <c r="Z40" s="34"/>
      <c r="AA40" s="34"/>
    </row>
    <row r="41" spans="1:27" ht="13">
      <c r="A41" s="176" t="s">
        <v>304</v>
      </c>
      <c r="B41" s="170" t="s">
        <v>2544</v>
      </c>
      <c r="C41" s="76" t="s">
        <v>2545</v>
      </c>
      <c r="D41" s="178" t="s">
        <v>2546</v>
      </c>
      <c r="E41" s="174" t="s">
        <v>1645</v>
      </c>
      <c r="F41" s="34"/>
      <c r="G41" s="33"/>
      <c r="H41" s="34"/>
      <c r="I41" s="33"/>
      <c r="J41" s="33"/>
      <c r="K41" s="34"/>
      <c r="L41" s="172"/>
      <c r="M41" s="34"/>
      <c r="N41" s="171"/>
      <c r="O41" s="172"/>
      <c r="P41" s="34"/>
      <c r="Q41" s="34"/>
      <c r="R41" s="34"/>
      <c r="S41" s="34"/>
      <c r="T41" s="34"/>
      <c r="U41" s="34"/>
      <c r="V41" s="34"/>
      <c r="W41" s="34"/>
      <c r="X41" s="34"/>
      <c r="Y41" s="34"/>
      <c r="Z41" s="34"/>
      <c r="AA41" s="34"/>
    </row>
    <row r="42" spans="1:27" ht="13">
      <c r="A42" s="176" t="s">
        <v>1330</v>
      </c>
      <c r="B42" s="170" t="s">
        <v>2547</v>
      </c>
      <c r="C42" s="76" t="s">
        <v>2548</v>
      </c>
      <c r="D42" s="178" t="s">
        <v>2549</v>
      </c>
      <c r="E42" s="174" t="s">
        <v>1656</v>
      </c>
      <c r="F42" s="34"/>
      <c r="G42" s="33"/>
      <c r="H42" s="34"/>
      <c r="I42" s="33"/>
      <c r="J42" s="33"/>
      <c r="K42" s="34"/>
      <c r="L42" s="172"/>
      <c r="M42" s="34"/>
      <c r="N42" s="171"/>
      <c r="O42" s="172"/>
      <c r="P42" s="34"/>
      <c r="Q42" s="34"/>
      <c r="R42" s="34"/>
      <c r="S42" s="34"/>
      <c r="T42" s="34"/>
      <c r="U42" s="34"/>
      <c r="V42" s="34"/>
      <c r="W42" s="34"/>
      <c r="X42" s="34"/>
      <c r="Y42" s="34"/>
      <c r="Z42" s="34"/>
      <c r="AA42" s="34"/>
    </row>
    <row r="43" spans="1:27" ht="13">
      <c r="B43" s="52"/>
      <c r="C43" s="34"/>
      <c r="D43" s="34"/>
      <c r="E43" s="174" t="s">
        <v>1679</v>
      </c>
      <c r="F43" s="34"/>
      <c r="G43" s="33"/>
      <c r="H43" s="34"/>
      <c r="I43" s="33"/>
      <c r="J43" s="33"/>
      <c r="K43" s="34"/>
      <c r="L43" s="172"/>
      <c r="M43" s="34"/>
      <c r="N43" s="171"/>
      <c r="O43" s="172"/>
      <c r="P43" s="34"/>
      <c r="Q43" s="34"/>
      <c r="R43" s="34"/>
      <c r="S43" s="34"/>
      <c r="T43" s="34"/>
      <c r="U43" s="34"/>
      <c r="V43" s="34"/>
      <c r="W43" s="34"/>
      <c r="X43" s="34"/>
      <c r="Y43" s="34"/>
      <c r="Z43" s="34"/>
      <c r="AA43" s="34"/>
    </row>
    <row r="44" spans="1:27" ht="13">
      <c r="B44" s="52"/>
      <c r="C44" s="34"/>
      <c r="D44" s="34"/>
      <c r="E44" s="174" t="s">
        <v>1684</v>
      </c>
      <c r="F44" s="34"/>
      <c r="G44" s="33"/>
      <c r="H44" s="34"/>
      <c r="I44" s="33"/>
      <c r="J44" s="33"/>
      <c r="K44" s="34"/>
      <c r="L44" s="172"/>
      <c r="M44" s="34"/>
      <c r="N44" s="171"/>
      <c r="O44" s="172"/>
      <c r="P44" s="34"/>
      <c r="Q44" s="34"/>
      <c r="R44" s="34"/>
      <c r="S44" s="34"/>
      <c r="T44" s="34"/>
      <c r="U44" s="34"/>
      <c r="V44" s="34"/>
      <c r="W44" s="34"/>
      <c r="X44" s="34"/>
      <c r="Y44" s="34"/>
      <c r="Z44" s="34"/>
      <c r="AA44" s="34"/>
    </row>
    <row r="45" spans="1:27" ht="13">
      <c r="A45" s="182"/>
      <c r="B45" s="52"/>
      <c r="C45" s="34"/>
      <c r="D45" s="34"/>
      <c r="E45" s="174" t="s">
        <v>679</v>
      </c>
      <c r="F45" s="34"/>
      <c r="G45" s="33"/>
      <c r="H45" s="34"/>
      <c r="I45" s="33"/>
      <c r="J45" s="33"/>
      <c r="K45" s="34"/>
      <c r="L45" s="172"/>
      <c r="M45" s="34"/>
      <c r="N45" s="171"/>
      <c r="O45" s="34"/>
      <c r="P45" s="34"/>
      <c r="Q45" s="34"/>
      <c r="R45" s="34"/>
      <c r="S45" s="34"/>
      <c r="T45" s="34"/>
      <c r="U45" s="34"/>
      <c r="V45" s="34"/>
      <c r="W45" s="34"/>
      <c r="X45" s="34"/>
      <c r="Y45" s="34"/>
      <c r="Z45" s="34"/>
      <c r="AA45" s="34"/>
    </row>
    <row r="46" spans="1:27" ht="13">
      <c r="B46" s="52"/>
      <c r="C46" s="34"/>
      <c r="D46" s="34"/>
      <c r="E46" s="174" t="s">
        <v>1602</v>
      </c>
      <c r="F46" s="34"/>
      <c r="G46" s="33"/>
      <c r="H46" s="34"/>
      <c r="I46" s="34"/>
      <c r="J46" s="33"/>
      <c r="K46" s="34"/>
      <c r="L46" s="172"/>
      <c r="M46" s="34"/>
      <c r="N46" s="34"/>
      <c r="O46" s="34"/>
      <c r="P46" s="34"/>
      <c r="Q46" s="34"/>
      <c r="R46" s="34"/>
      <c r="S46" s="34"/>
      <c r="T46" s="34"/>
      <c r="U46" s="34"/>
      <c r="V46" s="34"/>
      <c r="W46" s="34"/>
      <c r="X46" s="34"/>
      <c r="Y46" s="34"/>
      <c r="Z46" s="34"/>
      <c r="AA46" s="34"/>
    </row>
    <row r="47" spans="1:27" ht="13">
      <c r="A47" s="22" t="s">
        <v>2550</v>
      </c>
      <c r="F47" s="34"/>
      <c r="G47" s="33"/>
      <c r="H47" s="34"/>
      <c r="I47" s="34"/>
      <c r="J47" s="33"/>
      <c r="K47" s="34"/>
      <c r="L47" s="172"/>
      <c r="M47" s="34"/>
      <c r="N47" s="34"/>
      <c r="O47" s="34"/>
      <c r="P47" s="34"/>
      <c r="Q47" s="34"/>
      <c r="R47" s="34"/>
      <c r="S47" s="34"/>
      <c r="T47" s="34"/>
      <c r="U47" s="34"/>
      <c r="V47" s="34"/>
      <c r="W47" s="34"/>
      <c r="X47" s="34"/>
      <c r="Y47" s="34"/>
      <c r="Z47" s="34"/>
      <c r="AA47" s="34"/>
    </row>
    <row r="48" spans="1:27" ht="13">
      <c r="F48" s="34"/>
      <c r="G48" s="33"/>
      <c r="H48" s="34"/>
      <c r="I48" s="34"/>
      <c r="J48" s="33"/>
      <c r="K48" s="34"/>
      <c r="L48" s="172"/>
      <c r="M48" s="34"/>
      <c r="N48" s="34"/>
      <c r="O48" s="34"/>
      <c r="P48" s="34"/>
      <c r="Q48" s="34"/>
      <c r="R48" s="34"/>
      <c r="S48" s="34"/>
      <c r="T48" s="34"/>
      <c r="U48" s="34"/>
      <c r="V48" s="34"/>
      <c r="W48" s="34"/>
      <c r="X48" s="34"/>
      <c r="Y48" s="34"/>
      <c r="Z48" s="34"/>
      <c r="AA48" s="34"/>
    </row>
    <row r="49" spans="1:27" ht="13">
      <c r="A49" s="22" t="s">
        <v>2551</v>
      </c>
      <c r="F49" s="34"/>
      <c r="G49" s="33"/>
      <c r="H49" s="34"/>
      <c r="I49" s="34"/>
      <c r="J49" s="33"/>
      <c r="K49" s="34"/>
      <c r="L49" s="172"/>
      <c r="M49" s="34"/>
      <c r="N49" s="34"/>
      <c r="O49" s="34"/>
      <c r="P49" s="34"/>
      <c r="Q49" s="34"/>
      <c r="R49" s="34"/>
      <c r="S49" s="34"/>
      <c r="T49" s="34"/>
      <c r="U49" s="34"/>
      <c r="V49" s="34"/>
      <c r="W49" s="34"/>
      <c r="X49" s="34"/>
      <c r="Y49" s="34"/>
      <c r="Z49" s="34"/>
      <c r="AA49" s="34"/>
    </row>
    <row r="50" spans="1:27" ht="13">
      <c r="F50" s="34"/>
      <c r="G50" s="33"/>
      <c r="H50" s="34"/>
      <c r="I50" s="34"/>
      <c r="J50" s="33"/>
      <c r="K50" s="34"/>
      <c r="L50" s="172"/>
      <c r="M50" s="34"/>
      <c r="N50" s="34"/>
      <c r="O50" s="34"/>
      <c r="P50" s="34"/>
      <c r="Q50" s="34"/>
      <c r="R50" s="34"/>
      <c r="S50" s="34"/>
      <c r="T50" s="34"/>
      <c r="U50" s="34"/>
      <c r="V50" s="34"/>
      <c r="W50" s="34"/>
      <c r="X50" s="34"/>
      <c r="Y50" s="34"/>
      <c r="Z50" s="34"/>
      <c r="AA50" s="34"/>
    </row>
    <row r="51" spans="1:27" ht="13">
      <c r="A51" s="22" t="s">
        <v>2552</v>
      </c>
      <c r="B51" s="22"/>
      <c r="C51" s="22"/>
      <c r="F51" s="34"/>
      <c r="G51" s="33"/>
      <c r="H51" s="34"/>
      <c r="I51" s="34"/>
      <c r="J51" s="33"/>
      <c r="K51" s="34"/>
      <c r="L51" s="172"/>
      <c r="M51" s="34"/>
      <c r="N51" s="34"/>
      <c r="O51" s="34"/>
      <c r="P51" s="34"/>
      <c r="Q51" s="34"/>
      <c r="R51" s="34"/>
      <c r="S51" s="34"/>
      <c r="T51" s="34"/>
      <c r="U51" s="34"/>
      <c r="V51" s="34"/>
      <c r="W51" s="34"/>
      <c r="X51" s="34"/>
      <c r="Y51" s="34"/>
      <c r="Z51" s="34"/>
      <c r="AA51" s="34"/>
    </row>
    <row r="52" spans="1:27" ht="13">
      <c r="A52" s="22"/>
      <c r="B52" s="22"/>
      <c r="C52" s="22"/>
      <c r="F52" s="34"/>
      <c r="G52" s="33"/>
      <c r="H52" s="34"/>
      <c r="I52" s="34"/>
      <c r="J52" s="33"/>
      <c r="K52" s="34"/>
      <c r="L52" s="172"/>
      <c r="M52" s="34"/>
      <c r="N52" s="34"/>
      <c r="O52" s="34"/>
      <c r="P52" s="34"/>
      <c r="Q52" s="34"/>
      <c r="R52" s="34"/>
      <c r="S52" s="34"/>
      <c r="T52" s="34"/>
      <c r="U52" s="34"/>
      <c r="V52" s="34"/>
      <c r="W52" s="34"/>
      <c r="X52" s="34"/>
      <c r="Y52" s="34"/>
      <c r="Z52" s="34"/>
      <c r="AA52" s="34"/>
    </row>
    <row r="53" spans="1:27" ht="13">
      <c r="A53" s="22" t="s">
        <v>2553</v>
      </c>
      <c r="B53" s="22" t="s">
        <v>2554</v>
      </c>
      <c r="C53" s="22" t="s">
        <v>2555</v>
      </c>
      <c r="F53" s="34"/>
      <c r="G53" s="33"/>
      <c r="H53" s="34"/>
      <c r="I53" s="34"/>
      <c r="J53" s="33"/>
      <c r="K53" s="34"/>
      <c r="L53" s="34"/>
      <c r="M53" s="34"/>
      <c r="N53" s="34"/>
      <c r="O53" s="34"/>
      <c r="P53" s="34"/>
      <c r="Q53" s="34"/>
      <c r="R53" s="34"/>
      <c r="S53" s="34"/>
      <c r="T53" s="34"/>
      <c r="U53" s="34"/>
      <c r="V53" s="34"/>
      <c r="W53" s="34"/>
      <c r="X53" s="34"/>
      <c r="Y53" s="34"/>
      <c r="Z53" s="34"/>
      <c r="AA53" s="34"/>
    </row>
    <row r="54" spans="1:27" ht="13">
      <c r="C54" s="22" t="s">
        <v>2556</v>
      </c>
      <c r="F54" s="34"/>
      <c r="G54" s="33"/>
      <c r="H54" s="34"/>
      <c r="I54" s="34"/>
      <c r="J54" s="33"/>
      <c r="K54" s="34"/>
      <c r="L54" s="34"/>
      <c r="M54" s="34"/>
      <c r="N54" s="34"/>
      <c r="O54" s="34"/>
      <c r="P54" s="34"/>
      <c r="Q54" s="34"/>
      <c r="R54" s="34"/>
      <c r="S54" s="34"/>
      <c r="T54" s="34"/>
      <c r="U54" s="34"/>
      <c r="V54" s="34"/>
      <c r="W54" s="34"/>
      <c r="X54" s="34"/>
      <c r="Y54" s="34"/>
      <c r="Z54" s="34"/>
      <c r="AA54" s="34"/>
    </row>
    <row r="55" spans="1:27" ht="13">
      <c r="C55" s="22" t="s">
        <v>2557</v>
      </c>
      <c r="F55" s="34"/>
      <c r="G55" s="33"/>
      <c r="H55" s="34"/>
      <c r="I55" s="34"/>
      <c r="J55" s="33"/>
      <c r="K55" s="34"/>
      <c r="L55" s="34"/>
      <c r="M55" s="34"/>
      <c r="N55" s="34"/>
      <c r="O55" s="34"/>
      <c r="P55" s="34"/>
      <c r="Q55" s="34"/>
      <c r="R55" s="34"/>
      <c r="S55" s="34"/>
      <c r="T55" s="34"/>
      <c r="U55" s="34"/>
      <c r="V55" s="34"/>
      <c r="W55" s="34"/>
      <c r="X55" s="34"/>
      <c r="Y55" s="34"/>
      <c r="Z55" s="34"/>
      <c r="AA55" s="34"/>
    </row>
    <row r="56" spans="1:27" ht="13">
      <c r="C56" s="22" t="s">
        <v>2558</v>
      </c>
      <c r="F56" s="34"/>
      <c r="G56" s="33"/>
      <c r="H56" s="34"/>
      <c r="I56" s="34"/>
      <c r="J56" s="33"/>
      <c r="K56" s="34"/>
      <c r="L56" s="34"/>
      <c r="M56" s="34"/>
      <c r="N56" s="34"/>
      <c r="O56" s="34"/>
      <c r="P56" s="34"/>
      <c r="Q56" s="34"/>
      <c r="R56" s="34"/>
      <c r="S56" s="34"/>
      <c r="T56" s="34"/>
      <c r="U56" s="34"/>
      <c r="V56" s="34"/>
      <c r="W56" s="34"/>
      <c r="X56" s="34"/>
      <c r="Y56" s="34"/>
      <c r="Z56" s="34"/>
      <c r="AA56" s="34"/>
    </row>
    <row r="57" spans="1:27" ht="13">
      <c r="F57" s="34"/>
      <c r="G57" s="33"/>
      <c r="H57" s="34"/>
      <c r="I57" s="34"/>
      <c r="J57" s="33"/>
      <c r="K57" s="34"/>
      <c r="L57" s="34"/>
      <c r="M57" s="34"/>
      <c r="N57" s="34"/>
      <c r="O57" s="34"/>
      <c r="P57" s="34"/>
      <c r="Q57" s="34"/>
      <c r="R57" s="34"/>
      <c r="S57" s="34"/>
      <c r="T57" s="34"/>
      <c r="U57" s="34"/>
      <c r="V57" s="34"/>
      <c r="W57" s="34"/>
      <c r="X57" s="34"/>
      <c r="Y57" s="34"/>
      <c r="Z57" s="34"/>
      <c r="AA57" s="34"/>
    </row>
    <row r="58" spans="1:27" ht="13">
      <c r="B58" s="22" t="s">
        <v>2559</v>
      </c>
      <c r="C58" s="22" t="s">
        <v>2560</v>
      </c>
      <c r="F58" s="34"/>
      <c r="G58" s="33"/>
      <c r="H58" s="34"/>
      <c r="I58" s="34"/>
      <c r="J58" s="33"/>
      <c r="K58" s="34"/>
      <c r="L58" s="34"/>
      <c r="M58" s="34"/>
      <c r="N58" s="34"/>
      <c r="O58" s="34"/>
      <c r="P58" s="34"/>
      <c r="Q58" s="34"/>
      <c r="R58" s="34"/>
      <c r="S58" s="34"/>
      <c r="T58" s="34"/>
      <c r="U58" s="34"/>
      <c r="V58" s="34"/>
      <c r="W58" s="34"/>
      <c r="X58" s="34"/>
      <c r="Y58" s="34"/>
      <c r="Z58" s="34"/>
      <c r="AA58" s="34"/>
    </row>
    <row r="59" spans="1:27" ht="13">
      <c r="C59" s="22"/>
      <c r="F59" s="34"/>
      <c r="G59" s="33"/>
      <c r="H59" s="34"/>
      <c r="I59" s="34"/>
      <c r="J59" s="33"/>
      <c r="K59" s="34"/>
      <c r="L59" s="34"/>
      <c r="M59" s="34"/>
      <c r="N59" s="34"/>
      <c r="O59" s="34"/>
      <c r="P59" s="34"/>
      <c r="Q59" s="34"/>
      <c r="R59" s="34"/>
      <c r="S59" s="34"/>
      <c r="T59" s="34"/>
      <c r="U59" s="34"/>
      <c r="V59" s="34"/>
      <c r="W59" s="34"/>
      <c r="X59" s="34"/>
      <c r="Y59" s="34"/>
      <c r="Z59" s="34"/>
      <c r="AA59" s="34"/>
    </row>
    <row r="60" spans="1:27" ht="13">
      <c r="B60" s="22" t="s">
        <v>2561</v>
      </c>
      <c r="C60" s="22" t="s">
        <v>2562</v>
      </c>
      <c r="F60" s="34"/>
      <c r="G60" s="33"/>
      <c r="H60" s="34"/>
      <c r="I60" s="34"/>
      <c r="J60" s="33"/>
      <c r="K60" s="34"/>
      <c r="L60" s="34"/>
      <c r="M60" s="34"/>
      <c r="N60" s="34"/>
      <c r="O60" s="34"/>
      <c r="P60" s="34"/>
      <c r="Q60" s="34"/>
      <c r="R60" s="34"/>
      <c r="S60" s="34"/>
      <c r="T60" s="34"/>
      <c r="U60" s="34"/>
      <c r="V60" s="34"/>
      <c r="W60" s="34"/>
      <c r="X60" s="34"/>
      <c r="Y60" s="34"/>
      <c r="Z60" s="34"/>
      <c r="AA60" s="34"/>
    </row>
    <row r="61" spans="1:27" ht="13">
      <c r="C61" s="22" t="s">
        <v>2563</v>
      </c>
      <c r="F61" s="34"/>
      <c r="G61" s="33"/>
      <c r="H61" s="34"/>
      <c r="I61" s="34"/>
      <c r="J61" s="33"/>
      <c r="K61" s="34"/>
      <c r="L61" s="34"/>
      <c r="M61" s="34"/>
      <c r="N61" s="34"/>
      <c r="O61" s="34"/>
      <c r="P61" s="34"/>
      <c r="Q61" s="34"/>
      <c r="R61" s="34"/>
      <c r="S61" s="34"/>
      <c r="T61" s="34"/>
      <c r="U61" s="34"/>
      <c r="V61" s="34"/>
      <c r="W61" s="34"/>
      <c r="X61" s="34"/>
      <c r="Y61" s="34"/>
      <c r="Z61" s="34"/>
      <c r="AA61" s="34"/>
    </row>
    <row r="62" spans="1:27" ht="13">
      <c r="C62" s="22" t="s">
        <v>2564</v>
      </c>
      <c r="F62" s="34"/>
      <c r="G62" s="33"/>
      <c r="H62" s="34"/>
      <c r="I62" s="34"/>
      <c r="J62" s="33"/>
      <c r="K62" s="34"/>
      <c r="L62" s="34"/>
      <c r="M62" s="34"/>
      <c r="N62" s="34"/>
      <c r="O62" s="34"/>
      <c r="P62" s="34"/>
      <c r="Q62" s="34"/>
      <c r="R62" s="34"/>
      <c r="S62" s="34"/>
      <c r="T62" s="34"/>
      <c r="U62" s="34"/>
      <c r="V62" s="34"/>
      <c r="W62" s="34"/>
      <c r="X62" s="34"/>
      <c r="Y62" s="34"/>
      <c r="Z62" s="34"/>
      <c r="AA62" s="34"/>
    </row>
    <row r="63" spans="1:27" ht="13">
      <c r="F63" s="34"/>
      <c r="G63" s="33"/>
      <c r="H63" s="34"/>
      <c r="I63" s="34"/>
      <c r="J63" s="33"/>
      <c r="K63" s="34"/>
      <c r="L63" s="34"/>
      <c r="M63" s="34"/>
      <c r="N63" s="34"/>
      <c r="O63" s="34"/>
      <c r="P63" s="34"/>
      <c r="Q63" s="34"/>
      <c r="R63" s="34"/>
      <c r="S63" s="34"/>
      <c r="T63" s="34"/>
      <c r="U63" s="34"/>
      <c r="V63" s="34"/>
      <c r="W63" s="34"/>
      <c r="X63" s="34"/>
      <c r="Y63" s="34"/>
      <c r="Z63" s="34"/>
      <c r="AA63" s="34"/>
    </row>
    <row r="64" spans="1:27" ht="13">
      <c r="B64" s="22" t="s">
        <v>2565</v>
      </c>
      <c r="C64" s="22" t="s">
        <v>2566</v>
      </c>
      <c r="F64" s="34"/>
      <c r="G64" s="33"/>
      <c r="H64" s="34"/>
      <c r="I64" s="34"/>
      <c r="J64" s="33"/>
      <c r="K64" s="34"/>
      <c r="L64" s="34"/>
      <c r="M64" s="34"/>
      <c r="N64" s="34"/>
      <c r="O64" s="34"/>
      <c r="P64" s="34"/>
      <c r="Q64" s="34"/>
      <c r="R64" s="34"/>
      <c r="S64" s="34"/>
      <c r="T64" s="34"/>
      <c r="U64" s="34"/>
      <c r="V64" s="34"/>
      <c r="W64" s="34"/>
      <c r="X64" s="34"/>
      <c r="Y64" s="34"/>
      <c r="Z64" s="34"/>
      <c r="AA64" s="34"/>
    </row>
    <row r="65" spans="1:27" ht="13">
      <c r="A65" s="34"/>
      <c r="B65" s="52"/>
      <c r="C65" s="34"/>
      <c r="D65" s="34"/>
      <c r="E65" s="34"/>
      <c r="F65" s="34"/>
      <c r="G65" s="33"/>
      <c r="H65" s="34"/>
      <c r="I65" s="34"/>
      <c r="J65" s="33"/>
      <c r="K65" s="34"/>
      <c r="L65" s="34"/>
      <c r="M65" s="34"/>
      <c r="N65" s="34"/>
      <c r="O65" s="34"/>
      <c r="P65" s="34"/>
      <c r="Q65" s="34"/>
      <c r="R65" s="34"/>
      <c r="S65" s="34"/>
      <c r="T65" s="34"/>
      <c r="U65" s="34"/>
      <c r="V65" s="34"/>
      <c r="W65" s="34"/>
      <c r="X65" s="34"/>
      <c r="Y65" s="34"/>
      <c r="Z65" s="34"/>
      <c r="AA65" s="34"/>
    </row>
    <row r="66" spans="1:27" ht="13">
      <c r="A66" s="34"/>
      <c r="B66" s="52"/>
      <c r="C66" s="34"/>
      <c r="D66" s="34"/>
      <c r="E66" s="34"/>
      <c r="F66" s="34"/>
      <c r="G66" s="33"/>
      <c r="H66" s="34"/>
      <c r="I66" s="34"/>
      <c r="J66" s="33"/>
      <c r="K66" s="34"/>
      <c r="L66" s="34"/>
      <c r="M66" s="34"/>
      <c r="N66" s="34"/>
      <c r="O66" s="34"/>
      <c r="P66" s="34"/>
      <c r="Q66" s="34"/>
      <c r="R66" s="34"/>
      <c r="S66" s="34"/>
      <c r="T66" s="34"/>
      <c r="U66" s="34"/>
      <c r="V66" s="34"/>
      <c r="W66" s="34"/>
      <c r="X66" s="34"/>
      <c r="Y66" s="34"/>
      <c r="Z66" s="34"/>
      <c r="AA66" s="34"/>
    </row>
    <row r="67" spans="1:27" ht="13">
      <c r="A67" s="34"/>
      <c r="B67" s="52"/>
      <c r="C67" s="34"/>
      <c r="D67" s="34"/>
      <c r="E67" s="34"/>
      <c r="F67" s="34"/>
      <c r="G67" s="33"/>
      <c r="H67" s="34"/>
      <c r="I67" s="34"/>
      <c r="J67" s="33"/>
      <c r="K67" s="34"/>
      <c r="L67" s="34"/>
      <c r="M67" s="34"/>
      <c r="N67" s="34"/>
      <c r="O67" s="34"/>
      <c r="P67" s="34"/>
      <c r="Q67" s="34"/>
      <c r="R67" s="34"/>
      <c r="S67" s="34"/>
      <c r="T67" s="34"/>
      <c r="U67" s="34"/>
      <c r="V67" s="34"/>
      <c r="W67" s="34"/>
      <c r="X67" s="34"/>
      <c r="Y67" s="34"/>
      <c r="Z67" s="34"/>
      <c r="AA67" s="34"/>
    </row>
    <row r="68" spans="1:27" ht="13">
      <c r="A68" s="34"/>
      <c r="B68" s="52"/>
      <c r="C68" s="34"/>
      <c r="D68" s="34"/>
      <c r="E68" s="34"/>
      <c r="F68" s="34"/>
      <c r="G68" s="33"/>
      <c r="H68" s="34"/>
      <c r="I68" s="34"/>
      <c r="J68" s="33"/>
      <c r="K68" s="34"/>
      <c r="L68" s="34"/>
      <c r="M68" s="34"/>
      <c r="N68" s="34"/>
      <c r="O68" s="34"/>
      <c r="P68" s="34"/>
      <c r="Q68" s="34"/>
      <c r="R68" s="34"/>
      <c r="S68" s="34"/>
      <c r="T68" s="34"/>
      <c r="U68" s="34"/>
      <c r="V68" s="34"/>
      <c r="W68" s="34"/>
      <c r="X68" s="34"/>
      <c r="Y68" s="34"/>
      <c r="Z68" s="34"/>
      <c r="AA68" s="34"/>
    </row>
    <row r="69" spans="1:27" ht="13">
      <c r="A69" s="34"/>
      <c r="B69" s="52"/>
      <c r="C69" s="34"/>
      <c r="D69" s="34"/>
      <c r="E69" s="34"/>
      <c r="F69" s="34"/>
      <c r="G69" s="33"/>
      <c r="H69" s="34"/>
      <c r="I69" s="34"/>
      <c r="J69" s="33"/>
      <c r="K69" s="34"/>
      <c r="L69" s="34"/>
      <c r="M69" s="34"/>
      <c r="N69" s="34"/>
      <c r="O69" s="34"/>
      <c r="P69" s="34"/>
      <c r="Q69" s="34"/>
      <c r="R69" s="34"/>
      <c r="S69" s="34"/>
      <c r="T69" s="34"/>
      <c r="U69" s="34"/>
      <c r="V69" s="34"/>
      <c r="W69" s="34"/>
      <c r="X69" s="34"/>
      <c r="Y69" s="34"/>
      <c r="Z69" s="34"/>
      <c r="AA69" s="34"/>
    </row>
    <row r="70" spans="1:27" ht="13">
      <c r="A70" s="34"/>
      <c r="B70" s="52"/>
      <c r="C70" s="34"/>
      <c r="D70" s="34"/>
      <c r="E70" s="34"/>
      <c r="F70" s="34"/>
      <c r="G70" s="33"/>
      <c r="H70" s="34"/>
      <c r="I70" s="34"/>
      <c r="J70" s="33"/>
      <c r="K70" s="34"/>
      <c r="L70" s="34"/>
      <c r="M70" s="34"/>
      <c r="N70" s="34"/>
      <c r="O70" s="34"/>
      <c r="P70" s="34"/>
      <c r="Q70" s="34"/>
      <c r="R70" s="34"/>
      <c r="S70" s="34"/>
      <c r="T70" s="34"/>
      <c r="U70" s="34"/>
      <c r="V70" s="34"/>
      <c r="W70" s="34"/>
      <c r="X70" s="34"/>
      <c r="Y70" s="34"/>
      <c r="Z70" s="34"/>
      <c r="AA70" s="34"/>
    </row>
    <row r="71" spans="1:27" ht="13">
      <c r="A71" s="34"/>
      <c r="B71" s="52"/>
      <c r="C71" s="34"/>
      <c r="D71" s="34"/>
      <c r="E71" s="34"/>
      <c r="F71" s="34"/>
      <c r="G71" s="33"/>
      <c r="H71" s="34"/>
      <c r="I71" s="34"/>
      <c r="J71" s="33"/>
      <c r="K71" s="34"/>
      <c r="L71" s="34"/>
      <c r="M71" s="34"/>
      <c r="N71" s="34"/>
      <c r="O71" s="34"/>
      <c r="P71" s="34"/>
      <c r="Q71" s="34"/>
      <c r="R71" s="34"/>
      <c r="S71" s="34"/>
      <c r="T71" s="34"/>
      <c r="U71" s="34"/>
      <c r="V71" s="34"/>
      <c r="W71" s="34"/>
      <c r="X71" s="34"/>
      <c r="Y71" s="34"/>
      <c r="Z71" s="34"/>
      <c r="AA71" s="34"/>
    </row>
    <row r="72" spans="1:27" ht="13">
      <c r="A72" s="34"/>
      <c r="B72" s="52"/>
      <c r="C72" s="34"/>
      <c r="D72" s="34"/>
      <c r="E72" s="34"/>
      <c r="F72" s="34"/>
      <c r="G72" s="33"/>
      <c r="H72" s="34"/>
      <c r="I72" s="34"/>
      <c r="J72" s="33"/>
      <c r="K72" s="34"/>
      <c r="L72" s="34"/>
      <c r="M72" s="34"/>
      <c r="N72" s="34"/>
      <c r="O72" s="34"/>
      <c r="P72" s="34"/>
      <c r="Q72" s="34"/>
      <c r="R72" s="34"/>
      <c r="S72" s="34"/>
      <c r="T72" s="34"/>
      <c r="U72" s="34"/>
      <c r="V72" s="34"/>
      <c r="W72" s="34"/>
      <c r="X72" s="34"/>
      <c r="Y72" s="34"/>
      <c r="Z72" s="34"/>
      <c r="AA72" s="34"/>
    </row>
    <row r="73" spans="1:27" ht="13">
      <c r="A73" s="34"/>
      <c r="B73" s="52"/>
      <c r="C73" s="34"/>
      <c r="D73" s="34"/>
      <c r="E73" s="34"/>
      <c r="F73" s="34"/>
      <c r="G73" s="33"/>
      <c r="H73" s="34"/>
      <c r="I73" s="34"/>
      <c r="J73" s="33"/>
      <c r="K73" s="34"/>
      <c r="L73" s="34"/>
      <c r="M73" s="34"/>
      <c r="N73" s="34"/>
      <c r="O73" s="34"/>
      <c r="P73" s="34"/>
      <c r="Q73" s="34"/>
      <c r="R73" s="34"/>
      <c r="S73" s="34"/>
      <c r="T73" s="34"/>
      <c r="U73" s="34"/>
      <c r="V73" s="34"/>
      <c r="W73" s="34"/>
      <c r="X73" s="34"/>
      <c r="Y73" s="34"/>
      <c r="Z73" s="34"/>
      <c r="AA73" s="34"/>
    </row>
    <row r="74" spans="1:27" ht="13">
      <c r="A74" s="34"/>
      <c r="B74" s="52"/>
      <c r="C74" s="34"/>
      <c r="D74" s="34"/>
      <c r="E74" s="34"/>
      <c r="F74" s="34"/>
      <c r="G74" s="33"/>
      <c r="H74" s="34"/>
      <c r="I74" s="34"/>
      <c r="J74" s="33"/>
      <c r="K74" s="34"/>
      <c r="L74" s="34"/>
      <c r="M74" s="34"/>
      <c r="N74" s="34"/>
      <c r="O74" s="34"/>
      <c r="P74" s="34"/>
      <c r="Q74" s="34"/>
      <c r="R74" s="34"/>
      <c r="S74" s="34"/>
      <c r="T74" s="34"/>
      <c r="U74" s="34"/>
      <c r="V74" s="34"/>
      <c r="W74" s="34"/>
      <c r="X74" s="34"/>
      <c r="Y74" s="34"/>
      <c r="Z74" s="34"/>
      <c r="AA74" s="34"/>
    </row>
    <row r="75" spans="1:27" ht="13">
      <c r="A75" s="34"/>
      <c r="B75" s="52"/>
      <c r="C75" s="34"/>
      <c r="D75" s="34"/>
      <c r="E75" s="34"/>
      <c r="F75" s="34"/>
      <c r="G75" s="33"/>
      <c r="H75" s="34"/>
      <c r="I75" s="34"/>
      <c r="J75" s="33"/>
      <c r="K75" s="34"/>
      <c r="L75" s="34"/>
      <c r="M75" s="34"/>
      <c r="N75" s="34"/>
      <c r="O75" s="34"/>
      <c r="P75" s="34"/>
      <c r="Q75" s="34"/>
      <c r="R75" s="34"/>
      <c r="S75" s="34"/>
      <c r="T75" s="34"/>
      <c r="U75" s="34"/>
      <c r="V75" s="34"/>
      <c r="W75" s="34"/>
      <c r="X75" s="34"/>
      <c r="Y75" s="34"/>
      <c r="Z75" s="34"/>
      <c r="AA75" s="34"/>
    </row>
    <row r="76" spans="1:27" ht="13">
      <c r="A76" s="34"/>
      <c r="B76" s="52"/>
      <c r="C76" s="34"/>
      <c r="D76" s="34"/>
      <c r="E76" s="34"/>
      <c r="F76" s="34"/>
      <c r="G76" s="33"/>
      <c r="H76" s="34"/>
      <c r="I76" s="34"/>
      <c r="J76" s="33"/>
      <c r="K76" s="34"/>
      <c r="L76" s="34"/>
      <c r="M76" s="34"/>
      <c r="N76" s="34"/>
      <c r="O76" s="34"/>
      <c r="P76" s="34"/>
      <c r="Q76" s="34"/>
      <c r="R76" s="34"/>
      <c r="S76" s="34"/>
      <c r="T76" s="34"/>
      <c r="U76" s="34"/>
      <c r="V76" s="34"/>
      <c r="W76" s="34"/>
      <c r="X76" s="34"/>
      <c r="Y76" s="34"/>
      <c r="Z76" s="34"/>
      <c r="AA76" s="34"/>
    </row>
    <row r="77" spans="1:27" ht="13">
      <c r="A77" s="34"/>
      <c r="B77" s="52"/>
      <c r="C77" s="34"/>
      <c r="D77" s="34"/>
      <c r="E77" s="34"/>
      <c r="F77" s="34"/>
      <c r="G77" s="33"/>
      <c r="H77" s="34"/>
      <c r="I77" s="34"/>
      <c r="J77" s="33"/>
      <c r="K77" s="34"/>
      <c r="L77" s="34"/>
      <c r="M77" s="34"/>
      <c r="N77" s="34"/>
      <c r="O77" s="34"/>
      <c r="P77" s="34"/>
      <c r="Q77" s="34"/>
      <c r="R77" s="34"/>
      <c r="S77" s="34"/>
      <c r="T77" s="34"/>
      <c r="U77" s="34"/>
      <c r="V77" s="34"/>
      <c r="W77" s="34"/>
      <c r="X77" s="34"/>
      <c r="Y77" s="34"/>
      <c r="Z77" s="34"/>
      <c r="AA77" s="34"/>
    </row>
    <row r="78" spans="1:27" ht="13">
      <c r="A78" s="34"/>
      <c r="B78" s="52"/>
      <c r="C78" s="34"/>
      <c r="D78" s="34"/>
      <c r="E78" s="34"/>
      <c r="F78" s="34"/>
      <c r="G78" s="33"/>
      <c r="H78" s="34"/>
      <c r="I78" s="34"/>
      <c r="J78" s="33"/>
      <c r="K78" s="34"/>
      <c r="L78" s="34"/>
      <c r="M78" s="34"/>
      <c r="N78" s="34"/>
      <c r="O78" s="34"/>
      <c r="P78" s="34"/>
      <c r="Q78" s="34"/>
      <c r="R78" s="34"/>
      <c r="S78" s="34"/>
      <c r="T78" s="34"/>
      <c r="U78" s="34"/>
      <c r="V78" s="34"/>
      <c r="W78" s="34"/>
      <c r="X78" s="34"/>
      <c r="Y78" s="34"/>
      <c r="Z78" s="34"/>
      <c r="AA78" s="34"/>
    </row>
    <row r="79" spans="1:27" ht="13">
      <c r="A79" s="34"/>
      <c r="B79" s="52"/>
      <c r="C79" s="34"/>
      <c r="D79" s="34"/>
      <c r="E79" s="34"/>
      <c r="F79" s="34"/>
      <c r="G79" s="33"/>
      <c r="H79" s="34"/>
      <c r="I79" s="34"/>
      <c r="J79" s="33"/>
      <c r="K79" s="34"/>
      <c r="L79" s="34"/>
      <c r="M79" s="34"/>
      <c r="N79" s="34"/>
      <c r="O79" s="34"/>
      <c r="P79" s="34"/>
      <c r="Q79" s="34"/>
      <c r="R79" s="34"/>
      <c r="S79" s="34"/>
      <c r="T79" s="34"/>
      <c r="U79" s="34"/>
      <c r="V79" s="34"/>
      <c r="W79" s="34"/>
      <c r="X79" s="34"/>
      <c r="Y79" s="34"/>
      <c r="Z79" s="34"/>
      <c r="AA79" s="34"/>
    </row>
    <row r="80" spans="1:27" ht="13">
      <c r="A80" s="34"/>
      <c r="B80" s="52"/>
      <c r="C80" s="34"/>
      <c r="D80" s="34"/>
      <c r="E80" s="34"/>
      <c r="F80" s="34"/>
      <c r="G80" s="33"/>
      <c r="H80" s="34"/>
      <c r="I80" s="34"/>
      <c r="J80" s="33"/>
      <c r="K80" s="34"/>
      <c r="L80" s="34"/>
      <c r="M80" s="34"/>
      <c r="N80" s="34"/>
      <c r="O80" s="34"/>
      <c r="P80" s="34"/>
      <c r="Q80" s="34"/>
      <c r="R80" s="34"/>
      <c r="S80" s="34"/>
      <c r="T80" s="34"/>
      <c r="U80" s="34"/>
      <c r="V80" s="34"/>
      <c r="W80" s="34"/>
      <c r="X80" s="34"/>
      <c r="Y80" s="34"/>
      <c r="Z80" s="34"/>
      <c r="AA80" s="34"/>
    </row>
    <row r="81" spans="1:27" ht="13">
      <c r="A81" s="34"/>
      <c r="B81" s="52"/>
      <c r="C81" s="34"/>
      <c r="D81" s="34"/>
      <c r="E81" s="34"/>
      <c r="F81" s="34"/>
      <c r="G81" s="33"/>
      <c r="H81" s="34"/>
      <c r="I81" s="34"/>
      <c r="J81" s="33"/>
      <c r="K81" s="34"/>
      <c r="L81" s="34"/>
      <c r="M81" s="34"/>
      <c r="N81" s="34"/>
      <c r="O81" s="34"/>
      <c r="P81" s="34"/>
      <c r="Q81" s="34"/>
      <c r="R81" s="34"/>
      <c r="S81" s="34"/>
      <c r="T81" s="34"/>
      <c r="U81" s="34"/>
      <c r="V81" s="34"/>
      <c r="W81" s="34"/>
      <c r="X81" s="34"/>
      <c r="Y81" s="34"/>
      <c r="Z81" s="34"/>
      <c r="AA81" s="34"/>
    </row>
    <row r="82" spans="1:27" ht="13">
      <c r="A82" s="34"/>
      <c r="B82" s="52"/>
      <c r="C82" s="34"/>
      <c r="D82" s="34"/>
      <c r="E82" s="34"/>
      <c r="F82" s="34"/>
      <c r="G82" s="33"/>
      <c r="H82" s="34"/>
      <c r="I82" s="34"/>
      <c r="J82" s="33"/>
      <c r="K82" s="34"/>
      <c r="L82" s="34"/>
      <c r="M82" s="34"/>
      <c r="N82" s="34"/>
      <c r="O82" s="34"/>
      <c r="P82" s="34"/>
      <c r="Q82" s="34"/>
      <c r="R82" s="34"/>
      <c r="S82" s="34"/>
      <c r="T82" s="34"/>
      <c r="U82" s="34"/>
      <c r="V82" s="34"/>
      <c r="W82" s="34"/>
      <c r="X82" s="34"/>
      <c r="Y82" s="34"/>
      <c r="Z82" s="34"/>
      <c r="AA82" s="34"/>
    </row>
    <row r="83" spans="1:27" ht="13">
      <c r="A83" s="34"/>
      <c r="B83" s="52"/>
      <c r="C83" s="34"/>
      <c r="D83" s="34"/>
      <c r="E83" s="34"/>
      <c r="F83" s="34"/>
      <c r="G83" s="33"/>
      <c r="H83" s="34"/>
      <c r="I83" s="34"/>
      <c r="J83" s="33"/>
      <c r="K83" s="34"/>
      <c r="L83" s="34"/>
      <c r="M83" s="34"/>
      <c r="N83" s="34"/>
      <c r="O83" s="34"/>
      <c r="P83" s="34"/>
      <c r="Q83" s="34"/>
      <c r="R83" s="34"/>
      <c r="S83" s="34"/>
      <c r="T83" s="34"/>
      <c r="U83" s="34"/>
      <c r="V83" s="34"/>
      <c r="W83" s="34"/>
      <c r="X83" s="34"/>
      <c r="Y83" s="34"/>
      <c r="Z83" s="34"/>
      <c r="AA83" s="34"/>
    </row>
    <row r="84" spans="1:27" ht="13">
      <c r="A84" s="34"/>
      <c r="B84" s="52"/>
      <c r="C84" s="34"/>
      <c r="D84" s="34"/>
      <c r="E84" s="34"/>
      <c r="F84" s="34"/>
      <c r="G84" s="33"/>
      <c r="H84" s="34"/>
      <c r="I84" s="34"/>
      <c r="J84" s="33"/>
      <c r="K84" s="34"/>
      <c r="L84" s="34"/>
      <c r="M84" s="34"/>
      <c r="N84" s="34"/>
      <c r="O84" s="34"/>
      <c r="P84" s="34"/>
      <c r="Q84" s="34"/>
      <c r="R84" s="34"/>
      <c r="S84" s="34"/>
      <c r="T84" s="34"/>
      <c r="U84" s="34"/>
      <c r="V84" s="34"/>
      <c r="W84" s="34"/>
      <c r="X84" s="34"/>
      <c r="Y84" s="34"/>
      <c r="Z84" s="34"/>
      <c r="AA84" s="34"/>
    </row>
    <row r="85" spans="1:27" ht="13">
      <c r="A85" s="34"/>
      <c r="B85" s="52"/>
      <c r="C85" s="34"/>
      <c r="D85" s="34"/>
      <c r="E85" s="34"/>
      <c r="F85" s="34"/>
      <c r="G85" s="33"/>
      <c r="H85" s="34"/>
      <c r="I85" s="34"/>
      <c r="J85" s="33"/>
      <c r="K85" s="34"/>
      <c r="L85" s="34"/>
      <c r="M85" s="34"/>
      <c r="N85" s="34"/>
      <c r="O85" s="34"/>
      <c r="P85" s="34"/>
      <c r="Q85" s="34"/>
      <c r="R85" s="34"/>
      <c r="S85" s="34"/>
      <c r="T85" s="34"/>
      <c r="U85" s="34"/>
      <c r="V85" s="34"/>
      <c r="W85" s="34"/>
      <c r="X85" s="34"/>
      <c r="Y85" s="34"/>
      <c r="Z85" s="34"/>
      <c r="AA85" s="34"/>
    </row>
    <row r="86" spans="1:27" ht="13">
      <c r="A86" s="34"/>
      <c r="B86" s="52"/>
      <c r="C86" s="34"/>
      <c r="D86" s="34"/>
      <c r="E86" s="34"/>
      <c r="F86" s="34"/>
      <c r="G86" s="33"/>
      <c r="H86" s="34"/>
      <c r="I86" s="34"/>
      <c r="J86" s="33"/>
      <c r="K86" s="34"/>
      <c r="L86" s="34"/>
      <c r="M86" s="34"/>
      <c r="N86" s="34"/>
      <c r="O86" s="34"/>
      <c r="P86" s="34"/>
      <c r="Q86" s="34"/>
      <c r="R86" s="34"/>
      <c r="S86" s="34"/>
      <c r="T86" s="34"/>
      <c r="U86" s="34"/>
      <c r="V86" s="34"/>
      <c r="W86" s="34"/>
      <c r="X86" s="34"/>
      <c r="Y86" s="34"/>
      <c r="Z86" s="34"/>
      <c r="AA86" s="34"/>
    </row>
    <row r="87" spans="1:27" ht="13">
      <c r="A87" s="34"/>
      <c r="B87" s="52"/>
      <c r="C87" s="34"/>
      <c r="D87" s="34"/>
      <c r="E87" s="34"/>
      <c r="F87" s="34"/>
      <c r="G87" s="33"/>
      <c r="H87" s="34"/>
      <c r="I87" s="34"/>
      <c r="J87" s="33"/>
      <c r="K87" s="34"/>
      <c r="L87" s="34"/>
      <c r="M87" s="34"/>
      <c r="N87" s="34"/>
      <c r="O87" s="34"/>
      <c r="P87" s="34"/>
      <c r="Q87" s="34"/>
      <c r="R87" s="34"/>
      <c r="S87" s="34"/>
      <c r="T87" s="34"/>
      <c r="U87" s="34"/>
      <c r="V87" s="34"/>
      <c r="W87" s="34"/>
      <c r="X87" s="34"/>
      <c r="Y87" s="34"/>
      <c r="Z87" s="34"/>
      <c r="AA87" s="34"/>
    </row>
    <row r="88" spans="1:27" ht="13">
      <c r="A88" s="34"/>
      <c r="B88" s="52"/>
      <c r="C88" s="34"/>
      <c r="D88" s="34"/>
      <c r="E88" s="34"/>
      <c r="F88" s="34"/>
      <c r="G88" s="33"/>
      <c r="H88" s="34"/>
      <c r="I88" s="34"/>
      <c r="J88" s="33"/>
      <c r="K88" s="34"/>
      <c r="L88" s="34"/>
      <c r="M88" s="34"/>
      <c r="N88" s="34"/>
      <c r="O88" s="34"/>
      <c r="P88" s="34"/>
      <c r="Q88" s="34"/>
      <c r="R88" s="34"/>
      <c r="S88" s="34"/>
      <c r="T88" s="34"/>
      <c r="U88" s="34"/>
      <c r="V88" s="34"/>
      <c r="W88" s="34"/>
      <c r="X88" s="34"/>
      <c r="Y88" s="34"/>
      <c r="Z88" s="34"/>
      <c r="AA88" s="34"/>
    </row>
    <row r="89" spans="1:27" ht="13">
      <c r="A89" s="34"/>
      <c r="B89" s="52"/>
      <c r="C89" s="34"/>
      <c r="D89" s="34"/>
      <c r="E89" s="34"/>
      <c r="F89" s="34"/>
      <c r="G89" s="33"/>
      <c r="H89" s="34"/>
      <c r="I89" s="34"/>
      <c r="J89" s="33"/>
      <c r="K89" s="34"/>
      <c r="L89" s="34"/>
      <c r="M89" s="34"/>
      <c r="N89" s="34"/>
      <c r="O89" s="34"/>
      <c r="P89" s="34"/>
      <c r="Q89" s="34"/>
      <c r="R89" s="34"/>
      <c r="S89" s="34"/>
      <c r="T89" s="34"/>
      <c r="U89" s="34"/>
      <c r="V89" s="34"/>
      <c r="W89" s="34"/>
      <c r="X89" s="34"/>
      <c r="Y89" s="34"/>
      <c r="Z89" s="34"/>
      <c r="AA89" s="34"/>
    </row>
    <row r="90" spans="1:27" ht="13">
      <c r="A90" s="34"/>
      <c r="B90" s="52"/>
      <c r="C90" s="34"/>
      <c r="D90" s="34"/>
      <c r="E90" s="34"/>
      <c r="F90" s="34"/>
      <c r="G90" s="33"/>
      <c r="H90" s="34"/>
      <c r="I90" s="34"/>
      <c r="J90" s="33"/>
      <c r="K90" s="34"/>
      <c r="L90" s="34"/>
      <c r="M90" s="34"/>
      <c r="N90" s="34"/>
      <c r="O90" s="34"/>
      <c r="P90" s="34"/>
      <c r="Q90" s="34"/>
      <c r="R90" s="34"/>
      <c r="S90" s="34"/>
      <c r="T90" s="34"/>
      <c r="U90" s="34"/>
      <c r="V90" s="34"/>
      <c r="W90" s="34"/>
      <c r="X90" s="34"/>
      <c r="Y90" s="34"/>
      <c r="Z90" s="34"/>
      <c r="AA90" s="34"/>
    </row>
    <row r="91" spans="1:27" ht="13">
      <c r="A91" s="34"/>
      <c r="B91" s="52"/>
      <c r="C91" s="34"/>
      <c r="D91" s="34"/>
      <c r="E91" s="34"/>
      <c r="F91" s="34"/>
      <c r="G91" s="33"/>
      <c r="H91" s="34"/>
      <c r="I91" s="34"/>
      <c r="J91" s="33"/>
      <c r="K91" s="34"/>
      <c r="L91" s="34"/>
      <c r="M91" s="34"/>
      <c r="N91" s="34"/>
      <c r="O91" s="34"/>
      <c r="P91" s="34"/>
      <c r="Q91" s="34"/>
      <c r="R91" s="34"/>
      <c r="S91" s="34"/>
      <c r="T91" s="34"/>
      <c r="U91" s="34"/>
      <c r="V91" s="34"/>
      <c r="W91" s="34"/>
      <c r="X91" s="34"/>
      <c r="Y91" s="34"/>
      <c r="Z91" s="34"/>
      <c r="AA91" s="34"/>
    </row>
    <row r="92" spans="1:27" ht="13">
      <c r="A92" s="34"/>
      <c r="B92" s="52"/>
      <c r="C92" s="34"/>
      <c r="D92" s="34"/>
      <c r="E92" s="34"/>
      <c r="F92" s="34"/>
      <c r="G92" s="33"/>
      <c r="H92" s="34"/>
      <c r="I92" s="34"/>
      <c r="J92" s="33"/>
      <c r="K92" s="34"/>
      <c r="L92" s="34"/>
      <c r="M92" s="34"/>
      <c r="N92" s="34"/>
      <c r="O92" s="34"/>
      <c r="P92" s="34"/>
      <c r="Q92" s="34"/>
      <c r="R92" s="34"/>
      <c r="S92" s="34"/>
      <c r="T92" s="34"/>
      <c r="U92" s="34"/>
      <c r="V92" s="34"/>
      <c r="W92" s="34"/>
      <c r="X92" s="34"/>
      <c r="Y92" s="34"/>
      <c r="Z92" s="34"/>
      <c r="AA92" s="34"/>
    </row>
    <row r="93" spans="1:27" ht="13">
      <c r="A93" s="34"/>
      <c r="B93" s="52"/>
      <c r="C93" s="34"/>
      <c r="D93" s="34"/>
      <c r="E93" s="34"/>
      <c r="F93" s="34"/>
      <c r="G93" s="33"/>
      <c r="H93" s="34"/>
      <c r="I93" s="34"/>
      <c r="J93" s="33"/>
      <c r="K93" s="34"/>
      <c r="L93" s="34"/>
      <c r="M93" s="34"/>
      <c r="N93" s="34"/>
      <c r="O93" s="34"/>
      <c r="P93" s="34"/>
      <c r="Q93" s="34"/>
      <c r="R93" s="34"/>
      <c r="S93" s="34"/>
      <c r="T93" s="34"/>
      <c r="U93" s="34"/>
      <c r="V93" s="34"/>
      <c r="W93" s="34"/>
      <c r="X93" s="34"/>
      <c r="Y93" s="34"/>
      <c r="Z93" s="34"/>
      <c r="AA93" s="34"/>
    </row>
    <row r="94" spans="1:27" ht="13">
      <c r="A94" s="34"/>
      <c r="B94" s="52"/>
      <c r="C94" s="34"/>
      <c r="D94" s="34"/>
      <c r="E94" s="34"/>
      <c r="F94" s="34"/>
      <c r="G94" s="33"/>
      <c r="H94" s="34"/>
      <c r="I94" s="34"/>
      <c r="J94" s="33"/>
      <c r="K94" s="34"/>
      <c r="L94" s="34"/>
      <c r="M94" s="34"/>
      <c r="N94" s="34"/>
      <c r="O94" s="34"/>
      <c r="P94" s="34"/>
      <c r="Q94" s="34"/>
      <c r="R94" s="34"/>
      <c r="S94" s="34"/>
      <c r="T94" s="34"/>
      <c r="U94" s="34"/>
      <c r="V94" s="34"/>
      <c r="W94" s="34"/>
      <c r="X94" s="34"/>
      <c r="Y94" s="34"/>
      <c r="Z94" s="34"/>
      <c r="AA94" s="34"/>
    </row>
    <row r="95" spans="1:27" ht="13">
      <c r="A95" s="34"/>
      <c r="B95" s="52"/>
      <c r="C95" s="34"/>
      <c r="D95" s="34"/>
      <c r="E95" s="34"/>
      <c r="F95" s="34"/>
      <c r="G95" s="33"/>
      <c r="H95" s="34"/>
      <c r="I95" s="34"/>
      <c r="J95" s="33"/>
      <c r="K95" s="34"/>
      <c r="L95" s="34"/>
      <c r="M95" s="34"/>
      <c r="N95" s="34"/>
      <c r="O95" s="34"/>
      <c r="P95" s="34"/>
      <c r="Q95" s="34"/>
      <c r="R95" s="34"/>
      <c r="S95" s="34"/>
      <c r="T95" s="34"/>
      <c r="U95" s="34"/>
      <c r="V95" s="34"/>
      <c r="W95" s="34"/>
      <c r="X95" s="34"/>
      <c r="Y95" s="34"/>
      <c r="Z95" s="34"/>
      <c r="AA95" s="34"/>
    </row>
    <row r="96" spans="1:27" ht="13">
      <c r="A96" s="34"/>
      <c r="B96" s="52"/>
      <c r="C96" s="34"/>
      <c r="D96" s="34"/>
      <c r="E96" s="34"/>
      <c r="F96" s="34"/>
      <c r="G96" s="33"/>
      <c r="H96" s="34"/>
      <c r="I96" s="34"/>
      <c r="J96" s="33"/>
      <c r="K96" s="34"/>
      <c r="L96" s="34"/>
      <c r="M96" s="34"/>
      <c r="N96" s="34"/>
      <c r="O96" s="34"/>
      <c r="P96" s="34"/>
      <c r="Q96" s="34"/>
      <c r="R96" s="34"/>
      <c r="S96" s="34"/>
      <c r="T96" s="34"/>
      <c r="U96" s="34"/>
      <c r="V96" s="34"/>
      <c r="W96" s="34"/>
      <c r="X96" s="34"/>
      <c r="Y96" s="34"/>
      <c r="Z96" s="34"/>
      <c r="AA96" s="34"/>
    </row>
    <row r="97" spans="1:27" ht="13">
      <c r="A97" s="34"/>
      <c r="B97" s="52"/>
      <c r="C97" s="34"/>
      <c r="D97" s="34"/>
      <c r="E97" s="34"/>
      <c r="F97" s="34"/>
      <c r="G97" s="33"/>
      <c r="H97" s="34"/>
      <c r="I97" s="34"/>
      <c r="J97" s="33"/>
      <c r="K97" s="34"/>
      <c r="L97" s="34"/>
      <c r="M97" s="34"/>
      <c r="N97" s="34"/>
      <c r="O97" s="34"/>
      <c r="P97" s="34"/>
      <c r="Q97" s="34"/>
      <c r="R97" s="34"/>
      <c r="S97" s="34"/>
      <c r="T97" s="34"/>
      <c r="U97" s="34"/>
      <c r="V97" s="34"/>
      <c r="W97" s="34"/>
      <c r="X97" s="34"/>
      <c r="Y97" s="34"/>
      <c r="Z97" s="34"/>
      <c r="AA97" s="34"/>
    </row>
    <row r="98" spans="1:27" ht="13">
      <c r="A98" s="34"/>
      <c r="B98" s="52"/>
      <c r="C98" s="34"/>
      <c r="D98" s="34"/>
      <c r="E98" s="34"/>
      <c r="F98" s="34"/>
      <c r="G98" s="33"/>
      <c r="H98" s="34"/>
      <c r="I98" s="34"/>
      <c r="J98" s="33"/>
      <c r="K98" s="34"/>
      <c r="L98" s="34"/>
      <c r="M98" s="34"/>
      <c r="N98" s="34"/>
      <c r="O98" s="34"/>
      <c r="P98" s="34"/>
      <c r="Q98" s="34"/>
      <c r="R98" s="34"/>
      <c r="S98" s="34"/>
      <c r="T98" s="34"/>
      <c r="U98" s="34"/>
      <c r="V98" s="34"/>
      <c r="W98" s="34"/>
      <c r="X98" s="34"/>
      <c r="Y98" s="34"/>
      <c r="Z98" s="34"/>
      <c r="AA98" s="34"/>
    </row>
    <row r="99" spans="1:27" ht="13">
      <c r="A99" s="34"/>
      <c r="B99" s="52"/>
      <c r="C99" s="34"/>
      <c r="D99" s="34"/>
      <c r="E99" s="34"/>
      <c r="F99" s="34"/>
      <c r="G99" s="33"/>
      <c r="H99" s="34"/>
      <c r="I99" s="34"/>
      <c r="J99" s="33"/>
      <c r="K99" s="34"/>
      <c r="L99" s="34"/>
      <c r="M99" s="34"/>
      <c r="N99" s="34"/>
      <c r="O99" s="34"/>
      <c r="P99" s="34"/>
      <c r="Q99" s="34"/>
      <c r="R99" s="34"/>
      <c r="S99" s="34"/>
      <c r="T99" s="34"/>
      <c r="U99" s="34"/>
      <c r="V99" s="34"/>
      <c r="W99" s="34"/>
      <c r="X99" s="34"/>
      <c r="Y99" s="34"/>
      <c r="Z99" s="34"/>
      <c r="AA99" s="34"/>
    </row>
    <row r="100" spans="1:27" ht="13">
      <c r="A100" s="34"/>
      <c r="B100" s="52"/>
      <c r="C100" s="34"/>
      <c r="D100" s="34"/>
      <c r="E100" s="34"/>
      <c r="F100" s="34"/>
      <c r="G100" s="33"/>
      <c r="H100" s="34"/>
      <c r="I100" s="34"/>
      <c r="J100" s="33"/>
      <c r="K100" s="34"/>
      <c r="L100" s="34"/>
      <c r="M100" s="34"/>
      <c r="N100" s="34"/>
      <c r="O100" s="34"/>
      <c r="P100" s="34"/>
      <c r="Q100" s="34"/>
      <c r="R100" s="34"/>
      <c r="S100" s="34"/>
      <c r="T100" s="34"/>
      <c r="U100" s="34"/>
      <c r="V100" s="34"/>
      <c r="W100" s="34"/>
      <c r="X100" s="34"/>
      <c r="Y100" s="34"/>
      <c r="Z100" s="34"/>
      <c r="AA100" s="34"/>
    </row>
    <row r="101" spans="1:27" ht="13">
      <c r="A101" s="34"/>
      <c r="B101" s="52"/>
      <c r="C101" s="34"/>
      <c r="D101" s="34"/>
      <c r="E101" s="34"/>
      <c r="F101" s="34"/>
      <c r="G101" s="33"/>
      <c r="H101" s="34"/>
      <c r="I101" s="34"/>
      <c r="J101" s="33"/>
      <c r="K101" s="34"/>
      <c r="L101" s="34"/>
      <c r="M101" s="34"/>
      <c r="N101" s="34"/>
      <c r="O101" s="34"/>
      <c r="P101" s="34"/>
      <c r="Q101" s="34"/>
      <c r="R101" s="34"/>
      <c r="S101" s="34"/>
      <c r="T101" s="34"/>
      <c r="U101" s="34"/>
      <c r="V101" s="34"/>
      <c r="W101" s="34"/>
      <c r="X101" s="34"/>
      <c r="Y101" s="34"/>
      <c r="Z101" s="34"/>
      <c r="AA101" s="34"/>
    </row>
    <row r="102" spans="1:27" ht="13">
      <c r="A102" s="34"/>
      <c r="B102" s="52"/>
      <c r="C102" s="34"/>
      <c r="D102" s="34"/>
      <c r="E102" s="34"/>
      <c r="F102" s="34"/>
      <c r="G102" s="33"/>
      <c r="H102" s="34"/>
      <c r="I102" s="34"/>
      <c r="J102" s="33"/>
      <c r="K102" s="34"/>
      <c r="L102" s="34"/>
      <c r="M102" s="34"/>
      <c r="N102" s="34"/>
      <c r="O102" s="34"/>
      <c r="P102" s="34"/>
      <c r="Q102" s="34"/>
      <c r="R102" s="34"/>
      <c r="S102" s="34"/>
      <c r="T102" s="34"/>
      <c r="U102" s="34"/>
      <c r="V102" s="34"/>
      <c r="W102" s="34"/>
      <c r="X102" s="34"/>
      <c r="Y102" s="34"/>
      <c r="Z102" s="34"/>
      <c r="AA102" s="34"/>
    </row>
    <row r="103" spans="1:27" ht="13">
      <c r="A103" s="34"/>
      <c r="B103" s="52"/>
      <c r="C103" s="34"/>
      <c r="D103" s="34"/>
      <c r="E103" s="34"/>
      <c r="F103" s="34"/>
      <c r="G103" s="33"/>
      <c r="H103" s="34"/>
      <c r="I103" s="34"/>
      <c r="J103" s="33"/>
      <c r="K103" s="34"/>
      <c r="L103" s="34"/>
      <c r="M103" s="34"/>
      <c r="N103" s="34"/>
      <c r="O103" s="34"/>
      <c r="P103" s="34"/>
      <c r="Q103" s="34"/>
      <c r="R103" s="34"/>
      <c r="S103" s="34"/>
      <c r="T103" s="34"/>
      <c r="U103" s="34"/>
      <c r="V103" s="34"/>
      <c r="W103" s="34"/>
      <c r="X103" s="34"/>
      <c r="Y103" s="34"/>
      <c r="Z103" s="34"/>
      <c r="AA103" s="34"/>
    </row>
    <row r="104" spans="1:27" ht="13">
      <c r="A104" s="34"/>
      <c r="B104" s="52"/>
      <c r="C104" s="34"/>
      <c r="D104" s="34"/>
      <c r="E104" s="34"/>
      <c r="F104" s="34"/>
      <c r="G104" s="33"/>
      <c r="H104" s="34"/>
      <c r="I104" s="34"/>
      <c r="J104" s="33"/>
      <c r="K104" s="34"/>
      <c r="L104" s="34"/>
      <c r="M104" s="34"/>
      <c r="N104" s="34"/>
      <c r="O104" s="34"/>
      <c r="P104" s="34"/>
      <c r="Q104" s="34"/>
      <c r="R104" s="34"/>
      <c r="S104" s="34"/>
      <c r="T104" s="34"/>
      <c r="U104" s="34"/>
      <c r="V104" s="34"/>
      <c r="W104" s="34"/>
      <c r="X104" s="34"/>
      <c r="Y104" s="34"/>
      <c r="Z104" s="34"/>
      <c r="AA104" s="34"/>
    </row>
    <row r="105" spans="1:27" ht="13">
      <c r="A105" s="34"/>
      <c r="B105" s="52"/>
      <c r="C105" s="34"/>
      <c r="D105" s="34"/>
      <c r="E105" s="34"/>
      <c r="F105" s="34"/>
      <c r="G105" s="33"/>
      <c r="H105" s="34"/>
      <c r="I105" s="34"/>
      <c r="J105" s="33"/>
      <c r="K105" s="34"/>
      <c r="L105" s="34"/>
      <c r="M105" s="34"/>
      <c r="N105" s="34"/>
      <c r="O105" s="34"/>
      <c r="P105" s="34"/>
      <c r="Q105" s="34"/>
      <c r="R105" s="34"/>
      <c r="S105" s="34"/>
      <c r="T105" s="34"/>
      <c r="U105" s="34"/>
      <c r="V105" s="34"/>
      <c r="W105" s="34"/>
      <c r="X105" s="34"/>
      <c r="Y105" s="34"/>
      <c r="Z105" s="34"/>
      <c r="AA105" s="34"/>
    </row>
    <row r="106" spans="1:27" ht="13">
      <c r="A106" s="34"/>
      <c r="B106" s="52"/>
      <c r="C106" s="34"/>
      <c r="D106" s="34"/>
      <c r="E106" s="34"/>
      <c r="F106" s="34"/>
      <c r="G106" s="33"/>
      <c r="H106" s="34"/>
      <c r="I106" s="34"/>
      <c r="J106" s="33"/>
      <c r="K106" s="34"/>
      <c r="L106" s="34"/>
      <c r="M106" s="34"/>
      <c r="N106" s="34"/>
      <c r="O106" s="34"/>
      <c r="P106" s="34"/>
      <c r="Q106" s="34"/>
      <c r="R106" s="34"/>
      <c r="S106" s="34"/>
      <c r="T106" s="34"/>
      <c r="U106" s="34"/>
      <c r="V106" s="34"/>
      <c r="W106" s="34"/>
      <c r="X106" s="34"/>
      <c r="Y106" s="34"/>
      <c r="Z106" s="34"/>
      <c r="AA106" s="34"/>
    </row>
    <row r="107" spans="1:27" ht="13">
      <c r="A107" s="34"/>
      <c r="B107" s="52"/>
      <c r="C107" s="34"/>
      <c r="D107" s="34"/>
      <c r="E107" s="34"/>
      <c r="F107" s="34"/>
      <c r="G107" s="33"/>
      <c r="H107" s="34"/>
      <c r="I107" s="34"/>
      <c r="J107" s="33"/>
      <c r="K107" s="34"/>
      <c r="L107" s="34"/>
      <c r="M107" s="34"/>
      <c r="N107" s="34"/>
      <c r="O107" s="34"/>
      <c r="P107" s="34"/>
      <c r="Q107" s="34"/>
      <c r="R107" s="34"/>
      <c r="S107" s="34"/>
      <c r="T107" s="34"/>
      <c r="U107" s="34"/>
      <c r="V107" s="34"/>
      <c r="W107" s="34"/>
      <c r="X107" s="34"/>
      <c r="Y107" s="34"/>
      <c r="Z107" s="34"/>
      <c r="AA107" s="34"/>
    </row>
    <row r="108" spans="1:27" ht="13">
      <c r="A108" s="34"/>
      <c r="B108" s="52"/>
      <c r="C108" s="34"/>
      <c r="D108" s="34"/>
      <c r="E108" s="34"/>
      <c r="F108" s="34"/>
      <c r="G108" s="33"/>
      <c r="H108" s="34"/>
      <c r="I108" s="34"/>
      <c r="J108" s="33"/>
      <c r="K108" s="34"/>
      <c r="L108" s="34"/>
      <c r="M108" s="34"/>
      <c r="N108" s="34"/>
      <c r="O108" s="34"/>
      <c r="P108" s="34"/>
      <c r="Q108" s="34"/>
      <c r="R108" s="34"/>
      <c r="S108" s="34"/>
      <c r="T108" s="34"/>
      <c r="U108" s="34"/>
      <c r="V108" s="34"/>
      <c r="W108" s="34"/>
      <c r="X108" s="34"/>
      <c r="Y108" s="34"/>
      <c r="Z108" s="34"/>
      <c r="AA108" s="34"/>
    </row>
    <row r="109" spans="1:27" ht="13">
      <c r="A109" s="34"/>
      <c r="B109" s="52"/>
      <c r="C109" s="34"/>
      <c r="D109" s="34"/>
      <c r="E109" s="34"/>
      <c r="F109" s="34"/>
      <c r="G109" s="33"/>
      <c r="H109" s="34"/>
      <c r="I109" s="34"/>
      <c r="J109" s="33"/>
      <c r="K109" s="34"/>
      <c r="L109" s="34"/>
      <c r="M109" s="34"/>
      <c r="N109" s="34"/>
      <c r="O109" s="34"/>
      <c r="P109" s="34"/>
      <c r="Q109" s="34"/>
      <c r="R109" s="34"/>
      <c r="S109" s="34"/>
      <c r="T109" s="34"/>
      <c r="U109" s="34"/>
      <c r="V109" s="34"/>
      <c r="W109" s="34"/>
      <c r="X109" s="34"/>
      <c r="Y109" s="34"/>
      <c r="Z109" s="34"/>
      <c r="AA109" s="34"/>
    </row>
    <row r="110" spans="1:27" ht="13">
      <c r="A110" s="34"/>
      <c r="B110" s="52"/>
      <c r="C110" s="34"/>
      <c r="D110" s="34"/>
      <c r="E110" s="34"/>
      <c r="F110" s="34"/>
      <c r="G110" s="33"/>
      <c r="H110" s="34"/>
      <c r="I110" s="34"/>
      <c r="J110" s="33"/>
      <c r="K110" s="34"/>
      <c r="L110" s="34"/>
      <c r="M110" s="34"/>
      <c r="N110" s="34"/>
      <c r="O110" s="34"/>
      <c r="P110" s="34"/>
      <c r="Q110" s="34"/>
      <c r="R110" s="34"/>
      <c r="S110" s="34"/>
      <c r="T110" s="34"/>
      <c r="U110" s="34"/>
      <c r="V110" s="34"/>
      <c r="W110" s="34"/>
      <c r="X110" s="34"/>
      <c r="Y110" s="34"/>
      <c r="Z110" s="34"/>
      <c r="AA110" s="34"/>
    </row>
    <row r="111" spans="1:27" ht="13">
      <c r="A111" s="34"/>
      <c r="B111" s="52"/>
      <c r="C111" s="34"/>
      <c r="D111" s="34"/>
      <c r="E111" s="34"/>
      <c r="F111" s="34"/>
      <c r="G111" s="33"/>
      <c r="H111" s="34"/>
      <c r="I111" s="34"/>
      <c r="J111" s="33"/>
      <c r="K111" s="34"/>
      <c r="L111" s="34"/>
      <c r="M111" s="34"/>
      <c r="N111" s="34"/>
      <c r="O111" s="34"/>
      <c r="P111" s="34"/>
      <c r="Q111" s="34"/>
      <c r="R111" s="34"/>
      <c r="S111" s="34"/>
      <c r="T111" s="34"/>
      <c r="U111" s="34"/>
      <c r="V111" s="34"/>
      <c r="W111" s="34"/>
      <c r="X111" s="34"/>
      <c r="Y111" s="34"/>
      <c r="Z111" s="34"/>
      <c r="AA111" s="34"/>
    </row>
    <row r="112" spans="1:27" ht="13">
      <c r="A112" s="34"/>
      <c r="B112" s="52"/>
      <c r="C112" s="34"/>
      <c r="D112" s="34"/>
      <c r="E112" s="34"/>
      <c r="F112" s="34"/>
      <c r="G112" s="33"/>
      <c r="H112" s="34"/>
      <c r="I112" s="34"/>
      <c r="J112" s="33"/>
      <c r="K112" s="34"/>
      <c r="L112" s="34"/>
      <c r="M112" s="34"/>
      <c r="N112" s="34"/>
      <c r="O112" s="34"/>
      <c r="P112" s="34"/>
      <c r="Q112" s="34"/>
      <c r="R112" s="34"/>
      <c r="S112" s="34"/>
      <c r="T112" s="34"/>
      <c r="U112" s="34"/>
      <c r="V112" s="34"/>
      <c r="W112" s="34"/>
      <c r="X112" s="34"/>
      <c r="Y112" s="34"/>
      <c r="Z112" s="34"/>
      <c r="AA112" s="34"/>
    </row>
    <row r="113" spans="1:27" ht="13">
      <c r="A113" s="34"/>
      <c r="B113" s="52"/>
      <c r="C113" s="34"/>
      <c r="D113" s="34"/>
      <c r="E113" s="34"/>
      <c r="F113" s="34"/>
      <c r="G113" s="33"/>
      <c r="H113" s="34"/>
      <c r="I113" s="34"/>
      <c r="J113" s="33"/>
      <c r="K113" s="34"/>
      <c r="L113" s="34"/>
      <c r="M113" s="34"/>
      <c r="N113" s="34"/>
      <c r="O113" s="34"/>
      <c r="P113" s="34"/>
      <c r="Q113" s="34"/>
      <c r="R113" s="34"/>
      <c r="S113" s="34"/>
      <c r="T113" s="34"/>
      <c r="U113" s="34"/>
      <c r="V113" s="34"/>
      <c r="W113" s="34"/>
      <c r="X113" s="34"/>
      <c r="Y113" s="34"/>
      <c r="Z113" s="34"/>
      <c r="AA113" s="34"/>
    </row>
    <row r="114" spans="1:27" ht="13">
      <c r="A114" s="34"/>
      <c r="B114" s="52"/>
      <c r="C114" s="34"/>
      <c r="D114" s="34"/>
      <c r="E114" s="34"/>
      <c r="F114" s="34"/>
      <c r="G114" s="33"/>
      <c r="H114" s="34"/>
      <c r="I114" s="34"/>
      <c r="J114" s="33"/>
      <c r="K114" s="34"/>
      <c r="L114" s="34"/>
      <c r="M114" s="34"/>
      <c r="N114" s="34"/>
      <c r="O114" s="34"/>
      <c r="P114" s="34"/>
      <c r="Q114" s="34"/>
      <c r="R114" s="34"/>
      <c r="S114" s="34"/>
      <c r="T114" s="34"/>
      <c r="U114" s="34"/>
      <c r="V114" s="34"/>
      <c r="W114" s="34"/>
      <c r="X114" s="34"/>
      <c r="Y114" s="34"/>
      <c r="Z114" s="34"/>
      <c r="AA114" s="34"/>
    </row>
    <row r="115" spans="1:27" ht="13">
      <c r="A115" s="34"/>
      <c r="B115" s="52"/>
      <c r="C115" s="34"/>
      <c r="D115" s="34"/>
      <c r="E115" s="34"/>
      <c r="F115" s="34"/>
      <c r="G115" s="33"/>
      <c r="H115" s="34"/>
      <c r="I115" s="34"/>
      <c r="J115" s="33"/>
      <c r="K115" s="34"/>
      <c r="L115" s="34"/>
      <c r="M115" s="34"/>
      <c r="N115" s="34"/>
      <c r="O115" s="34"/>
      <c r="P115" s="34"/>
      <c r="Q115" s="34"/>
      <c r="R115" s="34"/>
      <c r="S115" s="34"/>
      <c r="T115" s="34"/>
      <c r="U115" s="34"/>
      <c r="V115" s="34"/>
      <c r="W115" s="34"/>
      <c r="X115" s="34"/>
      <c r="Y115" s="34"/>
      <c r="Z115" s="34"/>
      <c r="AA115" s="34"/>
    </row>
    <row r="116" spans="1:27" ht="13">
      <c r="A116" s="34"/>
      <c r="B116" s="52"/>
      <c r="C116" s="34"/>
      <c r="D116" s="34"/>
      <c r="E116" s="34"/>
      <c r="F116" s="34"/>
      <c r="G116" s="33"/>
      <c r="H116" s="34"/>
      <c r="I116" s="34"/>
      <c r="J116" s="33"/>
      <c r="K116" s="34"/>
      <c r="L116" s="34"/>
      <c r="M116" s="34"/>
      <c r="N116" s="34"/>
      <c r="O116" s="34"/>
      <c r="P116" s="34"/>
      <c r="Q116" s="34"/>
      <c r="R116" s="34"/>
      <c r="S116" s="34"/>
      <c r="T116" s="34"/>
      <c r="U116" s="34"/>
      <c r="V116" s="34"/>
      <c r="W116" s="34"/>
      <c r="X116" s="34"/>
      <c r="Y116" s="34"/>
      <c r="Z116" s="34"/>
      <c r="AA116" s="34"/>
    </row>
    <row r="117" spans="1:27" ht="13">
      <c r="A117" s="34"/>
      <c r="B117" s="52"/>
      <c r="C117" s="34"/>
      <c r="D117" s="34"/>
      <c r="E117" s="34"/>
      <c r="F117" s="34"/>
      <c r="G117" s="33"/>
      <c r="H117" s="34"/>
      <c r="I117" s="34"/>
      <c r="J117" s="33"/>
      <c r="K117" s="34"/>
      <c r="L117" s="34"/>
      <c r="M117" s="34"/>
      <c r="N117" s="34"/>
      <c r="O117" s="34"/>
      <c r="P117" s="34"/>
      <c r="Q117" s="34"/>
      <c r="R117" s="34"/>
      <c r="S117" s="34"/>
      <c r="T117" s="34"/>
      <c r="U117" s="34"/>
      <c r="V117" s="34"/>
      <c r="W117" s="34"/>
      <c r="X117" s="34"/>
      <c r="Y117" s="34"/>
      <c r="Z117" s="34"/>
      <c r="AA117" s="34"/>
    </row>
    <row r="118" spans="1:27" ht="13">
      <c r="A118" s="34"/>
      <c r="B118" s="52"/>
      <c r="C118" s="34"/>
      <c r="D118" s="34"/>
      <c r="E118" s="34"/>
      <c r="F118" s="34"/>
      <c r="G118" s="33"/>
      <c r="H118" s="34"/>
      <c r="I118" s="34"/>
      <c r="J118" s="33"/>
      <c r="K118" s="34"/>
      <c r="L118" s="34"/>
      <c r="M118" s="34"/>
      <c r="N118" s="34"/>
      <c r="O118" s="34"/>
      <c r="P118" s="34"/>
      <c r="Q118" s="34"/>
      <c r="R118" s="34"/>
      <c r="S118" s="34"/>
      <c r="T118" s="34"/>
      <c r="U118" s="34"/>
      <c r="V118" s="34"/>
      <c r="W118" s="34"/>
      <c r="X118" s="34"/>
      <c r="Y118" s="34"/>
      <c r="Z118" s="34"/>
      <c r="AA118" s="34"/>
    </row>
    <row r="119" spans="1:27" ht="13">
      <c r="A119" s="34"/>
      <c r="B119" s="52"/>
      <c r="C119" s="34"/>
      <c r="D119" s="34"/>
      <c r="E119" s="34"/>
      <c r="F119" s="34"/>
      <c r="G119" s="33"/>
      <c r="H119" s="34"/>
      <c r="I119" s="34"/>
      <c r="J119" s="33"/>
      <c r="K119" s="34"/>
      <c r="L119" s="34"/>
      <c r="M119" s="34"/>
      <c r="N119" s="34"/>
      <c r="O119" s="34"/>
      <c r="P119" s="34"/>
      <c r="Q119" s="34"/>
      <c r="R119" s="34"/>
      <c r="S119" s="34"/>
      <c r="T119" s="34"/>
      <c r="U119" s="34"/>
      <c r="V119" s="34"/>
      <c r="W119" s="34"/>
      <c r="X119" s="34"/>
      <c r="Y119" s="34"/>
      <c r="Z119" s="34"/>
      <c r="AA119" s="34"/>
    </row>
    <row r="120" spans="1:27" ht="13">
      <c r="A120" s="34"/>
      <c r="B120" s="52"/>
      <c r="C120" s="34"/>
      <c r="D120" s="34"/>
      <c r="E120" s="34"/>
      <c r="F120" s="34"/>
      <c r="G120" s="33"/>
      <c r="H120" s="34"/>
      <c r="I120" s="34"/>
      <c r="J120" s="33"/>
      <c r="K120" s="34"/>
      <c r="L120" s="34"/>
      <c r="M120" s="34"/>
      <c r="N120" s="34"/>
      <c r="O120" s="34"/>
      <c r="P120" s="34"/>
      <c r="Q120" s="34"/>
      <c r="R120" s="34"/>
      <c r="S120" s="34"/>
      <c r="T120" s="34"/>
      <c r="U120" s="34"/>
      <c r="V120" s="34"/>
      <c r="W120" s="34"/>
      <c r="X120" s="34"/>
      <c r="Y120" s="34"/>
      <c r="Z120" s="34"/>
      <c r="AA120" s="34"/>
    </row>
    <row r="121" spans="1:27" ht="13">
      <c r="A121" s="34"/>
      <c r="B121" s="52"/>
      <c r="C121" s="34"/>
      <c r="D121" s="34"/>
      <c r="E121" s="34"/>
      <c r="F121" s="34"/>
      <c r="G121" s="33"/>
      <c r="H121" s="34"/>
      <c r="I121" s="34"/>
      <c r="J121" s="33"/>
      <c r="K121" s="34"/>
      <c r="L121" s="34"/>
      <c r="M121" s="34"/>
      <c r="N121" s="34"/>
      <c r="O121" s="34"/>
      <c r="P121" s="34"/>
      <c r="Q121" s="34"/>
      <c r="R121" s="34"/>
      <c r="S121" s="34"/>
      <c r="T121" s="34"/>
      <c r="U121" s="34"/>
      <c r="V121" s="34"/>
      <c r="W121" s="34"/>
      <c r="X121" s="34"/>
      <c r="Y121" s="34"/>
      <c r="Z121" s="34"/>
      <c r="AA121" s="34"/>
    </row>
    <row r="122" spans="1:27" ht="13">
      <c r="A122" s="34"/>
      <c r="B122" s="52"/>
      <c r="C122" s="34"/>
      <c r="D122" s="34"/>
      <c r="E122" s="34"/>
      <c r="F122" s="34"/>
      <c r="G122" s="33"/>
      <c r="H122" s="34"/>
      <c r="I122" s="34"/>
      <c r="J122" s="33"/>
      <c r="K122" s="34"/>
      <c r="L122" s="34"/>
      <c r="M122" s="34"/>
      <c r="N122" s="34"/>
      <c r="O122" s="34"/>
      <c r="P122" s="34"/>
      <c r="Q122" s="34"/>
      <c r="R122" s="34"/>
      <c r="S122" s="34"/>
      <c r="T122" s="34"/>
      <c r="U122" s="34"/>
      <c r="V122" s="34"/>
      <c r="W122" s="34"/>
      <c r="X122" s="34"/>
      <c r="Y122" s="34"/>
      <c r="Z122" s="34"/>
      <c r="AA122" s="34"/>
    </row>
    <row r="123" spans="1:27" ht="13">
      <c r="A123" s="34"/>
      <c r="B123" s="52"/>
      <c r="C123" s="34"/>
      <c r="D123" s="34"/>
      <c r="E123" s="34"/>
      <c r="F123" s="34"/>
      <c r="G123" s="33"/>
      <c r="H123" s="34"/>
      <c r="I123" s="34"/>
      <c r="J123" s="33"/>
      <c r="K123" s="34"/>
      <c r="L123" s="34"/>
      <c r="M123" s="34"/>
      <c r="N123" s="34"/>
      <c r="O123" s="34"/>
      <c r="P123" s="34"/>
      <c r="Q123" s="34"/>
      <c r="R123" s="34"/>
      <c r="S123" s="34"/>
      <c r="T123" s="34"/>
      <c r="U123" s="34"/>
      <c r="V123" s="34"/>
      <c r="W123" s="34"/>
      <c r="X123" s="34"/>
      <c r="Y123" s="34"/>
      <c r="Z123" s="34"/>
      <c r="AA123" s="34"/>
    </row>
    <row r="124" spans="1:27" ht="13">
      <c r="A124" s="34"/>
      <c r="B124" s="52"/>
      <c r="C124" s="34"/>
      <c r="D124" s="34"/>
      <c r="E124" s="34"/>
      <c r="F124" s="34"/>
      <c r="G124" s="33"/>
      <c r="H124" s="34"/>
      <c r="I124" s="34"/>
      <c r="J124" s="33"/>
      <c r="K124" s="34"/>
      <c r="L124" s="34"/>
      <c r="M124" s="34"/>
      <c r="N124" s="34"/>
      <c r="O124" s="34"/>
      <c r="P124" s="34"/>
      <c r="Q124" s="34"/>
      <c r="R124" s="34"/>
      <c r="S124" s="34"/>
      <c r="T124" s="34"/>
      <c r="U124" s="34"/>
      <c r="V124" s="34"/>
      <c r="W124" s="34"/>
      <c r="X124" s="34"/>
      <c r="Y124" s="34"/>
      <c r="Z124" s="34"/>
      <c r="AA124" s="34"/>
    </row>
    <row r="125" spans="1:27" ht="13">
      <c r="A125" s="34"/>
      <c r="B125" s="52"/>
      <c r="C125" s="34"/>
      <c r="D125" s="34"/>
      <c r="E125" s="34"/>
      <c r="F125" s="34"/>
      <c r="G125" s="33"/>
      <c r="H125" s="34"/>
      <c r="I125" s="34"/>
      <c r="J125" s="33"/>
      <c r="K125" s="34"/>
      <c r="L125" s="34"/>
      <c r="M125" s="34"/>
      <c r="N125" s="34"/>
      <c r="O125" s="34"/>
      <c r="P125" s="34"/>
      <c r="Q125" s="34"/>
      <c r="R125" s="34"/>
      <c r="S125" s="34"/>
      <c r="T125" s="34"/>
      <c r="U125" s="34"/>
      <c r="V125" s="34"/>
      <c r="W125" s="34"/>
      <c r="X125" s="34"/>
      <c r="Y125" s="34"/>
      <c r="Z125" s="34"/>
      <c r="AA125" s="34"/>
    </row>
    <row r="126" spans="1:27" ht="13">
      <c r="A126" s="34"/>
      <c r="B126" s="52"/>
      <c r="C126" s="34"/>
      <c r="D126" s="34"/>
      <c r="E126" s="34"/>
      <c r="F126" s="34"/>
      <c r="G126" s="33"/>
      <c r="H126" s="34"/>
      <c r="I126" s="34"/>
      <c r="J126" s="33"/>
      <c r="K126" s="34"/>
      <c r="L126" s="34"/>
      <c r="M126" s="34"/>
      <c r="N126" s="34"/>
      <c r="O126" s="34"/>
      <c r="P126" s="34"/>
      <c r="Q126" s="34"/>
      <c r="R126" s="34"/>
      <c r="S126" s="34"/>
      <c r="T126" s="34"/>
      <c r="U126" s="34"/>
      <c r="V126" s="34"/>
      <c r="W126" s="34"/>
      <c r="X126" s="34"/>
      <c r="Y126" s="34"/>
      <c r="Z126" s="34"/>
      <c r="AA126" s="34"/>
    </row>
    <row r="127" spans="1:27" ht="13">
      <c r="A127" s="34"/>
      <c r="B127" s="52"/>
      <c r="C127" s="34"/>
      <c r="D127" s="34"/>
      <c r="E127" s="34"/>
      <c r="F127" s="34"/>
      <c r="G127" s="33"/>
      <c r="H127" s="34"/>
      <c r="I127" s="34"/>
      <c r="J127" s="33"/>
      <c r="K127" s="34"/>
      <c r="L127" s="34"/>
      <c r="M127" s="34"/>
      <c r="N127" s="34"/>
      <c r="O127" s="34"/>
      <c r="P127" s="34"/>
      <c r="Q127" s="34"/>
      <c r="R127" s="34"/>
      <c r="S127" s="34"/>
      <c r="T127" s="34"/>
      <c r="U127" s="34"/>
      <c r="V127" s="34"/>
      <c r="W127" s="34"/>
      <c r="X127" s="34"/>
      <c r="Y127" s="34"/>
      <c r="Z127" s="34"/>
      <c r="AA127" s="34"/>
    </row>
    <row r="128" spans="1:27" ht="13">
      <c r="A128" s="34"/>
      <c r="B128" s="52"/>
      <c r="C128" s="34"/>
      <c r="D128" s="34"/>
      <c r="E128" s="34"/>
      <c r="F128" s="34"/>
      <c r="G128" s="33"/>
      <c r="H128" s="34"/>
      <c r="I128" s="34"/>
      <c r="J128" s="33"/>
      <c r="K128" s="34"/>
      <c r="L128" s="34"/>
      <c r="M128" s="34"/>
      <c r="N128" s="34"/>
      <c r="O128" s="34"/>
      <c r="P128" s="34"/>
      <c r="Q128" s="34"/>
      <c r="R128" s="34"/>
      <c r="S128" s="34"/>
      <c r="T128" s="34"/>
      <c r="U128" s="34"/>
      <c r="V128" s="34"/>
      <c r="W128" s="34"/>
      <c r="X128" s="34"/>
      <c r="Y128" s="34"/>
      <c r="Z128" s="34"/>
      <c r="AA128" s="34"/>
    </row>
    <row r="129" spans="1:27" ht="13">
      <c r="A129" s="34"/>
      <c r="B129" s="52"/>
      <c r="C129" s="34"/>
      <c r="D129" s="34"/>
      <c r="E129" s="34"/>
      <c r="F129" s="34"/>
      <c r="G129" s="33"/>
      <c r="H129" s="34"/>
      <c r="I129" s="34"/>
      <c r="J129" s="33"/>
      <c r="K129" s="34"/>
      <c r="L129" s="34"/>
      <c r="M129" s="34"/>
      <c r="N129" s="34"/>
      <c r="O129" s="34"/>
      <c r="P129" s="34"/>
      <c r="Q129" s="34"/>
      <c r="R129" s="34"/>
      <c r="S129" s="34"/>
      <c r="T129" s="34"/>
      <c r="U129" s="34"/>
      <c r="V129" s="34"/>
      <c r="W129" s="34"/>
      <c r="X129" s="34"/>
      <c r="Y129" s="34"/>
      <c r="Z129" s="34"/>
      <c r="AA129" s="34"/>
    </row>
    <row r="130" spans="1:27" ht="13">
      <c r="A130" s="34"/>
      <c r="B130" s="52"/>
      <c r="C130" s="34"/>
      <c r="D130" s="34"/>
      <c r="E130" s="34"/>
      <c r="F130" s="34"/>
      <c r="G130" s="33"/>
      <c r="H130" s="34"/>
      <c r="I130" s="34"/>
      <c r="J130" s="33"/>
      <c r="K130" s="34"/>
      <c r="L130" s="34"/>
      <c r="M130" s="34"/>
      <c r="N130" s="34"/>
      <c r="O130" s="34"/>
      <c r="P130" s="34"/>
      <c r="Q130" s="34"/>
      <c r="R130" s="34"/>
      <c r="S130" s="34"/>
      <c r="T130" s="34"/>
      <c r="U130" s="34"/>
      <c r="V130" s="34"/>
      <c r="W130" s="34"/>
      <c r="X130" s="34"/>
      <c r="Y130" s="34"/>
      <c r="Z130" s="34"/>
      <c r="AA130" s="34"/>
    </row>
    <row r="131" spans="1:27" ht="13">
      <c r="A131" s="34"/>
      <c r="B131" s="52"/>
      <c r="C131" s="34"/>
      <c r="D131" s="34"/>
      <c r="E131" s="34"/>
      <c r="F131" s="34"/>
      <c r="G131" s="33"/>
      <c r="H131" s="34"/>
      <c r="I131" s="34"/>
      <c r="J131" s="33"/>
      <c r="K131" s="34"/>
      <c r="L131" s="34"/>
      <c r="M131" s="34"/>
      <c r="N131" s="34"/>
      <c r="O131" s="34"/>
      <c r="P131" s="34"/>
      <c r="Q131" s="34"/>
      <c r="R131" s="34"/>
      <c r="S131" s="34"/>
      <c r="T131" s="34"/>
      <c r="U131" s="34"/>
      <c r="V131" s="34"/>
      <c r="W131" s="34"/>
      <c r="X131" s="34"/>
      <c r="Y131" s="34"/>
      <c r="Z131" s="34"/>
      <c r="AA131" s="34"/>
    </row>
    <row r="132" spans="1:27" ht="13">
      <c r="A132" s="34"/>
      <c r="B132" s="52"/>
      <c r="C132" s="34"/>
      <c r="D132" s="34"/>
      <c r="E132" s="34"/>
      <c r="F132" s="34"/>
      <c r="G132" s="33"/>
      <c r="H132" s="34"/>
      <c r="I132" s="34"/>
      <c r="J132" s="33"/>
      <c r="K132" s="34"/>
      <c r="L132" s="34"/>
      <c r="M132" s="34"/>
      <c r="N132" s="34"/>
      <c r="O132" s="34"/>
      <c r="P132" s="34"/>
      <c r="Q132" s="34"/>
      <c r="R132" s="34"/>
      <c r="S132" s="34"/>
      <c r="T132" s="34"/>
      <c r="U132" s="34"/>
      <c r="V132" s="34"/>
      <c r="W132" s="34"/>
      <c r="X132" s="34"/>
      <c r="Y132" s="34"/>
      <c r="Z132" s="34"/>
      <c r="AA132" s="34"/>
    </row>
    <row r="133" spans="1:27" ht="13">
      <c r="A133" s="34"/>
      <c r="B133" s="52"/>
      <c r="C133" s="34"/>
      <c r="D133" s="34"/>
      <c r="E133" s="34"/>
      <c r="F133" s="34"/>
      <c r="G133" s="33"/>
      <c r="H133" s="34"/>
      <c r="I133" s="34"/>
      <c r="J133" s="33"/>
      <c r="K133" s="34"/>
      <c r="L133" s="34"/>
      <c r="M133" s="34"/>
      <c r="N133" s="34"/>
      <c r="O133" s="34"/>
      <c r="P133" s="34"/>
      <c r="Q133" s="34"/>
      <c r="R133" s="34"/>
      <c r="S133" s="34"/>
      <c r="T133" s="34"/>
      <c r="U133" s="34"/>
      <c r="V133" s="34"/>
      <c r="W133" s="34"/>
      <c r="X133" s="34"/>
      <c r="Y133" s="34"/>
      <c r="Z133" s="34"/>
      <c r="AA133" s="34"/>
    </row>
    <row r="134" spans="1:27" ht="13">
      <c r="A134" s="34"/>
      <c r="B134" s="52"/>
      <c r="C134" s="34"/>
      <c r="D134" s="34"/>
      <c r="E134" s="34"/>
      <c r="F134" s="34"/>
      <c r="G134" s="33"/>
      <c r="H134" s="34"/>
      <c r="I134" s="34"/>
      <c r="J134" s="33"/>
      <c r="K134" s="34"/>
      <c r="L134" s="34"/>
      <c r="M134" s="34"/>
      <c r="N134" s="34"/>
      <c r="O134" s="34"/>
      <c r="P134" s="34"/>
      <c r="Q134" s="34"/>
      <c r="R134" s="34"/>
      <c r="S134" s="34"/>
      <c r="T134" s="34"/>
      <c r="U134" s="34"/>
      <c r="V134" s="34"/>
      <c r="W134" s="34"/>
      <c r="X134" s="34"/>
      <c r="Y134" s="34"/>
      <c r="Z134" s="34"/>
      <c r="AA134" s="34"/>
    </row>
    <row r="135" spans="1:27" ht="13">
      <c r="A135" s="34"/>
      <c r="B135" s="52"/>
      <c r="C135" s="34"/>
      <c r="D135" s="34"/>
      <c r="E135" s="34"/>
      <c r="F135" s="34"/>
      <c r="G135" s="33"/>
      <c r="H135" s="34"/>
      <c r="I135" s="34"/>
      <c r="J135" s="33"/>
      <c r="K135" s="34"/>
      <c r="L135" s="34"/>
      <c r="M135" s="34"/>
      <c r="N135" s="34"/>
      <c r="O135" s="34"/>
      <c r="P135" s="34"/>
      <c r="Q135" s="34"/>
      <c r="R135" s="34"/>
      <c r="S135" s="34"/>
      <c r="T135" s="34"/>
      <c r="U135" s="34"/>
      <c r="V135" s="34"/>
      <c r="W135" s="34"/>
      <c r="X135" s="34"/>
      <c r="Y135" s="34"/>
      <c r="Z135" s="34"/>
      <c r="AA135" s="34"/>
    </row>
    <row r="136" spans="1:27" ht="13">
      <c r="A136" s="34"/>
      <c r="B136" s="52"/>
      <c r="C136" s="34"/>
      <c r="D136" s="34"/>
      <c r="E136" s="34"/>
      <c r="F136" s="34"/>
      <c r="G136" s="33"/>
      <c r="H136" s="34"/>
      <c r="I136" s="34"/>
      <c r="J136" s="33"/>
      <c r="K136" s="34"/>
      <c r="L136" s="34"/>
      <c r="M136" s="34"/>
      <c r="N136" s="34"/>
      <c r="O136" s="34"/>
      <c r="P136" s="34"/>
      <c r="Q136" s="34"/>
      <c r="R136" s="34"/>
      <c r="S136" s="34"/>
      <c r="T136" s="34"/>
      <c r="U136" s="34"/>
      <c r="V136" s="34"/>
      <c r="W136" s="34"/>
      <c r="X136" s="34"/>
      <c r="Y136" s="34"/>
      <c r="Z136" s="34"/>
      <c r="AA136" s="34"/>
    </row>
    <row r="137" spans="1:27" ht="13">
      <c r="A137" s="34"/>
      <c r="B137" s="52"/>
      <c r="C137" s="34"/>
      <c r="D137" s="34"/>
      <c r="E137" s="34"/>
      <c r="F137" s="34"/>
      <c r="G137" s="33"/>
      <c r="H137" s="34"/>
      <c r="I137" s="34"/>
      <c r="J137" s="33"/>
      <c r="K137" s="34"/>
      <c r="L137" s="34"/>
      <c r="M137" s="34"/>
      <c r="N137" s="34"/>
      <c r="O137" s="34"/>
      <c r="P137" s="34"/>
      <c r="Q137" s="34"/>
      <c r="R137" s="34"/>
      <c r="S137" s="34"/>
      <c r="T137" s="34"/>
      <c r="U137" s="34"/>
      <c r="V137" s="34"/>
      <c r="W137" s="34"/>
      <c r="X137" s="34"/>
      <c r="Y137" s="34"/>
      <c r="Z137" s="34"/>
      <c r="AA137" s="34"/>
    </row>
    <row r="138" spans="1:27" ht="13">
      <c r="A138" s="34"/>
      <c r="B138" s="52"/>
      <c r="C138" s="34"/>
      <c r="D138" s="34"/>
      <c r="E138" s="34"/>
      <c r="F138" s="34"/>
      <c r="G138" s="33"/>
      <c r="H138" s="34"/>
      <c r="I138" s="34"/>
      <c r="J138" s="33"/>
      <c r="K138" s="34"/>
      <c r="L138" s="34"/>
      <c r="M138" s="34"/>
      <c r="N138" s="34"/>
      <c r="O138" s="34"/>
      <c r="P138" s="34"/>
      <c r="Q138" s="34"/>
      <c r="R138" s="34"/>
      <c r="S138" s="34"/>
      <c r="T138" s="34"/>
      <c r="U138" s="34"/>
      <c r="V138" s="34"/>
      <c r="W138" s="34"/>
      <c r="X138" s="34"/>
      <c r="Y138" s="34"/>
      <c r="Z138" s="34"/>
      <c r="AA138" s="34"/>
    </row>
    <row r="139" spans="1:27" ht="13">
      <c r="A139" s="34"/>
      <c r="B139" s="52"/>
      <c r="C139" s="34"/>
      <c r="D139" s="34"/>
      <c r="E139" s="34"/>
      <c r="F139" s="34"/>
      <c r="G139" s="33"/>
      <c r="H139" s="34"/>
      <c r="I139" s="34"/>
      <c r="J139" s="33"/>
      <c r="K139" s="34"/>
      <c r="L139" s="34"/>
      <c r="M139" s="34"/>
      <c r="N139" s="34"/>
      <c r="O139" s="34"/>
      <c r="P139" s="34"/>
      <c r="Q139" s="34"/>
      <c r="R139" s="34"/>
      <c r="S139" s="34"/>
      <c r="T139" s="34"/>
      <c r="U139" s="34"/>
      <c r="V139" s="34"/>
      <c r="W139" s="34"/>
      <c r="X139" s="34"/>
      <c r="Y139" s="34"/>
      <c r="Z139" s="34"/>
      <c r="AA139" s="34"/>
    </row>
    <row r="140" spans="1:27" ht="13">
      <c r="A140" s="34"/>
      <c r="B140" s="52"/>
      <c r="C140" s="34"/>
      <c r="D140" s="34"/>
      <c r="E140" s="34"/>
      <c r="F140" s="34"/>
      <c r="G140" s="33"/>
      <c r="H140" s="34"/>
      <c r="I140" s="34"/>
      <c r="J140" s="33"/>
      <c r="K140" s="34"/>
      <c r="L140" s="34"/>
      <c r="M140" s="34"/>
      <c r="N140" s="34"/>
      <c r="O140" s="34"/>
      <c r="P140" s="34"/>
      <c r="Q140" s="34"/>
      <c r="R140" s="34"/>
      <c r="S140" s="34"/>
      <c r="T140" s="34"/>
      <c r="U140" s="34"/>
      <c r="V140" s="34"/>
      <c r="W140" s="34"/>
      <c r="X140" s="34"/>
      <c r="Y140" s="34"/>
      <c r="Z140" s="34"/>
      <c r="AA140" s="34"/>
    </row>
    <row r="141" spans="1:27" ht="13">
      <c r="A141" s="34"/>
      <c r="B141" s="52"/>
      <c r="C141" s="34"/>
      <c r="D141" s="34"/>
      <c r="E141" s="34"/>
      <c r="F141" s="34"/>
      <c r="G141" s="33"/>
      <c r="H141" s="34"/>
      <c r="I141" s="34"/>
      <c r="J141" s="33"/>
      <c r="K141" s="34"/>
      <c r="L141" s="34"/>
      <c r="M141" s="34"/>
      <c r="N141" s="34"/>
      <c r="O141" s="34"/>
      <c r="P141" s="34"/>
      <c r="Q141" s="34"/>
      <c r="R141" s="34"/>
      <c r="S141" s="34"/>
      <c r="T141" s="34"/>
      <c r="U141" s="34"/>
      <c r="V141" s="34"/>
      <c r="W141" s="34"/>
      <c r="X141" s="34"/>
      <c r="Y141" s="34"/>
      <c r="Z141" s="34"/>
      <c r="AA141" s="34"/>
    </row>
    <row r="142" spans="1:27" ht="13">
      <c r="A142" s="34"/>
      <c r="B142" s="52"/>
      <c r="C142" s="34"/>
      <c r="D142" s="34"/>
      <c r="E142" s="34"/>
      <c r="F142" s="34"/>
      <c r="G142" s="33"/>
      <c r="H142" s="34"/>
      <c r="I142" s="34"/>
      <c r="J142" s="33"/>
      <c r="K142" s="34"/>
      <c r="L142" s="34"/>
      <c r="M142" s="34"/>
      <c r="N142" s="34"/>
      <c r="O142" s="34"/>
      <c r="P142" s="34"/>
      <c r="Q142" s="34"/>
      <c r="R142" s="34"/>
      <c r="S142" s="34"/>
      <c r="T142" s="34"/>
      <c r="U142" s="34"/>
      <c r="V142" s="34"/>
      <c r="W142" s="34"/>
      <c r="X142" s="34"/>
      <c r="Y142" s="34"/>
      <c r="Z142" s="34"/>
      <c r="AA142" s="34"/>
    </row>
    <row r="143" spans="1:27" ht="13">
      <c r="A143" s="34"/>
      <c r="B143" s="52"/>
      <c r="C143" s="34"/>
      <c r="D143" s="34"/>
      <c r="E143" s="34"/>
      <c r="F143" s="34"/>
      <c r="G143" s="33"/>
      <c r="H143" s="34"/>
      <c r="I143" s="34"/>
      <c r="J143" s="33"/>
      <c r="K143" s="34"/>
      <c r="L143" s="34"/>
      <c r="M143" s="34"/>
      <c r="N143" s="34"/>
      <c r="O143" s="34"/>
      <c r="P143" s="34"/>
      <c r="Q143" s="34"/>
      <c r="R143" s="34"/>
      <c r="S143" s="34"/>
      <c r="T143" s="34"/>
      <c r="U143" s="34"/>
      <c r="V143" s="34"/>
      <c r="W143" s="34"/>
      <c r="X143" s="34"/>
      <c r="Y143" s="34"/>
      <c r="Z143" s="34"/>
      <c r="AA143" s="34"/>
    </row>
    <row r="144" spans="1:27" ht="13">
      <c r="A144" s="34"/>
      <c r="B144" s="52"/>
      <c r="C144" s="34"/>
      <c r="D144" s="34"/>
      <c r="E144" s="34"/>
      <c r="F144" s="34"/>
      <c r="G144" s="33"/>
      <c r="H144" s="34"/>
      <c r="I144" s="34"/>
      <c r="J144" s="33"/>
      <c r="K144" s="34"/>
      <c r="L144" s="34"/>
      <c r="M144" s="34"/>
      <c r="N144" s="34"/>
      <c r="O144" s="34"/>
      <c r="P144" s="34"/>
      <c r="Q144" s="34"/>
      <c r="R144" s="34"/>
      <c r="S144" s="34"/>
      <c r="T144" s="34"/>
      <c r="U144" s="34"/>
      <c r="V144" s="34"/>
      <c r="W144" s="34"/>
      <c r="X144" s="34"/>
      <c r="Y144" s="34"/>
      <c r="Z144" s="34"/>
      <c r="AA144" s="34"/>
    </row>
    <row r="145" spans="1:27" ht="13">
      <c r="A145" s="34"/>
      <c r="B145" s="52"/>
      <c r="C145" s="34"/>
      <c r="D145" s="34"/>
      <c r="E145" s="34"/>
      <c r="F145" s="34"/>
      <c r="G145" s="33"/>
      <c r="H145" s="34"/>
      <c r="I145" s="34"/>
      <c r="J145" s="33"/>
      <c r="K145" s="34"/>
      <c r="L145" s="34"/>
      <c r="M145" s="34"/>
      <c r="N145" s="34"/>
      <c r="O145" s="34"/>
      <c r="P145" s="34"/>
      <c r="Q145" s="34"/>
      <c r="R145" s="34"/>
      <c r="S145" s="34"/>
      <c r="T145" s="34"/>
      <c r="U145" s="34"/>
      <c r="V145" s="34"/>
      <c r="W145" s="34"/>
      <c r="X145" s="34"/>
      <c r="Y145" s="34"/>
      <c r="Z145" s="34"/>
      <c r="AA145" s="34"/>
    </row>
    <row r="146" spans="1:27" ht="13">
      <c r="A146" s="34"/>
      <c r="B146" s="52"/>
      <c r="C146" s="34"/>
      <c r="D146" s="34"/>
      <c r="E146" s="34"/>
      <c r="F146" s="34"/>
      <c r="G146" s="33"/>
      <c r="H146" s="34"/>
      <c r="I146" s="34"/>
      <c r="J146" s="33"/>
      <c r="K146" s="34"/>
      <c r="L146" s="34"/>
      <c r="M146" s="34"/>
      <c r="N146" s="34"/>
      <c r="O146" s="34"/>
      <c r="P146" s="34"/>
      <c r="Q146" s="34"/>
      <c r="R146" s="34"/>
      <c r="S146" s="34"/>
      <c r="T146" s="34"/>
      <c r="U146" s="34"/>
      <c r="V146" s="34"/>
      <c r="W146" s="34"/>
      <c r="X146" s="34"/>
      <c r="Y146" s="34"/>
      <c r="Z146" s="34"/>
      <c r="AA146" s="34"/>
    </row>
    <row r="147" spans="1:27" ht="13">
      <c r="A147" s="34"/>
      <c r="B147" s="52"/>
      <c r="C147" s="34"/>
      <c r="D147" s="34"/>
      <c r="E147" s="34"/>
      <c r="F147" s="34"/>
      <c r="G147" s="33"/>
      <c r="H147" s="34"/>
      <c r="I147" s="34"/>
      <c r="J147" s="33"/>
      <c r="K147" s="34"/>
      <c r="L147" s="34"/>
      <c r="M147" s="34"/>
      <c r="N147" s="34"/>
      <c r="O147" s="34"/>
      <c r="P147" s="34"/>
      <c r="Q147" s="34"/>
      <c r="R147" s="34"/>
      <c r="S147" s="34"/>
      <c r="T147" s="34"/>
      <c r="U147" s="34"/>
      <c r="V147" s="34"/>
      <c r="W147" s="34"/>
      <c r="X147" s="34"/>
      <c r="Y147" s="34"/>
      <c r="Z147" s="34"/>
      <c r="AA147" s="34"/>
    </row>
    <row r="148" spans="1:27" ht="13">
      <c r="A148" s="34"/>
      <c r="B148" s="52"/>
      <c r="C148" s="34"/>
      <c r="D148" s="34"/>
      <c r="E148" s="34"/>
      <c r="F148" s="34"/>
      <c r="G148" s="33"/>
      <c r="H148" s="34"/>
      <c r="I148" s="34"/>
      <c r="J148" s="33"/>
      <c r="K148" s="34"/>
      <c r="L148" s="34"/>
      <c r="M148" s="34"/>
      <c r="N148" s="34"/>
      <c r="O148" s="34"/>
      <c r="P148" s="34"/>
      <c r="Q148" s="34"/>
      <c r="R148" s="34"/>
      <c r="S148" s="34"/>
      <c r="T148" s="34"/>
      <c r="U148" s="34"/>
      <c r="V148" s="34"/>
      <c r="W148" s="34"/>
      <c r="X148" s="34"/>
      <c r="Y148" s="34"/>
      <c r="Z148" s="34"/>
      <c r="AA148" s="34"/>
    </row>
    <row r="149" spans="1:27" ht="13">
      <c r="A149" s="34"/>
      <c r="B149" s="52"/>
      <c r="C149" s="34"/>
      <c r="D149" s="34"/>
      <c r="E149" s="34"/>
      <c r="F149" s="34"/>
      <c r="G149" s="33"/>
      <c r="H149" s="34"/>
      <c r="I149" s="34"/>
      <c r="J149" s="33"/>
      <c r="K149" s="34"/>
      <c r="L149" s="34"/>
      <c r="M149" s="34"/>
      <c r="N149" s="34"/>
      <c r="O149" s="34"/>
      <c r="P149" s="34"/>
      <c r="Q149" s="34"/>
      <c r="R149" s="34"/>
      <c r="S149" s="34"/>
      <c r="T149" s="34"/>
      <c r="U149" s="34"/>
      <c r="V149" s="34"/>
      <c r="W149" s="34"/>
      <c r="X149" s="34"/>
      <c r="Y149" s="34"/>
      <c r="Z149" s="34"/>
      <c r="AA149" s="34"/>
    </row>
    <row r="150" spans="1:27" ht="13">
      <c r="A150" s="34"/>
      <c r="B150" s="52"/>
      <c r="C150" s="34"/>
      <c r="D150" s="34"/>
      <c r="E150" s="34"/>
      <c r="F150" s="34"/>
      <c r="G150" s="33"/>
      <c r="H150" s="34"/>
      <c r="I150" s="34"/>
      <c r="J150" s="33"/>
      <c r="K150" s="34"/>
      <c r="L150" s="34"/>
      <c r="M150" s="34"/>
      <c r="N150" s="34"/>
      <c r="O150" s="34"/>
      <c r="P150" s="34"/>
      <c r="Q150" s="34"/>
      <c r="R150" s="34"/>
      <c r="S150" s="34"/>
      <c r="T150" s="34"/>
      <c r="U150" s="34"/>
      <c r="V150" s="34"/>
      <c r="W150" s="34"/>
      <c r="X150" s="34"/>
      <c r="Y150" s="34"/>
      <c r="Z150" s="34"/>
      <c r="AA150" s="34"/>
    </row>
    <row r="151" spans="1:27" ht="13">
      <c r="A151" s="34"/>
      <c r="B151" s="52"/>
      <c r="C151" s="34"/>
      <c r="D151" s="34"/>
      <c r="E151" s="34"/>
      <c r="F151" s="34"/>
      <c r="G151" s="33"/>
      <c r="H151" s="34"/>
      <c r="I151" s="34"/>
      <c r="J151" s="33"/>
      <c r="K151" s="34"/>
      <c r="L151" s="34"/>
      <c r="M151" s="34"/>
      <c r="N151" s="34"/>
      <c r="O151" s="34"/>
      <c r="P151" s="34"/>
      <c r="Q151" s="34"/>
      <c r="R151" s="34"/>
      <c r="S151" s="34"/>
      <c r="T151" s="34"/>
      <c r="U151" s="34"/>
      <c r="V151" s="34"/>
      <c r="W151" s="34"/>
      <c r="X151" s="34"/>
      <c r="Y151" s="34"/>
      <c r="Z151" s="34"/>
      <c r="AA151" s="34"/>
    </row>
    <row r="152" spans="1:27" ht="13">
      <c r="A152" s="34"/>
      <c r="B152" s="52"/>
      <c r="C152" s="34"/>
      <c r="D152" s="34"/>
      <c r="E152" s="34"/>
      <c r="F152" s="34"/>
      <c r="G152" s="33"/>
      <c r="H152" s="34"/>
      <c r="I152" s="34"/>
      <c r="J152" s="33"/>
      <c r="K152" s="34"/>
      <c r="L152" s="34"/>
      <c r="M152" s="34"/>
      <c r="N152" s="34"/>
      <c r="O152" s="34"/>
      <c r="P152" s="34"/>
      <c r="Q152" s="34"/>
      <c r="R152" s="34"/>
      <c r="S152" s="34"/>
      <c r="T152" s="34"/>
      <c r="U152" s="34"/>
      <c r="V152" s="34"/>
      <c r="W152" s="34"/>
      <c r="X152" s="34"/>
      <c r="Y152" s="34"/>
      <c r="Z152" s="34"/>
      <c r="AA152" s="34"/>
    </row>
    <row r="153" spans="1:27" ht="13">
      <c r="A153" s="34"/>
      <c r="B153" s="52"/>
      <c r="C153" s="34"/>
      <c r="D153" s="34"/>
      <c r="E153" s="34"/>
      <c r="F153" s="34"/>
      <c r="G153" s="33"/>
      <c r="H153" s="34"/>
      <c r="I153" s="34"/>
      <c r="J153" s="33"/>
      <c r="K153" s="34"/>
      <c r="L153" s="34"/>
      <c r="M153" s="34"/>
      <c r="N153" s="34"/>
      <c r="O153" s="34"/>
      <c r="P153" s="34"/>
      <c r="Q153" s="34"/>
      <c r="R153" s="34"/>
      <c r="S153" s="34"/>
      <c r="T153" s="34"/>
      <c r="U153" s="34"/>
      <c r="V153" s="34"/>
      <c r="W153" s="34"/>
      <c r="X153" s="34"/>
      <c r="Y153" s="34"/>
      <c r="Z153" s="34"/>
      <c r="AA153" s="34"/>
    </row>
    <row r="154" spans="1:27" ht="13">
      <c r="A154" s="34"/>
      <c r="B154" s="52"/>
      <c r="C154" s="34"/>
      <c r="D154" s="34"/>
      <c r="E154" s="34"/>
      <c r="F154" s="34"/>
      <c r="G154" s="33"/>
      <c r="H154" s="34"/>
      <c r="I154" s="34"/>
      <c r="J154" s="33"/>
      <c r="K154" s="34"/>
      <c r="L154" s="34"/>
      <c r="M154" s="34"/>
      <c r="N154" s="34"/>
      <c r="O154" s="34"/>
      <c r="P154" s="34"/>
      <c r="Q154" s="34"/>
      <c r="R154" s="34"/>
      <c r="S154" s="34"/>
      <c r="T154" s="34"/>
      <c r="U154" s="34"/>
      <c r="V154" s="34"/>
      <c r="W154" s="34"/>
      <c r="X154" s="34"/>
      <c r="Y154" s="34"/>
      <c r="Z154" s="34"/>
      <c r="AA154" s="34"/>
    </row>
    <row r="155" spans="1:27" ht="13">
      <c r="A155" s="34"/>
      <c r="B155" s="52"/>
      <c r="C155" s="34"/>
      <c r="D155" s="34"/>
      <c r="E155" s="34"/>
      <c r="F155" s="34"/>
      <c r="G155" s="33"/>
      <c r="H155" s="34"/>
      <c r="I155" s="34"/>
      <c r="J155" s="33"/>
      <c r="K155" s="34"/>
      <c r="L155" s="34"/>
      <c r="M155" s="34"/>
      <c r="N155" s="34"/>
      <c r="O155" s="34"/>
      <c r="P155" s="34"/>
      <c r="Q155" s="34"/>
      <c r="R155" s="34"/>
      <c r="S155" s="34"/>
      <c r="T155" s="34"/>
      <c r="U155" s="34"/>
      <c r="V155" s="34"/>
      <c r="W155" s="34"/>
      <c r="X155" s="34"/>
      <c r="Y155" s="34"/>
      <c r="Z155" s="34"/>
      <c r="AA155" s="34"/>
    </row>
    <row r="156" spans="1:27" ht="13">
      <c r="A156" s="34"/>
      <c r="B156" s="52"/>
      <c r="C156" s="34"/>
      <c r="D156" s="34"/>
      <c r="E156" s="34"/>
      <c r="F156" s="34"/>
      <c r="G156" s="33"/>
      <c r="H156" s="34"/>
      <c r="I156" s="34"/>
      <c r="J156" s="33"/>
      <c r="K156" s="34"/>
      <c r="L156" s="34"/>
      <c r="M156" s="34"/>
      <c r="N156" s="34"/>
      <c r="O156" s="34"/>
      <c r="P156" s="34"/>
      <c r="Q156" s="34"/>
      <c r="R156" s="34"/>
      <c r="S156" s="34"/>
      <c r="T156" s="34"/>
      <c r="U156" s="34"/>
      <c r="V156" s="34"/>
      <c r="W156" s="34"/>
      <c r="X156" s="34"/>
      <c r="Y156" s="34"/>
      <c r="Z156" s="34"/>
      <c r="AA156" s="34"/>
    </row>
    <row r="157" spans="1:27" ht="13">
      <c r="A157" s="34"/>
      <c r="B157" s="52"/>
      <c r="C157" s="34"/>
      <c r="D157" s="34"/>
      <c r="E157" s="34"/>
      <c r="F157" s="34"/>
      <c r="G157" s="33"/>
      <c r="H157" s="34"/>
      <c r="I157" s="34"/>
      <c r="J157" s="33"/>
      <c r="K157" s="34"/>
      <c r="L157" s="34"/>
      <c r="M157" s="34"/>
      <c r="N157" s="34"/>
      <c r="O157" s="34"/>
      <c r="P157" s="34"/>
      <c r="Q157" s="34"/>
      <c r="R157" s="34"/>
      <c r="S157" s="34"/>
      <c r="T157" s="34"/>
      <c r="U157" s="34"/>
      <c r="V157" s="34"/>
      <c r="W157" s="34"/>
      <c r="X157" s="34"/>
      <c r="Y157" s="34"/>
      <c r="Z157" s="34"/>
      <c r="AA157" s="34"/>
    </row>
    <row r="158" spans="1:27" ht="13">
      <c r="A158" s="34"/>
      <c r="B158" s="52"/>
      <c r="C158" s="34"/>
      <c r="D158" s="34"/>
      <c r="E158" s="34"/>
      <c r="F158" s="34"/>
      <c r="G158" s="33"/>
      <c r="H158" s="34"/>
      <c r="I158" s="34"/>
      <c r="J158" s="33"/>
      <c r="K158" s="34"/>
      <c r="L158" s="34"/>
      <c r="M158" s="34"/>
      <c r="N158" s="34"/>
      <c r="O158" s="34"/>
      <c r="P158" s="34"/>
      <c r="Q158" s="34"/>
      <c r="R158" s="34"/>
      <c r="S158" s="34"/>
      <c r="T158" s="34"/>
      <c r="U158" s="34"/>
      <c r="V158" s="34"/>
      <c r="W158" s="34"/>
      <c r="X158" s="34"/>
      <c r="Y158" s="34"/>
      <c r="Z158" s="34"/>
      <c r="AA158" s="34"/>
    </row>
    <row r="159" spans="1:27" ht="13">
      <c r="A159" s="34"/>
      <c r="B159" s="52"/>
      <c r="C159" s="34"/>
      <c r="D159" s="34"/>
      <c r="E159" s="34"/>
      <c r="F159" s="34"/>
      <c r="G159" s="33"/>
      <c r="H159" s="34"/>
      <c r="I159" s="34"/>
      <c r="J159" s="33"/>
      <c r="K159" s="34"/>
      <c r="L159" s="34"/>
      <c r="M159" s="34"/>
      <c r="N159" s="34"/>
      <c r="O159" s="34"/>
      <c r="P159" s="34"/>
      <c r="Q159" s="34"/>
      <c r="R159" s="34"/>
      <c r="S159" s="34"/>
      <c r="T159" s="34"/>
      <c r="U159" s="34"/>
      <c r="V159" s="34"/>
      <c r="W159" s="34"/>
      <c r="X159" s="34"/>
      <c r="Y159" s="34"/>
      <c r="Z159" s="34"/>
      <c r="AA159" s="34"/>
    </row>
    <row r="160" spans="1:27" ht="13">
      <c r="A160" s="34"/>
      <c r="B160" s="52"/>
      <c r="C160" s="34"/>
      <c r="D160" s="34"/>
      <c r="E160" s="34"/>
      <c r="F160" s="34"/>
      <c r="G160" s="33"/>
      <c r="H160" s="34"/>
      <c r="I160" s="34"/>
      <c r="J160" s="33"/>
      <c r="K160" s="34"/>
      <c r="L160" s="34"/>
      <c r="M160" s="34"/>
      <c r="N160" s="34"/>
      <c r="O160" s="34"/>
      <c r="P160" s="34"/>
      <c r="Q160" s="34"/>
      <c r="R160" s="34"/>
      <c r="S160" s="34"/>
      <c r="T160" s="34"/>
      <c r="U160" s="34"/>
      <c r="V160" s="34"/>
      <c r="W160" s="34"/>
      <c r="X160" s="34"/>
      <c r="Y160" s="34"/>
      <c r="Z160" s="34"/>
      <c r="AA160" s="34"/>
    </row>
    <row r="161" spans="1:27" ht="13">
      <c r="A161" s="34"/>
      <c r="B161" s="52"/>
      <c r="C161" s="34"/>
      <c r="D161" s="34"/>
      <c r="E161" s="34"/>
      <c r="F161" s="34"/>
      <c r="G161" s="33"/>
      <c r="H161" s="34"/>
      <c r="I161" s="34"/>
      <c r="J161" s="33"/>
      <c r="K161" s="34"/>
      <c r="L161" s="34"/>
      <c r="M161" s="34"/>
      <c r="N161" s="34"/>
      <c r="O161" s="34"/>
      <c r="P161" s="34"/>
      <c r="Q161" s="34"/>
      <c r="R161" s="34"/>
      <c r="S161" s="34"/>
      <c r="T161" s="34"/>
      <c r="U161" s="34"/>
      <c r="V161" s="34"/>
      <c r="W161" s="34"/>
      <c r="X161" s="34"/>
      <c r="Y161" s="34"/>
      <c r="Z161" s="34"/>
      <c r="AA161" s="34"/>
    </row>
    <row r="162" spans="1:27" ht="13">
      <c r="A162" s="34"/>
      <c r="B162" s="52"/>
      <c r="C162" s="34"/>
      <c r="D162" s="34"/>
      <c r="E162" s="34"/>
      <c r="F162" s="34"/>
      <c r="G162" s="33"/>
      <c r="H162" s="34"/>
      <c r="I162" s="34"/>
      <c r="J162" s="33"/>
      <c r="K162" s="34"/>
      <c r="L162" s="34"/>
      <c r="M162" s="34"/>
      <c r="N162" s="34"/>
      <c r="O162" s="34"/>
      <c r="P162" s="34"/>
      <c r="Q162" s="34"/>
      <c r="R162" s="34"/>
      <c r="S162" s="34"/>
      <c r="T162" s="34"/>
      <c r="U162" s="34"/>
      <c r="V162" s="34"/>
      <c r="W162" s="34"/>
      <c r="X162" s="34"/>
      <c r="Y162" s="34"/>
      <c r="Z162" s="34"/>
      <c r="AA162" s="34"/>
    </row>
    <row r="163" spans="1:27" ht="13">
      <c r="A163" s="34"/>
      <c r="B163" s="52"/>
      <c r="C163" s="34"/>
      <c r="D163" s="34"/>
      <c r="E163" s="34"/>
      <c r="F163" s="34"/>
      <c r="G163" s="33"/>
      <c r="H163" s="34"/>
      <c r="I163" s="34"/>
      <c r="J163" s="33"/>
      <c r="K163" s="34"/>
      <c r="L163" s="34"/>
      <c r="M163" s="34"/>
      <c r="N163" s="34"/>
      <c r="O163" s="34"/>
      <c r="P163" s="34"/>
      <c r="Q163" s="34"/>
      <c r="R163" s="34"/>
      <c r="S163" s="34"/>
      <c r="T163" s="34"/>
      <c r="U163" s="34"/>
      <c r="V163" s="34"/>
      <c r="W163" s="34"/>
      <c r="X163" s="34"/>
      <c r="Y163" s="34"/>
      <c r="Z163" s="34"/>
      <c r="AA163" s="34"/>
    </row>
    <row r="164" spans="1:27" ht="13">
      <c r="A164" s="34"/>
      <c r="B164" s="52"/>
      <c r="C164" s="34"/>
      <c r="D164" s="34"/>
      <c r="E164" s="34"/>
      <c r="F164" s="34"/>
      <c r="G164" s="33"/>
      <c r="H164" s="34"/>
      <c r="I164" s="34"/>
      <c r="J164" s="33"/>
      <c r="K164" s="34"/>
      <c r="L164" s="34"/>
      <c r="M164" s="34"/>
      <c r="N164" s="34"/>
      <c r="O164" s="34"/>
      <c r="P164" s="34"/>
      <c r="Q164" s="34"/>
      <c r="R164" s="34"/>
      <c r="S164" s="34"/>
      <c r="T164" s="34"/>
      <c r="U164" s="34"/>
      <c r="V164" s="34"/>
      <c r="W164" s="34"/>
      <c r="X164" s="34"/>
      <c r="Y164" s="34"/>
      <c r="Z164" s="34"/>
      <c r="AA164" s="34"/>
    </row>
    <row r="165" spans="1:27" ht="13">
      <c r="A165" s="34"/>
      <c r="B165" s="52"/>
      <c r="C165" s="34"/>
      <c r="D165" s="34"/>
      <c r="E165" s="34"/>
      <c r="F165" s="34"/>
      <c r="G165" s="33"/>
      <c r="H165" s="34"/>
      <c r="I165" s="34"/>
      <c r="J165" s="33"/>
      <c r="K165" s="34"/>
      <c r="L165" s="34"/>
      <c r="M165" s="34"/>
      <c r="N165" s="34"/>
      <c r="O165" s="34"/>
      <c r="P165" s="34"/>
      <c r="Q165" s="34"/>
      <c r="R165" s="34"/>
      <c r="S165" s="34"/>
      <c r="T165" s="34"/>
      <c r="U165" s="34"/>
      <c r="V165" s="34"/>
      <c r="W165" s="34"/>
      <c r="X165" s="34"/>
      <c r="Y165" s="34"/>
      <c r="Z165" s="34"/>
      <c r="AA165" s="34"/>
    </row>
    <row r="166" spans="1:27" ht="13">
      <c r="A166" s="34"/>
      <c r="B166" s="52"/>
      <c r="C166" s="34"/>
      <c r="D166" s="34"/>
      <c r="E166" s="34"/>
      <c r="F166" s="34"/>
      <c r="G166" s="33"/>
      <c r="H166" s="34"/>
      <c r="I166" s="34"/>
      <c r="J166" s="33"/>
      <c r="K166" s="34"/>
      <c r="L166" s="34"/>
      <c r="M166" s="34"/>
      <c r="N166" s="34"/>
      <c r="O166" s="34"/>
      <c r="P166" s="34"/>
      <c r="Q166" s="34"/>
      <c r="R166" s="34"/>
      <c r="S166" s="34"/>
      <c r="T166" s="34"/>
      <c r="U166" s="34"/>
      <c r="V166" s="34"/>
      <c r="W166" s="34"/>
      <c r="X166" s="34"/>
      <c r="Y166" s="34"/>
      <c r="Z166" s="34"/>
      <c r="AA166" s="34"/>
    </row>
    <row r="167" spans="1:27" ht="13">
      <c r="A167" s="34"/>
      <c r="B167" s="52"/>
      <c r="C167" s="34"/>
      <c r="D167" s="34"/>
      <c r="E167" s="34"/>
      <c r="F167" s="34"/>
      <c r="G167" s="33"/>
      <c r="H167" s="34"/>
      <c r="I167" s="34"/>
      <c r="J167" s="33"/>
      <c r="K167" s="34"/>
      <c r="L167" s="34"/>
      <c r="M167" s="34"/>
      <c r="N167" s="34"/>
      <c r="O167" s="34"/>
      <c r="P167" s="34"/>
      <c r="Q167" s="34"/>
      <c r="R167" s="34"/>
      <c r="S167" s="34"/>
      <c r="T167" s="34"/>
      <c r="U167" s="34"/>
      <c r="V167" s="34"/>
      <c r="W167" s="34"/>
      <c r="X167" s="34"/>
      <c r="Y167" s="34"/>
      <c r="Z167" s="34"/>
      <c r="AA167" s="34"/>
    </row>
    <row r="168" spans="1:27" ht="13">
      <c r="A168" s="34"/>
      <c r="B168" s="52"/>
      <c r="C168" s="34"/>
      <c r="D168" s="34"/>
      <c r="E168" s="34"/>
      <c r="F168" s="34"/>
      <c r="G168" s="33"/>
      <c r="H168" s="34"/>
      <c r="I168" s="34"/>
      <c r="J168" s="33"/>
      <c r="K168" s="34"/>
      <c r="L168" s="34"/>
      <c r="M168" s="34"/>
      <c r="N168" s="34"/>
      <c r="O168" s="34"/>
      <c r="P168" s="34"/>
      <c r="Q168" s="34"/>
      <c r="R168" s="34"/>
      <c r="S168" s="34"/>
      <c r="T168" s="34"/>
      <c r="U168" s="34"/>
      <c r="V168" s="34"/>
      <c r="W168" s="34"/>
      <c r="X168" s="34"/>
      <c r="Y168" s="34"/>
      <c r="Z168" s="34"/>
      <c r="AA168" s="34"/>
    </row>
    <row r="169" spans="1:27" ht="13">
      <c r="A169" s="34"/>
      <c r="B169" s="52"/>
      <c r="C169" s="34"/>
      <c r="D169" s="34"/>
      <c r="E169" s="34"/>
      <c r="F169" s="34"/>
      <c r="G169" s="33"/>
      <c r="H169" s="34"/>
      <c r="I169" s="34"/>
      <c r="J169" s="33"/>
      <c r="K169" s="34"/>
      <c r="L169" s="34"/>
      <c r="M169" s="34"/>
      <c r="N169" s="34"/>
      <c r="O169" s="34"/>
      <c r="P169" s="34"/>
      <c r="Q169" s="34"/>
      <c r="R169" s="34"/>
      <c r="S169" s="34"/>
      <c r="T169" s="34"/>
      <c r="U169" s="34"/>
      <c r="V169" s="34"/>
      <c r="W169" s="34"/>
      <c r="X169" s="34"/>
      <c r="Y169" s="34"/>
      <c r="Z169" s="34"/>
      <c r="AA169" s="34"/>
    </row>
    <row r="170" spans="1:27" ht="13">
      <c r="A170" s="34"/>
      <c r="B170" s="52"/>
      <c r="C170" s="34"/>
      <c r="D170" s="34"/>
      <c r="E170" s="34"/>
      <c r="F170" s="34"/>
      <c r="G170" s="33"/>
      <c r="H170" s="34"/>
      <c r="I170" s="34"/>
      <c r="J170" s="33"/>
      <c r="K170" s="34"/>
      <c r="L170" s="34"/>
      <c r="M170" s="34"/>
      <c r="N170" s="34"/>
      <c r="O170" s="34"/>
      <c r="P170" s="34"/>
      <c r="Q170" s="34"/>
      <c r="R170" s="34"/>
      <c r="S170" s="34"/>
      <c r="T170" s="34"/>
      <c r="U170" s="34"/>
      <c r="V170" s="34"/>
      <c r="W170" s="34"/>
      <c r="X170" s="34"/>
      <c r="Y170" s="34"/>
      <c r="Z170" s="34"/>
      <c r="AA170" s="34"/>
    </row>
    <row r="171" spans="1:27" ht="13">
      <c r="A171" s="34"/>
      <c r="B171" s="52"/>
      <c r="C171" s="34"/>
      <c r="D171" s="34"/>
      <c r="E171" s="34"/>
      <c r="F171" s="34"/>
      <c r="G171" s="33"/>
      <c r="H171" s="34"/>
      <c r="I171" s="34"/>
      <c r="J171" s="33"/>
      <c r="K171" s="34"/>
      <c r="L171" s="34"/>
      <c r="M171" s="34"/>
      <c r="N171" s="34"/>
      <c r="O171" s="34"/>
      <c r="P171" s="34"/>
      <c r="Q171" s="34"/>
      <c r="R171" s="34"/>
      <c r="S171" s="34"/>
      <c r="T171" s="34"/>
      <c r="U171" s="34"/>
      <c r="V171" s="34"/>
      <c r="W171" s="34"/>
      <c r="X171" s="34"/>
      <c r="Y171" s="34"/>
      <c r="Z171" s="34"/>
      <c r="AA171" s="34"/>
    </row>
    <row r="172" spans="1:27" ht="13">
      <c r="A172" s="34"/>
      <c r="B172" s="52"/>
      <c r="C172" s="34"/>
      <c r="D172" s="34"/>
      <c r="E172" s="34"/>
      <c r="F172" s="34"/>
      <c r="G172" s="33"/>
      <c r="H172" s="34"/>
      <c r="I172" s="34"/>
      <c r="J172" s="33"/>
      <c r="K172" s="34"/>
      <c r="L172" s="34"/>
      <c r="M172" s="34"/>
      <c r="N172" s="34"/>
      <c r="O172" s="34"/>
      <c r="P172" s="34"/>
      <c r="Q172" s="34"/>
      <c r="R172" s="34"/>
      <c r="S172" s="34"/>
      <c r="T172" s="34"/>
      <c r="U172" s="34"/>
      <c r="V172" s="34"/>
      <c r="W172" s="34"/>
      <c r="X172" s="34"/>
      <c r="Y172" s="34"/>
      <c r="Z172" s="34"/>
      <c r="AA172" s="34"/>
    </row>
    <row r="173" spans="1:27" ht="13">
      <c r="A173" s="34"/>
      <c r="B173" s="52"/>
      <c r="C173" s="34"/>
      <c r="D173" s="34"/>
      <c r="E173" s="34"/>
      <c r="F173" s="34"/>
      <c r="G173" s="33"/>
      <c r="H173" s="34"/>
      <c r="I173" s="34"/>
      <c r="J173" s="33"/>
      <c r="K173" s="34"/>
      <c r="L173" s="34"/>
      <c r="M173" s="34"/>
      <c r="N173" s="34"/>
      <c r="O173" s="34"/>
      <c r="P173" s="34"/>
      <c r="Q173" s="34"/>
      <c r="R173" s="34"/>
      <c r="S173" s="34"/>
      <c r="T173" s="34"/>
      <c r="U173" s="34"/>
      <c r="V173" s="34"/>
      <c r="W173" s="34"/>
      <c r="X173" s="34"/>
      <c r="Y173" s="34"/>
      <c r="Z173" s="34"/>
      <c r="AA173" s="34"/>
    </row>
    <row r="174" spans="1:27" ht="13">
      <c r="A174" s="34"/>
      <c r="B174" s="52"/>
      <c r="C174" s="34"/>
      <c r="D174" s="34"/>
      <c r="E174" s="34"/>
      <c r="F174" s="34"/>
      <c r="G174" s="33"/>
      <c r="H174" s="34"/>
      <c r="I174" s="34"/>
      <c r="J174" s="33"/>
      <c r="K174" s="34"/>
      <c r="L174" s="34"/>
      <c r="M174" s="34"/>
      <c r="N174" s="34"/>
      <c r="O174" s="34"/>
      <c r="P174" s="34"/>
      <c r="Q174" s="34"/>
      <c r="R174" s="34"/>
      <c r="S174" s="34"/>
      <c r="T174" s="34"/>
      <c r="U174" s="34"/>
      <c r="V174" s="34"/>
      <c r="W174" s="34"/>
      <c r="X174" s="34"/>
      <c r="Y174" s="34"/>
      <c r="Z174" s="34"/>
      <c r="AA174" s="34"/>
    </row>
    <row r="175" spans="1:27" ht="13">
      <c r="A175" s="34"/>
      <c r="B175" s="52"/>
      <c r="C175" s="34"/>
      <c r="D175" s="34"/>
      <c r="E175" s="34"/>
      <c r="F175" s="34"/>
      <c r="G175" s="33"/>
      <c r="H175" s="34"/>
      <c r="I175" s="34"/>
      <c r="J175" s="33"/>
      <c r="K175" s="34"/>
      <c r="L175" s="34"/>
      <c r="M175" s="34"/>
      <c r="N175" s="34"/>
      <c r="O175" s="34"/>
      <c r="P175" s="34"/>
      <c r="Q175" s="34"/>
      <c r="R175" s="34"/>
      <c r="S175" s="34"/>
      <c r="T175" s="34"/>
      <c r="U175" s="34"/>
      <c r="V175" s="34"/>
      <c r="W175" s="34"/>
      <c r="X175" s="34"/>
      <c r="Y175" s="34"/>
      <c r="Z175" s="34"/>
      <c r="AA175" s="34"/>
    </row>
    <row r="176" spans="1:27" ht="13">
      <c r="A176" s="34"/>
      <c r="B176" s="52"/>
      <c r="C176" s="34"/>
      <c r="D176" s="34"/>
      <c r="E176" s="34"/>
      <c r="F176" s="34"/>
      <c r="G176" s="33"/>
      <c r="H176" s="34"/>
      <c r="I176" s="34"/>
      <c r="J176" s="33"/>
      <c r="K176" s="34"/>
      <c r="L176" s="34"/>
      <c r="M176" s="34"/>
      <c r="N176" s="34"/>
      <c r="O176" s="34"/>
      <c r="P176" s="34"/>
      <c r="Q176" s="34"/>
      <c r="R176" s="34"/>
      <c r="S176" s="34"/>
      <c r="T176" s="34"/>
      <c r="U176" s="34"/>
      <c r="V176" s="34"/>
      <c r="W176" s="34"/>
      <c r="X176" s="34"/>
      <c r="Y176" s="34"/>
      <c r="Z176" s="34"/>
      <c r="AA176" s="34"/>
    </row>
    <row r="177" spans="1:27" ht="13">
      <c r="A177" s="34"/>
      <c r="B177" s="52"/>
      <c r="C177" s="34"/>
      <c r="D177" s="34"/>
      <c r="E177" s="34"/>
      <c r="F177" s="34"/>
      <c r="G177" s="33"/>
      <c r="H177" s="34"/>
      <c r="I177" s="34"/>
      <c r="J177" s="33"/>
      <c r="K177" s="34"/>
      <c r="L177" s="34"/>
      <c r="M177" s="34"/>
      <c r="N177" s="34"/>
      <c r="O177" s="34"/>
      <c r="P177" s="34"/>
      <c r="Q177" s="34"/>
      <c r="R177" s="34"/>
      <c r="S177" s="34"/>
      <c r="T177" s="34"/>
      <c r="U177" s="34"/>
      <c r="V177" s="34"/>
      <c r="W177" s="34"/>
      <c r="X177" s="34"/>
      <c r="Y177" s="34"/>
      <c r="Z177" s="34"/>
      <c r="AA177" s="34"/>
    </row>
    <row r="178" spans="1:27" ht="13">
      <c r="A178" s="34"/>
      <c r="B178" s="52"/>
      <c r="C178" s="34"/>
      <c r="D178" s="34"/>
      <c r="E178" s="34"/>
      <c r="F178" s="34"/>
      <c r="G178" s="33"/>
      <c r="H178" s="34"/>
      <c r="I178" s="34"/>
      <c r="J178" s="33"/>
      <c r="K178" s="34"/>
      <c r="L178" s="34"/>
      <c r="M178" s="34"/>
      <c r="N178" s="34"/>
      <c r="O178" s="34"/>
      <c r="P178" s="34"/>
      <c r="Q178" s="34"/>
      <c r="R178" s="34"/>
      <c r="S178" s="34"/>
      <c r="T178" s="34"/>
      <c r="U178" s="34"/>
      <c r="V178" s="34"/>
      <c r="W178" s="34"/>
      <c r="X178" s="34"/>
      <c r="Y178" s="34"/>
      <c r="Z178" s="34"/>
      <c r="AA178" s="34"/>
    </row>
    <row r="179" spans="1:27" ht="13">
      <c r="A179" s="34"/>
      <c r="B179" s="52"/>
      <c r="C179" s="34"/>
      <c r="D179" s="34"/>
      <c r="E179" s="34"/>
      <c r="F179" s="34"/>
      <c r="G179" s="33"/>
      <c r="H179" s="34"/>
      <c r="I179" s="34"/>
      <c r="J179" s="33"/>
      <c r="K179" s="34"/>
      <c r="L179" s="34"/>
      <c r="M179" s="34"/>
      <c r="N179" s="34"/>
      <c r="O179" s="34"/>
      <c r="P179" s="34"/>
      <c r="Q179" s="34"/>
      <c r="R179" s="34"/>
      <c r="S179" s="34"/>
      <c r="T179" s="34"/>
      <c r="U179" s="34"/>
      <c r="V179" s="34"/>
      <c r="W179" s="34"/>
      <c r="X179" s="34"/>
      <c r="Y179" s="34"/>
      <c r="Z179" s="34"/>
      <c r="AA179" s="34"/>
    </row>
    <row r="180" spans="1:27" ht="13">
      <c r="A180" s="34"/>
      <c r="B180" s="52"/>
      <c r="C180" s="34"/>
      <c r="D180" s="34"/>
      <c r="E180" s="34"/>
      <c r="F180" s="34"/>
      <c r="G180" s="33"/>
      <c r="H180" s="34"/>
      <c r="I180" s="34"/>
      <c r="J180" s="33"/>
      <c r="K180" s="34"/>
      <c r="L180" s="34"/>
      <c r="M180" s="34"/>
      <c r="N180" s="34"/>
      <c r="O180" s="34"/>
      <c r="P180" s="34"/>
      <c r="Q180" s="34"/>
      <c r="R180" s="34"/>
      <c r="S180" s="34"/>
      <c r="T180" s="34"/>
      <c r="U180" s="34"/>
      <c r="V180" s="34"/>
      <c r="W180" s="34"/>
      <c r="X180" s="34"/>
      <c r="Y180" s="34"/>
      <c r="Z180" s="34"/>
      <c r="AA180" s="34"/>
    </row>
    <row r="181" spans="1:27" ht="13">
      <c r="A181" s="34"/>
      <c r="B181" s="52"/>
      <c r="C181" s="34"/>
      <c r="D181" s="34"/>
      <c r="E181" s="34"/>
      <c r="F181" s="34"/>
      <c r="G181" s="33"/>
      <c r="H181" s="34"/>
      <c r="I181" s="34"/>
      <c r="J181" s="33"/>
      <c r="K181" s="34"/>
      <c r="L181" s="34"/>
      <c r="M181" s="34"/>
      <c r="N181" s="34"/>
      <c r="O181" s="34"/>
      <c r="P181" s="34"/>
      <c r="Q181" s="34"/>
      <c r="R181" s="34"/>
      <c r="S181" s="34"/>
      <c r="T181" s="34"/>
      <c r="U181" s="34"/>
      <c r="V181" s="34"/>
      <c r="W181" s="34"/>
      <c r="X181" s="34"/>
      <c r="Y181" s="34"/>
      <c r="Z181" s="34"/>
      <c r="AA181" s="34"/>
    </row>
    <row r="182" spans="1:27" ht="13">
      <c r="A182" s="34"/>
      <c r="B182" s="52"/>
      <c r="C182" s="34"/>
      <c r="D182" s="34"/>
      <c r="E182" s="34"/>
      <c r="F182" s="34"/>
      <c r="G182" s="33"/>
      <c r="H182" s="34"/>
      <c r="I182" s="34"/>
      <c r="J182" s="33"/>
      <c r="K182" s="34"/>
      <c r="L182" s="34"/>
      <c r="M182" s="34"/>
      <c r="N182" s="34"/>
      <c r="O182" s="34"/>
      <c r="P182" s="34"/>
      <c r="Q182" s="34"/>
      <c r="R182" s="34"/>
      <c r="S182" s="34"/>
      <c r="T182" s="34"/>
      <c r="U182" s="34"/>
      <c r="V182" s="34"/>
      <c r="W182" s="34"/>
      <c r="X182" s="34"/>
      <c r="Y182" s="34"/>
      <c r="Z182" s="34"/>
      <c r="AA182" s="34"/>
    </row>
    <row r="183" spans="1:27" ht="13">
      <c r="A183" s="34"/>
      <c r="B183" s="52"/>
      <c r="C183" s="34"/>
      <c r="D183" s="34"/>
      <c r="E183" s="34"/>
      <c r="F183" s="34"/>
      <c r="G183" s="33"/>
      <c r="H183" s="34"/>
      <c r="I183" s="34"/>
      <c r="J183" s="33"/>
      <c r="K183" s="34"/>
      <c r="L183" s="34"/>
      <c r="M183" s="34"/>
      <c r="N183" s="34"/>
      <c r="O183" s="34"/>
      <c r="P183" s="34"/>
      <c r="Q183" s="34"/>
      <c r="R183" s="34"/>
      <c r="S183" s="34"/>
      <c r="T183" s="34"/>
      <c r="U183" s="34"/>
      <c r="V183" s="34"/>
      <c r="W183" s="34"/>
      <c r="X183" s="34"/>
      <c r="Y183" s="34"/>
      <c r="Z183" s="34"/>
      <c r="AA183" s="34"/>
    </row>
    <row r="184" spans="1:27" ht="13">
      <c r="A184" s="34"/>
      <c r="B184" s="52"/>
      <c r="C184" s="34"/>
      <c r="D184" s="34"/>
      <c r="E184" s="34"/>
      <c r="F184" s="34"/>
      <c r="G184" s="33"/>
      <c r="H184" s="34"/>
      <c r="I184" s="34"/>
      <c r="J184" s="33"/>
      <c r="K184" s="34"/>
      <c r="L184" s="34"/>
      <c r="M184" s="34"/>
      <c r="N184" s="34"/>
      <c r="O184" s="34"/>
      <c r="P184" s="34"/>
      <c r="Q184" s="34"/>
      <c r="R184" s="34"/>
      <c r="S184" s="34"/>
      <c r="T184" s="34"/>
      <c r="U184" s="34"/>
      <c r="V184" s="34"/>
      <c r="W184" s="34"/>
      <c r="X184" s="34"/>
      <c r="Y184" s="34"/>
      <c r="Z184" s="34"/>
      <c r="AA184" s="34"/>
    </row>
    <row r="185" spans="1:27" ht="13">
      <c r="A185" s="34"/>
      <c r="B185" s="52"/>
      <c r="C185" s="34"/>
      <c r="D185" s="34"/>
      <c r="E185" s="34"/>
      <c r="F185" s="34"/>
      <c r="G185" s="33"/>
      <c r="H185" s="34"/>
      <c r="I185" s="34"/>
      <c r="J185" s="33"/>
      <c r="K185" s="34"/>
      <c r="L185" s="34"/>
      <c r="M185" s="34"/>
      <c r="N185" s="34"/>
      <c r="O185" s="34"/>
      <c r="P185" s="34"/>
      <c r="Q185" s="34"/>
      <c r="R185" s="34"/>
      <c r="S185" s="34"/>
      <c r="T185" s="34"/>
      <c r="U185" s="34"/>
      <c r="V185" s="34"/>
      <c r="W185" s="34"/>
      <c r="X185" s="34"/>
      <c r="Y185" s="34"/>
      <c r="Z185" s="34"/>
      <c r="AA185" s="34"/>
    </row>
    <row r="186" spans="1:27" ht="13">
      <c r="A186" s="34"/>
      <c r="B186" s="52"/>
      <c r="C186" s="34"/>
      <c r="D186" s="34"/>
      <c r="E186" s="34"/>
      <c r="F186" s="34"/>
      <c r="G186" s="33"/>
      <c r="H186" s="34"/>
      <c r="I186" s="34"/>
      <c r="J186" s="33"/>
      <c r="K186" s="34"/>
      <c r="L186" s="34"/>
      <c r="M186" s="34"/>
      <c r="N186" s="34"/>
      <c r="O186" s="34"/>
      <c r="P186" s="34"/>
      <c r="Q186" s="34"/>
      <c r="R186" s="34"/>
      <c r="S186" s="34"/>
      <c r="T186" s="34"/>
      <c r="U186" s="34"/>
      <c r="V186" s="34"/>
      <c r="W186" s="34"/>
      <c r="X186" s="34"/>
      <c r="Y186" s="34"/>
      <c r="Z186" s="34"/>
      <c r="AA186" s="34"/>
    </row>
    <row r="187" spans="1:27" ht="13">
      <c r="A187" s="34"/>
      <c r="B187" s="52"/>
      <c r="C187" s="34"/>
      <c r="D187" s="34"/>
      <c r="E187" s="34"/>
      <c r="F187" s="34"/>
      <c r="G187" s="33"/>
      <c r="H187" s="34"/>
      <c r="I187" s="34"/>
      <c r="J187" s="33"/>
      <c r="K187" s="34"/>
      <c r="L187" s="34"/>
      <c r="M187" s="34"/>
      <c r="N187" s="34"/>
      <c r="O187" s="34"/>
      <c r="P187" s="34"/>
      <c r="Q187" s="34"/>
      <c r="R187" s="34"/>
      <c r="S187" s="34"/>
      <c r="T187" s="34"/>
      <c r="U187" s="34"/>
      <c r="V187" s="34"/>
      <c r="W187" s="34"/>
      <c r="X187" s="34"/>
      <c r="Y187" s="34"/>
      <c r="Z187" s="34"/>
      <c r="AA187" s="34"/>
    </row>
    <row r="188" spans="1:27" ht="13">
      <c r="A188" s="34"/>
      <c r="B188" s="52"/>
      <c r="C188" s="34"/>
      <c r="D188" s="34"/>
      <c r="E188" s="34"/>
      <c r="F188" s="34"/>
      <c r="G188" s="33"/>
      <c r="H188" s="34"/>
      <c r="I188" s="34"/>
      <c r="J188" s="33"/>
      <c r="K188" s="34"/>
      <c r="L188" s="34"/>
      <c r="M188" s="34"/>
      <c r="N188" s="34"/>
      <c r="O188" s="34"/>
      <c r="P188" s="34"/>
      <c r="Q188" s="34"/>
      <c r="R188" s="34"/>
      <c r="S188" s="34"/>
      <c r="T188" s="34"/>
      <c r="U188" s="34"/>
      <c r="V188" s="34"/>
      <c r="W188" s="34"/>
      <c r="X188" s="34"/>
      <c r="Y188" s="34"/>
      <c r="Z188" s="34"/>
      <c r="AA188" s="34"/>
    </row>
    <row r="189" spans="1:27" ht="13">
      <c r="A189" s="34"/>
      <c r="B189" s="52"/>
      <c r="C189" s="34"/>
      <c r="D189" s="34"/>
      <c r="E189" s="34"/>
      <c r="F189" s="34"/>
      <c r="G189" s="33"/>
      <c r="H189" s="34"/>
      <c r="I189" s="34"/>
      <c r="J189" s="33"/>
      <c r="K189" s="34"/>
      <c r="L189" s="34"/>
      <c r="M189" s="34"/>
      <c r="N189" s="34"/>
      <c r="O189" s="34"/>
      <c r="P189" s="34"/>
      <c r="Q189" s="34"/>
      <c r="R189" s="34"/>
      <c r="S189" s="34"/>
      <c r="T189" s="34"/>
      <c r="U189" s="34"/>
      <c r="V189" s="34"/>
      <c r="W189" s="34"/>
      <c r="X189" s="34"/>
      <c r="Y189" s="34"/>
      <c r="Z189" s="34"/>
      <c r="AA189" s="34"/>
    </row>
    <row r="190" spans="1:27" ht="13">
      <c r="A190" s="34"/>
      <c r="B190" s="52"/>
      <c r="C190" s="34"/>
      <c r="D190" s="34"/>
      <c r="E190" s="34"/>
      <c r="F190" s="34"/>
      <c r="G190" s="33"/>
      <c r="H190" s="34"/>
      <c r="I190" s="34"/>
      <c r="J190" s="33"/>
      <c r="K190" s="34"/>
      <c r="L190" s="34"/>
      <c r="M190" s="34"/>
      <c r="N190" s="34"/>
      <c r="O190" s="34"/>
      <c r="P190" s="34"/>
      <c r="Q190" s="34"/>
      <c r="R190" s="34"/>
      <c r="S190" s="34"/>
      <c r="T190" s="34"/>
      <c r="U190" s="34"/>
      <c r="V190" s="34"/>
      <c r="W190" s="34"/>
      <c r="X190" s="34"/>
      <c r="Y190" s="34"/>
      <c r="Z190" s="34"/>
      <c r="AA190" s="34"/>
    </row>
    <row r="191" spans="1:27" ht="13">
      <c r="A191" s="34"/>
      <c r="B191" s="52"/>
      <c r="C191" s="34"/>
      <c r="D191" s="34"/>
      <c r="E191" s="34"/>
      <c r="F191" s="34"/>
      <c r="G191" s="33"/>
      <c r="H191" s="34"/>
      <c r="I191" s="34"/>
      <c r="J191" s="33"/>
      <c r="K191" s="34"/>
      <c r="L191" s="34"/>
      <c r="M191" s="34"/>
      <c r="N191" s="34"/>
      <c r="O191" s="34"/>
      <c r="P191" s="34"/>
      <c r="Q191" s="34"/>
      <c r="R191" s="34"/>
      <c r="S191" s="34"/>
      <c r="T191" s="34"/>
      <c r="U191" s="34"/>
      <c r="V191" s="34"/>
      <c r="W191" s="34"/>
      <c r="X191" s="34"/>
      <c r="Y191" s="34"/>
      <c r="Z191" s="34"/>
      <c r="AA191" s="34"/>
    </row>
    <row r="192" spans="1:27" ht="13">
      <c r="A192" s="34"/>
      <c r="B192" s="52"/>
      <c r="C192" s="34"/>
      <c r="D192" s="34"/>
      <c r="E192" s="34"/>
      <c r="F192" s="34"/>
      <c r="G192" s="33"/>
      <c r="H192" s="34"/>
      <c r="I192" s="34"/>
      <c r="J192" s="33"/>
      <c r="K192" s="34"/>
      <c r="L192" s="34"/>
      <c r="M192" s="34"/>
      <c r="N192" s="34"/>
      <c r="O192" s="34"/>
      <c r="P192" s="34"/>
      <c r="Q192" s="34"/>
      <c r="R192" s="34"/>
      <c r="S192" s="34"/>
      <c r="T192" s="34"/>
      <c r="U192" s="34"/>
      <c r="V192" s="34"/>
      <c r="W192" s="34"/>
      <c r="X192" s="34"/>
      <c r="Y192" s="34"/>
      <c r="Z192" s="34"/>
      <c r="AA192" s="34"/>
    </row>
    <row r="193" spans="1:27" ht="13">
      <c r="A193" s="34"/>
      <c r="B193" s="52"/>
      <c r="C193" s="34"/>
      <c r="D193" s="34"/>
      <c r="E193" s="34"/>
      <c r="F193" s="34"/>
      <c r="G193" s="33"/>
      <c r="H193" s="34"/>
      <c r="I193" s="34"/>
      <c r="J193" s="33"/>
      <c r="K193" s="34"/>
      <c r="L193" s="34"/>
      <c r="M193" s="34"/>
      <c r="N193" s="34"/>
      <c r="O193" s="34"/>
      <c r="P193" s="34"/>
      <c r="Q193" s="34"/>
      <c r="R193" s="34"/>
      <c r="S193" s="34"/>
      <c r="T193" s="34"/>
      <c r="U193" s="34"/>
      <c r="V193" s="34"/>
      <c r="W193" s="34"/>
      <c r="X193" s="34"/>
      <c r="Y193" s="34"/>
      <c r="Z193" s="34"/>
      <c r="AA193" s="34"/>
    </row>
    <row r="194" spans="1:27" ht="13">
      <c r="A194" s="34"/>
      <c r="B194" s="52"/>
      <c r="C194" s="34"/>
      <c r="D194" s="34"/>
      <c r="E194" s="34"/>
      <c r="F194" s="34"/>
      <c r="G194" s="33"/>
      <c r="H194" s="34"/>
      <c r="I194" s="34"/>
      <c r="J194" s="33"/>
      <c r="K194" s="34"/>
      <c r="L194" s="34"/>
      <c r="M194" s="34"/>
      <c r="N194" s="34"/>
      <c r="O194" s="34"/>
      <c r="P194" s="34"/>
      <c r="Q194" s="34"/>
      <c r="R194" s="34"/>
      <c r="S194" s="34"/>
      <c r="T194" s="34"/>
      <c r="U194" s="34"/>
      <c r="V194" s="34"/>
      <c r="W194" s="34"/>
      <c r="X194" s="34"/>
      <c r="Y194" s="34"/>
      <c r="Z194" s="34"/>
      <c r="AA194" s="34"/>
    </row>
    <row r="195" spans="1:27" ht="13">
      <c r="A195" s="34"/>
      <c r="B195" s="52"/>
      <c r="C195" s="34"/>
      <c r="D195" s="34"/>
      <c r="E195" s="34"/>
      <c r="F195" s="34"/>
      <c r="G195" s="33"/>
      <c r="H195" s="34"/>
      <c r="I195" s="34"/>
      <c r="J195" s="33"/>
      <c r="K195" s="34"/>
      <c r="L195" s="34"/>
      <c r="M195" s="34"/>
      <c r="N195" s="34"/>
      <c r="O195" s="34"/>
      <c r="P195" s="34"/>
      <c r="Q195" s="34"/>
      <c r="R195" s="34"/>
      <c r="S195" s="34"/>
      <c r="T195" s="34"/>
      <c r="U195" s="34"/>
      <c r="V195" s="34"/>
      <c r="W195" s="34"/>
      <c r="X195" s="34"/>
      <c r="Y195" s="34"/>
      <c r="Z195" s="34"/>
      <c r="AA195" s="34"/>
    </row>
    <row r="196" spans="1:27" ht="13">
      <c r="A196" s="34"/>
      <c r="B196" s="52"/>
      <c r="C196" s="34"/>
      <c r="D196" s="34"/>
      <c r="E196" s="34"/>
      <c r="F196" s="34"/>
      <c r="G196" s="33"/>
      <c r="H196" s="34"/>
      <c r="I196" s="34"/>
      <c r="J196" s="33"/>
      <c r="K196" s="34"/>
      <c r="L196" s="34"/>
      <c r="M196" s="34"/>
      <c r="N196" s="34"/>
      <c r="O196" s="34"/>
      <c r="P196" s="34"/>
      <c r="Q196" s="34"/>
      <c r="R196" s="34"/>
      <c r="S196" s="34"/>
      <c r="T196" s="34"/>
      <c r="U196" s="34"/>
      <c r="V196" s="34"/>
      <c r="W196" s="34"/>
      <c r="X196" s="34"/>
      <c r="Y196" s="34"/>
      <c r="Z196" s="34"/>
      <c r="AA196" s="34"/>
    </row>
    <row r="197" spans="1:27" ht="13">
      <c r="A197" s="34"/>
      <c r="B197" s="52"/>
      <c r="C197" s="34"/>
      <c r="D197" s="34"/>
      <c r="E197" s="34"/>
      <c r="F197" s="34"/>
      <c r="G197" s="33"/>
      <c r="H197" s="34"/>
      <c r="I197" s="34"/>
      <c r="J197" s="33"/>
      <c r="K197" s="34"/>
      <c r="L197" s="34"/>
      <c r="M197" s="34"/>
      <c r="N197" s="34"/>
      <c r="O197" s="34"/>
      <c r="P197" s="34"/>
      <c r="Q197" s="34"/>
      <c r="R197" s="34"/>
      <c r="S197" s="34"/>
      <c r="T197" s="34"/>
      <c r="U197" s="34"/>
      <c r="V197" s="34"/>
      <c r="W197" s="34"/>
      <c r="X197" s="34"/>
      <c r="Y197" s="34"/>
      <c r="Z197" s="34"/>
      <c r="AA197" s="34"/>
    </row>
    <row r="198" spans="1:27" ht="13">
      <c r="A198" s="34"/>
      <c r="B198" s="52"/>
      <c r="C198" s="34"/>
      <c r="D198" s="34"/>
      <c r="E198" s="34"/>
      <c r="F198" s="34"/>
      <c r="G198" s="33"/>
      <c r="H198" s="34"/>
      <c r="I198" s="34"/>
      <c r="J198" s="33"/>
      <c r="K198" s="34"/>
      <c r="L198" s="34"/>
      <c r="M198" s="34"/>
      <c r="N198" s="34"/>
      <c r="O198" s="34"/>
      <c r="P198" s="34"/>
      <c r="Q198" s="34"/>
      <c r="R198" s="34"/>
      <c r="S198" s="34"/>
      <c r="T198" s="34"/>
      <c r="U198" s="34"/>
      <c r="V198" s="34"/>
      <c r="W198" s="34"/>
      <c r="X198" s="34"/>
      <c r="Y198" s="34"/>
      <c r="Z198" s="34"/>
      <c r="AA198" s="34"/>
    </row>
    <row r="199" spans="1:27" ht="13">
      <c r="A199" s="34"/>
      <c r="B199" s="52"/>
      <c r="C199" s="34"/>
      <c r="D199" s="34"/>
      <c r="E199" s="34"/>
      <c r="F199" s="34"/>
      <c r="G199" s="33"/>
      <c r="H199" s="34"/>
      <c r="I199" s="34"/>
      <c r="J199" s="33"/>
      <c r="K199" s="34"/>
      <c r="L199" s="34"/>
      <c r="M199" s="34"/>
      <c r="N199" s="34"/>
      <c r="O199" s="34"/>
      <c r="P199" s="34"/>
      <c r="Q199" s="34"/>
      <c r="R199" s="34"/>
      <c r="S199" s="34"/>
      <c r="T199" s="34"/>
      <c r="U199" s="34"/>
      <c r="V199" s="34"/>
      <c r="W199" s="34"/>
      <c r="X199" s="34"/>
      <c r="Y199" s="34"/>
      <c r="Z199" s="34"/>
      <c r="AA199" s="34"/>
    </row>
    <row r="200" spans="1:27" ht="13">
      <c r="A200" s="34"/>
      <c r="B200" s="52"/>
      <c r="C200" s="34"/>
      <c r="D200" s="34"/>
      <c r="E200" s="34"/>
      <c r="F200" s="34"/>
      <c r="G200" s="33"/>
      <c r="H200" s="34"/>
      <c r="I200" s="34"/>
      <c r="J200" s="33"/>
      <c r="K200" s="34"/>
      <c r="L200" s="34"/>
      <c r="M200" s="34"/>
      <c r="N200" s="34"/>
      <c r="O200" s="34"/>
      <c r="P200" s="34"/>
      <c r="Q200" s="34"/>
      <c r="R200" s="34"/>
      <c r="S200" s="34"/>
      <c r="T200" s="34"/>
      <c r="U200" s="34"/>
      <c r="V200" s="34"/>
      <c r="W200" s="34"/>
      <c r="X200" s="34"/>
      <c r="Y200" s="34"/>
      <c r="Z200" s="34"/>
      <c r="AA200" s="34"/>
    </row>
    <row r="201" spans="1:27" ht="13">
      <c r="A201" s="34"/>
      <c r="B201" s="52"/>
      <c r="C201" s="34"/>
      <c r="D201" s="34"/>
      <c r="E201" s="34"/>
      <c r="F201" s="34"/>
      <c r="G201" s="33"/>
      <c r="H201" s="34"/>
      <c r="I201" s="34"/>
      <c r="J201" s="33"/>
      <c r="K201" s="34"/>
      <c r="L201" s="34"/>
      <c r="M201" s="34"/>
      <c r="N201" s="34"/>
      <c r="O201" s="34"/>
      <c r="P201" s="34"/>
      <c r="Q201" s="34"/>
      <c r="R201" s="34"/>
      <c r="S201" s="34"/>
      <c r="T201" s="34"/>
      <c r="U201" s="34"/>
      <c r="V201" s="34"/>
      <c r="W201" s="34"/>
      <c r="X201" s="34"/>
      <c r="Y201" s="34"/>
      <c r="Z201" s="34"/>
      <c r="AA201" s="34"/>
    </row>
    <row r="202" spans="1:27" ht="13">
      <c r="A202" s="34"/>
      <c r="B202" s="52"/>
      <c r="C202" s="34"/>
      <c r="D202" s="34"/>
      <c r="E202" s="34"/>
      <c r="F202" s="34"/>
      <c r="G202" s="33"/>
      <c r="H202" s="34"/>
      <c r="I202" s="34"/>
      <c r="J202" s="33"/>
      <c r="K202" s="34"/>
      <c r="L202" s="34"/>
      <c r="M202" s="34"/>
      <c r="N202" s="34"/>
      <c r="O202" s="34"/>
      <c r="P202" s="34"/>
      <c r="Q202" s="34"/>
      <c r="R202" s="34"/>
      <c r="S202" s="34"/>
      <c r="T202" s="34"/>
      <c r="U202" s="34"/>
      <c r="V202" s="34"/>
      <c r="W202" s="34"/>
      <c r="X202" s="34"/>
      <c r="Y202" s="34"/>
      <c r="Z202" s="34"/>
      <c r="AA202" s="34"/>
    </row>
    <row r="203" spans="1:27" ht="13">
      <c r="A203" s="34"/>
      <c r="B203" s="52"/>
      <c r="C203" s="34"/>
      <c r="D203" s="34"/>
      <c r="E203" s="34"/>
      <c r="F203" s="34"/>
      <c r="G203" s="33"/>
      <c r="H203" s="34"/>
      <c r="I203" s="34"/>
      <c r="J203" s="33"/>
      <c r="K203" s="34"/>
      <c r="L203" s="34"/>
      <c r="M203" s="34"/>
      <c r="N203" s="34"/>
      <c r="O203" s="34"/>
      <c r="P203" s="34"/>
      <c r="Q203" s="34"/>
      <c r="R203" s="34"/>
      <c r="S203" s="34"/>
      <c r="T203" s="34"/>
      <c r="U203" s="34"/>
      <c r="V203" s="34"/>
      <c r="W203" s="34"/>
      <c r="X203" s="34"/>
      <c r="Y203" s="34"/>
      <c r="Z203" s="34"/>
      <c r="AA203" s="34"/>
    </row>
    <row r="204" spans="1:27" ht="13">
      <c r="A204" s="34"/>
      <c r="B204" s="52"/>
      <c r="C204" s="34"/>
      <c r="D204" s="34"/>
      <c r="E204" s="34"/>
      <c r="F204" s="34"/>
      <c r="G204" s="33"/>
      <c r="H204" s="34"/>
      <c r="I204" s="34"/>
      <c r="J204" s="33"/>
      <c r="K204" s="34"/>
      <c r="L204" s="34"/>
      <c r="M204" s="34"/>
      <c r="N204" s="34"/>
      <c r="O204" s="34"/>
      <c r="P204" s="34"/>
      <c r="Q204" s="34"/>
      <c r="R204" s="34"/>
      <c r="S204" s="34"/>
      <c r="T204" s="34"/>
      <c r="U204" s="34"/>
      <c r="V204" s="34"/>
      <c r="W204" s="34"/>
      <c r="X204" s="34"/>
      <c r="Y204" s="34"/>
      <c r="Z204" s="34"/>
      <c r="AA204" s="34"/>
    </row>
    <row r="205" spans="1:27" ht="13">
      <c r="A205" s="34"/>
      <c r="B205" s="52"/>
      <c r="C205" s="34"/>
      <c r="D205" s="34"/>
      <c r="E205" s="34"/>
      <c r="F205" s="34"/>
      <c r="G205" s="33"/>
      <c r="H205" s="34"/>
      <c r="I205" s="34"/>
      <c r="J205" s="33"/>
      <c r="K205" s="34"/>
      <c r="L205" s="34"/>
      <c r="M205" s="34"/>
      <c r="N205" s="34"/>
      <c r="O205" s="34"/>
      <c r="P205" s="34"/>
      <c r="Q205" s="34"/>
      <c r="R205" s="34"/>
      <c r="S205" s="34"/>
      <c r="T205" s="34"/>
      <c r="U205" s="34"/>
      <c r="V205" s="34"/>
      <c r="W205" s="34"/>
      <c r="X205" s="34"/>
      <c r="Y205" s="34"/>
      <c r="Z205" s="34"/>
      <c r="AA205" s="34"/>
    </row>
    <row r="206" spans="1:27" ht="13">
      <c r="A206" s="34"/>
      <c r="B206" s="52"/>
      <c r="C206" s="34"/>
      <c r="D206" s="34"/>
      <c r="E206" s="34"/>
      <c r="F206" s="34"/>
      <c r="G206" s="33"/>
      <c r="H206" s="34"/>
      <c r="I206" s="34"/>
      <c r="J206" s="33"/>
      <c r="K206" s="34"/>
      <c r="L206" s="34"/>
      <c r="M206" s="34"/>
      <c r="N206" s="34"/>
      <c r="O206" s="34"/>
      <c r="P206" s="34"/>
      <c r="Q206" s="34"/>
      <c r="R206" s="34"/>
      <c r="S206" s="34"/>
      <c r="T206" s="34"/>
      <c r="U206" s="34"/>
      <c r="V206" s="34"/>
      <c r="W206" s="34"/>
      <c r="X206" s="34"/>
      <c r="Y206" s="34"/>
      <c r="Z206" s="34"/>
      <c r="AA206" s="34"/>
    </row>
    <row r="207" spans="1:27" ht="13">
      <c r="A207" s="34"/>
      <c r="B207" s="52"/>
      <c r="C207" s="34"/>
      <c r="D207" s="34"/>
      <c r="E207" s="34"/>
      <c r="F207" s="34"/>
      <c r="G207" s="33"/>
      <c r="H207" s="34"/>
      <c r="I207" s="34"/>
      <c r="J207" s="33"/>
      <c r="K207" s="34"/>
      <c r="L207" s="34"/>
      <c r="M207" s="34"/>
      <c r="N207" s="34"/>
      <c r="O207" s="34"/>
      <c r="P207" s="34"/>
      <c r="Q207" s="34"/>
      <c r="R207" s="34"/>
      <c r="S207" s="34"/>
      <c r="T207" s="34"/>
      <c r="U207" s="34"/>
      <c r="V207" s="34"/>
      <c r="W207" s="34"/>
      <c r="X207" s="34"/>
      <c r="Y207" s="34"/>
      <c r="Z207" s="34"/>
      <c r="AA207" s="34"/>
    </row>
    <row r="208" spans="1:27" ht="13">
      <c r="A208" s="34"/>
      <c r="B208" s="52"/>
      <c r="C208" s="34"/>
      <c r="D208" s="34"/>
      <c r="E208" s="34"/>
      <c r="F208" s="34"/>
      <c r="G208" s="33"/>
      <c r="H208" s="34"/>
      <c r="I208" s="34"/>
      <c r="J208" s="33"/>
      <c r="K208" s="34"/>
      <c r="L208" s="34"/>
      <c r="M208" s="34"/>
      <c r="N208" s="34"/>
      <c r="O208" s="34"/>
      <c r="P208" s="34"/>
      <c r="Q208" s="34"/>
      <c r="R208" s="34"/>
      <c r="S208" s="34"/>
      <c r="T208" s="34"/>
      <c r="U208" s="34"/>
      <c r="V208" s="34"/>
      <c r="W208" s="34"/>
      <c r="X208" s="34"/>
      <c r="Y208" s="34"/>
      <c r="Z208" s="34"/>
      <c r="AA208" s="34"/>
    </row>
    <row r="209" spans="1:27" ht="13">
      <c r="A209" s="34"/>
      <c r="B209" s="52"/>
      <c r="C209" s="34"/>
      <c r="D209" s="34"/>
      <c r="E209" s="34"/>
      <c r="F209" s="34"/>
      <c r="G209" s="33"/>
      <c r="H209" s="34"/>
      <c r="I209" s="34"/>
      <c r="J209" s="33"/>
      <c r="K209" s="34"/>
      <c r="L209" s="34"/>
      <c r="M209" s="34"/>
      <c r="N209" s="34"/>
      <c r="O209" s="34"/>
      <c r="P209" s="34"/>
      <c r="Q209" s="34"/>
      <c r="R209" s="34"/>
      <c r="S209" s="34"/>
      <c r="T209" s="34"/>
      <c r="U209" s="34"/>
      <c r="V209" s="34"/>
      <c r="W209" s="34"/>
      <c r="X209" s="34"/>
      <c r="Y209" s="34"/>
      <c r="Z209" s="34"/>
      <c r="AA209" s="34"/>
    </row>
    <row r="210" spans="1:27" ht="13">
      <c r="A210" s="34"/>
      <c r="B210" s="52"/>
      <c r="C210" s="34"/>
      <c r="D210" s="34"/>
      <c r="E210" s="34"/>
      <c r="F210" s="34"/>
      <c r="G210" s="33"/>
      <c r="H210" s="34"/>
      <c r="I210" s="34"/>
      <c r="J210" s="33"/>
      <c r="K210" s="34"/>
      <c r="L210" s="34"/>
      <c r="M210" s="34"/>
      <c r="N210" s="34"/>
      <c r="O210" s="34"/>
      <c r="P210" s="34"/>
      <c r="Q210" s="34"/>
      <c r="R210" s="34"/>
      <c r="S210" s="34"/>
      <c r="T210" s="34"/>
      <c r="U210" s="34"/>
      <c r="V210" s="34"/>
      <c r="W210" s="34"/>
      <c r="X210" s="34"/>
      <c r="Y210" s="34"/>
      <c r="Z210" s="34"/>
      <c r="AA210" s="34"/>
    </row>
    <row r="211" spans="1:27" ht="13">
      <c r="A211" s="34"/>
      <c r="B211" s="52"/>
      <c r="C211" s="34"/>
      <c r="D211" s="34"/>
      <c r="E211" s="34"/>
      <c r="F211" s="34"/>
      <c r="G211" s="33"/>
      <c r="H211" s="34"/>
      <c r="I211" s="34"/>
      <c r="J211" s="33"/>
      <c r="K211" s="34"/>
      <c r="L211" s="34"/>
      <c r="M211" s="34"/>
      <c r="N211" s="34"/>
      <c r="O211" s="34"/>
      <c r="P211" s="34"/>
      <c r="Q211" s="34"/>
      <c r="R211" s="34"/>
      <c r="S211" s="34"/>
      <c r="T211" s="34"/>
      <c r="U211" s="34"/>
      <c r="V211" s="34"/>
      <c r="W211" s="34"/>
      <c r="X211" s="34"/>
      <c r="Y211" s="34"/>
      <c r="Z211" s="34"/>
      <c r="AA211" s="34"/>
    </row>
    <row r="212" spans="1:27" ht="13">
      <c r="A212" s="34"/>
      <c r="B212" s="52"/>
      <c r="C212" s="34"/>
      <c r="D212" s="34"/>
      <c r="E212" s="34"/>
      <c r="F212" s="34"/>
      <c r="G212" s="33"/>
      <c r="H212" s="34"/>
      <c r="I212" s="34"/>
      <c r="J212" s="33"/>
      <c r="K212" s="34"/>
      <c r="L212" s="34"/>
      <c r="M212" s="34"/>
      <c r="N212" s="34"/>
      <c r="O212" s="34"/>
      <c r="P212" s="34"/>
      <c r="Q212" s="34"/>
      <c r="R212" s="34"/>
      <c r="S212" s="34"/>
      <c r="T212" s="34"/>
      <c r="U212" s="34"/>
      <c r="V212" s="34"/>
      <c r="W212" s="34"/>
      <c r="X212" s="34"/>
      <c r="Y212" s="34"/>
      <c r="Z212" s="34"/>
      <c r="AA212" s="34"/>
    </row>
    <row r="213" spans="1:27" ht="13">
      <c r="A213" s="34"/>
      <c r="B213" s="52"/>
      <c r="C213" s="34"/>
      <c r="D213" s="34"/>
      <c r="E213" s="34"/>
      <c r="F213" s="34"/>
      <c r="G213" s="33"/>
      <c r="H213" s="34"/>
      <c r="I213" s="34"/>
      <c r="J213" s="33"/>
      <c r="K213" s="34"/>
      <c r="L213" s="34"/>
      <c r="M213" s="34"/>
      <c r="N213" s="34"/>
      <c r="O213" s="34"/>
      <c r="P213" s="34"/>
      <c r="Q213" s="34"/>
      <c r="R213" s="34"/>
      <c r="S213" s="34"/>
      <c r="T213" s="34"/>
      <c r="U213" s="34"/>
      <c r="V213" s="34"/>
      <c r="W213" s="34"/>
      <c r="X213" s="34"/>
      <c r="Y213" s="34"/>
      <c r="Z213" s="34"/>
      <c r="AA213" s="34"/>
    </row>
    <row r="214" spans="1:27" ht="13">
      <c r="A214" s="34"/>
      <c r="B214" s="52"/>
      <c r="C214" s="34"/>
      <c r="D214" s="34"/>
      <c r="E214" s="34"/>
      <c r="F214" s="34"/>
      <c r="G214" s="33"/>
      <c r="H214" s="34"/>
      <c r="I214" s="34"/>
      <c r="J214" s="33"/>
      <c r="K214" s="34"/>
      <c r="L214" s="34"/>
      <c r="M214" s="34"/>
      <c r="N214" s="34"/>
      <c r="O214" s="34"/>
      <c r="P214" s="34"/>
      <c r="Q214" s="34"/>
      <c r="R214" s="34"/>
      <c r="S214" s="34"/>
      <c r="T214" s="34"/>
      <c r="U214" s="34"/>
      <c r="V214" s="34"/>
      <c r="W214" s="34"/>
      <c r="X214" s="34"/>
      <c r="Y214" s="34"/>
      <c r="Z214" s="34"/>
      <c r="AA214" s="34"/>
    </row>
    <row r="215" spans="1:27" ht="13">
      <c r="A215" s="34"/>
      <c r="B215" s="52"/>
      <c r="C215" s="34"/>
      <c r="D215" s="34"/>
      <c r="E215" s="34"/>
      <c r="F215" s="34"/>
      <c r="G215" s="33"/>
      <c r="H215" s="34"/>
      <c r="I215" s="34"/>
      <c r="J215" s="33"/>
      <c r="K215" s="34"/>
      <c r="L215" s="34"/>
      <c r="M215" s="34"/>
      <c r="N215" s="34"/>
      <c r="O215" s="34"/>
      <c r="P215" s="34"/>
      <c r="Q215" s="34"/>
      <c r="R215" s="34"/>
      <c r="S215" s="34"/>
      <c r="T215" s="34"/>
      <c r="U215" s="34"/>
      <c r="V215" s="34"/>
      <c r="W215" s="34"/>
      <c r="X215" s="34"/>
      <c r="Y215" s="34"/>
      <c r="Z215" s="34"/>
      <c r="AA215" s="34"/>
    </row>
    <row r="216" spans="1:27" ht="13">
      <c r="A216" s="34"/>
      <c r="B216" s="52"/>
      <c r="C216" s="34"/>
      <c r="D216" s="34"/>
      <c r="E216" s="34"/>
      <c r="F216" s="34"/>
      <c r="G216" s="33"/>
      <c r="H216" s="34"/>
      <c r="I216" s="34"/>
      <c r="J216" s="33"/>
      <c r="K216" s="34"/>
      <c r="L216" s="34"/>
      <c r="M216" s="34"/>
      <c r="N216" s="34"/>
      <c r="O216" s="34"/>
      <c r="P216" s="34"/>
      <c r="Q216" s="34"/>
      <c r="R216" s="34"/>
      <c r="S216" s="34"/>
      <c r="T216" s="34"/>
      <c r="U216" s="34"/>
      <c r="V216" s="34"/>
      <c r="W216" s="34"/>
      <c r="X216" s="34"/>
      <c r="Y216" s="34"/>
      <c r="Z216" s="34"/>
      <c r="AA216" s="34"/>
    </row>
    <row r="217" spans="1:27" ht="13">
      <c r="A217" s="34"/>
      <c r="B217" s="52"/>
      <c r="C217" s="34"/>
      <c r="D217" s="34"/>
      <c r="E217" s="34"/>
      <c r="F217" s="34"/>
      <c r="G217" s="33"/>
      <c r="H217" s="34"/>
      <c r="I217" s="34"/>
      <c r="J217" s="33"/>
      <c r="K217" s="34"/>
      <c r="L217" s="34"/>
      <c r="M217" s="34"/>
      <c r="N217" s="34"/>
      <c r="O217" s="34"/>
      <c r="P217" s="34"/>
      <c r="Q217" s="34"/>
      <c r="R217" s="34"/>
      <c r="S217" s="34"/>
      <c r="T217" s="34"/>
      <c r="U217" s="34"/>
      <c r="V217" s="34"/>
      <c r="W217" s="34"/>
      <c r="X217" s="34"/>
      <c r="Y217" s="34"/>
      <c r="Z217" s="34"/>
      <c r="AA217" s="34"/>
    </row>
    <row r="218" spans="1:27" ht="13">
      <c r="A218" s="34"/>
      <c r="B218" s="52"/>
      <c r="C218" s="34"/>
      <c r="D218" s="34"/>
      <c r="E218" s="34"/>
      <c r="F218" s="34"/>
      <c r="G218" s="33"/>
      <c r="H218" s="34"/>
      <c r="I218" s="34"/>
      <c r="J218" s="33"/>
      <c r="K218" s="34"/>
      <c r="L218" s="34"/>
      <c r="M218" s="34"/>
      <c r="N218" s="34"/>
      <c r="O218" s="34"/>
      <c r="P218" s="34"/>
      <c r="Q218" s="34"/>
      <c r="R218" s="34"/>
      <c r="S218" s="34"/>
      <c r="T218" s="34"/>
      <c r="U218" s="34"/>
      <c r="V218" s="34"/>
      <c r="W218" s="34"/>
      <c r="X218" s="34"/>
      <c r="Y218" s="34"/>
      <c r="Z218" s="34"/>
      <c r="AA218" s="34"/>
    </row>
    <row r="219" spans="1:27" ht="13">
      <c r="A219" s="34"/>
      <c r="B219" s="52"/>
      <c r="C219" s="34"/>
      <c r="D219" s="34"/>
      <c r="E219" s="34"/>
      <c r="F219" s="34"/>
      <c r="G219" s="33"/>
      <c r="H219" s="34"/>
      <c r="I219" s="34"/>
      <c r="J219" s="33"/>
      <c r="K219" s="34"/>
      <c r="L219" s="34"/>
      <c r="M219" s="34"/>
      <c r="N219" s="34"/>
      <c r="O219" s="34"/>
      <c r="P219" s="34"/>
      <c r="Q219" s="34"/>
      <c r="R219" s="34"/>
      <c r="S219" s="34"/>
      <c r="T219" s="34"/>
      <c r="U219" s="34"/>
      <c r="V219" s="34"/>
      <c r="W219" s="34"/>
      <c r="X219" s="34"/>
      <c r="Y219" s="34"/>
      <c r="Z219" s="34"/>
      <c r="AA219" s="34"/>
    </row>
    <row r="220" spans="1:27" ht="13">
      <c r="A220" s="34"/>
      <c r="B220" s="52"/>
      <c r="C220" s="34"/>
      <c r="D220" s="34"/>
      <c r="E220" s="34"/>
      <c r="F220" s="34"/>
      <c r="G220" s="33"/>
      <c r="H220" s="34"/>
      <c r="I220" s="34"/>
      <c r="J220" s="33"/>
      <c r="K220" s="34"/>
      <c r="L220" s="34"/>
      <c r="M220" s="34"/>
      <c r="N220" s="34"/>
      <c r="O220" s="34"/>
      <c r="P220" s="34"/>
      <c r="Q220" s="34"/>
      <c r="R220" s="34"/>
      <c r="S220" s="34"/>
      <c r="T220" s="34"/>
      <c r="U220" s="34"/>
      <c r="V220" s="34"/>
      <c r="W220" s="34"/>
      <c r="X220" s="34"/>
      <c r="Y220" s="34"/>
      <c r="Z220" s="34"/>
      <c r="AA220" s="34"/>
    </row>
    <row r="221" spans="1:27" ht="13">
      <c r="A221" s="34"/>
      <c r="B221" s="52"/>
      <c r="C221" s="34"/>
      <c r="D221" s="34"/>
      <c r="E221" s="34"/>
      <c r="F221" s="34"/>
      <c r="G221" s="33"/>
      <c r="H221" s="34"/>
      <c r="I221" s="34"/>
      <c r="J221" s="33"/>
      <c r="K221" s="34"/>
      <c r="L221" s="34"/>
      <c r="M221" s="34"/>
      <c r="N221" s="34"/>
      <c r="O221" s="34"/>
      <c r="P221" s="34"/>
      <c r="Q221" s="34"/>
      <c r="R221" s="34"/>
      <c r="S221" s="34"/>
      <c r="T221" s="34"/>
      <c r="U221" s="34"/>
      <c r="V221" s="34"/>
      <c r="W221" s="34"/>
      <c r="X221" s="34"/>
      <c r="Y221" s="34"/>
      <c r="Z221" s="34"/>
      <c r="AA221" s="34"/>
    </row>
    <row r="222" spans="1:27" ht="13">
      <c r="A222" s="34"/>
      <c r="B222" s="52"/>
      <c r="C222" s="34"/>
      <c r="D222" s="34"/>
      <c r="E222" s="34"/>
      <c r="F222" s="34"/>
      <c r="G222" s="33"/>
      <c r="H222" s="34"/>
      <c r="I222" s="34"/>
      <c r="J222" s="33"/>
      <c r="K222" s="34"/>
      <c r="L222" s="34"/>
      <c r="M222" s="34"/>
      <c r="N222" s="34"/>
      <c r="O222" s="34"/>
      <c r="P222" s="34"/>
      <c r="Q222" s="34"/>
      <c r="R222" s="34"/>
      <c r="S222" s="34"/>
      <c r="T222" s="34"/>
      <c r="U222" s="34"/>
      <c r="V222" s="34"/>
      <c r="W222" s="34"/>
      <c r="X222" s="34"/>
      <c r="Y222" s="34"/>
      <c r="Z222" s="34"/>
      <c r="AA222" s="34"/>
    </row>
    <row r="223" spans="1:27" ht="13">
      <c r="A223" s="34"/>
      <c r="B223" s="52"/>
      <c r="C223" s="34"/>
      <c r="D223" s="34"/>
      <c r="E223" s="34"/>
      <c r="F223" s="34"/>
      <c r="G223" s="33"/>
      <c r="H223" s="34"/>
      <c r="I223" s="34"/>
      <c r="J223" s="33"/>
      <c r="K223" s="34"/>
      <c r="L223" s="34"/>
      <c r="M223" s="34"/>
      <c r="N223" s="34"/>
      <c r="O223" s="34"/>
      <c r="P223" s="34"/>
      <c r="Q223" s="34"/>
      <c r="R223" s="34"/>
      <c r="S223" s="34"/>
      <c r="T223" s="34"/>
      <c r="U223" s="34"/>
      <c r="V223" s="34"/>
      <c r="W223" s="34"/>
      <c r="X223" s="34"/>
      <c r="Y223" s="34"/>
      <c r="Z223" s="34"/>
      <c r="AA223" s="34"/>
    </row>
    <row r="224" spans="1:27" ht="13">
      <c r="A224" s="34"/>
      <c r="B224" s="52"/>
      <c r="C224" s="34"/>
      <c r="D224" s="34"/>
      <c r="E224" s="34"/>
      <c r="F224" s="34"/>
      <c r="G224" s="33"/>
      <c r="H224" s="34"/>
      <c r="I224" s="34"/>
      <c r="J224" s="33"/>
      <c r="K224" s="34"/>
      <c r="L224" s="34"/>
      <c r="M224" s="34"/>
      <c r="N224" s="34"/>
      <c r="O224" s="34"/>
      <c r="P224" s="34"/>
      <c r="Q224" s="34"/>
      <c r="R224" s="34"/>
      <c r="S224" s="34"/>
      <c r="T224" s="34"/>
      <c r="U224" s="34"/>
      <c r="V224" s="34"/>
      <c r="W224" s="34"/>
      <c r="X224" s="34"/>
      <c r="Y224" s="34"/>
      <c r="Z224" s="34"/>
      <c r="AA224" s="34"/>
    </row>
    <row r="225" spans="1:27" ht="13">
      <c r="A225" s="34"/>
      <c r="B225" s="52"/>
      <c r="C225" s="34"/>
      <c r="D225" s="34"/>
      <c r="E225" s="34"/>
      <c r="F225" s="34"/>
      <c r="G225" s="33"/>
      <c r="H225" s="34"/>
      <c r="I225" s="34"/>
      <c r="J225" s="33"/>
      <c r="K225" s="34"/>
      <c r="L225" s="34"/>
      <c r="M225" s="34"/>
      <c r="N225" s="34"/>
      <c r="O225" s="34"/>
      <c r="P225" s="34"/>
      <c r="Q225" s="34"/>
      <c r="R225" s="34"/>
      <c r="S225" s="34"/>
      <c r="T225" s="34"/>
      <c r="U225" s="34"/>
      <c r="V225" s="34"/>
      <c r="W225" s="34"/>
      <c r="X225" s="34"/>
      <c r="Y225" s="34"/>
      <c r="Z225" s="34"/>
      <c r="AA225" s="34"/>
    </row>
    <row r="226" spans="1:27" ht="13">
      <c r="A226" s="34"/>
      <c r="B226" s="52"/>
      <c r="C226" s="34"/>
      <c r="D226" s="34"/>
      <c r="E226" s="34"/>
      <c r="F226" s="34"/>
      <c r="G226" s="33"/>
      <c r="H226" s="34"/>
      <c r="I226" s="34"/>
      <c r="J226" s="33"/>
      <c r="K226" s="34"/>
      <c r="L226" s="34"/>
      <c r="M226" s="34"/>
      <c r="N226" s="34"/>
      <c r="O226" s="34"/>
      <c r="P226" s="34"/>
      <c r="Q226" s="34"/>
      <c r="R226" s="34"/>
      <c r="S226" s="34"/>
      <c r="T226" s="34"/>
      <c r="U226" s="34"/>
      <c r="V226" s="34"/>
      <c r="W226" s="34"/>
      <c r="X226" s="34"/>
      <c r="Y226" s="34"/>
      <c r="Z226" s="34"/>
      <c r="AA226" s="34"/>
    </row>
    <row r="227" spans="1:27" ht="13">
      <c r="A227" s="34"/>
      <c r="B227" s="52"/>
      <c r="C227" s="34"/>
      <c r="D227" s="34"/>
      <c r="E227" s="34"/>
      <c r="F227" s="34"/>
      <c r="G227" s="33"/>
      <c r="H227" s="34"/>
      <c r="I227" s="34"/>
      <c r="J227" s="33"/>
      <c r="K227" s="34"/>
      <c r="L227" s="34"/>
      <c r="M227" s="34"/>
      <c r="N227" s="34"/>
      <c r="O227" s="34"/>
      <c r="P227" s="34"/>
      <c r="Q227" s="34"/>
      <c r="R227" s="34"/>
      <c r="S227" s="34"/>
      <c r="T227" s="34"/>
      <c r="U227" s="34"/>
      <c r="V227" s="34"/>
      <c r="W227" s="34"/>
      <c r="X227" s="34"/>
      <c r="Y227" s="34"/>
      <c r="Z227" s="34"/>
      <c r="AA227" s="34"/>
    </row>
    <row r="228" spans="1:27" ht="13">
      <c r="A228" s="34"/>
      <c r="B228" s="52"/>
      <c r="C228" s="34"/>
      <c r="D228" s="34"/>
      <c r="E228" s="34"/>
      <c r="F228" s="34"/>
      <c r="G228" s="33"/>
      <c r="H228" s="34"/>
      <c r="I228" s="34"/>
      <c r="J228" s="33"/>
      <c r="K228" s="34"/>
      <c r="L228" s="34"/>
      <c r="M228" s="34"/>
      <c r="N228" s="34"/>
      <c r="O228" s="34"/>
      <c r="P228" s="34"/>
      <c r="Q228" s="34"/>
      <c r="R228" s="34"/>
      <c r="S228" s="34"/>
      <c r="T228" s="34"/>
      <c r="U228" s="34"/>
      <c r="V228" s="34"/>
      <c r="W228" s="34"/>
      <c r="X228" s="34"/>
      <c r="Y228" s="34"/>
      <c r="Z228" s="34"/>
      <c r="AA228" s="34"/>
    </row>
    <row r="229" spans="1:27" ht="13">
      <c r="A229" s="34"/>
      <c r="B229" s="52"/>
      <c r="C229" s="34"/>
      <c r="D229" s="34"/>
      <c r="E229" s="34"/>
      <c r="F229" s="34"/>
      <c r="G229" s="33"/>
      <c r="H229" s="34"/>
      <c r="I229" s="34"/>
      <c r="J229" s="33"/>
      <c r="K229" s="34"/>
      <c r="L229" s="34"/>
      <c r="M229" s="34"/>
      <c r="N229" s="34"/>
      <c r="O229" s="34"/>
      <c r="P229" s="34"/>
      <c r="Q229" s="34"/>
      <c r="R229" s="34"/>
      <c r="S229" s="34"/>
      <c r="T229" s="34"/>
      <c r="U229" s="34"/>
      <c r="V229" s="34"/>
      <c r="W229" s="34"/>
      <c r="X229" s="34"/>
      <c r="Y229" s="34"/>
      <c r="Z229" s="34"/>
      <c r="AA229" s="34"/>
    </row>
    <row r="230" spans="1:27" ht="13">
      <c r="A230" s="34"/>
      <c r="B230" s="52"/>
      <c r="C230" s="34"/>
      <c r="D230" s="34"/>
      <c r="E230" s="34"/>
      <c r="F230" s="34"/>
      <c r="G230" s="33"/>
      <c r="H230" s="34"/>
      <c r="I230" s="34"/>
      <c r="J230" s="33"/>
      <c r="K230" s="34"/>
      <c r="L230" s="34"/>
      <c r="M230" s="34"/>
      <c r="N230" s="34"/>
      <c r="O230" s="34"/>
      <c r="P230" s="34"/>
      <c r="Q230" s="34"/>
      <c r="R230" s="34"/>
      <c r="S230" s="34"/>
      <c r="T230" s="34"/>
      <c r="U230" s="34"/>
      <c r="V230" s="34"/>
      <c r="W230" s="34"/>
      <c r="X230" s="34"/>
      <c r="Y230" s="34"/>
      <c r="Z230" s="34"/>
      <c r="AA230" s="34"/>
    </row>
    <row r="231" spans="1:27" ht="13">
      <c r="A231" s="34"/>
      <c r="B231" s="52"/>
      <c r="C231" s="34"/>
      <c r="D231" s="34"/>
      <c r="E231" s="34"/>
      <c r="F231" s="34"/>
      <c r="G231" s="33"/>
      <c r="H231" s="34"/>
      <c r="I231" s="34"/>
      <c r="J231" s="33"/>
      <c r="K231" s="34"/>
      <c r="L231" s="34"/>
      <c r="M231" s="34"/>
      <c r="N231" s="34"/>
      <c r="O231" s="34"/>
      <c r="P231" s="34"/>
      <c r="Q231" s="34"/>
      <c r="R231" s="34"/>
      <c r="S231" s="34"/>
      <c r="T231" s="34"/>
      <c r="U231" s="34"/>
      <c r="V231" s="34"/>
      <c r="W231" s="34"/>
      <c r="X231" s="34"/>
      <c r="Y231" s="34"/>
      <c r="Z231" s="34"/>
      <c r="AA231" s="34"/>
    </row>
    <row r="232" spans="1:27" ht="13">
      <c r="A232" s="34"/>
      <c r="B232" s="52"/>
      <c r="C232" s="34"/>
      <c r="D232" s="34"/>
      <c r="E232" s="34"/>
      <c r="F232" s="34"/>
      <c r="G232" s="33"/>
      <c r="H232" s="34"/>
      <c r="I232" s="34"/>
      <c r="J232" s="33"/>
      <c r="K232" s="34"/>
      <c r="L232" s="34"/>
      <c r="M232" s="34"/>
      <c r="N232" s="34"/>
      <c r="O232" s="34"/>
      <c r="P232" s="34"/>
      <c r="Q232" s="34"/>
      <c r="R232" s="34"/>
      <c r="S232" s="34"/>
      <c r="T232" s="34"/>
      <c r="U232" s="34"/>
      <c r="V232" s="34"/>
      <c r="W232" s="34"/>
      <c r="X232" s="34"/>
      <c r="Y232" s="34"/>
      <c r="Z232" s="34"/>
      <c r="AA232" s="34"/>
    </row>
    <row r="233" spans="1:27" ht="13">
      <c r="A233" s="34"/>
      <c r="B233" s="52"/>
      <c r="C233" s="34"/>
      <c r="D233" s="34"/>
      <c r="E233" s="34"/>
      <c r="F233" s="34"/>
      <c r="G233" s="33"/>
      <c r="H233" s="34"/>
      <c r="I233" s="34"/>
      <c r="J233" s="33"/>
      <c r="K233" s="34"/>
      <c r="L233" s="34"/>
      <c r="M233" s="34"/>
      <c r="N233" s="34"/>
      <c r="O233" s="34"/>
      <c r="P233" s="34"/>
      <c r="Q233" s="34"/>
      <c r="R233" s="34"/>
      <c r="S233" s="34"/>
      <c r="T233" s="34"/>
      <c r="U233" s="34"/>
      <c r="V233" s="34"/>
      <c r="W233" s="34"/>
      <c r="X233" s="34"/>
      <c r="Y233" s="34"/>
      <c r="Z233" s="34"/>
      <c r="AA233" s="34"/>
    </row>
    <row r="234" spans="1:27" ht="13">
      <c r="A234" s="34"/>
      <c r="B234" s="52"/>
      <c r="C234" s="34"/>
      <c r="D234" s="34"/>
      <c r="E234" s="34"/>
      <c r="F234" s="34"/>
      <c r="G234" s="33"/>
      <c r="H234" s="34"/>
      <c r="I234" s="34"/>
      <c r="J234" s="33"/>
      <c r="K234" s="34"/>
      <c r="L234" s="34"/>
      <c r="M234" s="34"/>
      <c r="N234" s="34"/>
      <c r="O234" s="34"/>
      <c r="P234" s="34"/>
      <c r="Q234" s="34"/>
      <c r="R234" s="34"/>
      <c r="S234" s="34"/>
      <c r="T234" s="34"/>
      <c r="U234" s="34"/>
      <c r="V234" s="34"/>
      <c r="W234" s="34"/>
      <c r="X234" s="34"/>
      <c r="Y234" s="34"/>
      <c r="Z234" s="34"/>
      <c r="AA234" s="34"/>
    </row>
    <row r="235" spans="1:27" ht="13">
      <c r="A235" s="34"/>
      <c r="B235" s="52"/>
      <c r="C235" s="34"/>
      <c r="D235" s="34"/>
      <c r="E235" s="34"/>
      <c r="F235" s="34"/>
      <c r="G235" s="33"/>
      <c r="H235" s="34"/>
      <c r="I235" s="34"/>
      <c r="J235" s="33"/>
      <c r="K235" s="34"/>
      <c r="L235" s="34"/>
      <c r="M235" s="34"/>
      <c r="N235" s="34"/>
      <c r="O235" s="34"/>
      <c r="P235" s="34"/>
      <c r="Q235" s="34"/>
      <c r="R235" s="34"/>
      <c r="S235" s="34"/>
      <c r="T235" s="34"/>
      <c r="U235" s="34"/>
      <c r="V235" s="34"/>
      <c r="W235" s="34"/>
      <c r="X235" s="34"/>
      <c r="Y235" s="34"/>
      <c r="Z235" s="34"/>
      <c r="AA235" s="34"/>
    </row>
    <row r="236" spans="1:27" ht="13">
      <c r="A236" s="34"/>
      <c r="B236" s="52"/>
      <c r="C236" s="34"/>
      <c r="D236" s="34"/>
      <c r="E236" s="34"/>
      <c r="F236" s="34"/>
      <c r="G236" s="33"/>
      <c r="H236" s="34"/>
      <c r="I236" s="34"/>
      <c r="J236" s="33"/>
      <c r="K236" s="34"/>
      <c r="L236" s="34"/>
      <c r="M236" s="34"/>
      <c r="N236" s="34"/>
      <c r="O236" s="34"/>
      <c r="P236" s="34"/>
      <c r="Q236" s="34"/>
      <c r="R236" s="34"/>
      <c r="S236" s="34"/>
      <c r="T236" s="34"/>
      <c r="U236" s="34"/>
      <c r="V236" s="34"/>
      <c r="W236" s="34"/>
      <c r="X236" s="34"/>
      <c r="Y236" s="34"/>
      <c r="Z236" s="34"/>
      <c r="AA236" s="34"/>
    </row>
    <row r="237" spans="1:27" ht="13">
      <c r="A237" s="34"/>
      <c r="B237" s="52"/>
      <c r="C237" s="34"/>
      <c r="D237" s="34"/>
      <c r="E237" s="34"/>
      <c r="F237" s="34"/>
      <c r="G237" s="33"/>
      <c r="H237" s="34"/>
      <c r="I237" s="34"/>
      <c r="J237" s="33"/>
      <c r="K237" s="34"/>
      <c r="L237" s="34"/>
      <c r="M237" s="34"/>
      <c r="N237" s="34"/>
      <c r="O237" s="34"/>
      <c r="P237" s="34"/>
      <c r="Q237" s="34"/>
      <c r="R237" s="34"/>
      <c r="S237" s="34"/>
      <c r="T237" s="34"/>
      <c r="U237" s="34"/>
      <c r="V237" s="34"/>
      <c r="W237" s="34"/>
      <c r="X237" s="34"/>
      <c r="Y237" s="34"/>
      <c r="Z237" s="34"/>
      <c r="AA237" s="34"/>
    </row>
    <row r="238" spans="1:27" ht="13">
      <c r="A238" s="34"/>
      <c r="B238" s="52"/>
      <c r="C238" s="34"/>
      <c r="D238" s="34"/>
      <c r="E238" s="34"/>
      <c r="F238" s="34"/>
      <c r="G238" s="33"/>
      <c r="H238" s="34"/>
      <c r="I238" s="34"/>
      <c r="J238" s="33"/>
      <c r="K238" s="34"/>
      <c r="L238" s="34"/>
      <c r="M238" s="34"/>
      <c r="N238" s="34"/>
      <c r="O238" s="34"/>
      <c r="P238" s="34"/>
      <c r="Q238" s="34"/>
      <c r="R238" s="34"/>
      <c r="S238" s="34"/>
      <c r="T238" s="34"/>
      <c r="U238" s="34"/>
      <c r="V238" s="34"/>
      <c r="W238" s="34"/>
      <c r="X238" s="34"/>
      <c r="Y238" s="34"/>
      <c r="Z238" s="34"/>
      <c r="AA238" s="34"/>
    </row>
    <row r="239" spans="1:27" ht="13">
      <c r="A239" s="34"/>
      <c r="B239" s="52"/>
      <c r="C239" s="34"/>
      <c r="D239" s="34"/>
      <c r="E239" s="34"/>
      <c r="F239" s="34"/>
      <c r="G239" s="33"/>
      <c r="H239" s="34"/>
      <c r="I239" s="34"/>
      <c r="J239" s="33"/>
      <c r="K239" s="34"/>
      <c r="L239" s="34"/>
      <c r="M239" s="34"/>
      <c r="N239" s="34"/>
      <c r="O239" s="34"/>
      <c r="P239" s="34"/>
      <c r="Q239" s="34"/>
      <c r="R239" s="34"/>
      <c r="S239" s="34"/>
      <c r="T239" s="34"/>
      <c r="U239" s="34"/>
      <c r="V239" s="34"/>
      <c r="W239" s="34"/>
      <c r="X239" s="34"/>
      <c r="Y239" s="34"/>
      <c r="Z239" s="34"/>
      <c r="AA239" s="34"/>
    </row>
    <row r="240" spans="1:27" ht="13">
      <c r="A240" s="34"/>
      <c r="B240" s="52"/>
      <c r="C240" s="34"/>
      <c r="D240" s="34"/>
      <c r="E240" s="34"/>
      <c r="F240" s="34"/>
      <c r="G240" s="33"/>
      <c r="H240" s="34"/>
      <c r="I240" s="34"/>
      <c r="J240" s="33"/>
      <c r="K240" s="34"/>
      <c r="L240" s="34"/>
      <c r="M240" s="34"/>
      <c r="N240" s="34"/>
      <c r="O240" s="34"/>
      <c r="P240" s="34"/>
      <c r="Q240" s="34"/>
      <c r="R240" s="34"/>
      <c r="S240" s="34"/>
      <c r="T240" s="34"/>
      <c r="U240" s="34"/>
      <c r="V240" s="34"/>
      <c r="W240" s="34"/>
      <c r="X240" s="34"/>
      <c r="Y240" s="34"/>
      <c r="Z240" s="34"/>
      <c r="AA240" s="34"/>
    </row>
    <row r="241" spans="1:27" ht="13">
      <c r="A241" s="34"/>
      <c r="B241" s="52"/>
      <c r="C241" s="34"/>
      <c r="D241" s="34"/>
      <c r="E241" s="34"/>
      <c r="F241" s="34"/>
      <c r="G241" s="33"/>
      <c r="H241" s="34"/>
      <c r="I241" s="34"/>
      <c r="J241" s="33"/>
      <c r="K241" s="34"/>
      <c r="L241" s="34"/>
      <c r="M241" s="34"/>
      <c r="N241" s="34"/>
      <c r="O241" s="34"/>
      <c r="P241" s="34"/>
      <c r="Q241" s="34"/>
      <c r="R241" s="34"/>
      <c r="S241" s="34"/>
      <c r="T241" s="34"/>
      <c r="U241" s="34"/>
      <c r="V241" s="34"/>
      <c r="W241" s="34"/>
      <c r="X241" s="34"/>
      <c r="Y241" s="34"/>
      <c r="Z241" s="34"/>
      <c r="AA241" s="34"/>
    </row>
    <row r="242" spans="1:27" ht="13">
      <c r="A242" s="34"/>
      <c r="B242" s="52"/>
      <c r="C242" s="34"/>
      <c r="D242" s="34"/>
      <c r="E242" s="34"/>
      <c r="F242" s="34"/>
      <c r="G242" s="33"/>
      <c r="H242" s="34"/>
      <c r="I242" s="34"/>
      <c r="J242" s="33"/>
      <c r="K242" s="34"/>
      <c r="L242" s="34"/>
      <c r="M242" s="34"/>
      <c r="N242" s="34"/>
      <c r="O242" s="34"/>
      <c r="P242" s="34"/>
      <c r="Q242" s="34"/>
      <c r="R242" s="34"/>
      <c r="S242" s="34"/>
      <c r="T242" s="34"/>
      <c r="U242" s="34"/>
      <c r="V242" s="34"/>
      <c r="W242" s="34"/>
      <c r="X242" s="34"/>
      <c r="Y242" s="34"/>
      <c r="Z242" s="34"/>
      <c r="AA242" s="34"/>
    </row>
    <row r="243" spans="1:27" ht="13">
      <c r="A243" s="34"/>
      <c r="B243" s="52"/>
      <c r="C243" s="34"/>
      <c r="D243" s="34"/>
      <c r="E243" s="34"/>
      <c r="F243" s="34"/>
      <c r="G243" s="33"/>
      <c r="H243" s="34"/>
      <c r="I243" s="34"/>
      <c r="J243" s="33"/>
      <c r="K243" s="34"/>
      <c r="L243" s="34"/>
      <c r="M243" s="34"/>
      <c r="N243" s="34"/>
      <c r="O243" s="34"/>
      <c r="P243" s="34"/>
      <c r="Q243" s="34"/>
      <c r="R243" s="34"/>
      <c r="S243" s="34"/>
      <c r="T243" s="34"/>
      <c r="U243" s="34"/>
      <c r="V243" s="34"/>
      <c r="W243" s="34"/>
      <c r="X243" s="34"/>
      <c r="Y243" s="34"/>
      <c r="Z243" s="34"/>
      <c r="AA243" s="34"/>
    </row>
    <row r="244" spans="1:27" ht="13">
      <c r="A244" s="34"/>
      <c r="B244" s="52"/>
      <c r="C244" s="34"/>
      <c r="D244" s="34"/>
      <c r="E244" s="34"/>
      <c r="F244" s="34"/>
      <c r="G244" s="33"/>
      <c r="H244" s="34"/>
      <c r="I244" s="34"/>
      <c r="J244" s="33"/>
      <c r="K244" s="34"/>
      <c r="L244" s="34"/>
      <c r="M244" s="34"/>
      <c r="N244" s="34"/>
      <c r="O244" s="34"/>
      <c r="P244" s="34"/>
      <c r="Q244" s="34"/>
      <c r="R244" s="34"/>
      <c r="S244" s="34"/>
      <c r="T244" s="34"/>
      <c r="U244" s="34"/>
      <c r="V244" s="34"/>
      <c r="W244" s="34"/>
      <c r="X244" s="34"/>
      <c r="Y244" s="34"/>
      <c r="Z244" s="34"/>
      <c r="AA244" s="34"/>
    </row>
    <row r="245" spans="1:27" ht="13">
      <c r="A245" s="34"/>
      <c r="B245" s="52"/>
      <c r="C245" s="34"/>
      <c r="D245" s="34"/>
      <c r="E245" s="34"/>
      <c r="F245" s="34"/>
      <c r="G245" s="33"/>
      <c r="H245" s="34"/>
      <c r="I245" s="34"/>
      <c r="J245" s="33"/>
      <c r="K245" s="34"/>
      <c r="L245" s="34"/>
      <c r="M245" s="34"/>
      <c r="N245" s="34"/>
      <c r="O245" s="34"/>
      <c r="P245" s="34"/>
      <c r="Q245" s="34"/>
      <c r="R245" s="34"/>
      <c r="S245" s="34"/>
      <c r="T245" s="34"/>
      <c r="U245" s="34"/>
      <c r="V245" s="34"/>
      <c r="W245" s="34"/>
      <c r="X245" s="34"/>
      <c r="Y245" s="34"/>
      <c r="Z245" s="34"/>
      <c r="AA245" s="34"/>
    </row>
    <row r="246" spans="1:27" ht="13">
      <c r="A246" s="34"/>
      <c r="B246" s="52"/>
      <c r="C246" s="34"/>
      <c r="D246" s="34"/>
      <c r="E246" s="34"/>
      <c r="F246" s="34"/>
      <c r="G246" s="33"/>
      <c r="H246" s="34"/>
      <c r="I246" s="34"/>
      <c r="J246" s="33"/>
      <c r="K246" s="34"/>
      <c r="L246" s="34"/>
      <c r="M246" s="34"/>
      <c r="N246" s="34"/>
      <c r="O246" s="34"/>
      <c r="P246" s="34"/>
      <c r="Q246" s="34"/>
      <c r="R246" s="34"/>
      <c r="S246" s="34"/>
      <c r="T246" s="34"/>
      <c r="U246" s="34"/>
      <c r="V246" s="34"/>
      <c r="W246" s="34"/>
      <c r="X246" s="34"/>
      <c r="Y246" s="34"/>
      <c r="Z246" s="34"/>
      <c r="AA246" s="34"/>
    </row>
    <row r="247" spans="1:27" ht="13">
      <c r="A247" s="34"/>
      <c r="B247" s="52"/>
      <c r="C247" s="34"/>
      <c r="D247" s="34"/>
      <c r="E247" s="34"/>
      <c r="F247" s="34"/>
      <c r="G247" s="33"/>
      <c r="H247" s="34"/>
      <c r="I247" s="34"/>
      <c r="J247" s="33"/>
      <c r="K247" s="34"/>
      <c r="L247" s="34"/>
      <c r="M247" s="34"/>
      <c r="N247" s="34"/>
      <c r="O247" s="34"/>
      <c r="P247" s="34"/>
      <c r="Q247" s="34"/>
      <c r="R247" s="34"/>
      <c r="S247" s="34"/>
      <c r="T247" s="34"/>
      <c r="U247" s="34"/>
      <c r="V247" s="34"/>
      <c r="W247" s="34"/>
      <c r="X247" s="34"/>
      <c r="Y247" s="34"/>
      <c r="Z247" s="34"/>
      <c r="AA247" s="34"/>
    </row>
    <row r="248" spans="1:27" ht="13">
      <c r="A248" s="34"/>
      <c r="B248" s="52"/>
      <c r="C248" s="34"/>
      <c r="D248" s="34"/>
      <c r="E248" s="34"/>
      <c r="F248" s="34"/>
      <c r="G248" s="33"/>
      <c r="H248" s="34"/>
      <c r="I248" s="34"/>
      <c r="J248" s="33"/>
      <c r="K248" s="34"/>
      <c r="L248" s="34"/>
      <c r="M248" s="34"/>
      <c r="N248" s="34"/>
      <c r="O248" s="34"/>
      <c r="P248" s="34"/>
      <c r="Q248" s="34"/>
      <c r="R248" s="34"/>
      <c r="S248" s="34"/>
      <c r="T248" s="34"/>
      <c r="U248" s="34"/>
      <c r="V248" s="34"/>
      <c r="W248" s="34"/>
      <c r="X248" s="34"/>
      <c r="Y248" s="34"/>
      <c r="Z248" s="34"/>
      <c r="AA248" s="34"/>
    </row>
    <row r="249" spans="1:27" ht="13">
      <c r="A249" s="34"/>
      <c r="B249" s="52"/>
      <c r="C249" s="34"/>
      <c r="D249" s="34"/>
      <c r="E249" s="34"/>
      <c r="F249" s="34"/>
      <c r="G249" s="33"/>
      <c r="H249" s="34"/>
      <c r="I249" s="34"/>
      <c r="J249" s="33"/>
      <c r="K249" s="34"/>
      <c r="L249" s="34"/>
      <c r="M249" s="34"/>
      <c r="N249" s="34"/>
      <c r="O249" s="34"/>
      <c r="P249" s="34"/>
      <c r="Q249" s="34"/>
      <c r="R249" s="34"/>
      <c r="S249" s="34"/>
      <c r="T249" s="34"/>
      <c r="U249" s="34"/>
      <c r="V249" s="34"/>
      <c r="W249" s="34"/>
      <c r="X249" s="34"/>
      <c r="Y249" s="34"/>
      <c r="Z249" s="34"/>
      <c r="AA249" s="34"/>
    </row>
    <row r="250" spans="1:27" ht="13">
      <c r="A250" s="34"/>
      <c r="B250" s="52"/>
      <c r="C250" s="34"/>
      <c r="D250" s="34"/>
      <c r="E250" s="34"/>
      <c r="F250" s="34"/>
      <c r="G250" s="33"/>
      <c r="H250" s="34"/>
      <c r="I250" s="34"/>
      <c r="J250" s="33"/>
      <c r="K250" s="34"/>
      <c r="L250" s="34"/>
      <c r="M250" s="34"/>
      <c r="N250" s="34"/>
      <c r="O250" s="34"/>
      <c r="P250" s="34"/>
      <c r="Q250" s="34"/>
      <c r="R250" s="34"/>
      <c r="S250" s="34"/>
      <c r="T250" s="34"/>
      <c r="U250" s="34"/>
      <c r="V250" s="34"/>
      <c r="W250" s="34"/>
      <c r="X250" s="34"/>
      <c r="Y250" s="34"/>
      <c r="Z250" s="34"/>
      <c r="AA250" s="34"/>
    </row>
    <row r="251" spans="1:27" ht="13">
      <c r="A251" s="34"/>
      <c r="B251" s="52"/>
      <c r="C251" s="34"/>
      <c r="D251" s="34"/>
      <c r="E251" s="34"/>
      <c r="F251" s="34"/>
      <c r="G251" s="33"/>
      <c r="H251" s="34"/>
      <c r="I251" s="34"/>
      <c r="J251" s="33"/>
      <c r="K251" s="34"/>
      <c r="L251" s="34"/>
      <c r="M251" s="34"/>
      <c r="N251" s="34"/>
      <c r="O251" s="34"/>
      <c r="P251" s="34"/>
      <c r="Q251" s="34"/>
      <c r="R251" s="34"/>
      <c r="S251" s="34"/>
      <c r="T251" s="34"/>
      <c r="U251" s="34"/>
      <c r="V251" s="34"/>
      <c r="W251" s="34"/>
      <c r="X251" s="34"/>
      <c r="Y251" s="34"/>
      <c r="Z251" s="34"/>
      <c r="AA251" s="34"/>
    </row>
    <row r="252" spans="1:27" ht="13">
      <c r="A252" s="34"/>
      <c r="B252" s="52"/>
      <c r="C252" s="34"/>
      <c r="D252" s="34"/>
      <c r="E252" s="34"/>
      <c r="F252" s="34"/>
      <c r="G252" s="33"/>
      <c r="H252" s="34"/>
      <c r="I252" s="34"/>
      <c r="J252" s="33"/>
      <c r="K252" s="34"/>
      <c r="L252" s="34"/>
      <c r="M252" s="34"/>
      <c r="N252" s="34"/>
      <c r="O252" s="34"/>
      <c r="P252" s="34"/>
      <c r="Q252" s="34"/>
      <c r="R252" s="34"/>
      <c r="S252" s="34"/>
      <c r="T252" s="34"/>
      <c r="U252" s="34"/>
      <c r="V252" s="34"/>
      <c r="W252" s="34"/>
      <c r="X252" s="34"/>
      <c r="Y252" s="34"/>
      <c r="Z252" s="34"/>
      <c r="AA252" s="34"/>
    </row>
    <row r="253" spans="1:27" ht="13">
      <c r="A253" s="34"/>
      <c r="B253" s="52"/>
      <c r="C253" s="34"/>
      <c r="D253" s="34"/>
      <c r="E253" s="34"/>
      <c r="F253" s="34"/>
      <c r="G253" s="33"/>
      <c r="H253" s="34"/>
      <c r="I253" s="34"/>
      <c r="J253" s="33"/>
      <c r="K253" s="34"/>
      <c r="L253" s="34"/>
      <c r="M253" s="34"/>
      <c r="N253" s="34"/>
      <c r="O253" s="34"/>
      <c r="P253" s="34"/>
      <c r="Q253" s="34"/>
      <c r="R253" s="34"/>
      <c r="S253" s="34"/>
      <c r="T253" s="34"/>
      <c r="U253" s="34"/>
      <c r="V253" s="34"/>
      <c r="W253" s="34"/>
      <c r="X253" s="34"/>
      <c r="Y253" s="34"/>
      <c r="Z253" s="34"/>
      <c r="AA253" s="34"/>
    </row>
    <row r="254" spans="1:27" ht="13">
      <c r="A254" s="34"/>
      <c r="B254" s="52"/>
      <c r="C254" s="34"/>
      <c r="D254" s="34"/>
      <c r="E254" s="34"/>
      <c r="F254" s="34"/>
      <c r="G254" s="33"/>
      <c r="H254" s="34"/>
      <c r="I254" s="34"/>
      <c r="J254" s="33"/>
      <c r="K254" s="34"/>
      <c r="L254" s="34"/>
      <c r="M254" s="34"/>
      <c r="N254" s="34"/>
      <c r="O254" s="34"/>
      <c r="P254" s="34"/>
      <c r="Q254" s="34"/>
      <c r="R254" s="34"/>
      <c r="S254" s="34"/>
      <c r="T254" s="34"/>
      <c r="U254" s="34"/>
      <c r="V254" s="34"/>
      <c r="W254" s="34"/>
      <c r="X254" s="34"/>
      <c r="Y254" s="34"/>
      <c r="Z254" s="34"/>
      <c r="AA254" s="34"/>
    </row>
    <row r="255" spans="1:27" ht="13">
      <c r="A255" s="34"/>
      <c r="B255" s="52"/>
      <c r="C255" s="34"/>
      <c r="D255" s="34"/>
      <c r="E255" s="34"/>
      <c r="F255" s="34"/>
      <c r="G255" s="33"/>
      <c r="H255" s="34"/>
      <c r="I255" s="34"/>
      <c r="J255" s="33"/>
      <c r="K255" s="34"/>
      <c r="L255" s="34"/>
      <c r="M255" s="34"/>
      <c r="N255" s="34"/>
      <c r="O255" s="34"/>
      <c r="P255" s="34"/>
      <c r="Q255" s="34"/>
      <c r="R255" s="34"/>
      <c r="S255" s="34"/>
      <c r="T255" s="34"/>
      <c r="U255" s="34"/>
      <c r="V255" s="34"/>
      <c r="W255" s="34"/>
      <c r="X255" s="34"/>
      <c r="Y255" s="34"/>
      <c r="Z255" s="34"/>
      <c r="AA255" s="34"/>
    </row>
    <row r="256" spans="1:27" ht="13">
      <c r="A256" s="34"/>
      <c r="B256" s="52"/>
      <c r="C256" s="34"/>
      <c r="D256" s="34"/>
      <c r="E256" s="34"/>
      <c r="F256" s="34"/>
      <c r="G256" s="33"/>
      <c r="H256" s="34"/>
      <c r="I256" s="34"/>
      <c r="J256" s="33"/>
      <c r="K256" s="34"/>
      <c r="L256" s="34"/>
      <c r="M256" s="34"/>
      <c r="N256" s="34"/>
      <c r="O256" s="34"/>
      <c r="P256" s="34"/>
      <c r="Q256" s="34"/>
      <c r="R256" s="34"/>
      <c r="S256" s="34"/>
      <c r="T256" s="34"/>
      <c r="U256" s="34"/>
      <c r="V256" s="34"/>
      <c r="W256" s="34"/>
      <c r="X256" s="34"/>
      <c r="Y256" s="34"/>
      <c r="Z256" s="34"/>
      <c r="AA256" s="34"/>
    </row>
    <row r="257" spans="1:27" ht="13">
      <c r="A257" s="34"/>
      <c r="B257" s="52"/>
      <c r="C257" s="34"/>
      <c r="D257" s="34"/>
      <c r="E257" s="34"/>
      <c r="F257" s="34"/>
      <c r="G257" s="33"/>
      <c r="H257" s="34"/>
      <c r="I257" s="34"/>
      <c r="J257" s="33"/>
      <c r="K257" s="34"/>
      <c r="L257" s="34"/>
      <c r="M257" s="34"/>
      <c r="N257" s="34"/>
      <c r="O257" s="34"/>
      <c r="P257" s="34"/>
      <c r="Q257" s="34"/>
      <c r="R257" s="34"/>
      <c r="S257" s="34"/>
      <c r="T257" s="34"/>
      <c r="U257" s="34"/>
      <c r="V257" s="34"/>
      <c r="W257" s="34"/>
      <c r="X257" s="34"/>
      <c r="Y257" s="34"/>
      <c r="Z257" s="34"/>
      <c r="AA257" s="34"/>
    </row>
    <row r="258" spans="1:27" ht="13">
      <c r="A258" s="34"/>
      <c r="B258" s="52"/>
      <c r="C258" s="34"/>
      <c r="D258" s="34"/>
      <c r="E258" s="34"/>
      <c r="F258" s="34"/>
      <c r="G258" s="33"/>
      <c r="H258" s="34"/>
      <c r="I258" s="34"/>
      <c r="J258" s="33"/>
      <c r="K258" s="34"/>
      <c r="L258" s="34"/>
      <c r="M258" s="34"/>
      <c r="N258" s="34"/>
      <c r="O258" s="34"/>
      <c r="P258" s="34"/>
      <c r="Q258" s="34"/>
      <c r="R258" s="34"/>
      <c r="S258" s="34"/>
      <c r="T258" s="34"/>
      <c r="U258" s="34"/>
      <c r="V258" s="34"/>
      <c r="W258" s="34"/>
      <c r="X258" s="34"/>
      <c r="Y258" s="34"/>
      <c r="Z258" s="34"/>
      <c r="AA258" s="34"/>
    </row>
    <row r="259" spans="1:27" ht="13">
      <c r="A259" s="34"/>
      <c r="B259" s="52"/>
      <c r="C259" s="34"/>
      <c r="D259" s="34"/>
      <c r="E259" s="34"/>
      <c r="F259" s="34"/>
      <c r="G259" s="33"/>
      <c r="H259" s="34"/>
      <c r="I259" s="34"/>
      <c r="J259" s="33"/>
      <c r="K259" s="34"/>
      <c r="L259" s="34"/>
      <c r="M259" s="34"/>
      <c r="N259" s="34"/>
      <c r="O259" s="34"/>
      <c r="P259" s="34"/>
      <c r="Q259" s="34"/>
      <c r="R259" s="34"/>
      <c r="S259" s="34"/>
      <c r="T259" s="34"/>
      <c r="U259" s="34"/>
      <c r="V259" s="34"/>
      <c r="W259" s="34"/>
      <c r="X259" s="34"/>
      <c r="Y259" s="34"/>
      <c r="Z259" s="34"/>
      <c r="AA259" s="34"/>
    </row>
    <row r="260" spans="1:27" ht="13">
      <c r="A260" s="34"/>
      <c r="B260" s="52"/>
      <c r="C260" s="34"/>
      <c r="D260" s="34"/>
      <c r="E260" s="34"/>
      <c r="F260" s="34"/>
      <c r="G260" s="33"/>
      <c r="H260" s="34"/>
      <c r="I260" s="34"/>
      <c r="J260" s="33"/>
      <c r="K260" s="34"/>
      <c r="L260" s="34"/>
      <c r="M260" s="34"/>
      <c r="N260" s="34"/>
      <c r="O260" s="34"/>
      <c r="P260" s="34"/>
      <c r="Q260" s="34"/>
      <c r="R260" s="34"/>
      <c r="S260" s="34"/>
      <c r="T260" s="34"/>
      <c r="U260" s="34"/>
      <c r="V260" s="34"/>
      <c r="W260" s="34"/>
      <c r="X260" s="34"/>
      <c r="Y260" s="34"/>
      <c r="Z260" s="34"/>
      <c r="AA260" s="34"/>
    </row>
    <row r="261" spans="1:27" ht="13">
      <c r="A261" s="34"/>
      <c r="B261" s="52"/>
      <c r="C261" s="34"/>
      <c r="D261" s="34"/>
      <c r="E261" s="34"/>
      <c r="F261" s="34"/>
      <c r="G261" s="33"/>
      <c r="H261" s="34"/>
      <c r="I261" s="34"/>
      <c r="J261" s="33"/>
      <c r="K261" s="34"/>
      <c r="L261" s="34"/>
      <c r="M261" s="34"/>
      <c r="N261" s="34"/>
      <c r="O261" s="34"/>
      <c r="P261" s="34"/>
      <c r="Q261" s="34"/>
      <c r="R261" s="34"/>
      <c r="S261" s="34"/>
      <c r="T261" s="34"/>
      <c r="U261" s="34"/>
      <c r="V261" s="34"/>
      <c r="W261" s="34"/>
      <c r="X261" s="34"/>
      <c r="Y261" s="34"/>
      <c r="Z261" s="34"/>
      <c r="AA261" s="34"/>
    </row>
    <row r="262" spans="1:27" ht="13">
      <c r="A262" s="34"/>
      <c r="B262" s="52"/>
      <c r="C262" s="34"/>
      <c r="D262" s="34"/>
      <c r="E262" s="34"/>
      <c r="F262" s="34"/>
      <c r="G262" s="33"/>
      <c r="H262" s="34"/>
      <c r="I262" s="34"/>
      <c r="J262" s="33"/>
      <c r="K262" s="34"/>
      <c r="L262" s="34"/>
      <c r="M262" s="34"/>
      <c r="N262" s="34"/>
      <c r="O262" s="34"/>
      <c r="P262" s="34"/>
      <c r="Q262" s="34"/>
      <c r="R262" s="34"/>
      <c r="S262" s="34"/>
      <c r="T262" s="34"/>
      <c r="U262" s="34"/>
      <c r="V262" s="34"/>
      <c r="W262" s="34"/>
      <c r="X262" s="34"/>
      <c r="Y262" s="34"/>
      <c r="Z262" s="34"/>
      <c r="AA262" s="34"/>
    </row>
    <row r="263" spans="1:27" ht="13">
      <c r="A263" s="34"/>
      <c r="B263" s="52"/>
      <c r="C263" s="34"/>
      <c r="D263" s="34"/>
      <c r="E263" s="34"/>
      <c r="F263" s="34"/>
      <c r="G263" s="33"/>
      <c r="H263" s="34"/>
      <c r="I263" s="34"/>
      <c r="J263" s="33"/>
      <c r="K263" s="34"/>
      <c r="L263" s="34"/>
      <c r="M263" s="34"/>
      <c r="N263" s="34"/>
      <c r="O263" s="34"/>
      <c r="P263" s="34"/>
      <c r="Q263" s="34"/>
      <c r="R263" s="34"/>
      <c r="S263" s="34"/>
      <c r="T263" s="34"/>
      <c r="U263" s="34"/>
      <c r="V263" s="34"/>
      <c r="W263" s="34"/>
      <c r="X263" s="34"/>
      <c r="Y263" s="34"/>
      <c r="Z263" s="34"/>
      <c r="AA263" s="34"/>
    </row>
    <row r="264" spans="1:27" ht="13">
      <c r="A264" s="34"/>
      <c r="B264" s="52"/>
      <c r="C264" s="34"/>
      <c r="D264" s="34"/>
      <c r="E264" s="34"/>
      <c r="F264" s="34"/>
      <c r="G264" s="33"/>
      <c r="H264" s="34"/>
      <c r="I264" s="34"/>
      <c r="J264" s="33"/>
      <c r="K264" s="34"/>
      <c r="L264" s="34"/>
      <c r="M264" s="34"/>
      <c r="N264" s="34"/>
      <c r="O264" s="34"/>
      <c r="P264" s="34"/>
      <c r="Q264" s="34"/>
      <c r="R264" s="34"/>
      <c r="S264" s="34"/>
      <c r="T264" s="34"/>
      <c r="U264" s="34"/>
      <c r="V264" s="34"/>
      <c r="W264" s="34"/>
      <c r="X264" s="34"/>
      <c r="Y264" s="34"/>
      <c r="Z264" s="34"/>
      <c r="AA264" s="34"/>
    </row>
    <row r="265" spans="1:27" ht="13">
      <c r="A265" s="34"/>
      <c r="B265" s="52"/>
      <c r="C265" s="34"/>
      <c r="D265" s="34"/>
      <c r="E265" s="34"/>
      <c r="F265" s="34"/>
      <c r="G265" s="33"/>
      <c r="H265" s="34"/>
      <c r="I265" s="34"/>
      <c r="J265" s="33"/>
      <c r="K265" s="34"/>
      <c r="L265" s="34"/>
      <c r="M265" s="34"/>
      <c r="N265" s="34"/>
      <c r="O265" s="34"/>
      <c r="P265" s="34"/>
      <c r="Q265" s="34"/>
      <c r="R265" s="34"/>
      <c r="S265" s="34"/>
      <c r="T265" s="34"/>
      <c r="U265" s="34"/>
      <c r="V265" s="34"/>
      <c r="W265" s="34"/>
      <c r="X265" s="34"/>
      <c r="Y265" s="34"/>
      <c r="Z265" s="34"/>
      <c r="AA265" s="34"/>
    </row>
    <row r="266" spans="1:27" ht="13">
      <c r="A266" s="34"/>
      <c r="B266" s="52"/>
      <c r="C266" s="34"/>
      <c r="D266" s="34"/>
      <c r="E266" s="34"/>
      <c r="F266" s="34"/>
      <c r="G266" s="33"/>
      <c r="H266" s="34"/>
      <c r="I266" s="34"/>
      <c r="J266" s="33"/>
      <c r="K266" s="34"/>
      <c r="L266" s="34"/>
      <c r="M266" s="34"/>
      <c r="N266" s="34"/>
      <c r="O266" s="34"/>
      <c r="P266" s="34"/>
      <c r="Q266" s="34"/>
      <c r="R266" s="34"/>
      <c r="S266" s="34"/>
      <c r="T266" s="34"/>
      <c r="U266" s="34"/>
      <c r="V266" s="34"/>
      <c r="W266" s="34"/>
      <c r="X266" s="34"/>
      <c r="Y266" s="34"/>
      <c r="Z266" s="34"/>
      <c r="AA266" s="34"/>
    </row>
    <row r="267" spans="1:27" ht="13">
      <c r="A267" s="34"/>
      <c r="B267" s="52"/>
      <c r="C267" s="34"/>
      <c r="D267" s="34"/>
      <c r="E267" s="34"/>
      <c r="F267" s="34"/>
      <c r="G267" s="33"/>
      <c r="H267" s="34"/>
      <c r="I267" s="34"/>
      <c r="J267" s="33"/>
      <c r="K267" s="34"/>
      <c r="L267" s="34"/>
      <c r="M267" s="34"/>
      <c r="N267" s="34"/>
      <c r="O267" s="34"/>
      <c r="P267" s="34"/>
      <c r="Q267" s="34"/>
      <c r="R267" s="34"/>
      <c r="S267" s="34"/>
      <c r="T267" s="34"/>
      <c r="U267" s="34"/>
      <c r="V267" s="34"/>
      <c r="W267" s="34"/>
      <c r="X267" s="34"/>
      <c r="Y267" s="34"/>
      <c r="Z267" s="34"/>
      <c r="AA267" s="34"/>
    </row>
    <row r="268" spans="1:27" ht="13">
      <c r="A268" s="34"/>
      <c r="B268" s="52"/>
      <c r="C268" s="34"/>
      <c r="D268" s="34"/>
      <c r="E268" s="34"/>
      <c r="F268" s="34"/>
      <c r="G268" s="33"/>
      <c r="H268" s="34"/>
      <c r="I268" s="34"/>
      <c r="J268" s="33"/>
      <c r="K268" s="34"/>
      <c r="L268" s="34"/>
      <c r="M268" s="34"/>
      <c r="N268" s="34"/>
      <c r="O268" s="34"/>
      <c r="P268" s="34"/>
      <c r="Q268" s="34"/>
      <c r="R268" s="34"/>
      <c r="S268" s="34"/>
      <c r="T268" s="34"/>
      <c r="U268" s="34"/>
      <c r="V268" s="34"/>
      <c r="W268" s="34"/>
      <c r="X268" s="34"/>
      <c r="Y268" s="34"/>
      <c r="Z268" s="34"/>
      <c r="AA268" s="34"/>
    </row>
    <row r="269" spans="1:27" ht="13">
      <c r="A269" s="34"/>
      <c r="B269" s="52"/>
      <c r="C269" s="34"/>
      <c r="D269" s="34"/>
      <c r="E269" s="34"/>
      <c r="F269" s="34"/>
      <c r="G269" s="33"/>
      <c r="H269" s="34"/>
      <c r="I269" s="34"/>
      <c r="J269" s="33"/>
      <c r="K269" s="34"/>
      <c r="L269" s="34"/>
      <c r="M269" s="34"/>
      <c r="N269" s="34"/>
      <c r="O269" s="34"/>
      <c r="P269" s="34"/>
      <c r="Q269" s="34"/>
      <c r="R269" s="34"/>
      <c r="S269" s="34"/>
      <c r="T269" s="34"/>
      <c r="U269" s="34"/>
      <c r="V269" s="34"/>
      <c r="W269" s="34"/>
      <c r="X269" s="34"/>
      <c r="Y269" s="34"/>
      <c r="Z269" s="34"/>
      <c r="AA269" s="34"/>
    </row>
    <row r="270" spans="1:27" ht="13">
      <c r="A270" s="34"/>
      <c r="B270" s="52"/>
      <c r="C270" s="34"/>
      <c r="D270" s="34"/>
      <c r="E270" s="34"/>
      <c r="F270" s="34"/>
      <c r="G270" s="33"/>
      <c r="H270" s="34"/>
      <c r="I270" s="34"/>
      <c r="J270" s="33"/>
      <c r="K270" s="34"/>
      <c r="L270" s="34"/>
      <c r="M270" s="34"/>
      <c r="N270" s="34"/>
      <c r="O270" s="34"/>
      <c r="P270" s="34"/>
      <c r="Q270" s="34"/>
      <c r="R270" s="34"/>
      <c r="S270" s="34"/>
      <c r="T270" s="34"/>
      <c r="U270" s="34"/>
      <c r="V270" s="34"/>
      <c r="W270" s="34"/>
      <c r="X270" s="34"/>
      <c r="Y270" s="34"/>
      <c r="Z270" s="34"/>
      <c r="AA270" s="34"/>
    </row>
    <row r="271" spans="1:27" ht="13">
      <c r="A271" s="34"/>
      <c r="B271" s="52"/>
      <c r="C271" s="34"/>
      <c r="D271" s="34"/>
      <c r="E271" s="34"/>
      <c r="F271" s="34"/>
      <c r="G271" s="33"/>
      <c r="H271" s="34"/>
      <c r="I271" s="34"/>
      <c r="J271" s="33"/>
      <c r="K271" s="34"/>
      <c r="L271" s="34"/>
      <c r="M271" s="34"/>
      <c r="N271" s="34"/>
      <c r="O271" s="34"/>
      <c r="P271" s="34"/>
      <c r="Q271" s="34"/>
      <c r="R271" s="34"/>
      <c r="S271" s="34"/>
      <c r="T271" s="34"/>
      <c r="U271" s="34"/>
      <c r="V271" s="34"/>
      <c r="W271" s="34"/>
      <c r="X271" s="34"/>
      <c r="Y271" s="34"/>
      <c r="Z271" s="34"/>
      <c r="AA271" s="34"/>
    </row>
    <row r="272" spans="1:27" ht="13">
      <c r="A272" s="34"/>
      <c r="B272" s="52"/>
      <c r="C272" s="34"/>
      <c r="D272" s="34"/>
      <c r="E272" s="34"/>
      <c r="F272" s="34"/>
      <c r="G272" s="33"/>
      <c r="H272" s="34"/>
      <c r="I272" s="34"/>
      <c r="J272" s="33"/>
      <c r="K272" s="34"/>
      <c r="L272" s="34"/>
      <c r="M272" s="34"/>
      <c r="N272" s="34"/>
      <c r="O272" s="34"/>
      <c r="P272" s="34"/>
      <c r="Q272" s="34"/>
      <c r="R272" s="34"/>
      <c r="S272" s="34"/>
      <c r="T272" s="34"/>
      <c r="U272" s="34"/>
      <c r="V272" s="34"/>
      <c r="W272" s="34"/>
      <c r="X272" s="34"/>
      <c r="Y272" s="34"/>
      <c r="Z272" s="34"/>
      <c r="AA272" s="34"/>
    </row>
    <row r="273" spans="1:27" ht="13">
      <c r="A273" s="34"/>
      <c r="B273" s="52"/>
      <c r="C273" s="34"/>
      <c r="D273" s="34"/>
      <c r="E273" s="34"/>
      <c r="F273" s="34"/>
      <c r="G273" s="33"/>
      <c r="H273" s="34"/>
      <c r="I273" s="34"/>
      <c r="J273" s="33"/>
      <c r="K273" s="34"/>
      <c r="L273" s="34"/>
      <c r="M273" s="34"/>
      <c r="N273" s="34"/>
      <c r="O273" s="34"/>
      <c r="P273" s="34"/>
      <c r="Q273" s="34"/>
      <c r="R273" s="34"/>
      <c r="S273" s="34"/>
      <c r="T273" s="34"/>
      <c r="U273" s="34"/>
      <c r="V273" s="34"/>
      <c r="W273" s="34"/>
      <c r="X273" s="34"/>
      <c r="Y273" s="34"/>
      <c r="Z273" s="34"/>
      <c r="AA273" s="34"/>
    </row>
    <row r="274" spans="1:27" ht="13">
      <c r="A274" s="34"/>
      <c r="B274" s="52"/>
      <c r="C274" s="34"/>
      <c r="D274" s="34"/>
      <c r="E274" s="34"/>
      <c r="F274" s="34"/>
      <c r="G274" s="33"/>
      <c r="H274" s="34"/>
      <c r="I274" s="34"/>
      <c r="J274" s="33"/>
      <c r="K274" s="34"/>
      <c r="L274" s="34"/>
      <c r="M274" s="34"/>
      <c r="N274" s="34"/>
      <c r="O274" s="34"/>
      <c r="P274" s="34"/>
      <c r="Q274" s="34"/>
      <c r="R274" s="34"/>
      <c r="S274" s="34"/>
      <c r="T274" s="34"/>
      <c r="U274" s="34"/>
      <c r="V274" s="34"/>
      <c r="W274" s="34"/>
      <c r="X274" s="34"/>
      <c r="Y274" s="34"/>
      <c r="Z274" s="34"/>
      <c r="AA274" s="34"/>
    </row>
    <row r="275" spans="1:27" ht="13">
      <c r="A275" s="34"/>
      <c r="B275" s="52"/>
      <c r="C275" s="34"/>
      <c r="D275" s="34"/>
      <c r="E275" s="34"/>
      <c r="F275" s="34"/>
      <c r="G275" s="33"/>
      <c r="H275" s="34"/>
      <c r="I275" s="34"/>
      <c r="J275" s="33"/>
      <c r="K275" s="34"/>
      <c r="L275" s="34"/>
      <c r="M275" s="34"/>
      <c r="N275" s="34"/>
      <c r="O275" s="34"/>
      <c r="P275" s="34"/>
      <c r="Q275" s="34"/>
      <c r="R275" s="34"/>
      <c r="S275" s="34"/>
      <c r="T275" s="34"/>
      <c r="U275" s="34"/>
      <c r="V275" s="34"/>
      <c r="W275" s="34"/>
      <c r="X275" s="34"/>
      <c r="Y275" s="34"/>
      <c r="Z275" s="34"/>
      <c r="AA275" s="34"/>
    </row>
    <row r="276" spans="1:27" ht="13">
      <c r="A276" s="34"/>
      <c r="B276" s="52"/>
      <c r="C276" s="34"/>
      <c r="D276" s="34"/>
      <c r="E276" s="34"/>
      <c r="F276" s="34"/>
      <c r="G276" s="33"/>
      <c r="H276" s="34"/>
      <c r="I276" s="34"/>
      <c r="J276" s="33"/>
      <c r="K276" s="34"/>
      <c r="L276" s="34"/>
      <c r="M276" s="34"/>
      <c r="N276" s="34"/>
      <c r="O276" s="34"/>
      <c r="P276" s="34"/>
      <c r="Q276" s="34"/>
      <c r="R276" s="34"/>
      <c r="S276" s="34"/>
      <c r="T276" s="34"/>
      <c r="U276" s="34"/>
      <c r="V276" s="34"/>
      <c r="W276" s="34"/>
      <c r="X276" s="34"/>
      <c r="Y276" s="34"/>
      <c r="Z276" s="34"/>
      <c r="AA276" s="34"/>
    </row>
    <row r="277" spans="1:27" ht="13">
      <c r="A277" s="34"/>
      <c r="B277" s="52"/>
      <c r="C277" s="34"/>
      <c r="D277" s="34"/>
      <c r="E277" s="34"/>
      <c r="F277" s="34"/>
      <c r="G277" s="33"/>
      <c r="H277" s="34"/>
      <c r="I277" s="34"/>
      <c r="J277" s="33"/>
      <c r="K277" s="34"/>
      <c r="L277" s="34"/>
      <c r="M277" s="34"/>
      <c r="N277" s="34"/>
      <c r="O277" s="34"/>
      <c r="P277" s="34"/>
      <c r="Q277" s="34"/>
      <c r="R277" s="34"/>
      <c r="S277" s="34"/>
      <c r="T277" s="34"/>
      <c r="U277" s="34"/>
      <c r="V277" s="34"/>
      <c r="W277" s="34"/>
      <c r="X277" s="34"/>
      <c r="Y277" s="34"/>
      <c r="Z277" s="34"/>
      <c r="AA277" s="34"/>
    </row>
    <row r="278" spans="1:27" ht="13">
      <c r="A278" s="34"/>
      <c r="B278" s="52"/>
      <c r="C278" s="34"/>
      <c r="D278" s="34"/>
      <c r="E278" s="34"/>
      <c r="F278" s="34"/>
      <c r="G278" s="33"/>
      <c r="H278" s="34"/>
      <c r="I278" s="34"/>
      <c r="J278" s="33"/>
      <c r="K278" s="34"/>
      <c r="L278" s="34"/>
      <c r="M278" s="34"/>
      <c r="N278" s="34"/>
      <c r="O278" s="34"/>
      <c r="P278" s="34"/>
      <c r="Q278" s="34"/>
      <c r="R278" s="34"/>
      <c r="S278" s="34"/>
      <c r="T278" s="34"/>
      <c r="U278" s="34"/>
      <c r="V278" s="34"/>
      <c r="W278" s="34"/>
      <c r="X278" s="34"/>
      <c r="Y278" s="34"/>
      <c r="Z278" s="34"/>
      <c r="AA278" s="34"/>
    </row>
    <row r="279" spans="1:27" ht="13">
      <c r="A279" s="34"/>
      <c r="B279" s="52"/>
      <c r="C279" s="34"/>
      <c r="D279" s="34"/>
      <c r="E279" s="34"/>
      <c r="F279" s="34"/>
      <c r="G279" s="33"/>
      <c r="H279" s="34"/>
      <c r="I279" s="34"/>
      <c r="J279" s="33"/>
      <c r="K279" s="34"/>
      <c r="L279" s="34"/>
      <c r="M279" s="34"/>
      <c r="N279" s="34"/>
      <c r="O279" s="34"/>
      <c r="P279" s="34"/>
      <c r="Q279" s="34"/>
      <c r="R279" s="34"/>
      <c r="S279" s="34"/>
      <c r="T279" s="34"/>
      <c r="U279" s="34"/>
      <c r="V279" s="34"/>
      <c r="W279" s="34"/>
      <c r="X279" s="34"/>
      <c r="Y279" s="34"/>
      <c r="Z279" s="34"/>
      <c r="AA279" s="34"/>
    </row>
    <row r="280" spans="1:27" ht="13">
      <c r="A280" s="34"/>
      <c r="B280" s="52"/>
      <c r="C280" s="34"/>
      <c r="D280" s="34"/>
      <c r="E280" s="34"/>
      <c r="F280" s="34"/>
      <c r="G280" s="33"/>
      <c r="H280" s="34"/>
      <c r="I280" s="34"/>
      <c r="J280" s="33"/>
      <c r="K280" s="34"/>
      <c r="L280" s="34"/>
      <c r="M280" s="34"/>
      <c r="N280" s="34"/>
      <c r="O280" s="34"/>
      <c r="P280" s="34"/>
      <c r="Q280" s="34"/>
      <c r="R280" s="34"/>
      <c r="S280" s="34"/>
      <c r="T280" s="34"/>
      <c r="U280" s="34"/>
      <c r="V280" s="34"/>
      <c r="W280" s="34"/>
      <c r="X280" s="34"/>
      <c r="Y280" s="34"/>
      <c r="Z280" s="34"/>
      <c r="AA280" s="34"/>
    </row>
    <row r="281" spans="1:27" ht="13">
      <c r="A281" s="34"/>
      <c r="B281" s="52"/>
      <c r="C281" s="34"/>
      <c r="D281" s="34"/>
      <c r="E281" s="34"/>
      <c r="F281" s="34"/>
      <c r="G281" s="33"/>
      <c r="H281" s="34"/>
      <c r="I281" s="34"/>
      <c r="J281" s="33"/>
      <c r="K281" s="34"/>
      <c r="L281" s="34"/>
      <c r="M281" s="34"/>
      <c r="N281" s="34"/>
      <c r="O281" s="34"/>
      <c r="P281" s="34"/>
      <c r="Q281" s="34"/>
      <c r="R281" s="34"/>
      <c r="S281" s="34"/>
      <c r="T281" s="34"/>
      <c r="U281" s="34"/>
      <c r="V281" s="34"/>
      <c r="W281" s="34"/>
      <c r="X281" s="34"/>
      <c r="Y281" s="34"/>
      <c r="Z281" s="34"/>
      <c r="AA281" s="34"/>
    </row>
    <row r="282" spans="1:27" ht="13">
      <c r="A282" s="34"/>
      <c r="B282" s="52"/>
      <c r="C282" s="34"/>
      <c r="D282" s="34"/>
      <c r="E282" s="34"/>
      <c r="F282" s="34"/>
      <c r="G282" s="33"/>
      <c r="H282" s="34"/>
      <c r="I282" s="34"/>
      <c r="J282" s="33"/>
      <c r="K282" s="34"/>
      <c r="L282" s="34"/>
      <c r="M282" s="34"/>
      <c r="N282" s="34"/>
      <c r="O282" s="34"/>
      <c r="P282" s="34"/>
      <c r="Q282" s="34"/>
      <c r="R282" s="34"/>
      <c r="S282" s="34"/>
      <c r="T282" s="34"/>
      <c r="U282" s="34"/>
      <c r="V282" s="34"/>
      <c r="W282" s="34"/>
      <c r="X282" s="34"/>
      <c r="Y282" s="34"/>
      <c r="Z282" s="34"/>
      <c r="AA282" s="34"/>
    </row>
    <row r="283" spans="1:27" ht="13">
      <c r="A283" s="34"/>
      <c r="B283" s="52"/>
      <c r="C283" s="34"/>
      <c r="D283" s="34"/>
      <c r="E283" s="34"/>
      <c r="F283" s="34"/>
      <c r="G283" s="33"/>
      <c r="H283" s="34"/>
      <c r="I283" s="34"/>
      <c r="J283" s="33"/>
      <c r="K283" s="34"/>
      <c r="L283" s="34"/>
      <c r="M283" s="34"/>
      <c r="N283" s="34"/>
      <c r="O283" s="34"/>
      <c r="P283" s="34"/>
      <c r="Q283" s="34"/>
      <c r="R283" s="34"/>
      <c r="S283" s="34"/>
      <c r="T283" s="34"/>
      <c r="U283" s="34"/>
      <c r="V283" s="34"/>
      <c r="W283" s="34"/>
      <c r="X283" s="34"/>
      <c r="Y283" s="34"/>
      <c r="Z283" s="34"/>
      <c r="AA283" s="34"/>
    </row>
    <row r="284" spans="1:27" ht="13">
      <c r="A284" s="34"/>
      <c r="B284" s="52"/>
      <c r="C284" s="34"/>
      <c r="D284" s="34"/>
      <c r="E284" s="34"/>
      <c r="F284" s="34"/>
      <c r="G284" s="33"/>
      <c r="H284" s="34"/>
      <c r="I284" s="34"/>
      <c r="J284" s="33"/>
      <c r="K284" s="34"/>
      <c r="L284" s="34"/>
      <c r="M284" s="34"/>
      <c r="N284" s="34"/>
      <c r="O284" s="34"/>
      <c r="P284" s="34"/>
      <c r="Q284" s="34"/>
      <c r="R284" s="34"/>
      <c r="S284" s="34"/>
      <c r="T284" s="34"/>
      <c r="U284" s="34"/>
      <c r="V284" s="34"/>
      <c r="W284" s="34"/>
      <c r="X284" s="34"/>
      <c r="Y284" s="34"/>
      <c r="Z284" s="34"/>
      <c r="AA284" s="34"/>
    </row>
    <row r="285" spans="1:27" ht="13">
      <c r="A285" s="34"/>
      <c r="B285" s="52"/>
      <c r="C285" s="34"/>
      <c r="D285" s="34"/>
      <c r="E285" s="34"/>
      <c r="F285" s="34"/>
      <c r="G285" s="33"/>
      <c r="H285" s="34"/>
      <c r="I285" s="34"/>
      <c r="J285" s="33"/>
      <c r="K285" s="34"/>
      <c r="L285" s="34"/>
      <c r="M285" s="34"/>
      <c r="N285" s="34"/>
      <c r="O285" s="34"/>
      <c r="P285" s="34"/>
      <c r="Q285" s="34"/>
      <c r="R285" s="34"/>
      <c r="S285" s="34"/>
      <c r="T285" s="34"/>
      <c r="U285" s="34"/>
      <c r="V285" s="34"/>
      <c r="W285" s="34"/>
      <c r="X285" s="34"/>
      <c r="Y285" s="34"/>
      <c r="Z285" s="34"/>
      <c r="AA285" s="34"/>
    </row>
    <row r="286" spans="1:27" ht="13">
      <c r="A286" s="34"/>
      <c r="B286" s="52"/>
      <c r="C286" s="34"/>
      <c r="D286" s="34"/>
      <c r="E286" s="34"/>
      <c r="F286" s="34"/>
      <c r="G286" s="33"/>
      <c r="H286" s="34"/>
      <c r="I286" s="34"/>
      <c r="J286" s="33"/>
      <c r="K286" s="34"/>
      <c r="L286" s="34"/>
      <c r="M286" s="34"/>
      <c r="N286" s="34"/>
      <c r="O286" s="34"/>
      <c r="P286" s="34"/>
      <c r="Q286" s="34"/>
      <c r="R286" s="34"/>
      <c r="S286" s="34"/>
      <c r="T286" s="34"/>
      <c r="U286" s="34"/>
      <c r="V286" s="34"/>
      <c r="W286" s="34"/>
      <c r="X286" s="34"/>
      <c r="Y286" s="34"/>
      <c r="Z286" s="34"/>
      <c r="AA286" s="34"/>
    </row>
    <row r="287" spans="1:27" ht="13">
      <c r="A287" s="34"/>
      <c r="B287" s="52"/>
      <c r="C287" s="34"/>
      <c r="D287" s="34"/>
      <c r="E287" s="34"/>
      <c r="F287" s="34"/>
      <c r="G287" s="33"/>
      <c r="H287" s="34"/>
      <c r="I287" s="34"/>
      <c r="J287" s="33"/>
      <c r="K287" s="34"/>
      <c r="L287" s="34"/>
      <c r="M287" s="34"/>
      <c r="N287" s="34"/>
      <c r="O287" s="34"/>
      <c r="P287" s="34"/>
      <c r="Q287" s="34"/>
      <c r="R287" s="34"/>
      <c r="S287" s="34"/>
      <c r="T287" s="34"/>
      <c r="U287" s="34"/>
      <c r="V287" s="34"/>
      <c r="W287" s="34"/>
      <c r="X287" s="34"/>
      <c r="Y287" s="34"/>
      <c r="Z287" s="34"/>
      <c r="AA287" s="34"/>
    </row>
    <row r="288" spans="1:27" ht="13">
      <c r="A288" s="34"/>
      <c r="B288" s="52"/>
      <c r="C288" s="34"/>
      <c r="D288" s="34"/>
      <c r="E288" s="34"/>
      <c r="F288" s="34"/>
      <c r="G288" s="33"/>
      <c r="H288" s="34"/>
      <c r="I288" s="34"/>
      <c r="J288" s="33"/>
      <c r="K288" s="34"/>
      <c r="L288" s="34"/>
      <c r="M288" s="34"/>
      <c r="N288" s="34"/>
      <c r="O288" s="34"/>
      <c r="P288" s="34"/>
      <c r="Q288" s="34"/>
      <c r="R288" s="34"/>
      <c r="S288" s="34"/>
      <c r="T288" s="34"/>
      <c r="U288" s="34"/>
      <c r="V288" s="34"/>
      <c r="W288" s="34"/>
      <c r="X288" s="34"/>
      <c r="Y288" s="34"/>
      <c r="Z288" s="34"/>
      <c r="AA288" s="34"/>
    </row>
    <row r="289" spans="1:27" ht="13">
      <c r="A289" s="34"/>
      <c r="B289" s="52"/>
      <c r="C289" s="34"/>
      <c r="D289" s="34"/>
      <c r="E289" s="34"/>
      <c r="F289" s="34"/>
      <c r="G289" s="33"/>
      <c r="H289" s="34"/>
      <c r="I289" s="34"/>
      <c r="J289" s="33"/>
      <c r="K289" s="34"/>
      <c r="L289" s="34"/>
      <c r="M289" s="34"/>
      <c r="N289" s="34"/>
      <c r="O289" s="34"/>
      <c r="P289" s="34"/>
      <c r="Q289" s="34"/>
      <c r="R289" s="34"/>
      <c r="S289" s="34"/>
      <c r="T289" s="34"/>
      <c r="U289" s="34"/>
      <c r="V289" s="34"/>
      <c r="W289" s="34"/>
      <c r="X289" s="34"/>
      <c r="Y289" s="34"/>
      <c r="Z289" s="34"/>
      <c r="AA289" s="34"/>
    </row>
    <row r="290" spans="1:27" ht="13">
      <c r="A290" s="34"/>
      <c r="B290" s="52"/>
      <c r="C290" s="34"/>
      <c r="D290" s="34"/>
      <c r="E290" s="34"/>
      <c r="F290" s="34"/>
      <c r="G290" s="33"/>
      <c r="H290" s="34"/>
      <c r="I290" s="34"/>
      <c r="J290" s="33"/>
      <c r="K290" s="34"/>
      <c r="L290" s="34"/>
      <c r="M290" s="34"/>
      <c r="N290" s="34"/>
      <c r="O290" s="34"/>
      <c r="P290" s="34"/>
      <c r="Q290" s="34"/>
      <c r="R290" s="34"/>
      <c r="S290" s="34"/>
      <c r="T290" s="34"/>
      <c r="U290" s="34"/>
      <c r="V290" s="34"/>
      <c r="W290" s="34"/>
      <c r="X290" s="34"/>
      <c r="Y290" s="34"/>
      <c r="Z290" s="34"/>
      <c r="AA290" s="34"/>
    </row>
    <row r="291" spans="1:27" ht="13">
      <c r="A291" s="34"/>
      <c r="B291" s="52"/>
      <c r="C291" s="34"/>
      <c r="D291" s="34"/>
      <c r="E291" s="34"/>
      <c r="F291" s="34"/>
      <c r="G291" s="33"/>
      <c r="H291" s="34"/>
      <c r="I291" s="34"/>
      <c r="J291" s="33"/>
      <c r="K291" s="34"/>
      <c r="L291" s="34"/>
      <c r="M291" s="34"/>
      <c r="N291" s="34"/>
      <c r="O291" s="34"/>
      <c r="P291" s="34"/>
      <c r="Q291" s="34"/>
      <c r="R291" s="34"/>
      <c r="S291" s="34"/>
      <c r="T291" s="34"/>
      <c r="U291" s="34"/>
      <c r="V291" s="34"/>
      <c r="W291" s="34"/>
      <c r="X291" s="34"/>
      <c r="Y291" s="34"/>
      <c r="Z291" s="34"/>
      <c r="AA291" s="34"/>
    </row>
    <row r="292" spans="1:27" ht="13">
      <c r="A292" s="34"/>
      <c r="B292" s="52"/>
      <c r="C292" s="34"/>
      <c r="D292" s="34"/>
      <c r="E292" s="34"/>
      <c r="F292" s="34"/>
      <c r="G292" s="33"/>
      <c r="H292" s="34"/>
      <c r="I292" s="34"/>
      <c r="J292" s="33"/>
      <c r="K292" s="34"/>
      <c r="L292" s="34"/>
      <c r="M292" s="34"/>
      <c r="N292" s="34"/>
      <c r="O292" s="34"/>
      <c r="P292" s="34"/>
      <c r="Q292" s="34"/>
      <c r="R292" s="34"/>
      <c r="S292" s="34"/>
      <c r="T292" s="34"/>
      <c r="U292" s="34"/>
      <c r="V292" s="34"/>
      <c r="W292" s="34"/>
      <c r="X292" s="34"/>
      <c r="Y292" s="34"/>
      <c r="Z292" s="34"/>
      <c r="AA292" s="34"/>
    </row>
    <row r="293" spans="1:27" ht="13">
      <c r="A293" s="34"/>
      <c r="B293" s="52"/>
      <c r="C293" s="34"/>
      <c r="D293" s="34"/>
      <c r="E293" s="34"/>
      <c r="F293" s="34"/>
      <c r="G293" s="33"/>
      <c r="H293" s="34"/>
      <c r="I293" s="34"/>
      <c r="J293" s="33"/>
      <c r="K293" s="34"/>
      <c r="L293" s="34"/>
      <c r="M293" s="34"/>
      <c r="N293" s="34"/>
      <c r="O293" s="34"/>
      <c r="P293" s="34"/>
      <c r="Q293" s="34"/>
      <c r="R293" s="34"/>
      <c r="S293" s="34"/>
      <c r="T293" s="34"/>
      <c r="U293" s="34"/>
      <c r="V293" s="34"/>
      <c r="W293" s="34"/>
      <c r="X293" s="34"/>
      <c r="Y293" s="34"/>
      <c r="Z293" s="34"/>
      <c r="AA293" s="34"/>
    </row>
    <row r="294" spans="1:27" ht="13">
      <c r="A294" s="34"/>
      <c r="B294" s="52"/>
      <c r="C294" s="34"/>
      <c r="D294" s="34"/>
      <c r="E294" s="34"/>
      <c r="F294" s="34"/>
      <c r="G294" s="33"/>
      <c r="H294" s="34"/>
      <c r="I294" s="34"/>
      <c r="J294" s="33"/>
      <c r="K294" s="34"/>
      <c r="L294" s="34"/>
      <c r="M294" s="34"/>
      <c r="N294" s="34"/>
      <c r="O294" s="34"/>
      <c r="P294" s="34"/>
      <c r="Q294" s="34"/>
      <c r="R294" s="34"/>
      <c r="S294" s="34"/>
      <c r="T294" s="34"/>
      <c r="U294" s="34"/>
      <c r="V294" s="34"/>
      <c r="W294" s="34"/>
      <c r="X294" s="34"/>
      <c r="Y294" s="34"/>
      <c r="Z294" s="34"/>
      <c r="AA294" s="34"/>
    </row>
    <row r="295" spans="1:27" ht="13">
      <c r="A295" s="34"/>
      <c r="B295" s="52"/>
      <c r="C295" s="34"/>
      <c r="D295" s="34"/>
      <c r="E295" s="34"/>
      <c r="F295" s="34"/>
      <c r="G295" s="33"/>
      <c r="H295" s="34"/>
      <c r="I295" s="34"/>
      <c r="J295" s="33"/>
      <c r="K295" s="34"/>
      <c r="L295" s="34"/>
      <c r="M295" s="34"/>
      <c r="N295" s="34"/>
      <c r="O295" s="34"/>
      <c r="P295" s="34"/>
      <c r="Q295" s="34"/>
      <c r="R295" s="34"/>
      <c r="S295" s="34"/>
      <c r="T295" s="34"/>
      <c r="U295" s="34"/>
      <c r="V295" s="34"/>
      <c r="W295" s="34"/>
      <c r="X295" s="34"/>
      <c r="Y295" s="34"/>
      <c r="Z295" s="34"/>
      <c r="AA295" s="34"/>
    </row>
    <row r="296" spans="1:27" ht="13">
      <c r="A296" s="34"/>
      <c r="B296" s="52"/>
      <c r="C296" s="34"/>
      <c r="D296" s="34"/>
      <c r="E296" s="34"/>
      <c r="F296" s="34"/>
      <c r="G296" s="33"/>
      <c r="H296" s="34"/>
      <c r="I296" s="34"/>
      <c r="J296" s="33"/>
      <c r="K296" s="34"/>
      <c r="L296" s="34"/>
      <c r="M296" s="34"/>
      <c r="N296" s="34"/>
      <c r="O296" s="34"/>
      <c r="P296" s="34"/>
      <c r="Q296" s="34"/>
      <c r="R296" s="34"/>
      <c r="S296" s="34"/>
      <c r="T296" s="34"/>
      <c r="U296" s="34"/>
      <c r="V296" s="34"/>
      <c r="W296" s="34"/>
      <c r="X296" s="34"/>
      <c r="Y296" s="34"/>
      <c r="Z296" s="34"/>
      <c r="AA296" s="34"/>
    </row>
    <row r="297" spans="1:27" ht="13">
      <c r="A297" s="34"/>
      <c r="B297" s="52"/>
      <c r="C297" s="34"/>
      <c r="D297" s="34"/>
      <c r="E297" s="34"/>
      <c r="F297" s="34"/>
      <c r="G297" s="33"/>
      <c r="H297" s="34"/>
      <c r="I297" s="34"/>
      <c r="J297" s="33"/>
      <c r="K297" s="34"/>
      <c r="L297" s="34"/>
      <c r="M297" s="34"/>
      <c r="N297" s="34"/>
      <c r="O297" s="34"/>
      <c r="P297" s="34"/>
      <c r="Q297" s="34"/>
      <c r="R297" s="34"/>
      <c r="S297" s="34"/>
      <c r="T297" s="34"/>
      <c r="U297" s="34"/>
      <c r="V297" s="34"/>
      <c r="W297" s="34"/>
      <c r="X297" s="34"/>
      <c r="Y297" s="34"/>
      <c r="Z297" s="34"/>
      <c r="AA297" s="34"/>
    </row>
    <row r="298" spans="1:27" ht="13">
      <c r="A298" s="34"/>
      <c r="B298" s="52"/>
      <c r="C298" s="34"/>
      <c r="D298" s="34"/>
      <c r="E298" s="34"/>
      <c r="F298" s="34"/>
      <c r="G298" s="33"/>
      <c r="H298" s="34"/>
      <c r="I298" s="34"/>
      <c r="J298" s="33"/>
      <c r="K298" s="34"/>
      <c r="L298" s="34"/>
      <c r="M298" s="34"/>
      <c r="N298" s="34"/>
      <c r="O298" s="34"/>
      <c r="P298" s="34"/>
      <c r="Q298" s="34"/>
      <c r="R298" s="34"/>
      <c r="S298" s="34"/>
      <c r="T298" s="34"/>
      <c r="U298" s="34"/>
      <c r="V298" s="34"/>
      <c r="W298" s="34"/>
      <c r="X298" s="34"/>
      <c r="Y298" s="34"/>
      <c r="Z298" s="34"/>
      <c r="AA298" s="34"/>
    </row>
    <row r="299" spans="1:27" ht="13">
      <c r="A299" s="34"/>
      <c r="B299" s="52"/>
      <c r="C299" s="34"/>
      <c r="D299" s="34"/>
      <c r="E299" s="34"/>
      <c r="F299" s="34"/>
      <c r="G299" s="33"/>
      <c r="H299" s="34"/>
      <c r="I299" s="34"/>
      <c r="J299" s="33"/>
      <c r="K299" s="34"/>
      <c r="L299" s="34"/>
      <c r="M299" s="34"/>
      <c r="N299" s="34"/>
      <c r="O299" s="34"/>
      <c r="P299" s="34"/>
      <c r="Q299" s="34"/>
      <c r="R299" s="34"/>
      <c r="S299" s="34"/>
      <c r="T299" s="34"/>
      <c r="U299" s="34"/>
      <c r="V299" s="34"/>
      <c r="W299" s="34"/>
      <c r="X299" s="34"/>
      <c r="Y299" s="34"/>
      <c r="Z299" s="34"/>
      <c r="AA299" s="34"/>
    </row>
    <row r="300" spans="1:27" ht="13">
      <c r="A300" s="34"/>
      <c r="B300" s="52"/>
      <c r="C300" s="34"/>
      <c r="D300" s="34"/>
      <c r="E300" s="34"/>
      <c r="F300" s="34"/>
      <c r="G300" s="33"/>
      <c r="H300" s="34"/>
      <c r="I300" s="34"/>
      <c r="J300" s="33"/>
      <c r="K300" s="34"/>
      <c r="L300" s="34"/>
      <c r="M300" s="34"/>
      <c r="N300" s="34"/>
      <c r="O300" s="34"/>
      <c r="P300" s="34"/>
      <c r="Q300" s="34"/>
      <c r="R300" s="34"/>
      <c r="S300" s="34"/>
      <c r="T300" s="34"/>
      <c r="U300" s="34"/>
      <c r="V300" s="34"/>
      <c r="W300" s="34"/>
      <c r="X300" s="34"/>
      <c r="Y300" s="34"/>
      <c r="Z300" s="34"/>
      <c r="AA300" s="34"/>
    </row>
    <row r="301" spans="1:27" ht="13">
      <c r="A301" s="34"/>
      <c r="B301" s="52"/>
      <c r="C301" s="34"/>
      <c r="D301" s="34"/>
      <c r="E301" s="34"/>
      <c r="F301" s="34"/>
      <c r="G301" s="33"/>
      <c r="H301" s="34"/>
      <c r="I301" s="34"/>
      <c r="J301" s="33"/>
      <c r="K301" s="34"/>
      <c r="L301" s="34"/>
      <c r="M301" s="34"/>
      <c r="N301" s="34"/>
      <c r="O301" s="34"/>
      <c r="P301" s="34"/>
      <c r="Q301" s="34"/>
      <c r="R301" s="34"/>
      <c r="S301" s="34"/>
      <c r="T301" s="34"/>
      <c r="U301" s="34"/>
      <c r="V301" s="34"/>
      <c r="W301" s="34"/>
      <c r="X301" s="34"/>
      <c r="Y301" s="34"/>
      <c r="Z301" s="34"/>
      <c r="AA301" s="34"/>
    </row>
    <row r="302" spans="1:27" ht="13">
      <c r="A302" s="34"/>
      <c r="B302" s="52"/>
      <c r="C302" s="34"/>
      <c r="D302" s="34"/>
      <c r="E302" s="34"/>
      <c r="F302" s="34"/>
      <c r="G302" s="33"/>
      <c r="H302" s="34"/>
      <c r="I302" s="34"/>
      <c r="J302" s="33"/>
      <c r="K302" s="34"/>
      <c r="L302" s="34"/>
      <c r="M302" s="34"/>
      <c r="N302" s="34"/>
      <c r="O302" s="34"/>
      <c r="P302" s="34"/>
      <c r="Q302" s="34"/>
      <c r="R302" s="34"/>
      <c r="S302" s="34"/>
      <c r="T302" s="34"/>
      <c r="U302" s="34"/>
      <c r="V302" s="34"/>
      <c r="W302" s="34"/>
      <c r="X302" s="34"/>
      <c r="Y302" s="34"/>
      <c r="Z302" s="34"/>
      <c r="AA302" s="34"/>
    </row>
    <row r="303" spans="1:27" ht="13">
      <c r="A303" s="34"/>
      <c r="B303" s="52"/>
      <c r="C303" s="34"/>
      <c r="D303" s="34"/>
      <c r="E303" s="34"/>
      <c r="F303" s="34"/>
      <c r="G303" s="33"/>
      <c r="H303" s="34"/>
      <c r="I303" s="34"/>
      <c r="J303" s="33"/>
      <c r="K303" s="34"/>
      <c r="L303" s="34"/>
      <c r="M303" s="34"/>
      <c r="N303" s="34"/>
      <c r="O303" s="34"/>
      <c r="P303" s="34"/>
      <c r="Q303" s="34"/>
      <c r="R303" s="34"/>
      <c r="S303" s="34"/>
      <c r="T303" s="34"/>
      <c r="U303" s="34"/>
      <c r="V303" s="34"/>
      <c r="W303" s="34"/>
      <c r="X303" s="34"/>
      <c r="Y303" s="34"/>
      <c r="Z303" s="34"/>
      <c r="AA303" s="34"/>
    </row>
    <row r="304" spans="1:27" ht="13">
      <c r="A304" s="34"/>
      <c r="B304" s="52"/>
      <c r="C304" s="34"/>
      <c r="D304" s="34"/>
      <c r="E304" s="34"/>
      <c r="F304" s="34"/>
      <c r="G304" s="33"/>
      <c r="H304" s="34"/>
      <c r="I304" s="34"/>
      <c r="J304" s="33"/>
      <c r="K304" s="34"/>
      <c r="L304" s="34"/>
      <c r="M304" s="34"/>
      <c r="N304" s="34"/>
      <c r="O304" s="34"/>
      <c r="P304" s="34"/>
      <c r="Q304" s="34"/>
      <c r="R304" s="34"/>
      <c r="S304" s="34"/>
      <c r="T304" s="34"/>
      <c r="U304" s="34"/>
      <c r="V304" s="34"/>
      <c r="W304" s="34"/>
      <c r="X304" s="34"/>
      <c r="Y304" s="34"/>
      <c r="Z304" s="34"/>
      <c r="AA304" s="34"/>
    </row>
    <row r="305" spans="1:27" ht="13">
      <c r="A305" s="34"/>
      <c r="B305" s="52"/>
      <c r="C305" s="34"/>
      <c r="D305" s="34"/>
      <c r="E305" s="34"/>
      <c r="F305" s="34"/>
      <c r="G305" s="33"/>
      <c r="H305" s="34"/>
      <c r="I305" s="34"/>
      <c r="J305" s="33"/>
      <c r="K305" s="34"/>
      <c r="L305" s="34"/>
      <c r="M305" s="34"/>
      <c r="N305" s="34"/>
      <c r="O305" s="34"/>
      <c r="P305" s="34"/>
      <c r="Q305" s="34"/>
      <c r="R305" s="34"/>
      <c r="S305" s="34"/>
      <c r="T305" s="34"/>
      <c r="U305" s="34"/>
      <c r="V305" s="34"/>
      <c r="W305" s="34"/>
      <c r="X305" s="34"/>
      <c r="Y305" s="34"/>
      <c r="Z305" s="34"/>
      <c r="AA305" s="34"/>
    </row>
    <row r="306" spans="1:27" ht="13">
      <c r="A306" s="34"/>
      <c r="B306" s="52"/>
      <c r="C306" s="34"/>
      <c r="D306" s="34"/>
      <c r="E306" s="34"/>
      <c r="F306" s="34"/>
      <c r="G306" s="33"/>
      <c r="H306" s="34"/>
      <c r="I306" s="34"/>
      <c r="J306" s="33"/>
      <c r="K306" s="34"/>
      <c r="L306" s="34"/>
      <c r="M306" s="34"/>
      <c r="N306" s="34"/>
      <c r="O306" s="34"/>
      <c r="P306" s="34"/>
      <c r="Q306" s="34"/>
      <c r="R306" s="34"/>
      <c r="S306" s="34"/>
      <c r="T306" s="34"/>
      <c r="U306" s="34"/>
      <c r="V306" s="34"/>
      <c r="W306" s="34"/>
      <c r="X306" s="34"/>
      <c r="Y306" s="34"/>
      <c r="Z306" s="34"/>
      <c r="AA306" s="34"/>
    </row>
    <row r="307" spans="1:27" ht="13">
      <c r="A307" s="34"/>
      <c r="B307" s="52"/>
      <c r="C307" s="34"/>
      <c r="D307" s="34"/>
      <c r="E307" s="34"/>
      <c r="F307" s="34"/>
      <c r="G307" s="33"/>
      <c r="H307" s="34"/>
      <c r="I307" s="34"/>
      <c r="J307" s="33"/>
      <c r="K307" s="34"/>
      <c r="L307" s="34"/>
      <c r="M307" s="34"/>
      <c r="N307" s="34"/>
      <c r="O307" s="34"/>
      <c r="P307" s="34"/>
      <c r="Q307" s="34"/>
      <c r="R307" s="34"/>
      <c r="S307" s="34"/>
      <c r="T307" s="34"/>
      <c r="U307" s="34"/>
      <c r="V307" s="34"/>
      <c r="W307" s="34"/>
      <c r="X307" s="34"/>
      <c r="Y307" s="34"/>
      <c r="Z307" s="34"/>
      <c r="AA307" s="34"/>
    </row>
    <row r="308" spans="1:27" ht="13">
      <c r="A308" s="34"/>
      <c r="B308" s="52"/>
      <c r="C308" s="34"/>
      <c r="D308" s="34"/>
      <c r="E308" s="34"/>
      <c r="F308" s="34"/>
      <c r="G308" s="33"/>
      <c r="H308" s="34"/>
      <c r="I308" s="34"/>
      <c r="J308" s="33"/>
      <c r="K308" s="34"/>
      <c r="L308" s="34"/>
      <c r="M308" s="34"/>
      <c r="N308" s="34"/>
      <c r="O308" s="34"/>
      <c r="P308" s="34"/>
      <c r="Q308" s="34"/>
      <c r="R308" s="34"/>
      <c r="S308" s="34"/>
      <c r="T308" s="34"/>
      <c r="U308" s="34"/>
      <c r="V308" s="34"/>
      <c r="W308" s="34"/>
      <c r="X308" s="34"/>
      <c r="Y308" s="34"/>
      <c r="Z308" s="34"/>
      <c r="AA308" s="34"/>
    </row>
    <row r="309" spans="1:27" ht="13">
      <c r="A309" s="34"/>
      <c r="B309" s="52"/>
      <c r="C309" s="34"/>
      <c r="D309" s="34"/>
      <c r="E309" s="34"/>
      <c r="F309" s="34"/>
      <c r="G309" s="33"/>
      <c r="H309" s="34"/>
      <c r="I309" s="34"/>
      <c r="J309" s="33"/>
      <c r="K309" s="34"/>
      <c r="L309" s="34"/>
      <c r="M309" s="34"/>
      <c r="N309" s="34"/>
      <c r="O309" s="34"/>
      <c r="P309" s="34"/>
      <c r="Q309" s="34"/>
      <c r="R309" s="34"/>
      <c r="S309" s="34"/>
      <c r="T309" s="34"/>
      <c r="U309" s="34"/>
      <c r="V309" s="34"/>
      <c r="W309" s="34"/>
      <c r="X309" s="34"/>
      <c r="Y309" s="34"/>
      <c r="Z309" s="34"/>
      <c r="AA309" s="34"/>
    </row>
    <row r="310" spans="1:27" ht="13">
      <c r="A310" s="34"/>
      <c r="B310" s="52"/>
      <c r="C310" s="34"/>
      <c r="D310" s="34"/>
      <c r="E310" s="34"/>
      <c r="F310" s="34"/>
      <c r="G310" s="33"/>
      <c r="H310" s="34"/>
      <c r="I310" s="34"/>
      <c r="J310" s="33"/>
      <c r="K310" s="34"/>
      <c r="L310" s="34"/>
      <c r="M310" s="34"/>
      <c r="N310" s="34"/>
      <c r="O310" s="34"/>
      <c r="P310" s="34"/>
      <c r="Q310" s="34"/>
      <c r="R310" s="34"/>
      <c r="S310" s="34"/>
      <c r="T310" s="34"/>
      <c r="U310" s="34"/>
      <c r="V310" s="34"/>
      <c r="W310" s="34"/>
      <c r="X310" s="34"/>
      <c r="Y310" s="34"/>
      <c r="Z310" s="34"/>
      <c r="AA310" s="34"/>
    </row>
    <row r="311" spans="1:27" ht="13">
      <c r="A311" s="34"/>
      <c r="B311" s="52"/>
      <c r="C311" s="34"/>
      <c r="D311" s="34"/>
      <c r="E311" s="34"/>
      <c r="F311" s="34"/>
      <c r="G311" s="33"/>
      <c r="H311" s="34"/>
      <c r="I311" s="34"/>
      <c r="J311" s="33"/>
      <c r="K311" s="34"/>
      <c r="L311" s="34"/>
      <c r="M311" s="34"/>
      <c r="N311" s="34"/>
      <c r="O311" s="34"/>
      <c r="P311" s="34"/>
      <c r="Q311" s="34"/>
      <c r="R311" s="34"/>
      <c r="S311" s="34"/>
      <c r="T311" s="34"/>
      <c r="U311" s="34"/>
      <c r="V311" s="34"/>
      <c r="W311" s="34"/>
      <c r="X311" s="34"/>
      <c r="Y311" s="34"/>
      <c r="Z311" s="34"/>
      <c r="AA311" s="34"/>
    </row>
    <row r="312" spans="1:27" ht="13">
      <c r="A312" s="34"/>
      <c r="B312" s="52"/>
      <c r="C312" s="34"/>
      <c r="D312" s="34"/>
      <c r="E312" s="34"/>
      <c r="F312" s="34"/>
      <c r="G312" s="33"/>
      <c r="H312" s="34"/>
      <c r="I312" s="34"/>
      <c r="J312" s="33"/>
      <c r="K312" s="34"/>
      <c r="L312" s="34"/>
      <c r="M312" s="34"/>
      <c r="N312" s="34"/>
      <c r="O312" s="34"/>
      <c r="P312" s="34"/>
      <c r="Q312" s="34"/>
      <c r="R312" s="34"/>
      <c r="S312" s="34"/>
      <c r="T312" s="34"/>
      <c r="U312" s="34"/>
      <c r="V312" s="34"/>
      <c r="W312" s="34"/>
      <c r="X312" s="34"/>
      <c r="Y312" s="34"/>
      <c r="Z312" s="34"/>
      <c r="AA312" s="34"/>
    </row>
    <row r="313" spans="1:27" ht="13">
      <c r="A313" s="34"/>
      <c r="B313" s="52"/>
      <c r="C313" s="34"/>
      <c r="D313" s="34"/>
      <c r="E313" s="34"/>
      <c r="F313" s="34"/>
      <c r="G313" s="33"/>
      <c r="H313" s="34"/>
      <c r="I313" s="34"/>
      <c r="J313" s="33"/>
      <c r="K313" s="34"/>
      <c r="L313" s="34"/>
      <c r="M313" s="34"/>
      <c r="N313" s="34"/>
      <c r="O313" s="34"/>
      <c r="P313" s="34"/>
      <c r="Q313" s="34"/>
      <c r="R313" s="34"/>
      <c r="S313" s="34"/>
      <c r="T313" s="34"/>
      <c r="U313" s="34"/>
      <c r="V313" s="34"/>
      <c r="W313" s="34"/>
      <c r="X313" s="34"/>
      <c r="Y313" s="34"/>
      <c r="Z313" s="34"/>
      <c r="AA313" s="34"/>
    </row>
    <row r="314" spans="1:27" ht="13">
      <c r="A314" s="34"/>
      <c r="B314" s="52"/>
      <c r="C314" s="34"/>
      <c r="D314" s="34"/>
      <c r="E314" s="34"/>
      <c r="F314" s="34"/>
      <c r="G314" s="33"/>
      <c r="H314" s="34"/>
      <c r="I314" s="34"/>
      <c r="J314" s="33"/>
      <c r="K314" s="34"/>
      <c r="L314" s="34"/>
      <c r="M314" s="34"/>
      <c r="N314" s="34"/>
      <c r="O314" s="34"/>
      <c r="P314" s="34"/>
      <c r="Q314" s="34"/>
      <c r="R314" s="34"/>
      <c r="S314" s="34"/>
      <c r="T314" s="34"/>
      <c r="U314" s="34"/>
      <c r="V314" s="34"/>
      <c r="W314" s="34"/>
      <c r="X314" s="34"/>
      <c r="Y314" s="34"/>
      <c r="Z314" s="34"/>
      <c r="AA314" s="34"/>
    </row>
    <row r="315" spans="1:27" ht="13">
      <c r="A315" s="34"/>
      <c r="B315" s="52"/>
      <c r="C315" s="34"/>
      <c r="D315" s="34"/>
      <c r="E315" s="34"/>
      <c r="F315" s="34"/>
      <c r="G315" s="33"/>
      <c r="H315" s="34"/>
      <c r="I315" s="34"/>
      <c r="J315" s="33"/>
      <c r="K315" s="34"/>
      <c r="L315" s="34"/>
      <c r="M315" s="34"/>
      <c r="N315" s="34"/>
      <c r="O315" s="34"/>
      <c r="P315" s="34"/>
      <c r="Q315" s="34"/>
      <c r="R315" s="34"/>
      <c r="S315" s="34"/>
      <c r="T315" s="34"/>
      <c r="U315" s="34"/>
      <c r="V315" s="34"/>
      <c r="W315" s="34"/>
      <c r="X315" s="34"/>
      <c r="Y315" s="34"/>
      <c r="Z315" s="34"/>
      <c r="AA315" s="34"/>
    </row>
    <row r="316" spans="1:27" ht="13">
      <c r="A316" s="34"/>
      <c r="B316" s="52"/>
      <c r="C316" s="34"/>
      <c r="D316" s="34"/>
      <c r="E316" s="34"/>
      <c r="F316" s="34"/>
      <c r="G316" s="33"/>
      <c r="H316" s="34"/>
      <c r="I316" s="34"/>
      <c r="J316" s="33"/>
      <c r="K316" s="34"/>
      <c r="L316" s="34"/>
      <c r="M316" s="34"/>
      <c r="N316" s="34"/>
      <c r="O316" s="34"/>
      <c r="P316" s="34"/>
      <c r="Q316" s="34"/>
      <c r="R316" s="34"/>
      <c r="S316" s="34"/>
      <c r="T316" s="34"/>
      <c r="U316" s="34"/>
      <c r="V316" s="34"/>
      <c r="W316" s="34"/>
      <c r="X316" s="34"/>
      <c r="Y316" s="34"/>
      <c r="Z316" s="34"/>
      <c r="AA316" s="34"/>
    </row>
    <row r="317" spans="1:27" ht="13">
      <c r="A317" s="34"/>
      <c r="B317" s="52"/>
      <c r="C317" s="34"/>
      <c r="D317" s="34"/>
      <c r="E317" s="34"/>
      <c r="F317" s="34"/>
      <c r="G317" s="33"/>
      <c r="H317" s="34"/>
      <c r="I317" s="34"/>
      <c r="J317" s="33"/>
      <c r="K317" s="34"/>
      <c r="L317" s="34"/>
      <c r="M317" s="34"/>
      <c r="N317" s="34"/>
      <c r="O317" s="34"/>
      <c r="P317" s="34"/>
      <c r="Q317" s="34"/>
      <c r="R317" s="34"/>
      <c r="S317" s="34"/>
      <c r="T317" s="34"/>
      <c r="U317" s="34"/>
      <c r="V317" s="34"/>
      <c r="W317" s="34"/>
      <c r="X317" s="34"/>
      <c r="Y317" s="34"/>
      <c r="Z317" s="34"/>
      <c r="AA317" s="34"/>
    </row>
    <row r="318" spans="1:27" ht="13">
      <c r="A318" s="34"/>
      <c r="B318" s="52"/>
      <c r="C318" s="34"/>
      <c r="D318" s="34"/>
      <c r="E318" s="34"/>
      <c r="F318" s="34"/>
      <c r="G318" s="33"/>
      <c r="H318" s="34"/>
      <c r="I318" s="34"/>
      <c r="J318" s="33"/>
      <c r="K318" s="34"/>
      <c r="L318" s="34"/>
      <c r="M318" s="34"/>
      <c r="N318" s="34"/>
      <c r="O318" s="34"/>
      <c r="P318" s="34"/>
      <c r="Q318" s="34"/>
      <c r="R318" s="34"/>
      <c r="S318" s="34"/>
      <c r="T318" s="34"/>
      <c r="U318" s="34"/>
      <c r="V318" s="34"/>
      <c r="W318" s="34"/>
      <c r="X318" s="34"/>
      <c r="Y318" s="34"/>
      <c r="Z318" s="34"/>
      <c r="AA318" s="34"/>
    </row>
    <row r="319" spans="1:27" ht="13">
      <c r="A319" s="34"/>
      <c r="B319" s="52"/>
      <c r="C319" s="34"/>
      <c r="D319" s="34"/>
      <c r="E319" s="34"/>
      <c r="F319" s="34"/>
      <c r="G319" s="33"/>
      <c r="H319" s="34"/>
      <c r="I319" s="34"/>
      <c r="J319" s="33"/>
      <c r="K319" s="34"/>
      <c r="L319" s="34"/>
      <c r="M319" s="34"/>
      <c r="N319" s="34"/>
      <c r="O319" s="34"/>
      <c r="P319" s="34"/>
      <c r="Q319" s="34"/>
      <c r="R319" s="34"/>
      <c r="S319" s="34"/>
      <c r="T319" s="34"/>
      <c r="U319" s="34"/>
      <c r="V319" s="34"/>
      <c r="W319" s="34"/>
      <c r="X319" s="34"/>
      <c r="Y319" s="34"/>
      <c r="Z319" s="34"/>
      <c r="AA319" s="34"/>
    </row>
    <row r="320" spans="1:27" ht="13">
      <c r="A320" s="34"/>
      <c r="B320" s="52"/>
      <c r="C320" s="34"/>
      <c r="D320" s="34"/>
      <c r="E320" s="34"/>
      <c r="F320" s="34"/>
      <c r="G320" s="33"/>
      <c r="H320" s="34"/>
      <c r="I320" s="34"/>
      <c r="J320" s="33"/>
      <c r="K320" s="34"/>
      <c r="L320" s="34"/>
      <c r="M320" s="34"/>
      <c r="N320" s="34"/>
      <c r="O320" s="34"/>
      <c r="P320" s="34"/>
      <c r="Q320" s="34"/>
      <c r="R320" s="34"/>
      <c r="S320" s="34"/>
      <c r="T320" s="34"/>
      <c r="U320" s="34"/>
      <c r="V320" s="34"/>
      <c r="W320" s="34"/>
      <c r="X320" s="34"/>
      <c r="Y320" s="34"/>
      <c r="Z320" s="34"/>
      <c r="AA320" s="34"/>
    </row>
    <row r="321" spans="1:27" ht="13">
      <c r="A321" s="34"/>
      <c r="B321" s="52"/>
      <c r="C321" s="34"/>
      <c r="D321" s="34"/>
      <c r="E321" s="34"/>
      <c r="F321" s="34"/>
      <c r="G321" s="33"/>
      <c r="H321" s="34"/>
      <c r="I321" s="34"/>
      <c r="J321" s="33"/>
      <c r="K321" s="34"/>
      <c r="L321" s="34"/>
      <c r="M321" s="34"/>
      <c r="N321" s="34"/>
      <c r="O321" s="34"/>
      <c r="P321" s="34"/>
      <c r="Q321" s="34"/>
      <c r="R321" s="34"/>
      <c r="S321" s="34"/>
      <c r="T321" s="34"/>
      <c r="U321" s="34"/>
      <c r="V321" s="34"/>
      <c r="W321" s="34"/>
      <c r="X321" s="34"/>
      <c r="Y321" s="34"/>
      <c r="Z321" s="34"/>
      <c r="AA321" s="34"/>
    </row>
    <row r="322" spans="1:27" ht="13">
      <c r="A322" s="34"/>
      <c r="B322" s="52"/>
      <c r="C322" s="34"/>
      <c r="D322" s="34"/>
      <c r="E322" s="34"/>
      <c r="F322" s="34"/>
      <c r="G322" s="33"/>
      <c r="H322" s="34"/>
      <c r="I322" s="34"/>
      <c r="J322" s="33"/>
      <c r="K322" s="34"/>
      <c r="L322" s="34"/>
      <c r="M322" s="34"/>
      <c r="N322" s="34"/>
      <c r="O322" s="34"/>
      <c r="P322" s="34"/>
      <c r="Q322" s="34"/>
      <c r="R322" s="34"/>
      <c r="S322" s="34"/>
      <c r="T322" s="34"/>
      <c r="U322" s="34"/>
      <c r="V322" s="34"/>
      <c r="W322" s="34"/>
      <c r="X322" s="34"/>
      <c r="Y322" s="34"/>
      <c r="Z322" s="34"/>
      <c r="AA322" s="34"/>
    </row>
    <row r="323" spans="1:27" ht="13">
      <c r="A323" s="34"/>
      <c r="B323" s="52"/>
      <c r="C323" s="34"/>
      <c r="D323" s="34"/>
      <c r="E323" s="34"/>
      <c r="F323" s="34"/>
      <c r="G323" s="33"/>
      <c r="H323" s="34"/>
      <c r="I323" s="34"/>
      <c r="J323" s="33"/>
      <c r="K323" s="34"/>
      <c r="L323" s="34"/>
      <c r="M323" s="34"/>
      <c r="N323" s="34"/>
      <c r="O323" s="34"/>
      <c r="P323" s="34"/>
      <c r="Q323" s="34"/>
      <c r="R323" s="34"/>
      <c r="S323" s="34"/>
      <c r="T323" s="34"/>
      <c r="U323" s="34"/>
      <c r="V323" s="34"/>
      <c r="W323" s="34"/>
      <c r="X323" s="34"/>
      <c r="Y323" s="34"/>
      <c r="Z323" s="34"/>
      <c r="AA323" s="34"/>
    </row>
    <row r="324" spans="1:27" ht="13">
      <c r="A324" s="34"/>
      <c r="B324" s="52"/>
      <c r="C324" s="34"/>
      <c r="D324" s="34"/>
      <c r="E324" s="34"/>
      <c r="F324" s="34"/>
      <c r="G324" s="33"/>
      <c r="H324" s="34"/>
      <c r="I324" s="34"/>
      <c r="J324" s="33"/>
      <c r="K324" s="34"/>
      <c r="L324" s="34"/>
      <c r="M324" s="34"/>
      <c r="N324" s="34"/>
      <c r="O324" s="34"/>
      <c r="P324" s="34"/>
      <c r="Q324" s="34"/>
      <c r="R324" s="34"/>
      <c r="S324" s="34"/>
      <c r="T324" s="34"/>
      <c r="U324" s="34"/>
      <c r="V324" s="34"/>
      <c r="W324" s="34"/>
      <c r="X324" s="34"/>
      <c r="Y324" s="34"/>
      <c r="Z324" s="34"/>
      <c r="AA324" s="34"/>
    </row>
    <row r="325" spans="1:27" ht="13">
      <c r="A325" s="34"/>
      <c r="B325" s="52"/>
      <c r="C325" s="34"/>
      <c r="D325" s="34"/>
      <c r="E325" s="34"/>
      <c r="F325" s="34"/>
      <c r="G325" s="33"/>
      <c r="H325" s="34"/>
      <c r="I325" s="34"/>
      <c r="J325" s="33"/>
      <c r="K325" s="34"/>
      <c r="L325" s="34"/>
      <c r="M325" s="34"/>
      <c r="N325" s="34"/>
      <c r="O325" s="34"/>
      <c r="P325" s="34"/>
      <c r="Q325" s="34"/>
      <c r="R325" s="34"/>
      <c r="S325" s="34"/>
      <c r="T325" s="34"/>
      <c r="U325" s="34"/>
      <c r="V325" s="34"/>
      <c r="W325" s="34"/>
      <c r="X325" s="34"/>
      <c r="Y325" s="34"/>
      <c r="Z325" s="34"/>
      <c r="AA325" s="34"/>
    </row>
    <row r="326" spans="1:27" ht="13">
      <c r="A326" s="34"/>
      <c r="B326" s="52"/>
      <c r="C326" s="34"/>
      <c r="D326" s="34"/>
      <c r="E326" s="34"/>
      <c r="F326" s="34"/>
      <c r="G326" s="33"/>
      <c r="H326" s="34"/>
      <c r="I326" s="34"/>
      <c r="J326" s="33"/>
      <c r="K326" s="34"/>
      <c r="L326" s="34"/>
      <c r="M326" s="34"/>
      <c r="N326" s="34"/>
      <c r="O326" s="34"/>
      <c r="P326" s="34"/>
      <c r="Q326" s="34"/>
      <c r="R326" s="34"/>
      <c r="S326" s="34"/>
      <c r="T326" s="34"/>
      <c r="U326" s="34"/>
      <c r="V326" s="34"/>
      <c r="W326" s="34"/>
      <c r="X326" s="34"/>
      <c r="Y326" s="34"/>
      <c r="Z326" s="34"/>
      <c r="AA326" s="34"/>
    </row>
    <row r="327" spans="1:27" ht="13">
      <c r="A327" s="34"/>
      <c r="B327" s="52"/>
      <c r="C327" s="34"/>
      <c r="D327" s="34"/>
      <c r="E327" s="34"/>
      <c r="F327" s="34"/>
      <c r="G327" s="33"/>
      <c r="H327" s="34"/>
      <c r="I327" s="34"/>
      <c r="J327" s="33"/>
      <c r="K327" s="34"/>
      <c r="L327" s="34"/>
      <c r="M327" s="34"/>
      <c r="N327" s="34"/>
      <c r="O327" s="34"/>
      <c r="P327" s="34"/>
      <c r="Q327" s="34"/>
      <c r="R327" s="34"/>
      <c r="S327" s="34"/>
      <c r="T327" s="34"/>
      <c r="U327" s="34"/>
      <c r="V327" s="34"/>
      <c r="W327" s="34"/>
      <c r="X327" s="34"/>
      <c r="Y327" s="34"/>
      <c r="Z327" s="34"/>
      <c r="AA327" s="34"/>
    </row>
    <row r="328" spans="1:27" ht="13">
      <c r="A328" s="34"/>
      <c r="B328" s="52"/>
      <c r="C328" s="34"/>
      <c r="D328" s="34"/>
      <c r="E328" s="34"/>
      <c r="F328" s="34"/>
      <c r="G328" s="33"/>
      <c r="H328" s="34"/>
      <c r="I328" s="34"/>
      <c r="J328" s="33"/>
      <c r="K328" s="34"/>
      <c r="L328" s="34"/>
      <c r="M328" s="34"/>
      <c r="N328" s="34"/>
      <c r="O328" s="34"/>
      <c r="P328" s="34"/>
      <c r="Q328" s="34"/>
      <c r="R328" s="34"/>
      <c r="S328" s="34"/>
      <c r="T328" s="34"/>
      <c r="U328" s="34"/>
      <c r="V328" s="34"/>
      <c r="W328" s="34"/>
      <c r="X328" s="34"/>
      <c r="Y328" s="34"/>
      <c r="Z328" s="34"/>
      <c r="AA328" s="34"/>
    </row>
    <row r="329" spans="1:27" ht="13">
      <c r="A329" s="34"/>
      <c r="B329" s="52"/>
      <c r="C329" s="34"/>
      <c r="D329" s="34"/>
      <c r="E329" s="34"/>
      <c r="F329" s="34"/>
      <c r="G329" s="33"/>
      <c r="H329" s="34"/>
      <c r="I329" s="34"/>
      <c r="J329" s="33"/>
      <c r="K329" s="34"/>
      <c r="L329" s="34"/>
      <c r="M329" s="34"/>
      <c r="N329" s="34"/>
      <c r="O329" s="34"/>
      <c r="P329" s="34"/>
      <c r="Q329" s="34"/>
      <c r="R329" s="34"/>
      <c r="S329" s="34"/>
      <c r="T329" s="34"/>
      <c r="U329" s="34"/>
      <c r="V329" s="34"/>
      <c r="W329" s="34"/>
      <c r="X329" s="34"/>
      <c r="Y329" s="34"/>
      <c r="Z329" s="34"/>
      <c r="AA329" s="34"/>
    </row>
    <row r="330" spans="1:27" ht="13">
      <c r="A330" s="34"/>
      <c r="B330" s="52"/>
      <c r="C330" s="34"/>
      <c r="D330" s="34"/>
      <c r="E330" s="34"/>
      <c r="F330" s="34"/>
      <c r="G330" s="33"/>
      <c r="H330" s="34"/>
      <c r="I330" s="34"/>
      <c r="J330" s="33"/>
      <c r="K330" s="34"/>
      <c r="L330" s="34"/>
      <c r="M330" s="34"/>
      <c r="N330" s="34"/>
      <c r="O330" s="34"/>
      <c r="P330" s="34"/>
      <c r="Q330" s="34"/>
      <c r="R330" s="34"/>
      <c r="S330" s="34"/>
      <c r="T330" s="34"/>
      <c r="U330" s="34"/>
      <c r="V330" s="34"/>
      <c r="W330" s="34"/>
      <c r="X330" s="34"/>
      <c r="Y330" s="34"/>
      <c r="Z330" s="34"/>
      <c r="AA330" s="34"/>
    </row>
    <row r="331" spans="1:27" ht="13">
      <c r="A331" s="34"/>
      <c r="B331" s="52"/>
      <c r="C331" s="34"/>
      <c r="D331" s="34"/>
      <c r="E331" s="34"/>
      <c r="F331" s="34"/>
      <c r="G331" s="33"/>
      <c r="H331" s="34"/>
      <c r="I331" s="34"/>
      <c r="J331" s="33"/>
      <c r="K331" s="34"/>
      <c r="L331" s="34"/>
      <c r="M331" s="34"/>
      <c r="N331" s="34"/>
      <c r="O331" s="34"/>
      <c r="P331" s="34"/>
      <c r="Q331" s="34"/>
      <c r="R331" s="34"/>
      <c r="S331" s="34"/>
      <c r="T331" s="34"/>
      <c r="U331" s="34"/>
      <c r="V331" s="34"/>
      <c r="W331" s="34"/>
      <c r="X331" s="34"/>
      <c r="Y331" s="34"/>
      <c r="Z331" s="34"/>
      <c r="AA331" s="34"/>
    </row>
    <row r="332" spans="1:27" ht="13">
      <c r="A332" s="34"/>
      <c r="B332" s="52"/>
      <c r="C332" s="34"/>
      <c r="D332" s="34"/>
      <c r="E332" s="34"/>
      <c r="F332" s="34"/>
      <c r="G332" s="33"/>
      <c r="H332" s="34"/>
      <c r="I332" s="34"/>
      <c r="J332" s="33"/>
      <c r="K332" s="34"/>
      <c r="L332" s="34"/>
      <c r="M332" s="34"/>
      <c r="N332" s="34"/>
      <c r="O332" s="34"/>
      <c r="P332" s="34"/>
      <c r="Q332" s="34"/>
      <c r="R332" s="34"/>
      <c r="S332" s="34"/>
      <c r="T332" s="34"/>
      <c r="U332" s="34"/>
      <c r="V332" s="34"/>
      <c r="W332" s="34"/>
      <c r="X332" s="34"/>
      <c r="Y332" s="34"/>
      <c r="Z332" s="34"/>
      <c r="AA332" s="34"/>
    </row>
    <row r="333" spans="1:27" ht="13">
      <c r="A333" s="34"/>
      <c r="B333" s="52"/>
      <c r="C333" s="34"/>
      <c r="D333" s="34"/>
      <c r="E333" s="34"/>
      <c r="F333" s="34"/>
      <c r="G333" s="33"/>
      <c r="H333" s="34"/>
      <c r="I333" s="34"/>
      <c r="J333" s="33"/>
      <c r="K333" s="34"/>
      <c r="L333" s="34"/>
      <c r="M333" s="34"/>
      <c r="N333" s="34"/>
      <c r="O333" s="34"/>
      <c r="P333" s="34"/>
      <c r="Q333" s="34"/>
      <c r="R333" s="34"/>
      <c r="S333" s="34"/>
      <c r="T333" s="34"/>
      <c r="U333" s="34"/>
      <c r="V333" s="34"/>
      <c r="W333" s="34"/>
      <c r="X333" s="34"/>
      <c r="Y333" s="34"/>
      <c r="Z333" s="34"/>
      <c r="AA333" s="34"/>
    </row>
    <row r="334" spans="1:27" ht="13">
      <c r="A334" s="34"/>
      <c r="B334" s="52"/>
      <c r="C334" s="34"/>
      <c r="D334" s="34"/>
      <c r="E334" s="34"/>
      <c r="F334" s="34"/>
      <c r="G334" s="33"/>
      <c r="H334" s="34"/>
      <c r="I334" s="34"/>
      <c r="J334" s="33"/>
      <c r="K334" s="34"/>
      <c r="L334" s="34"/>
      <c r="M334" s="34"/>
      <c r="N334" s="34"/>
      <c r="O334" s="34"/>
      <c r="P334" s="34"/>
      <c r="Q334" s="34"/>
      <c r="R334" s="34"/>
      <c r="S334" s="34"/>
      <c r="T334" s="34"/>
      <c r="U334" s="34"/>
      <c r="V334" s="34"/>
      <c r="W334" s="34"/>
      <c r="X334" s="34"/>
      <c r="Y334" s="34"/>
      <c r="Z334" s="34"/>
      <c r="AA334" s="34"/>
    </row>
    <row r="335" spans="1:27" ht="13">
      <c r="A335" s="34"/>
      <c r="B335" s="52"/>
      <c r="C335" s="34"/>
      <c r="D335" s="34"/>
      <c r="E335" s="34"/>
      <c r="F335" s="34"/>
      <c r="G335" s="33"/>
      <c r="H335" s="34"/>
      <c r="I335" s="34"/>
      <c r="J335" s="33"/>
      <c r="K335" s="34"/>
      <c r="L335" s="34"/>
      <c r="M335" s="34"/>
      <c r="N335" s="34"/>
      <c r="O335" s="34"/>
      <c r="P335" s="34"/>
      <c r="Q335" s="34"/>
      <c r="R335" s="34"/>
      <c r="S335" s="34"/>
      <c r="T335" s="34"/>
      <c r="U335" s="34"/>
      <c r="V335" s="34"/>
      <c r="W335" s="34"/>
      <c r="X335" s="34"/>
      <c r="Y335" s="34"/>
      <c r="Z335" s="34"/>
      <c r="AA335" s="34"/>
    </row>
    <row r="336" spans="1:27" ht="13">
      <c r="A336" s="34"/>
      <c r="B336" s="52"/>
      <c r="C336" s="34"/>
      <c r="D336" s="34"/>
      <c r="E336" s="34"/>
      <c r="F336" s="34"/>
      <c r="G336" s="33"/>
      <c r="H336" s="34"/>
      <c r="I336" s="34"/>
      <c r="J336" s="33"/>
      <c r="K336" s="34"/>
      <c r="L336" s="34"/>
      <c r="M336" s="34"/>
      <c r="N336" s="34"/>
      <c r="O336" s="34"/>
      <c r="P336" s="34"/>
      <c r="Q336" s="34"/>
      <c r="R336" s="34"/>
      <c r="S336" s="34"/>
      <c r="T336" s="34"/>
      <c r="U336" s="34"/>
      <c r="V336" s="34"/>
      <c r="W336" s="34"/>
      <c r="X336" s="34"/>
      <c r="Y336" s="34"/>
      <c r="Z336" s="34"/>
      <c r="AA336" s="34"/>
    </row>
    <row r="337" spans="1:27" ht="13">
      <c r="A337" s="34"/>
      <c r="B337" s="52"/>
      <c r="C337" s="34"/>
      <c r="D337" s="34"/>
      <c r="E337" s="34"/>
      <c r="F337" s="34"/>
      <c r="G337" s="33"/>
      <c r="H337" s="34"/>
      <c r="I337" s="34"/>
      <c r="J337" s="33"/>
      <c r="K337" s="34"/>
      <c r="L337" s="34"/>
      <c r="M337" s="34"/>
      <c r="N337" s="34"/>
      <c r="O337" s="34"/>
      <c r="P337" s="34"/>
      <c r="Q337" s="34"/>
      <c r="R337" s="34"/>
      <c r="S337" s="34"/>
      <c r="T337" s="34"/>
      <c r="U337" s="34"/>
      <c r="V337" s="34"/>
      <c r="W337" s="34"/>
      <c r="X337" s="34"/>
      <c r="Y337" s="34"/>
      <c r="Z337" s="34"/>
      <c r="AA337" s="34"/>
    </row>
    <row r="338" spans="1:27" ht="13">
      <c r="A338" s="34"/>
      <c r="B338" s="52"/>
      <c r="C338" s="34"/>
      <c r="D338" s="34"/>
      <c r="E338" s="34"/>
      <c r="F338" s="34"/>
      <c r="G338" s="33"/>
      <c r="H338" s="34"/>
      <c r="I338" s="34"/>
      <c r="J338" s="33"/>
      <c r="K338" s="34"/>
      <c r="L338" s="34"/>
      <c r="M338" s="34"/>
      <c r="N338" s="34"/>
      <c r="O338" s="34"/>
      <c r="P338" s="34"/>
      <c r="Q338" s="34"/>
      <c r="R338" s="34"/>
      <c r="S338" s="34"/>
      <c r="T338" s="34"/>
      <c r="U338" s="34"/>
      <c r="V338" s="34"/>
      <c r="W338" s="34"/>
      <c r="X338" s="34"/>
      <c r="Y338" s="34"/>
      <c r="Z338" s="34"/>
      <c r="AA338" s="34"/>
    </row>
    <row r="339" spans="1:27" ht="13">
      <c r="A339" s="34"/>
      <c r="B339" s="52"/>
      <c r="C339" s="34"/>
      <c r="D339" s="34"/>
      <c r="E339" s="34"/>
      <c r="F339" s="34"/>
      <c r="G339" s="33"/>
      <c r="H339" s="34"/>
      <c r="I339" s="34"/>
      <c r="J339" s="33"/>
      <c r="K339" s="34"/>
      <c r="L339" s="34"/>
      <c r="M339" s="34"/>
      <c r="N339" s="34"/>
      <c r="O339" s="34"/>
      <c r="P339" s="34"/>
      <c r="Q339" s="34"/>
      <c r="R339" s="34"/>
      <c r="S339" s="34"/>
      <c r="T339" s="34"/>
      <c r="U339" s="34"/>
      <c r="V339" s="34"/>
      <c r="W339" s="34"/>
      <c r="X339" s="34"/>
      <c r="Y339" s="34"/>
      <c r="Z339" s="34"/>
      <c r="AA339" s="34"/>
    </row>
    <row r="340" spans="1:27" ht="13">
      <c r="A340" s="34"/>
      <c r="B340" s="52"/>
      <c r="C340" s="34"/>
      <c r="D340" s="34"/>
      <c r="E340" s="34"/>
      <c r="F340" s="34"/>
      <c r="G340" s="33"/>
      <c r="H340" s="34"/>
      <c r="I340" s="34"/>
      <c r="J340" s="33"/>
      <c r="K340" s="34"/>
      <c r="L340" s="34"/>
      <c r="M340" s="34"/>
      <c r="N340" s="34"/>
      <c r="O340" s="34"/>
      <c r="P340" s="34"/>
      <c r="Q340" s="34"/>
      <c r="R340" s="34"/>
      <c r="S340" s="34"/>
      <c r="T340" s="34"/>
      <c r="U340" s="34"/>
      <c r="V340" s="34"/>
      <c r="W340" s="34"/>
      <c r="X340" s="34"/>
      <c r="Y340" s="34"/>
      <c r="Z340" s="34"/>
      <c r="AA340" s="34"/>
    </row>
    <row r="341" spans="1:27" ht="13">
      <c r="A341" s="34"/>
      <c r="B341" s="52"/>
      <c r="C341" s="34"/>
      <c r="D341" s="34"/>
      <c r="E341" s="34"/>
      <c r="F341" s="34"/>
      <c r="G341" s="33"/>
      <c r="H341" s="34"/>
      <c r="I341" s="34"/>
      <c r="J341" s="33"/>
      <c r="K341" s="34"/>
      <c r="L341" s="34"/>
      <c r="M341" s="34"/>
      <c r="N341" s="34"/>
      <c r="O341" s="34"/>
      <c r="P341" s="34"/>
      <c r="Q341" s="34"/>
      <c r="R341" s="34"/>
      <c r="S341" s="34"/>
      <c r="T341" s="34"/>
      <c r="U341" s="34"/>
      <c r="V341" s="34"/>
      <c r="W341" s="34"/>
      <c r="X341" s="34"/>
      <c r="Y341" s="34"/>
      <c r="Z341" s="34"/>
      <c r="AA341" s="34"/>
    </row>
    <row r="342" spans="1:27" ht="13">
      <c r="A342" s="34"/>
      <c r="B342" s="52"/>
      <c r="C342" s="34"/>
      <c r="D342" s="34"/>
      <c r="E342" s="34"/>
      <c r="F342" s="34"/>
      <c r="G342" s="33"/>
      <c r="H342" s="34"/>
      <c r="I342" s="34"/>
      <c r="J342" s="33"/>
      <c r="K342" s="34"/>
      <c r="L342" s="34"/>
      <c r="M342" s="34"/>
      <c r="N342" s="34"/>
      <c r="O342" s="34"/>
      <c r="P342" s="34"/>
      <c r="Q342" s="34"/>
      <c r="R342" s="34"/>
      <c r="S342" s="34"/>
      <c r="T342" s="34"/>
      <c r="U342" s="34"/>
      <c r="V342" s="34"/>
      <c r="W342" s="34"/>
      <c r="X342" s="34"/>
      <c r="Y342" s="34"/>
      <c r="Z342" s="34"/>
      <c r="AA342" s="34"/>
    </row>
    <row r="343" spans="1:27" ht="13">
      <c r="A343" s="34"/>
      <c r="B343" s="52"/>
      <c r="C343" s="34"/>
      <c r="D343" s="34"/>
      <c r="E343" s="34"/>
      <c r="F343" s="34"/>
      <c r="G343" s="33"/>
      <c r="H343" s="34"/>
      <c r="I343" s="34"/>
      <c r="J343" s="33"/>
      <c r="K343" s="34"/>
      <c r="L343" s="34"/>
      <c r="M343" s="34"/>
      <c r="N343" s="34"/>
      <c r="O343" s="34"/>
      <c r="P343" s="34"/>
      <c r="Q343" s="34"/>
      <c r="R343" s="34"/>
      <c r="S343" s="34"/>
      <c r="T343" s="34"/>
      <c r="U343" s="34"/>
      <c r="V343" s="34"/>
      <c r="W343" s="34"/>
      <c r="X343" s="34"/>
      <c r="Y343" s="34"/>
      <c r="Z343" s="34"/>
      <c r="AA343" s="34"/>
    </row>
    <row r="344" spans="1:27" ht="13">
      <c r="A344" s="34"/>
      <c r="B344" s="52"/>
      <c r="C344" s="34"/>
      <c r="D344" s="34"/>
      <c r="E344" s="34"/>
      <c r="F344" s="34"/>
      <c r="G344" s="33"/>
      <c r="H344" s="34"/>
      <c r="I344" s="34"/>
      <c r="J344" s="33"/>
      <c r="K344" s="34"/>
      <c r="L344" s="34"/>
      <c r="M344" s="34"/>
      <c r="N344" s="34"/>
      <c r="O344" s="34"/>
      <c r="P344" s="34"/>
      <c r="Q344" s="34"/>
      <c r="R344" s="34"/>
      <c r="S344" s="34"/>
      <c r="T344" s="34"/>
      <c r="U344" s="34"/>
      <c r="V344" s="34"/>
      <c r="W344" s="34"/>
      <c r="X344" s="34"/>
      <c r="Y344" s="34"/>
      <c r="Z344" s="34"/>
      <c r="AA344" s="34"/>
    </row>
    <row r="345" spans="1:27" ht="13">
      <c r="A345" s="34"/>
      <c r="B345" s="52"/>
      <c r="C345" s="34"/>
      <c r="D345" s="34"/>
      <c r="E345" s="34"/>
      <c r="F345" s="34"/>
      <c r="G345" s="33"/>
      <c r="H345" s="34"/>
      <c r="I345" s="34"/>
      <c r="J345" s="33"/>
      <c r="K345" s="34"/>
      <c r="L345" s="34"/>
      <c r="M345" s="34"/>
      <c r="N345" s="34"/>
      <c r="O345" s="34"/>
      <c r="P345" s="34"/>
      <c r="Q345" s="34"/>
      <c r="R345" s="34"/>
      <c r="S345" s="34"/>
      <c r="T345" s="34"/>
      <c r="U345" s="34"/>
      <c r="V345" s="34"/>
      <c r="W345" s="34"/>
      <c r="X345" s="34"/>
      <c r="Y345" s="34"/>
      <c r="Z345" s="34"/>
      <c r="AA345" s="34"/>
    </row>
    <row r="346" spans="1:27" ht="13">
      <c r="A346" s="34"/>
      <c r="B346" s="52"/>
      <c r="C346" s="34"/>
      <c r="D346" s="34"/>
      <c r="E346" s="34"/>
      <c r="F346" s="34"/>
      <c r="G346" s="33"/>
      <c r="H346" s="34"/>
      <c r="I346" s="34"/>
      <c r="J346" s="33"/>
      <c r="K346" s="34"/>
      <c r="L346" s="34"/>
      <c r="M346" s="34"/>
      <c r="N346" s="34"/>
      <c r="O346" s="34"/>
      <c r="P346" s="34"/>
      <c r="Q346" s="34"/>
      <c r="R346" s="34"/>
      <c r="S346" s="34"/>
      <c r="T346" s="34"/>
      <c r="U346" s="34"/>
      <c r="V346" s="34"/>
      <c r="W346" s="34"/>
      <c r="X346" s="34"/>
      <c r="Y346" s="34"/>
      <c r="Z346" s="34"/>
      <c r="AA346" s="34"/>
    </row>
    <row r="347" spans="1:27" ht="13">
      <c r="A347" s="34"/>
      <c r="B347" s="52"/>
      <c r="C347" s="34"/>
      <c r="D347" s="34"/>
      <c r="E347" s="34"/>
      <c r="F347" s="34"/>
      <c r="G347" s="33"/>
      <c r="H347" s="34"/>
      <c r="I347" s="34"/>
      <c r="J347" s="33"/>
      <c r="K347" s="34"/>
      <c r="L347" s="34"/>
      <c r="M347" s="34"/>
      <c r="N347" s="34"/>
      <c r="O347" s="34"/>
      <c r="P347" s="34"/>
      <c r="Q347" s="34"/>
      <c r="R347" s="34"/>
      <c r="S347" s="34"/>
      <c r="T347" s="34"/>
      <c r="U347" s="34"/>
      <c r="V347" s="34"/>
      <c r="W347" s="34"/>
      <c r="X347" s="34"/>
      <c r="Y347" s="34"/>
      <c r="Z347" s="34"/>
      <c r="AA347" s="34"/>
    </row>
    <row r="348" spans="1:27" ht="13">
      <c r="A348" s="34"/>
      <c r="B348" s="52"/>
      <c r="C348" s="34"/>
      <c r="D348" s="34"/>
      <c r="E348" s="34"/>
      <c r="F348" s="34"/>
      <c r="G348" s="33"/>
      <c r="H348" s="34"/>
      <c r="I348" s="34"/>
      <c r="J348" s="33"/>
      <c r="K348" s="34"/>
      <c r="L348" s="34"/>
      <c r="M348" s="34"/>
      <c r="N348" s="34"/>
      <c r="O348" s="34"/>
      <c r="P348" s="34"/>
      <c r="Q348" s="34"/>
      <c r="R348" s="34"/>
      <c r="S348" s="34"/>
      <c r="T348" s="34"/>
      <c r="U348" s="34"/>
      <c r="V348" s="34"/>
      <c r="W348" s="34"/>
      <c r="X348" s="34"/>
      <c r="Y348" s="34"/>
      <c r="Z348" s="34"/>
      <c r="AA348" s="34"/>
    </row>
    <row r="349" spans="1:27" ht="13">
      <c r="A349" s="34"/>
      <c r="B349" s="52"/>
      <c r="C349" s="34"/>
      <c r="D349" s="34"/>
      <c r="E349" s="34"/>
      <c r="F349" s="34"/>
      <c r="G349" s="33"/>
      <c r="H349" s="34"/>
      <c r="I349" s="34"/>
      <c r="J349" s="33"/>
      <c r="K349" s="34"/>
      <c r="L349" s="34"/>
      <c r="M349" s="34"/>
      <c r="N349" s="34"/>
      <c r="O349" s="34"/>
      <c r="P349" s="34"/>
      <c r="Q349" s="34"/>
      <c r="R349" s="34"/>
      <c r="S349" s="34"/>
      <c r="T349" s="34"/>
      <c r="U349" s="34"/>
      <c r="V349" s="34"/>
      <c r="W349" s="34"/>
      <c r="X349" s="34"/>
      <c r="Y349" s="34"/>
      <c r="Z349" s="34"/>
      <c r="AA349" s="34"/>
    </row>
    <row r="350" spans="1:27" ht="13">
      <c r="A350" s="34"/>
      <c r="B350" s="52"/>
      <c r="C350" s="34"/>
      <c r="D350" s="34"/>
      <c r="E350" s="34"/>
      <c r="F350" s="34"/>
      <c r="G350" s="33"/>
      <c r="H350" s="34"/>
      <c r="I350" s="34"/>
      <c r="J350" s="33"/>
      <c r="K350" s="34"/>
      <c r="L350" s="34"/>
      <c r="M350" s="34"/>
      <c r="N350" s="34"/>
      <c r="O350" s="34"/>
      <c r="P350" s="34"/>
      <c r="Q350" s="34"/>
      <c r="R350" s="34"/>
      <c r="S350" s="34"/>
      <c r="T350" s="34"/>
      <c r="U350" s="34"/>
      <c r="V350" s="34"/>
      <c r="W350" s="34"/>
      <c r="X350" s="34"/>
      <c r="Y350" s="34"/>
      <c r="Z350" s="34"/>
      <c r="AA350" s="34"/>
    </row>
    <row r="351" spans="1:27" ht="13">
      <c r="A351" s="34"/>
      <c r="B351" s="52"/>
      <c r="C351" s="34"/>
      <c r="D351" s="34"/>
      <c r="E351" s="34"/>
      <c r="F351" s="34"/>
      <c r="G351" s="33"/>
      <c r="H351" s="34"/>
      <c r="I351" s="34"/>
      <c r="J351" s="33"/>
      <c r="K351" s="34"/>
      <c r="L351" s="34"/>
      <c r="M351" s="34"/>
      <c r="N351" s="34"/>
      <c r="O351" s="34"/>
      <c r="P351" s="34"/>
      <c r="Q351" s="34"/>
      <c r="R351" s="34"/>
      <c r="S351" s="34"/>
      <c r="T351" s="34"/>
      <c r="U351" s="34"/>
      <c r="V351" s="34"/>
      <c r="W351" s="34"/>
      <c r="X351" s="34"/>
      <c r="Y351" s="34"/>
      <c r="Z351" s="34"/>
      <c r="AA351" s="34"/>
    </row>
    <row r="352" spans="1:27" ht="13">
      <c r="A352" s="34"/>
      <c r="B352" s="52"/>
      <c r="C352" s="34"/>
      <c r="D352" s="34"/>
      <c r="E352" s="34"/>
      <c r="F352" s="34"/>
      <c r="G352" s="33"/>
      <c r="H352" s="34"/>
      <c r="I352" s="34"/>
      <c r="J352" s="33"/>
      <c r="K352" s="34"/>
      <c r="L352" s="34"/>
      <c r="M352" s="34"/>
      <c r="N352" s="34"/>
      <c r="O352" s="34"/>
      <c r="P352" s="34"/>
      <c r="Q352" s="34"/>
      <c r="R352" s="34"/>
      <c r="S352" s="34"/>
      <c r="T352" s="34"/>
      <c r="U352" s="34"/>
      <c r="V352" s="34"/>
      <c r="W352" s="34"/>
      <c r="X352" s="34"/>
      <c r="Y352" s="34"/>
      <c r="Z352" s="34"/>
      <c r="AA352" s="34"/>
    </row>
    <row r="353" spans="1:27" ht="13">
      <c r="A353" s="34"/>
      <c r="B353" s="52"/>
      <c r="C353" s="34"/>
      <c r="D353" s="34"/>
      <c r="E353" s="34"/>
      <c r="F353" s="34"/>
      <c r="G353" s="33"/>
      <c r="H353" s="34"/>
      <c r="I353" s="34"/>
      <c r="J353" s="33"/>
      <c r="K353" s="34"/>
      <c r="L353" s="34"/>
      <c r="M353" s="34"/>
      <c r="N353" s="34"/>
      <c r="O353" s="34"/>
      <c r="P353" s="34"/>
      <c r="Q353" s="34"/>
      <c r="R353" s="34"/>
      <c r="S353" s="34"/>
      <c r="T353" s="34"/>
      <c r="U353" s="34"/>
      <c r="V353" s="34"/>
      <c r="W353" s="34"/>
      <c r="X353" s="34"/>
      <c r="Y353" s="34"/>
      <c r="Z353" s="34"/>
      <c r="AA353" s="34"/>
    </row>
    <row r="354" spans="1:27" ht="13">
      <c r="A354" s="34"/>
      <c r="B354" s="52"/>
      <c r="C354" s="34"/>
      <c r="D354" s="34"/>
      <c r="E354" s="34"/>
      <c r="F354" s="34"/>
      <c r="G354" s="33"/>
      <c r="H354" s="34"/>
      <c r="I354" s="34"/>
      <c r="J354" s="33"/>
      <c r="K354" s="34"/>
      <c r="L354" s="34"/>
      <c r="M354" s="34"/>
      <c r="N354" s="34"/>
      <c r="O354" s="34"/>
      <c r="P354" s="34"/>
      <c r="Q354" s="34"/>
      <c r="R354" s="34"/>
      <c r="S354" s="34"/>
      <c r="T354" s="34"/>
      <c r="U354" s="34"/>
      <c r="V354" s="34"/>
      <c r="W354" s="34"/>
      <c r="X354" s="34"/>
      <c r="Y354" s="34"/>
      <c r="Z354" s="34"/>
      <c r="AA354" s="34"/>
    </row>
    <row r="355" spans="1:27" ht="13">
      <c r="A355" s="34"/>
      <c r="B355" s="52"/>
      <c r="C355" s="34"/>
      <c r="D355" s="34"/>
      <c r="E355" s="34"/>
      <c r="F355" s="34"/>
      <c r="G355" s="33"/>
      <c r="H355" s="34"/>
      <c r="I355" s="34"/>
      <c r="J355" s="33"/>
      <c r="K355" s="34"/>
      <c r="L355" s="34"/>
      <c r="M355" s="34"/>
      <c r="N355" s="34"/>
      <c r="O355" s="34"/>
      <c r="P355" s="34"/>
      <c r="Q355" s="34"/>
      <c r="R355" s="34"/>
      <c r="S355" s="34"/>
      <c r="T355" s="34"/>
      <c r="U355" s="34"/>
      <c r="V355" s="34"/>
      <c r="W355" s="34"/>
      <c r="X355" s="34"/>
      <c r="Y355" s="34"/>
      <c r="Z355" s="34"/>
      <c r="AA355" s="34"/>
    </row>
    <row r="356" spans="1:27" ht="13">
      <c r="A356" s="34"/>
      <c r="B356" s="52"/>
      <c r="C356" s="34"/>
      <c r="D356" s="34"/>
      <c r="E356" s="34"/>
      <c r="F356" s="34"/>
      <c r="G356" s="33"/>
      <c r="H356" s="34"/>
      <c r="I356" s="34"/>
      <c r="J356" s="33"/>
      <c r="K356" s="34"/>
      <c r="L356" s="34"/>
      <c r="M356" s="34"/>
      <c r="N356" s="34"/>
      <c r="O356" s="34"/>
      <c r="P356" s="34"/>
      <c r="Q356" s="34"/>
      <c r="R356" s="34"/>
      <c r="S356" s="34"/>
      <c r="T356" s="34"/>
      <c r="U356" s="34"/>
      <c r="V356" s="34"/>
      <c r="W356" s="34"/>
      <c r="X356" s="34"/>
      <c r="Y356" s="34"/>
      <c r="Z356" s="34"/>
      <c r="AA356" s="34"/>
    </row>
    <row r="357" spans="1:27" ht="13">
      <c r="A357" s="34"/>
      <c r="B357" s="52"/>
      <c r="C357" s="34"/>
      <c r="D357" s="34"/>
      <c r="E357" s="34"/>
      <c r="F357" s="34"/>
      <c r="G357" s="33"/>
      <c r="H357" s="34"/>
      <c r="I357" s="34"/>
      <c r="J357" s="33"/>
      <c r="K357" s="34"/>
      <c r="L357" s="34"/>
      <c r="M357" s="34"/>
      <c r="N357" s="34"/>
      <c r="O357" s="34"/>
      <c r="P357" s="34"/>
      <c r="Q357" s="34"/>
      <c r="R357" s="34"/>
      <c r="S357" s="34"/>
      <c r="T357" s="34"/>
      <c r="U357" s="34"/>
      <c r="V357" s="34"/>
      <c r="W357" s="34"/>
      <c r="X357" s="34"/>
      <c r="Y357" s="34"/>
      <c r="Z357" s="34"/>
      <c r="AA357" s="34"/>
    </row>
    <row r="358" spans="1:27" ht="13">
      <c r="A358" s="34"/>
      <c r="B358" s="52"/>
      <c r="C358" s="34"/>
      <c r="D358" s="34"/>
      <c r="E358" s="34"/>
      <c r="F358" s="34"/>
      <c r="G358" s="33"/>
      <c r="H358" s="34"/>
      <c r="I358" s="34"/>
      <c r="J358" s="33"/>
      <c r="K358" s="34"/>
      <c r="L358" s="34"/>
      <c r="M358" s="34"/>
      <c r="N358" s="34"/>
      <c r="O358" s="34"/>
      <c r="P358" s="34"/>
      <c r="Q358" s="34"/>
      <c r="R358" s="34"/>
      <c r="S358" s="34"/>
      <c r="T358" s="34"/>
      <c r="U358" s="34"/>
      <c r="V358" s="34"/>
      <c r="W358" s="34"/>
      <c r="X358" s="34"/>
      <c r="Y358" s="34"/>
      <c r="Z358" s="34"/>
      <c r="AA358" s="34"/>
    </row>
    <row r="359" spans="1:27" ht="13">
      <c r="A359" s="34"/>
      <c r="B359" s="52"/>
      <c r="C359" s="34"/>
      <c r="D359" s="34"/>
      <c r="E359" s="34"/>
      <c r="F359" s="34"/>
      <c r="G359" s="33"/>
      <c r="H359" s="34"/>
      <c r="I359" s="34"/>
      <c r="J359" s="33"/>
      <c r="K359" s="34"/>
      <c r="L359" s="34"/>
      <c r="M359" s="34"/>
      <c r="N359" s="34"/>
      <c r="O359" s="34"/>
      <c r="P359" s="34"/>
      <c r="Q359" s="34"/>
      <c r="R359" s="34"/>
      <c r="S359" s="34"/>
      <c r="T359" s="34"/>
      <c r="U359" s="34"/>
      <c r="V359" s="34"/>
      <c r="W359" s="34"/>
      <c r="X359" s="34"/>
      <c r="Y359" s="34"/>
      <c r="Z359" s="34"/>
      <c r="AA359" s="34"/>
    </row>
    <row r="360" spans="1:27" ht="13">
      <c r="A360" s="34"/>
      <c r="B360" s="52"/>
      <c r="C360" s="34"/>
      <c r="D360" s="34"/>
      <c r="E360" s="34"/>
      <c r="F360" s="34"/>
      <c r="G360" s="33"/>
      <c r="H360" s="34"/>
      <c r="I360" s="34"/>
      <c r="J360" s="33"/>
      <c r="K360" s="34"/>
      <c r="L360" s="34"/>
      <c r="M360" s="34"/>
      <c r="N360" s="34"/>
      <c r="O360" s="34"/>
      <c r="P360" s="34"/>
      <c r="Q360" s="34"/>
      <c r="R360" s="34"/>
      <c r="S360" s="34"/>
      <c r="T360" s="34"/>
      <c r="U360" s="34"/>
      <c r="V360" s="34"/>
      <c r="W360" s="34"/>
      <c r="X360" s="34"/>
      <c r="Y360" s="34"/>
      <c r="Z360" s="34"/>
      <c r="AA360" s="34"/>
    </row>
    <row r="361" spans="1:27" ht="13">
      <c r="A361" s="34"/>
      <c r="B361" s="52"/>
      <c r="C361" s="34"/>
      <c r="D361" s="34"/>
      <c r="E361" s="34"/>
      <c r="F361" s="34"/>
      <c r="G361" s="33"/>
      <c r="H361" s="34"/>
      <c r="I361" s="34"/>
      <c r="J361" s="33"/>
      <c r="K361" s="34"/>
      <c r="L361" s="34"/>
      <c r="M361" s="34"/>
      <c r="N361" s="34"/>
      <c r="O361" s="34"/>
      <c r="P361" s="34"/>
      <c r="Q361" s="34"/>
      <c r="R361" s="34"/>
      <c r="S361" s="34"/>
      <c r="T361" s="34"/>
      <c r="U361" s="34"/>
      <c r="V361" s="34"/>
      <c r="W361" s="34"/>
      <c r="X361" s="34"/>
      <c r="Y361" s="34"/>
      <c r="Z361" s="34"/>
      <c r="AA361" s="34"/>
    </row>
    <row r="362" spans="1:27" ht="13">
      <c r="A362" s="34"/>
      <c r="B362" s="52"/>
      <c r="C362" s="34"/>
      <c r="D362" s="34"/>
      <c r="E362" s="34"/>
      <c r="F362" s="34"/>
      <c r="G362" s="33"/>
      <c r="H362" s="34"/>
      <c r="I362" s="34"/>
      <c r="J362" s="33"/>
      <c r="K362" s="34"/>
      <c r="L362" s="34"/>
      <c r="M362" s="34"/>
      <c r="N362" s="34"/>
      <c r="O362" s="34"/>
      <c r="P362" s="34"/>
      <c r="Q362" s="34"/>
      <c r="R362" s="34"/>
      <c r="S362" s="34"/>
      <c r="T362" s="34"/>
      <c r="U362" s="34"/>
      <c r="V362" s="34"/>
      <c r="W362" s="34"/>
      <c r="X362" s="34"/>
      <c r="Y362" s="34"/>
      <c r="Z362" s="34"/>
      <c r="AA362" s="34"/>
    </row>
    <row r="363" spans="1:27" ht="13">
      <c r="A363" s="34"/>
      <c r="B363" s="52"/>
      <c r="C363" s="34"/>
      <c r="D363" s="34"/>
      <c r="E363" s="34"/>
      <c r="F363" s="34"/>
      <c r="G363" s="33"/>
      <c r="H363" s="34"/>
      <c r="I363" s="34"/>
      <c r="J363" s="33"/>
      <c r="K363" s="34"/>
      <c r="L363" s="34"/>
      <c r="M363" s="34"/>
      <c r="N363" s="34"/>
      <c r="O363" s="34"/>
      <c r="P363" s="34"/>
      <c r="Q363" s="34"/>
      <c r="R363" s="34"/>
      <c r="S363" s="34"/>
      <c r="T363" s="34"/>
      <c r="U363" s="34"/>
      <c r="V363" s="34"/>
      <c r="W363" s="34"/>
      <c r="X363" s="34"/>
      <c r="Y363" s="34"/>
      <c r="Z363" s="34"/>
      <c r="AA363" s="34"/>
    </row>
    <row r="364" spans="1:27" ht="13">
      <c r="A364" s="34"/>
      <c r="B364" s="52"/>
      <c r="C364" s="34"/>
      <c r="D364" s="34"/>
      <c r="E364" s="34"/>
      <c r="F364" s="34"/>
      <c r="G364" s="33"/>
      <c r="H364" s="34"/>
      <c r="I364" s="34"/>
      <c r="J364" s="33"/>
      <c r="K364" s="34"/>
      <c r="L364" s="34"/>
      <c r="M364" s="34"/>
      <c r="N364" s="34"/>
      <c r="O364" s="34"/>
      <c r="P364" s="34"/>
      <c r="Q364" s="34"/>
      <c r="R364" s="34"/>
      <c r="S364" s="34"/>
      <c r="T364" s="34"/>
      <c r="U364" s="34"/>
      <c r="V364" s="34"/>
      <c r="W364" s="34"/>
      <c r="X364" s="34"/>
      <c r="Y364" s="34"/>
      <c r="Z364" s="34"/>
      <c r="AA364" s="34"/>
    </row>
    <row r="365" spans="1:27" ht="13">
      <c r="A365" s="34"/>
      <c r="B365" s="52"/>
      <c r="C365" s="34"/>
      <c r="D365" s="34"/>
      <c r="E365" s="34"/>
      <c r="F365" s="34"/>
      <c r="G365" s="33"/>
      <c r="H365" s="34"/>
      <c r="I365" s="34"/>
      <c r="J365" s="33"/>
      <c r="K365" s="34"/>
      <c r="L365" s="34"/>
      <c r="M365" s="34"/>
      <c r="N365" s="34"/>
      <c r="O365" s="34"/>
      <c r="P365" s="34"/>
      <c r="Q365" s="34"/>
      <c r="R365" s="34"/>
      <c r="S365" s="34"/>
      <c r="T365" s="34"/>
      <c r="U365" s="34"/>
      <c r="V365" s="34"/>
      <c r="W365" s="34"/>
      <c r="X365" s="34"/>
      <c r="Y365" s="34"/>
      <c r="Z365" s="34"/>
      <c r="AA365" s="34"/>
    </row>
    <row r="366" spans="1:27" ht="13">
      <c r="A366" s="34"/>
      <c r="B366" s="52"/>
      <c r="C366" s="34"/>
      <c r="D366" s="34"/>
      <c r="E366" s="34"/>
      <c r="F366" s="34"/>
      <c r="G366" s="33"/>
      <c r="H366" s="34"/>
      <c r="I366" s="34"/>
      <c r="J366" s="33"/>
      <c r="K366" s="34"/>
      <c r="L366" s="34"/>
      <c r="M366" s="34"/>
      <c r="N366" s="34"/>
      <c r="O366" s="34"/>
      <c r="P366" s="34"/>
      <c r="Q366" s="34"/>
      <c r="R366" s="34"/>
      <c r="S366" s="34"/>
      <c r="T366" s="34"/>
      <c r="U366" s="34"/>
      <c r="V366" s="34"/>
      <c r="W366" s="34"/>
      <c r="X366" s="34"/>
      <c r="Y366" s="34"/>
      <c r="Z366" s="34"/>
      <c r="AA366" s="34"/>
    </row>
    <row r="367" spans="1:27" ht="13">
      <c r="A367" s="34"/>
      <c r="B367" s="52"/>
      <c r="C367" s="34"/>
      <c r="D367" s="34"/>
      <c r="E367" s="34"/>
      <c r="F367" s="34"/>
      <c r="G367" s="33"/>
      <c r="H367" s="34"/>
      <c r="I367" s="34"/>
      <c r="J367" s="33"/>
      <c r="K367" s="34"/>
      <c r="L367" s="34"/>
      <c r="M367" s="34"/>
      <c r="N367" s="34"/>
      <c r="O367" s="34"/>
      <c r="P367" s="34"/>
      <c r="Q367" s="34"/>
      <c r="R367" s="34"/>
      <c r="S367" s="34"/>
      <c r="T367" s="34"/>
      <c r="U367" s="34"/>
      <c r="V367" s="34"/>
      <c r="W367" s="34"/>
      <c r="X367" s="34"/>
      <c r="Y367" s="34"/>
      <c r="Z367" s="34"/>
      <c r="AA367" s="34"/>
    </row>
    <row r="368" spans="1:27" ht="13">
      <c r="A368" s="34"/>
      <c r="B368" s="52"/>
      <c r="C368" s="34"/>
      <c r="D368" s="34"/>
      <c r="E368" s="34"/>
      <c r="F368" s="34"/>
      <c r="G368" s="33"/>
      <c r="H368" s="34"/>
      <c r="I368" s="34"/>
      <c r="J368" s="33"/>
      <c r="K368" s="34"/>
      <c r="L368" s="34"/>
      <c r="M368" s="34"/>
      <c r="N368" s="34"/>
      <c r="O368" s="34"/>
      <c r="P368" s="34"/>
      <c r="Q368" s="34"/>
      <c r="R368" s="34"/>
      <c r="S368" s="34"/>
      <c r="T368" s="34"/>
      <c r="U368" s="34"/>
      <c r="V368" s="34"/>
      <c r="W368" s="34"/>
      <c r="X368" s="34"/>
      <c r="Y368" s="34"/>
      <c r="Z368" s="34"/>
      <c r="AA368" s="34"/>
    </row>
    <row r="369" spans="1:27" ht="13">
      <c r="A369" s="34"/>
      <c r="B369" s="52"/>
      <c r="C369" s="34"/>
      <c r="D369" s="34"/>
      <c r="E369" s="34"/>
      <c r="F369" s="34"/>
      <c r="G369" s="33"/>
      <c r="H369" s="34"/>
      <c r="I369" s="34"/>
      <c r="J369" s="33"/>
      <c r="K369" s="34"/>
      <c r="L369" s="34"/>
      <c r="M369" s="34"/>
      <c r="N369" s="34"/>
      <c r="O369" s="34"/>
      <c r="P369" s="34"/>
      <c r="Q369" s="34"/>
      <c r="R369" s="34"/>
      <c r="S369" s="34"/>
      <c r="T369" s="34"/>
      <c r="U369" s="34"/>
      <c r="V369" s="34"/>
      <c r="W369" s="34"/>
      <c r="X369" s="34"/>
      <c r="Y369" s="34"/>
      <c r="Z369" s="34"/>
      <c r="AA369" s="34"/>
    </row>
    <row r="370" spans="1:27" ht="13">
      <c r="A370" s="34"/>
      <c r="B370" s="52"/>
      <c r="C370" s="34"/>
      <c r="D370" s="34"/>
      <c r="E370" s="34"/>
      <c r="F370" s="34"/>
      <c r="G370" s="33"/>
      <c r="H370" s="34"/>
      <c r="I370" s="34"/>
      <c r="J370" s="33"/>
      <c r="K370" s="34"/>
      <c r="L370" s="34"/>
      <c r="M370" s="34"/>
      <c r="N370" s="34"/>
      <c r="O370" s="34"/>
      <c r="P370" s="34"/>
      <c r="Q370" s="34"/>
      <c r="R370" s="34"/>
      <c r="S370" s="34"/>
      <c r="T370" s="34"/>
      <c r="U370" s="34"/>
      <c r="V370" s="34"/>
      <c r="W370" s="34"/>
      <c r="X370" s="34"/>
      <c r="Y370" s="34"/>
      <c r="Z370" s="34"/>
      <c r="AA370" s="34"/>
    </row>
    <row r="371" spans="1:27" ht="13">
      <c r="A371" s="34"/>
      <c r="B371" s="52"/>
      <c r="C371" s="34"/>
      <c r="D371" s="34"/>
      <c r="E371" s="34"/>
      <c r="F371" s="34"/>
      <c r="G371" s="33"/>
      <c r="H371" s="34"/>
      <c r="I371" s="34"/>
      <c r="J371" s="33"/>
      <c r="K371" s="34"/>
      <c r="L371" s="34"/>
      <c r="M371" s="34"/>
      <c r="N371" s="34"/>
      <c r="O371" s="34"/>
      <c r="P371" s="34"/>
      <c r="Q371" s="34"/>
      <c r="R371" s="34"/>
      <c r="S371" s="34"/>
      <c r="T371" s="34"/>
      <c r="U371" s="34"/>
      <c r="V371" s="34"/>
      <c r="W371" s="34"/>
      <c r="X371" s="34"/>
      <c r="Y371" s="34"/>
      <c r="Z371" s="34"/>
      <c r="AA371" s="34"/>
    </row>
    <row r="372" spans="1:27" ht="13">
      <c r="A372" s="34"/>
      <c r="B372" s="52"/>
      <c r="C372" s="34"/>
      <c r="D372" s="34"/>
      <c r="E372" s="34"/>
      <c r="F372" s="34"/>
      <c r="G372" s="33"/>
      <c r="H372" s="34"/>
      <c r="I372" s="34"/>
      <c r="J372" s="33"/>
      <c r="K372" s="34"/>
      <c r="L372" s="34"/>
      <c r="M372" s="34"/>
      <c r="N372" s="34"/>
      <c r="O372" s="34"/>
      <c r="P372" s="34"/>
      <c r="Q372" s="34"/>
      <c r="R372" s="34"/>
      <c r="S372" s="34"/>
      <c r="T372" s="34"/>
      <c r="U372" s="34"/>
      <c r="V372" s="34"/>
      <c r="W372" s="34"/>
      <c r="X372" s="34"/>
      <c r="Y372" s="34"/>
      <c r="Z372" s="34"/>
      <c r="AA372" s="34"/>
    </row>
    <row r="373" spans="1:27" ht="13">
      <c r="A373" s="34"/>
      <c r="B373" s="52"/>
      <c r="C373" s="34"/>
      <c r="D373" s="34"/>
      <c r="E373" s="34"/>
      <c r="F373" s="34"/>
      <c r="G373" s="33"/>
      <c r="H373" s="34"/>
      <c r="I373" s="34"/>
      <c r="J373" s="33"/>
      <c r="K373" s="34"/>
      <c r="L373" s="34"/>
      <c r="M373" s="34"/>
      <c r="N373" s="34"/>
      <c r="O373" s="34"/>
      <c r="P373" s="34"/>
      <c r="Q373" s="34"/>
      <c r="R373" s="34"/>
      <c r="S373" s="34"/>
      <c r="T373" s="34"/>
      <c r="U373" s="34"/>
      <c r="V373" s="34"/>
      <c r="W373" s="34"/>
      <c r="X373" s="34"/>
      <c r="Y373" s="34"/>
      <c r="Z373" s="34"/>
      <c r="AA373" s="34"/>
    </row>
    <row r="374" spans="1:27" ht="13">
      <c r="A374" s="34"/>
      <c r="B374" s="52"/>
      <c r="C374" s="34"/>
      <c r="D374" s="34"/>
      <c r="E374" s="34"/>
      <c r="F374" s="34"/>
      <c r="G374" s="33"/>
      <c r="H374" s="34"/>
      <c r="I374" s="34"/>
      <c r="J374" s="33"/>
      <c r="K374" s="34"/>
      <c r="L374" s="34"/>
      <c r="M374" s="34"/>
      <c r="N374" s="34"/>
      <c r="O374" s="34"/>
      <c r="P374" s="34"/>
      <c r="Q374" s="34"/>
      <c r="R374" s="34"/>
      <c r="S374" s="34"/>
      <c r="T374" s="34"/>
      <c r="U374" s="34"/>
      <c r="V374" s="34"/>
      <c r="W374" s="34"/>
      <c r="X374" s="34"/>
      <c r="Y374" s="34"/>
      <c r="Z374" s="34"/>
      <c r="AA374" s="34"/>
    </row>
    <row r="375" spans="1:27" ht="13">
      <c r="A375" s="34"/>
      <c r="B375" s="52"/>
      <c r="C375" s="34"/>
      <c r="D375" s="34"/>
      <c r="E375" s="34"/>
      <c r="F375" s="34"/>
      <c r="G375" s="33"/>
      <c r="H375" s="34"/>
      <c r="I375" s="34"/>
      <c r="J375" s="33"/>
      <c r="K375" s="34"/>
      <c r="L375" s="34"/>
      <c r="M375" s="34"/>
      <c r="N375" s="34"/>
      <c r="O375" s="34"/>
      <c r="P375" s="34"/>
      <c r="Q375" s="34"/>
      <c r="R375" s="34"/>
      <c r="S375" s="34"/>
      <c r="T375" s="34"/>
      <c r="U375" s="34"/>
      <c r="V375" s="34"/>
      <c r="W375" s="34"/>
      <c r="X375" s="34"/>
      <c r="Y375" s="34"/>
      <c r="Z375" s="34"/>
      <c r="AA375" s="34"/>
    </row>
    <row r="376" spans="1:27" ht="13">
      <c r="A376" s="34"/>
      <c r="B376" s="52"/>
      <c r="C376" s="34"/>
      <c r="D376" s="34"/>
      <c r="E376" s="34"/>
      <c r="F376" s="34"/>
      <c r="G376" s="33"/>
      <c r="H376" s="34"/>
      <c r="I376" s="34"/>
      <c r="J376" s="33"/>
      <c r="K376" s="34"/>
      <c r="L376" s="34"/>
      <c r="M376" s="34"/>
      <c r="N376" s="34"/>
      <c r="O376" s="34"/>
      <c r="P376" s="34"/>
      <c r="Q376" s="34"/>
      <c r="R376" s="34"/>
      <c r="S376" s="34"/>
      <c r="T376" s="34"/>
      <c r="U376" s="34"/>
      <c r="V376" s="34"/>
      <c r="W376" s="34"/>
      <c r="X376" s="34"/>
      <c r="Y376" s="34"/>
      <c r="Z376" s="34"/>
      <c r="AA376" s="34"/>
    </row>
    <row r="377" spans="1:27" ht="13">
      <c r="A377" s="34"/>
      <c r="B377" s="52"/>
      <c r="C377" s="34"/>
      <c r="D377" s="34"/>
      <c r="E377" s="34"/>
      <c r="F377" s="34"/>
      <c r="G377" s="33"/>
      <c r="H377" s="34"/>
      <c r="I377" s="34"/>
      <c r="J377" s="33"/>
      <c r="K377" s="34"/>
      <c r="L377" s="34"/>
      <c r="M377" s="34"/>
      <c r="N377" s="34"/>
      <c r="O377" s="34"/>
      <c r="P377" s="34"/>
      <c r="Q377" s="34"/>
      <c r="R377" s="34"/>
      <c r="S377" s="34"/>
      <c r="T377" s="34"/>
      <c r="U377" s="34"/>
      <c r="V377" s="34"/>
      <c r="W377" s="34"/>
      <c r="X377" s="34"/>
      <c r="Y377" s="34"/>
      <c r="Z377" s="34"/>
      <c r="AA377" s="34"/>
    </row>
    <row r="378" spans="1:27" ht="13">
      <c r="A378" s="34"/>
      <c r="B378" s="52"/>
      <c r="C378" s="34"/>
      <c r="D378" s="34"/>
      <c r="E378" s="34"/>
      <c r="F378" s="34"/>
      <c r="G378" s="33"/>
      <c r="H378" s="34"/>
      <c r="I378" s="34"/>
      <c r="J378" s="33"/>
      <c r="K378" s="34"/>
      <c r="L378" s="34"/>
      <c r="M378" s="34"/>
      <c r="N378" s="34"/>
      <c r="O378" s="34"/>
      <c r="P378" s="34"/>
      <c r="Q378" s="34"/>
      <c r="R378" s="34"/>
      <c r="S378" s="34"/>
      <c r="T378" s="34"/>
      <c r="U378" s="34"/>
      <c r="V378" s="34"/>
      <c r="W378" s="34"/>
      <c r="X378" s="34"/>
      <c r="Y378" s="34"/>
      <c r="Z378" s="34"/>
      <c r="AA378" s="34"/>
    </row>
    <row r="379" spans="1:27" ht="13">
      <c r="A379" s="34"/>
      <c r="B379" s="52"/>
      <c r="C379" s="34"/>
      <c r="D379" s="34"/>
      <c r="E379" s="34"/>
      <c r="F379" s="34"/>
      <c r="G379" s="33"/>
      <c r="H379" s="34"/>
      <c r="I379" s="34"/>
      <c r="J379" s="33"/>
      <c r="K379" s="34"/>
      <c r="L379" s="34"/>
      <c r="M379" s="34"/>
      <c r="N379" s="34"/>
      <c r="O379" s="34"/>
      <c r="P379" s="34"/>
      <c r="Q379" s="34"/>
      <c r="R379" s="34"/>
      <c r="S379" s="34"/>
      <c r="T379" s="34"/>
      <c r="U379" s="34"/>
      <c r="V379" s="34"/>
      <c r="W379" s="34"/>
      <c r="X379" s="34"/>
      <c r="Y379" s="34"/>
      <c r="Z379" s="34"/>
      <c r="AA379" s="34"/>
    </row>
    <row r="380" spans="1:27" ht="13">
      <c r="A380" s="34"/>
      <c r="B380" s="52"/>
      <c r="C380" s="34"/>
      <c r="D380" s="34"/>
      <c r="E380" s="34"/>
      <c r="F380" s="34"/>
      <c r="G380" s="33"/>
      <c r="H380" s="34"/>
      <c r="I380" s="34"/>
      <c r="J380" s="33"/>
      <c r="K380" s="34"/>
      <c r="L380" s="34"/>
      <c r="M380" s="34"/>
      <c r="N380" s="34"/>
      <c r="O380" s="34"/>
      <c r="P380" s="34"/>
      <c r="Q380" s="34"/>
      <c r="R380" s="34"/>
      <c r="S380" s="34"/>
      <c r="T380" s="34"/>
      <c r="U380" s="34"/>
      <c r="V380" s="34"/>
      <c r="W380" s="34"/>
      <c r="X380" s="34"/>
      <c r="Y380" s="34"/>
      <c r="Z380" s="34"/>
      <c r="AA380" s="34"/>
    </row>
    <row r="381" spans="1:27" ht="13">
      <c r="A381" s="34"/>
      <c r="B381" s="52"/>
      <c r="C381" s="34"/>
      <c r="D381" s="34"/>
      <c r="E381" s="34"/>
      <c r="F381" s="34"/>
      <c r="G381" s="33"/>
      <c r="H381" s="34"/>
      <c r="I381" s="34"/>
      <c r="J381" s="33"/>
      <c r="K381" s="34"/>
      <c r="L381" s="34"/>
      <c r="M381" s="34"/>
      <c r="N381" s="34"/>
      <c r="O381" s="34"/>
      <c r="P381" s="34"/>
      <c r="Q381" s="34"/>
      <c r="R381" s="34"/>
      <c r="S381" s="34"/>
      <c r="T381" s="34"/>
      <c r="U381" s="34"/>
      <c r="V381" s="34"/>
      <c r="W381" s="34"/>
      <c r="X381" s="34"/>
      <c r="Y381" s="34"/>
      <c r="Z381" s="34"/>
      <c r="AA381" s="34"/>
    </row>
    <row r="382" spans="1:27" ht="13">
      <c r="A382" s="34"/>
      <c r="B382" s="52"/>
      <c r="C382" s="34"/>
      <c r="D382" s="34"/>
      <c r="E382" s="34"/>
      <c r="F382" s="34"/>
      <c r="G382" s="33"/>
      <c r="H382" s="34"/>
      <c r="I382" s="34"/>
      <c r="J382" s="33"/>
      <c r="K382" s="34"/>
      <c r="L382" s="34"/>
      <c r="M382" s="34"/>
      <c r="N382" s="34"/>
      <c r="O382" s="34"/>
      <c r="P382" s="34"/>
      <c r="Q382" s="34"/>
      <c r="R382" s="34"/>
      <c r="S382" s="34"/>
      <c r="T382" s="34"/>
      <c r="U382" s="34"/>
      <c r="V382" s="34"/>
      <c r="W382" s="34"/>
      <c r="X382" s="34"/>
      <c r="Y382" s="34"/>
      <c r="Z382" s="34"/>
      <c r="AA382" s="34"/>
    </row>
    <row r="383" spans="1:27" ht="13">
      <c r="A383" s="34"/>
      <c r="B383" s="52"/>
      <c r="C383" s="34"/>
      <c r="D383" s="34"/>
      <c r="E383" s="34"/>
      <c r="F383" s="34"/>
      <c r="G383" s="33"/>
      <c r="H383" s="34"/>
      <c r="I383" s="34"/>
      <c r="J383" s="33"/>
      <c r="K383" s="34"/>
      <c r="L383" s="34"/>
      <c r="M383" s="34"/>
      <c r="N383" s="34"/>
      <c r="O383" s="34"/>
      <c r="P383" s="34"/>
      <c r="Q383" s="34"/>
      <c r="R383" s="34"/>
      <c r="S383" s="34"/>
      <c r="T383" s="34"/>
      <c r="U383" s="34"/>
      <c r="V383" s="34"/>
      <c r="W383" s="34"/>
      <c r="X383" s="34"/>
      <c r="Y383" s="34"/>
      <c r="Z383" s="34"/>
      <c r="AA383" s="34"/>
    </row>
    <row r="384" spans="1:27" ht="13">
      <c r="A384" s="34"/>
      <c r="B384" s="52"/>
      <c r="C384" s="34"/>
      <c r="D384" s="34"/>
      <c r="E384" s="34"/>
      <c r="F384" s="34"/>
      <c r="G384" s="33"/>
      <c r="H384" s="34"/>
      <c r="I384" s="34"/>
      <c r="J384" s="33"/>
      <c r="K384" s="34"/>
      <c r="L384" s="34"/>
      <c r="M384" s="34"/>
      <c r="N384" s="34"/>
      <c r="O384" s="34"/>
      <c r="P384" s="34"/>
      <c r="Q384" s="34"/>
      <c r="R384" s="34"/>
      <c r="S384" s="34"/>
      <c r="T384" s="34"/>
      <c r="U384" s="34"/>
      <c r="V384" s="34"/>
      <c r="W384" s="34"/>
      <c r="X384" s="34"/>
      <c r="Y384" s="34"/>
      <c r="Z384" s="34"/>
      <c r="AA384" s="34"/>
    </row>
    <row r="385" spans="1:27" ht="13">
      <c r="A385" s="34"/>
      <c r="B385" s="52"/>
      <c r="C385" s="34"/>
      <c r="D385" s="34"/>
      <c r="E385" s="34"/>
      <c r="F385" s="34"/>
      <c r="G385" s="33"/>
      <c r="H385" s="34"/>
      <c r="I385" s="34"/>
      <c r="J385" s="33"/>
      <c r="K385" s="34"/>
      <c r="L385" s="34"/>
      <c r="M385" s="34"/>
      <c r="N385" s="34"/>
      <c r="O385" s="34"/>
      <c r="P385" s="34"/>
      <c r="Q385" s="34"/>
      <c r="R385" s="34"/>
      <c r="S385" s="34"/>
      <c r="T385" s="34"/>
      <c r="U385" s="34"/>
      <c r="V385" s="34"/>
      <c r="W385" s="34"/>
      <c r="X385" s="34"/>
      <c r="Y385" s="34"/>
      <c r="Z385" s="34"/>
      <c r="AA385" s="34"/>
    </row>
    <row r="386" spans="1:27" ht="13">
      <c r="A386" s="34"/>
      <c r="B386" s="52"/>
      <c r="C386" s="34"/>
      <c r="D386" s="34"/>
      <c r="E386" s="34"/>
      <c r="F386" s="34"/>
      <c r="G386" s="33"/>
      <c r="H386" s="34"/>
      <c r="I386" s="34"/>
      <c r="J386" s="33"/>
      <c r="K386" s="34"/>
      <c r="L386" s="34"/>
      <c r="M386" s="34"/>
      <c r="N386" s="34"/>
      <c r="O386" s="34"/>
      <c r="P386" s="34"/>
      <c r="Q386" s="34"/>
      <c r="R386" s="34"/>
      <c r="S386" s="34"/>
      <c r="T386" s="34"/>
      <c r="U386" s="34"/>
      <c r="V386" s="34"/>
      <c r="W386" s="34"/>
      <c r="X386" s="34"/>
      <c r="Y386" s="34"/>
      <c r="Z386" s="34"/>
      <c r="AA386" s="34"/>
    </row>
    <row r="387" spans="1:27" ht="13">
      <c r="A387" s="34"/>
      <c r="B387" s="52"/>
      <c r="C387" s="34"/>
      <c r="D387" s="34"/>
      <c r="E387" s="34"/>
      <c r="F387" s="34"/>
      <c r="G387" s="33"/>
      <c r="H387" s="34"/>
      <c r="I387" s="34"/>
      <c r="J387" s="33"/>
      <c r="K387" s="34"/>
      <c r="L387" s="34"/>
      <c r="M387" s="34"/>
      <c r="N387" s="34"/>
      <c r="O387" s="34"/>
      <c r="P387" s="34"/>
      <c r="Q387" s="34"/>
      <c r="R387" s="34"/>
      <c r="S387" s="34"/>
      <c r="T387" s="34"/>
      <c r="U387" s="34"/>
      <c r="V387" s="34"/>
      <c r="W387" s="34"/>
      <c r="X387" s="34"/>
      <c r="Y387" s="34"/>
      <c r="Z387" s="34"/>
      <c r="AA387" s="34"/>
    </row>
    <row r="388" spans="1:27" ht="13">
      <c r="A388" s="34"/>
      <c r="B388" s="52"/>
      <c r="C388" s="34"/>
      <c r="D388" s="34"/>
      <c r="E388" s="34"/>
      <c r="F388" s="34"/>
      <c r="G388" s="33"/>
      <c r="H388" s="34"/>
      <c r="I388" s="34"/>
      <c r="J388" s="33"/>
      <c r="K388" s="34"/>
      <c r="L388" s="34"/>
      <c r="M388" s="34"/>
      <c r="N388" s="34"/>
      <c r="O388" s="34"/>
      <c r="P388" s="34"/>
      <c r="Q388" s="34"/>
      <c r="R388" s="34"/>
      <c r="S388" s="34"/>
      <c r="T388" s="34"/>
      <c r="U388" s="34"/>
      <c r="V388" s="34"/>
      <c r="W388" s="34"/>
      <c r="X388" s="34"/>
      <c r="Y388" s="34"/>
      <c r="Z388" s="34"/>
      <c r="AA388" s="34"/>
    </row>
    <row r="389" spans="1:27" ht="13">
      <c r="A389" s="34"/>
      <c r="B389" s="52"/>
      <c r="C389" s="34"/>
      <c r="D389" s="34"/>
      <c r="E389" s="34"/>
      <c r="F389" s="34"/>
      <c r="G389" s="33"/>
      <c r="H389" s="34"/>
      <c r="I389" s="34"/>
      <c r="J389" s="33"/>
      <c r="K389" s="34"/>
      <c r="L389" s="34"/>
      <c r="M389" s="34"/>
      <c r="N389" s="34"/>
      <c r="O389" s="34"/>
      <c r="P389" s="34"/>
      <c r="Q389" s="34"/>
      <c r="R389" s="34"/>
      <c r="S389" s="34"/>
      <c r="T389" s="34"/>
      <c r="U389" s="34"/>
      <c r="V389" s="34"/>
      <c r="W389" s="34"/>
      <c r="X389" s="34"/>
      <c r="Y389" s="34"/>
      <c r="Z389" s="34"/>
      <c r="AA389" s="34"/>
    </row>
    <row r="390" spans="1:27" ht="13">
      <c r="A390" s="34"/>
      <c r="B390" s="52"/>
      <c r="C390" s="34"/>
      <c r="D390" s="34"/>
      <c r="E390" s="34"/>
      <c r="F390" s="34"/>
      <c r="G390" s="33"/>
      <c r="H390" s="34"/>
      <c r="I390" s="34"/>
      <c r="J390" s="33"/>
      <c r="K390" s="34"/>
      <c r="L390" s="34"/>
      <c r="M390" s="34"/>
      <c r="N390" s="34"/>
      <c r="O390" s="34"/>
      <c r="P390" s="34"/>
      <c r="Q390" s="34"/>
      <c r="R390" s="34"/>
      <c r="S390" s="34"/>
      <c r="T390" s="34"/>
      <c r="U390" s="34"/>
      <c r="V390" s="34"/>
      <c r="W390" s="34"/>
      <c r="X390" s="34"/>
      <c r="Y390" s="34"/>
      <c r="Z390" s="34"/>
      <c r="AA390" s="34"/>
    </row>
    <row r="391" spans="1:27" ht="13">
      <c r="A391" s="34"/>
      <c r="B391" s="52"/>
      <c r="C391" s="34"/>
      <c r="D391" s="34"/>
      <c r="E391" s="34"/>
      <c r="F391" s="34"/>
      <c r="G391" s="33"/>
      <c r="H391" s="34"/>
      <c r="I391" s="34"/>
      <c r="J391" s="33"/>
      <c r="K391" s="34"/>
      <c r="L391" s="34"/>
      <c r="M391" s="34"/>
      <c r="N391" s="34"/>
      <c r="O391" s="34"/>
      <c r="P391" s="34"/>
      <c r="Q391" s="34"/>
      <c r="R391" s="34"/>
      <c r="S391" s="34"/>
      <c r="T391" s="34"/>
      <c r="U391" s="34"/>
      <c r="V391" s="34"/>
      <c r="W391" s="34"/>
      <c r="X391" s="34"/>
      <c r="Y391" s="34"/>
      <c r="Z391" s="34"/>
      <c r="AA391" s="34"/>
    </row>
    <row r="392" spans="1:27" ht="13">
      <c r="A392" s="34"/>
      <c r="B392" s="52"/>
      <c r="C392" s="34"/>
      <c r="D392" s="34"/>
      <c r="E392" s="34"/>
      <c r="F392" s="34"/>
      <c r="G392" s="33"/>
      <c r="H392" s="34"/>
      <c r="I392" s="34"/>
      <c r="J392" s="33"/>
      <c r="K392" s="34"/>
      <c r="L392" s="34"/>
      <c r="M392" s="34"/>
      <c r="N392" s="34"/>
      <c r="O392" s="34"/>
      <c r="P392" s="34"/>
      <c r="Q392" s="34"/>
      <c r="R392" s="34"/>
      <c r="S392" s="34"/>
      <c r="T392" s="34"/>
      <c r="U392" s="34"/>
      <c r="V392" s="34"/>
      <c r="W392" s="34"/>
      <c r="X392" s="34"/>
      <c r="Y392" s="34"/>
      <c r="Z392" s="34"/>
      <c r="AA392" s="34"/>
    </row>
    <row r="393" spans="1:27" ht="13">
      <c r="A393" s="34"/>
      <c r="B393" s="52"/>
      <c r="C393" s="34"/>
      <c r="D393" s="34"/>
      <c r="E393" s="34"/>
      <c r="F393" s="34"/>
      <c r="G393" s="33"/>
      <c r="H393" s="34"/>
      <c r="I393" s="34"/>
      <c r="J393" s="33"/>
      <c r="K393" s="34"/>
      <c r="L393" s="34"/>
      <c r="M393" s="34"/>
      <c r="N393" s="34"/>
      <c r="O393" s="34"/>
      <c r="P393" s="34"/>
      <c r="Q393" s="34"/>
      <c r="R393" s="34"/>
      <c r="S393" s="34"/>
      <c r="T393" s="34"/>
      <c r="U393" s="34"/>
      <c r="V393" s="34"/>
      <c r="W393" s="34"/>
      <c r="X393" s="34"/>
      <c r="Y393" s="34"/>
      <c r="Z393" s="34"/>
      <c r="AA393" s="34"/>
    </row>
    <row r="394" spans="1:27" ht="13">
      <c r="A394" s="34"/>
      <c r="B394" s="52"/>
      <c r="C394" s="34"/>
      <c r="D394" s="34"/>
      <c r="E394" s="34"/>
      <c r="F394" s="34"/>
      <c r="G394" s="33"/>
      <c r="H394" s="34"/>
      <c r="I394" s="34"/>
      <c r="J394" s="33"/>
      <c r="K394" s="34"/>
      <c r="L394" s="34"/>
      <c r="M394" s="34"/>
      <c r="N394" s="34"/>
      <c r="O394" s="34"/>
      <c r="P394" s="34"/>
      <c r="Q394" s="34"/>
      <c r="R394" s="34"/>
      <c r="S394" s="34"/>
      <c r="T394" s="34"/>
      <c r="U394" s="34"/>
      <c r="V394" s="34"/>
      <c r="W394" s="34"/>
      <c r="X394" s="34"/>
      <c r="Y394" s="34"/>
      <c r="Z394" s="34"/>
      <c r="AA394" s="34"/>
    </row>
    <row r="395" spans="1:27" ht="13">
      <c r="A395" s="34"/>
      <c r="B395" s="52"/>
      <c r="C395" s="34"/>
      <c r="D395" s="34"/>
      <c r="E395" s="34"/>
      <c r="F395" s="34"/>
      <c r="G395" s="33"/>
      <c r="H395" s="34"/>
      <c r="I395" s="34"/>
      <c r="J395" s="33"/>
      <c r="K395" s="34"/>
      <c r="L395" s="34"/>
      <c r="M395" s="34"/>
      <c r="N395" s="34"/>
      <c r="O395" s="34"/>
      <c r="P395" s="34"/>
      <c r="Q395" s="34"/>
      <c r="R395" s="34"/>
      <c r="S395" s="34"/>
      <c r="T395" s="34"/>
      <c r="U395" s="34"/>
      <c r="V395" s="34"/>
      <c r="W395" s="34"/>
      <c r="X395" s="34"/>
      <c r="Y395" s="34"/>
      <c r="Z395" s="34"/>
      <c r="AA395" s="34"/>
    </row>
    <row r="396" spans="1:27" ht="13">
      <c r="A396" s="34"/>
      <c r="B396" s="52"/>
      <c r="C396" s="34"/>
      <c r="D396" s="34"/>
      <c r="E396" s="34"/>
      <c r="F396" s="34"/>
      <c r="G396" s="33"/>
      <c r="H396" s="34"/>
      <c r="I396" s="34"/>
      <c r="J396" s="33"/>
      <c r="K396" s="34"/>
      <c r="L396" s="34"/>
      <c r="M396" s="34"/>
      <c r="N396" s="34"/>
      <c r="O396" s="34"/>
      <c r="P396" s="34"/>
      <c r="Q396" s="34"/>
      <c r="R396" s="34"/>
      <c r="S396" s="34"/>
      <c r="T396" s="34"/>
      <c r="U396" s="34"/>
      <c r="V396" s="34"/>
      <c r="W396" s="34"/>
      <c r="X396" s="34"/>
      <c r="Y396" s="34"/>
      <c r="Z396" s="34"/>
      <c r="AA396" s="34"/>
    </row>
    <row r="397" spans="1:27" ht="13">
      <c r="A397" s="34"/>
      <c r="B397" s="52"/>
      <c r="C397" s="34"/>
      <c r="D397" s="34"/>
      <c r="E397" s="34"/>
      <c r="F397" s="34"/>
      <c r="G397" s="33"/>
      <c r="H397" s="34"/>
      <c r="I397" s="34"/>
      <c r="J397" s="33"/>
      <c r="K397" s="34"/>
      <c r="L397" s="34"/>
      <c r="M397" s="34"/>
      <c r="N397" s="34"/>
      <c r="O397" s="34"/>
      <c r="P397" s="34"/>
      <c r="Q397" s="34"/>
      <c r="R397" s="34"/>
      <c r="S397" s="34"/>
      <c r="T397" s="34"/>
      <c r="U397" s="34"/>
      <c r="V397" s="34"/>
      <c r="W397" s="34"/>
      <c r="X397" s="34"/>
      <c r="Y397" s="34"/>
      <c r="Z397" s="34"/>
      <c r="AA397" s="34"/>
    </row>
    <row r="398" spans="1:27" ht="13">
      <c r="A398" s="34"/>
      <c r="B398" s="52"/>
      <c r="C398" s="34"/>
      <c r="D398" s="34"/>
      <c r="E398" s="34"/>
      <c r="F398" s="34"/>
      <c r="G398" s="33"/>
      <c r="H398" s="34"/>
      <c r="I398" s="34"/>
      <c r="J398" s="33"/>
      <c r="K398" s="34"/>
      <c r="L398" s="34"/>
      <c r="M398" s="34"/>
      <c r="N398" s="34"/>
      <c r="O398" s="34"/>
      <c r="P398" s="34"/>
      <c r="Q398" s="34"/>
      <c r="R398" s="34"/>
      <c r="S398" s="34"/>
      <c r="T398" s="34"/>
      <c r="U398" s="34"/>
      <c r="V398" s="34"/>
      <c r="W398" s="34"/>
      <c r="X398" s="34"/>
      <c r="Y398" s="34"/>
      <c r="Z398" s="34"/>
      <c r="AA398" s="34"/>
    </row>
    <row r="399" spans="1:27" ht="13">
      <c r="A399" s="34"/>
      <c r="B399" s="52"/>
      <c r="C399" s="34"/>
      <c r="D399" s="34"/>
      <c r="E399" s="34"/>
      <c r="F399" s="34"/>
      <c r="G399" s="33"/>
      <c r="H399" s="34"/>
      <c r="I399" s="34"/>
      <c r="J399" s="33"/>
      <c r="K399" s="34"/>
      <c r="L399" s="34"/>
      <c r="M399" s="34"/>
      <c r="N399" s="34"/>
      <c r="O399" s="34"/>
      <c r="P399" s="34"/>
      <c r="Q399" s="34"/>
      <c r="R399" s="34"/>
      <c r="S399" s="34"/>
      <c r="T399" s="34"/>
      <c r="U399" s="34"/>
      <c r="V399" s="34"/>
      <c r="W399" s="34"/>
      <c r="X399" s="34"/>
      <c r="Y399" s="34"/>
      <c r="Z399" s="34"/>
      <c r="AA399" s="34"/>
    </row>
    <row r="400" spans="1:27" ht="13">
      <c r="A400" s="34"/>
      <c r="B400" s="52"/>
      <c r="C400" s="34"/>
      <c r="D400" s="34"/>
      <c r="E400" s="34"/>
      <c r="F400" s="34"/>
      <c r="G400" s="33"/>
      <c r="H400" s="34"/>
      <c r="I400" s="34"/>
      <c r="J400" s="33"/>
      <c r="K400" s="34"/>
      <c r="L400" s="34"/>
      <c r="M400" s="34"/>
      <c r="N400" s="34"/>
      <c r="O400" s="34"/>
      <c r="P400" s="34"/>
      <c r="Q400" s="34"/>
      <c r="R400" s="34"/>
      <c r="S400" s="34"/>
      <c r="T400" s="34"/>
      <c r="U400" s="34"/>
      <c r="V400" s="34"/>
      <c r="W400" s="34"/>
      <c r="X400" s="34"/>
      <c r="Y400" s="34"/>
      <c r="Z400" s="34"/>
      <c r="AA400" s="34"/>
    </row>
    <row r="401" spans="1:27" ht="13">
      <c r="A401" s="34"/>
      <c r="B401" s="52"/>
      <c r="C401" s="34"/>
      <c r="D401" s="34"/>
      <c r="E401" s="34"/>
      <c r="F401" s="34"/>
      <c r="G401" s="33"/>
      <c r="H401" s="34"/>
      <c r="I401" s="34"/>
      <c r="J401" s="33"/>
      <c r="K401" s="34"/>
      <c r="L401" s="34"/>
      <c r="M401" s="34"/>
      <c r="N401" s="34"/>
      <c r="O401" s="34"/>
      <c r="P401" s="34"/>
      <c r="Q401" s="34"/>
      <c r="R401" s="34"/>
      <c r="S401" s="34"/>
      <c r="T401" s="34"/>
      <c r="U401" s="34"/>
      <c r="V401" s="34"/>
      <c r="W401" s="34"/>
      <c r="X401" s="34"/>
      <c r="Y401" s="34"/>
      <c r="Z401" s="34"/>
      <c r="AA401" s="34"/>
    </row>
    <row r="402" spans="1:27" ht="13">
      <c r="A402" s="34"/>
      <c r="B402" s="52"/>
      <c r="C402" s="34"/>
      <c r="D402" s="34"/>
      <c r="E402" s="34"/>
      <c r="F402" s="34"/>
      <c r="G402" s="33"/>
      <c r="H402" s="34"/>
      <c r="I402" s="34"/>
      <c r="J402" s="33"/>
      <c r="K402" s="34"/>
      <c r="L402" s="34"/>
      <c r="M402" s="34"/>
      <c r="N402" s="34"/>
      <c r="O402" s="34"/>
      <c r="P402" s="34"/>
      <c r="Q402" s="34"/>
      <c r="R402" s="34"/>
      <c r="S402" s="34"/>
      <c r="T402" s="34"/>
      <c r="U402" s="34"/>
      <c r="V402" s="34"/>
      <c r="W402" s="34"/>
      <c r="X402" s="34"/>
      <c r="Y402" s="34"/>
      <c r="Z402" s="34"/>
      <c r="AA402" s="34"/>
    </row>
    <row r="403" spans="1:27" ht="13">
      <c r="A403" s="34"/>
      <c r="B403" s="52"/>
      <c r="C403" s="34"/>
      <c r="D403" s="34"/>
      <c r="E403" s="34"/>
      <c r="F403" s="34"/>
      <c r="G403" s="33"/>
      <c r="H403" s="34"/>
      <c r="I403" s="34"/>
      <c r="J403" s="33"/>
      <c r="K403" s="34"/>
      <c r="L403" s="34"/>
      <c r="M403" s="34"/>
      <c r="N403" s="34"/>
      <c r="O403" s="34"/>
      <c r="P403" s="34"/>
      <c r="Q403" s="34"/>
      <c r="R403" s="34"/>
      <c r="S403" s="34"/>
      <c r="T403" s="34"/>
      <c r="U403" s="34"/>
      <c r="V403" s="34"/>
      <c r="W403" s="34"/>
      <c r="X403" s="34"/>
      <c r="Y403" s="34"/>
      <c r="Z403" s="34"/>
      <c r="AA403" s="34"/>
    </row>
    <row r="404" spans="1:27" ht="13">
      <c r="A404" s="34"/>
      <c r="B404" s="52"/>
      <c r="C404" s="34"/>
      <c r="D404" s="34"/>
      <c r="E404" s="34"/>
      <c r="F404" s="34"/>
      <c r="G404" s="33"/>
      <c r="H404" s="34"/>
      <c r="I404" s="34"/>
      <c r="J404" s="33"/>
      <c r="K404" s="34"/>
      <c r="L404" s="34"/>
      <c r="M404" s="34"/>
      <c r="N404" s="34"/>
      <c r="O404" s="34"/>
      <c r="P404" s="34"/>
      <c r="Q404" s="34"/>
      <c r="R404" s="34"/>
      <c r="S404" s="34"/>
      <c r="T404" s="34"/>
      <c r="U404" s="34"/>
      <c r="V404" s="34"/>
      <c r="W404" s="34"/>
      <c r="X404" s="34"/>
      <c r="Y404" s="34"/>
      <c r="Z404" s="34"/>
      <c r="AA404" s="34"/>
    </row>
    <row r="405" spans="1:27" ht="13">
      <c r="A405" s="34"/>
      <c r="B405" s="52"/>
      <c r="C405" s="34"/>
      <c r="D405" s="34"/>
      <c r="E405" s="34"/>
      <c r="F405" s="34"/>
      <c r="G405" s="33"/>
      <c r="H405" s="34"/>
      <c r="I405" s="34"/>
      <c r="J405" s="33"/>
      <c r="K405" s="34"/>
      <c r="L405" s="34"/>
      <c r="M405" s="34"/>
      <c r="N405" s="34"/>
      <c r="O405" s="34"/>
      <c r="P405" s="34"/>
      <c r="Q405" s="34"/>
      <c r="R405" s="34"/>
      <c r="S405" s="34"/>
      <c r="T405" s="34"/>
      <c r="U405" s="34"/>
      <c r="V405" s="34"/>
      <c r="W405" s="34"/>
      <c r="X405" s="34"/>
      <c r="Y405" s="34"/>
      <c r="Z405" s="34"/>
      <c r="AA405" s="34"/>
    </row>
    <row r="406" spans="1:27" ht="13">
      <c r="A406" s="34"/>
      <c r="B406" s="52"/>
      <c r="C406" s="34"/>
      <c r="D406" s="34"/>
      <c r="E406" s="34"/>
      <c r="F406" s="34"/>
      <c r="G406" s="33"/>
      <c r="H406" s="34"/>
      <c r="I406" s="34"/>
      <c r="J406" s="33"/>
      <c r="K406" s="34"/>
      <c r="L406" s="34"/>
      <c r="M406" s="34"/>
      <c r="N406" s="34"/>
      <c r="O406" s="34"/>
      <c r="P406" s="34"/>
      <c r="Q406" s="34"/>
      <c r="R406" s="34"/>
      <c r="S406" s="34"/>
      <c r="T406" s="34"/>
      <c r="U406" s="34"/>
      <c r="V406" s="34"/>
      <c r="W406" s="34"/>
      <c r="X406" s="34"/>
      <c r="Y406" s="34"/>
      <c r="Z406" s="34"/>
      <c r="AA406" s="34"/>
    </row>
    <row r="407" spans="1:27" ht="13">
      <c r="A407" s="34"/>
      <c r="B407" s="52"/>
      <c r="C407" s="34"/>
      <c r="D407" s="34"/>
      <c r="E407" s="34"/>
      <c r="F407" s="34"/>
      <c r="G407" s="33"/>
      <c r="H407" s="34"/>
      <c r="I407" s="34"/>
      <c r="J407" s="33"/>
      <c r="K407" s="34"/>
      <c r="L407" s="34"/>
      <c r="M407" s="34"/>
      <c r="N407" s="34"/>
      <c r="O407" s="34"/>
      <c r="P407" s="34"/>
      <c r="Q407" s="34"/>
      <c r="R407" s="34"/>
      <c r="S407" s="34"/>
      <c r="T407" s="34"/>
      <c r="U407" s="34"/>
      <c r="V407" s="34"/>
      <c r="W407" s="34"/>
      <c r="X407" s="34"/>
      <c r="Y407" s="34"/>
      <c r="Z407" s="34"/>
      <c r="AA407" s="34"/>
    </row>
    <row r="408" spans="1:27" ht="13">
      <c r="A408" s="34"/>
      <c r="B408" s="52"/>
      <c r="C408" s="34"/>
      <c r="D408" s="34"/>
      <c r="E408" s="34"/>
      <c r="F408" s="34"/>
      <c r="G408" s="33"/>
      <c r="H408" s="34"/>
      <c r="I408" s="34"/>
      <c r="J408" s="33"/>
      <c r="K408" s="34"/>
      <c r="L408" s="34"/>
      <c r="M408" s="34"/>
      <c r="N408" s="34"/>
      <c r="O408" s="34"/>
      <c r="P408" s="34"/>
      <c r="Q408" s="34"/>
      <c r="R408" s="34"/>
      <c r="S408" s="34"/>
      <c r="T408" s="34"/>
      <c r="U408" s="34"/>
      <c r="V408" s="34"/>
      <c r="W408" s="34"/>
      <c r="X408" s="34"/>
      <c r="Y408" s="34"/>
      <c r="Z408" s="34"/>
      <c r="AA408" s="34"/>
    </row>
    <row r="409" spans="1:27" ht="13">
      <c r="A409" s="34"/>
      <c r="B409" s="52"/>
      <c r="C409" s="34"/>
      <c r="D409" s="34"/>
      <c r="E409" s="34"/>
      <c r="F409" s="34"/>
      <c r="G409" s="33"/>
      <c r="H409" s="34"/>
      <c r="I409" s="34"/>
      <c r="J409" s="33"/>
      <c r="K409" s="34"/>
      <c r="L409" s="34"/>
      <c r="M409" s="34"/>
      <c r="N409" s="34"/>
      <c r="O409" s="34"/>
      <c r="P409" s="34"/>
      <c r="Q409" s="34"/>
      <c r="R409" s="34"/>
      <c r="S409" s="34"/>
      <c r="T409" s="34"/>
      <c r="U409" s="34"/>
      <c r="V409" s="34"/>
      <c r="W409" s="34"/>
      <c r="X409" s="34"/>
      <c r="Y409" s="34"/>
      <c r="Z409" s="34"/>
      <c r="AA409" s="34"/>
    </row>
    <row r="410" spans="1:27" ht="13">
      <c r="A410" s="34"/>
      <c r="B410" s="52"/>
      <c r="C410" s="34"/>
      <c r="D410" s="34"/>
      <c r="E410" s="34"/>
      <c r="F410" s="34"/>
      <c r="G410" s="33"/>
      <c r="H410" s="34"/>
      <c r="I410" s="34"/>
      <c r="J410" s="33"/>
      <c r="K410" s="34"/>
      <c r="L410" s="34"/>
      <c r="M410" s="34"/>
      <c r="N410" s="34"/>
      <c r="O410" s="34"/>
      <c r="P410" s="34"/>
      <c r="Q410" s="34"/>
      <c r="R410" s="34"/>
      <c r="S410" s="34"/>
      <c r="T410" s="34"/>
      <c r="U410" s="34"/>
      <c r="V410" s="34"/>
      <c r="W410" s="34"/>
      <c r="X410" s="34"/>
      <c r="Y410" s="34"/>
      <c r="Z410" s="34"/>
      <c r="AA410" s="34"/>
    </row>
    <row r="411" spans="1:27" ht="13">
      <c r="A411" s="34"/>
      <c r="B411" s="52"/>
      <c r="C411" s="34"/>
      <c r="D411" s="34"/>
      <c r="E411" s="34"/>
      <c r="F411" s="34"/>
      <c r="G411" s="33"/>
      <c r="H411" s="34"/>
      <c r="I411" s="34"/>
      <c r="J411" s="33"/>
      <c r="K411" s="34"/>
      <c r="L411" s="34"/>
      <c r="M411" s="34"/>
      <c r="N411" s="34"/>
      <c r="O411" s="34"/>
      <c r="P411" s="34"/>
      <c r="Q411" s="34"/>
      <c r="R411" s="34"/>
      <c r="S411" s="34"/>
      <c r="T411" s="34"/>
      <c r="U411" s="34"/>
      <c r="V411" s="34"/>
      <c r="W411" s="34"/>
      <c r="X411" s="34"/>
      <c r="Y411" s="34"/>
      <c r="Z411" s="34"/>
      <c r="AA411" s="34"/>
    </row>
    <row r="412" spans="1:27" ht="13">
      <c r="A412" s="34"/>
      <c r="B412" s="52"/>
      <c r="C412" s="34"/>
      <c r="D412" s="34"/>
      <c r="E412" s="34"/>
      <c r="F412" s="34"/>
      <c r="G412" s="33"/>
      <c r="H412" s="34"/>
      <c r="I412" s="34"/>
      <c r="J412" s="33"/>
      <c r="K412" s="34"/>
      <c r="L412" s="34"/>
      <c r="M412" s="34"/>
      <c r="N412" s="34"/>
      <c r="O412" s="34"/>
      <c r="P412" s="34"/>
      <c r="Q412" s="34"/>
      <c r="R412" s="34"/>
      <c r="S412" s="34"/>
      <c r="T412" s="34"/>
      <c r="U412" s="34"/>
      <c r="V412" s="34"/>
      <c r="W412" s="34"/>
      <c r="X412" s="34"/>
      <c r="Y412" s="34"/>
      <c r="Z412" s="34"/>
      <c r="AA412" s="34"/>
    </row>
    <row r="413" spans="1:27" ht="13">
      <c r="A413" s="34"/>
      <c r="B413" s="52"/>
      <c r="C413" s="34"/>
      <c r="D413" s="34"/>
      <c r="E413" s="34"/>
      <c r="F413" s="34"/>
      <c r="G413" s="33"/>
      <c r="H413" s="34"/>
      <c r="I413" s="34"/>
      <c r="J413" s="33"/>
      <c r="K413" s="34"/>
      <c r="L413" s="34"/>
      <c r="M413" s="34"/>
      <c r="N413" s="34"/>
      <c r="O413" s="34"/>
      <c r="P413" s="34"/>
      <c r="Q413" s="34"/>
      <c r="R413" s="34"/>
      <c r="S413" s="34"/>
      <c r="T413" s="34"/>
      <c r="U413" s="34"/>
      <c r="V413" s="34"/>
      <c r="W413" s="34"/>
      <c r="X413" s="34"/>
      <c r="Y413" s="34"/>
      <c r="Z413" s="34"/>
      <c r="AA413" s="34"/>
    </row>
    <row r="414" spans="1:27" ht="13">
      <c r="A414" s="34"/>
      <c r="B414" s="52"/>
      <c r="C414" s="34"/>
      <c r="D414" s="34"/>
      <c r="E414" s="34"/>
      <c r="F414" s="34"/>
      <c r="G414" s="33"/>
      <c r="H414" s="34"/>
      <c r="I414" s="34"/>
      <c r="J414" s="33"/>
      <c r="K414" s="34"/>
      <c r="L414" s="34"/>
      <c r="M414" s="34"/>
      <c r="N414" s="34"/>
      <c r="O414" s="34"/>
      <c r="P414" s="34"/>
      <c r="Q414" s="34"/>
      <c r="R414" s="34"/>
      <c r="S414" s="34"/>
      <c r="T414" s="34"/>
      <c r="U414" s="34"/>
      <c r="V414" s="34"/>
      <c r="W414" s="34"/>
      <c r="X414" s="34"/>
      <c r="Y414" s="34"/>
      <c r="Z414" s="34"/>
      <c r="AA414" s="34"/>
    </row>
    <row r="415" spans="1:27" ht="13">
      <c r="A415" s="34"/>
      <c r="B415" s="52"/>
      <c r="C415" s="34"/>
      <c r="D415" s="34"/>
      <c r="E415" s="34"/>
      <c r="F415" s="34"/>
      <c r="G415" s="33"/>
      <c r="H415" s="34"/>
      <c r="I415" s="34"/>
      <c r="J415" s="33"/>
      <c r="K415" s="34"/>
      <c r="L415" s="34"/>
      <c r="M415" s="34"/>
      <c r="N415" s="34"/>
      <c r="O415" s="34"/>
      <c r="P415" s="34"/>
      <c r="Q415" s="34"/>
      <c r="R415" s="34"/>
      <c r="S415" s="34"/>
      <c r="T415" s="34"/>
      <c r="U415" s="34"/>
      <c r="V415" s="34"/>
      <c r="W415" s="34"/>
      <c r="X415" s="34"/>
      <c r="Y415" s="34"/>
      <c r="Z415" s="34"/>
      <c r="AA415" s="34"/>
    </row>
    <row r="416" spans="1:27" ht="13">
      <c r="A416" s="34"/>
      <c r="B416" s="52"/>
      <c r="C416" s="34"/>
      <c r="D416" s="34"/>
      <c r="E416" s="34"/>
      <c r="F416" s="34"/>
      <c r="G416" s="33"/>
      <c r="H416" s="34"/>
      <c r="I416" s="34"/>
      <c r="J416" s="33"/>
      <c r="K416" s="34"/>
      <c r="L416" s="34"/>
      <c r="M416" s="34"/>
      <c r="N416" s="34"/>
      <c r="O416" s="34"/>
      <c r="P416" s="34"/>
      <c r="Q416" s="34"/>
      <c r="R416" s="34"/>
      <c r="S416" s="34"/>
      <c r="T416" s="34"/>
      <c r="U416" s="34"/>
      <c r="V416" s="34"/>
      <c r="W416" s="34"/>
      <c r="X416" s="34"/>
      <c r="Y416" s="34"/>
      <c r="Z416" s="34"/>
      <c r="AA416" s="34"/>
    </row>
    <row r="417" spans="1:27" ht="13">
      <c r="A417" s="34"/>
      <c r="B417" s="52"/>
      <c r="C417" s="34"/>
      <c r="D417" s="34"/>
      <c r="E417" s="34"/>
      <c r="F417" s="34"/>
      <c r="G417" s="33"/>
      <c r="H417" s="34"/>
      <c r="I417" s="34"/>
      <c r="J417" s="33"/>
      <c r="K417" s="34"/>
      <c r="L417" s="34"/>
      <c r="M417" s="34"/>
      <c r="N417" s="34"/>
      <c r="O417" s="34"/>
      <c r="P417" s="34"/>
      <c r="Q417" s="34"/>
      <c r="R417" s="34"/>
      <c r="S417" s="34"/>
      <c r="T417" s="34"/>
      <c r="U417" s="34"/>
      <c r="V417" s="34"/>
      <c r="W417" s="34"/>
      <c r="X417" s="34"/>
      <c r="Y417" s="34"/>
      <c r="Z417" s="34"/>
      <c r="AA417" s="34"/>
    </row>
    <row r="418" spans="1:27" ht="13">
      <c r="A418" s="34"/>
      <c r="B418" s="52"/>
      <c r="C418" s="34"/>
      <c r="D418" s="34"/>
      <c r="E418" s="34"/>
      <c r="F418" s="34"/>
      <c r="G418" s="33"/>
      <c r="H418" s="34"/>
      <c r="I418" s="34"/>
      <c r="J418" s="33"/>
      <c r="K418" s="34"/>
      <c r="L418" s="34"/>
      <c r="M418" s="34"/>
      <c r="N418" s="34"/>
      <c r="O418" s="34"/>
      <c r="P418" s="34"/>
      <c r="Q418" s="34"/>
      <c r="R418" s="34"/>
      <c r="S418" s="34"/>
      <c r="T418" s="34"/>
      <c r="U418" s="34"/>
      <c r="V418" s="34"/>
      <c r="W418" s="34"/>
      <c r="X418" s="34"/>
      <c r="Y418" s="34"/>
      <c r="Z418" s="34"/>
      <c r="AA418" s="34"/>
    </row>
    <row r="419" spans="1:27" ht="13">
      <c r="A419" s="34"/>
      <c r="B419" s="52"/>
      <c r="C419" s="34"/>
      <c r="D419" s="34"/>
      <c r="E419" s="34"/>
      <c r="F419" s="34"/>
      <c r="G419" s="33"/>
      <c r="H419" s="34"/>
      <c r="I419" s="34"/>
      <c r="J419" s="33"/>
      <c r="K419" s="34"/>
      <c r="L419" s="34"/>
      <c r="M419" s="34"/>
      <c r="N419" s="34"/>
      <c r="O419" s="34"/>
      <c r="P419" s="34"/>
      <c r="Q419" s="34"/>
      <c r="R419" s="34"/>
      <c r="S419" s="34"/>
      <c r="T419" s="34"/>
      <c r="U419" s="34"/>
      <c r="V419" s="34"/>
      <c r="W419" s="34"/>
      <c r="X419" s="34"/>
      <c r="Y419" s="34"/>
      <c r="Z419" s="34"/>
      <c r="AA419" s="34"/>
    </row>
    <row r="420" spans="1:27" ht="13">
      <c r="A420" s="34"/>
      <c r="B420" s="52"/>
      <c r="C420" s="34"/>
      <c r="D420" s="34"/>
      <c r="E420" s="34"/>
      <c r="F420" s="34"/>
      <c r="G420" s="33"/>
      <c r="H420" s="34"/>
      <c r="I420" s="34"/>
      <c r="J420" s="33"/>
      <c r="K420" s="34"/>
      <c r="L420" s="34"/>
      <c r="M420" s="34"/>
      <c r="N420" s="34"/>
      <c r="O420" s="34"/>
      <c r="P420" s="34"/>
      <c r="Q420" s="34"/>
      <c r="R420" s="34"/>
      <c r="S420" s="34"/>
      <c r="T420" s="34"/>
      <c r="U420" s="34"/>
      <c r="V420" s="34"/>
      <c r="W420" s="34"/>
      <c r="X420" s="34"/>
      <c r="Y420" s="34"/>
      <c r="Z420" s="34"/>
      <c r="AA420" s="34"/>
    </row>
    <row r="421" spans="1:27" ht="13">
      <c r="A421" s="34"/>
      <c r="B421" s="52"/>
      <c r="C421" s="34"/>
      <c r="D421" s="34"/>
      <c r="E421" s="34"/>
      <c r="F421" s="34"/>
      <c r="G421" s="33"/>
      <c r="H421" s="34"/>
      <c r="I421" s="34"/>
      <c r="J421" s="33"/>
      <c r="K421" s="34"/>
      <c r="L421" s="34"/>
      <c r="M421" s="34"/>
      <c r="N421" s="34"/>
      <c r="O421" s="34"/>
      <c r="P421" s="34"/>
      <c r="Q421" s="34"/>
      <c r="R421" s="34"/>
      <c r="S421" s="34"/>
      <c r="T421" s="34"/>
      <c r="U421" s="34"/>
      <c r="V421" s="34"/>
      <c r="W421" s="34"/>
      <c r="X421" s="34"/>
      <c r="Y421" s="34"/>
      <c r="Z421" s="34"/>
      <c r="AA421" s="34"/>
    </row>
    <row r="422" spans="1:27" ht="13">
      <c r="A422" s="34"/>
      <c r="B422" s="52"/>
      <c r="C422" s="34"/>
      <c r="D422" s="34"/>
      <c r="E422" s="34"/>
      <c r="F422" s="34"/>
      <c r="G422" s="33"/>
      <c r="H422" s="34"/>
      <c r="I422" s="34"/>
      <c r="J422" s="33"/>
      <c r="K422" s="34"/>
      <c r="L422" s="34"/>
      <c r="M422" s="34"/>
      <c r="N422" s="34"/>
      <c r="O422" s="34"/>
      <c r="P422" s="34"/>
      <c r="Q422" s="34"/>
      <c r="R422" s="34"/>
      <c r="S422" s="34"/>
      <c r="T422" s="34"/>
      <c r="U422" s="34"/>
      <c r="V422" s="34"/>
      <c r="W422" s="34"/>
      <c r="X422" s="34"/>
      <c r="Y422" s="34"/>
      <c r="Z422" s="34"/>
      <c r="AA422" s="34"/>
    </row>
    <row r="423" spans="1:27" ht="13">
      <c r="A423" s="34"/>
      <c r="B423" s="52"/>
      <c r="C423" s="34"/>
      <c r="D423" s="34"/>
      <c r="E423" s="34"/>
      <c r="F423" s="34"/>
      <c r="G423" s="33"/>
      <c r="H423" s="34"/>
      <c r="I423" s="34"/>
      <c r="J423" s="33"/>
      <c r="K423" s="34"/>
      <c r="L423" s="34"/>
      <c r="M423" s="34"/>
      <c r="N423" s="34"/>
      <c r="O423" s="34"/>
      <c r="P423" s="34"/>
      <c r="Q423" s="34"/>
      <c r="R423" s="34"/>
      <c r="S423" s="34"/>
      <c r="T423" s="34"/>
      <c r="U423" s="34"/>
      <c r="V423" s="34"/>
      <c r="W423" s="34"/>
      <c r="X423" s="34"/>
      <c r="Y423" s="34"/>
      <c r="Z423" s="34"/>
      <c r="AA423" s="34"/>
    </row>
    <row r="424" spans="1:27" ht="13">
      <c r="A424" s="34"/>
      <c r="B424" s="52"/>
      <c r="C424" s="34"/>
      <c r="D424" s="34"/>
      <c r="E424" s="34"/>
      <c r="F424" s="34"/>
      <c r="G424" s="33"/>
      <c r="H424" s="34"/>
      <c r="I424" s="34"/>
      <c r="J424" s="33"/>
      <c r="K424" s="34"/>
      <c r="L424" s="34"/>
      <c r="M424" s="34"/>
      <c r="N424" s="34"/>
      <c r="O424" s="34"/>
      <c r="P424" s="34"/>
      <c r="Q424" s="34"/>
      <c r="R424" s="34"/>
      <c r="S424" s="34"/>
      <c r="T424" s="34"/>
      <c r="U424" s="34"/>
      <c r="V424" s="34"/>
      <c r="W424" s="34"/>
      <c r="X424" s="34"/>
      <c r="Y424" s="34"/>
      <c r="Z424" s="34"/>
      <c r="AA424" s="34"/>
    </row>
    <row r="425" spans="1:27" ht="13">
      <c r="A425" s="34"/>
      <c r="B425" s="52"/>
      <c r="C425" s="34"/>
      <c r="D425" s="34"/>
      <c r="E425" s="34"/>
      <c r="F425" s="34"/>
      <c r="G425" s="33"/>
      <c r="H425" s="34"/>
      <c r="I425" s="34"/>
      <c r="J425" s="33"/>
      <c r="K425" s="34"/>
      <c r="L425" s="34"/>
      <c r="M425" s="34"/>
      <c r="N425" s="34"/>
      <c r="O425" s="34"/>
      <c r="P425" s="34"/>
      <c r="Q425" s="34"/>
      <c r="R425" s="34"/>
      <c r="S425" s="34"/>
      <c r="T425" s="34"/>
      <c r="U425" s="34"/>
      <c r="V425" s="34"/>
      <c r="W425" s="34"/>
      <c r="X425" s="34"/>
      <c r="Y425" s="34"/>
      <c r="Z425" s="34"/>
      <c r="AA425" s="34"/>
    </row>
    <row r="426" spans="1:27" ht="13">
      <c r="A426" s="34"/>
      <c r="B426" s="52"/>
      <c r="C426" s="34"/>
      <c r="D426" s="34"/>
      <c r="E426" s="34"/>
      <c r="F426" s="34"/>
      <c r="G426" s="33"/>
      <c r="H426" s="34"/>
      <c r="I426" s="34"/>
      <c r="J426" s="33"/>
      <c r="K426" s="34"/>
      <c r="L426" s="34"/>
      <c r="M426" s="34"/>
      <c r="N426" s="34"/>
      <c r="O426" s="34"/>
      <c r="P426" s="34"/>
      <c r="Q426" s="34"/>
      <c r="R426" s="34"/>
      <c r="S426" s="34"/>
      <c r="T426" s="34"/>
      <c r="U426" s="34"/>
      <c r="V426" s="34"/>
      <c r="W426" s="34"/>
      <c r="X426" s="34"/>
      <c r="Y426" s="34"/>
      <c r="Z426" s="34"/>
      <c r="AA426" s="34"/>
    </row>
    <row r="427" spans="1:27" ht="13">
      <c r="A427" s="34"/>
      <c r="B427" s="52"/>
      <c r="C427" s="34"/>
      <c r="D427" s="34"/>
      <c r="E427" s="34"/>
      <c r="F427" s="34"/>
      <c r="G427" s="33"/>
      <c r="H427" s="34"/>
      <c r="I427" s="34"/>
      <c r="J427" s="33"/>
      <c r="K427" s="34"/>
      <c r="L427" s="34"/>
      <c r="M427" s="34"/>
      <c r="N427" s="34"/>
      <c r="O427" s="34"/>
      <c r="P427" s="34"/>
      <c r="Q427" s="34"/>
      <c r="R427" s="34"/>
      <c r="S427" s="34"/>
      <c r="T427" s="34"/>
      <c r="U427" s="34"/>
      <c r="V427" s="34"/>
      <c r="W427" s="34"/>
      <c r="X427" s="34"/>
      <c r="Y427" s="34"/>
      <c r="Z427" s="34"/>
      <c r="AA427" s="34"/>
    </row>
    <row r="428" spans="1:27" ht="13">
      <c r="A428" s="34"/>
      <c r="B428" s="52"/>
      <c r="C428" s="34"/>
      <c r="D428" s="34"/>
      <c r="E428" s="34"/>
      <c r="F428" s="34"/>
      <c r="G428" s="33"/>
      <c r="H428" s="34"/>
      <c r="I428" s="34"/>
      <c r="J428" s="33"/>
      <c r="K428" s="34"/>
      <c r="L428" s="34"/>
      <c r="M428" s="34"/>
      <c r="N428" s="34"/>
      <c r="O428" s="34"/>
      <c r="P428" s="34"/>
      <c r="Q428" s="34"/>
      <c r="R428" s="34"/>
      <c r="S428" s="34"/>
      <c r="T428" s="34"/>
      <c r="U428" s="34"/>
      <c r="V428" s="34"/>
      <c r="W428" s="34"/>
      <c r="X428" s="34"/>
      <c r="Y428" s="34"/>
      <c r="Z428" s="34"/>
      <c r="AA428" s="34"/>
    </row>
    <row r="429" spans="1:27" ht="13">
      <c r="A429" s="34"/>
      <c r="B429" s="52"/>
      <c r="C429" s="34"/>
      <c r="D429" s="34"/>
      <c r="E429" s="34"/>
      <c r="F429" s="34"/>
      <c r="G429" s="33"/>
      <c r="H429" s="34"/>
      <c r="I429" s="34"/>
      <c r="J429" s="33"/>
      <c r="K429" s="34"/>
      <c r="L429" s="34"/>
      <c r="M429" s="34"/>
      <c r="N429" s="34"/>
      <c r="O429" s="34"/>
      <c r="P429" s="34"/>
      <c r="Q429" s="34"/>
      <c r="R429" s="34"/>
      <c r="S429" s="34"/>
      <c r="T429" s="34"/>
      <c r="U429" s="34"/>
      <c r="V429" s="34"/>
      <c r="W429" s="34"/>
      <c r="X429" s="34"/>
      <c r="Y429" s="34"/>
      <c r="Z429" s="34"/>
      <c r="AA429" s="34"/>
    </row>
    <row r="430" spans="1:27" ht="13">
      <c r="A430" s="34"/>
      <c r="B430" s="52"/>
      <c r="C430" s="34"/>
      <c r="D430" s="34"/>
      <c r="E430" s="34"/>
      <c r="F430" s="34"/>
      <c r="G430" s="33"/>
      <c r="H430" s="34"/>
      <c r="I430" s="34"/>
      <c r="J430" s="33"/>
      <c r="K430" s="34"/>
      <c r="L430" s="34"/>
      <c r="M430" s="34"/>
      <c r="N430" s="34"/>
      <c r="O430" s="34"/>
      <c r="P430" s="34"/>
      <c r="Q430" s="34"/>
      <c r="R430" s="34"/>
      <c r="S430" s="34"/>
      <c r="T430" s="34"/>
      <c r="U430" s="34"/>
      <c r="V430" s="34"/>
      <c r="W430" s="34"/>
      <c r="X430" s="34"/>
      <c r="Y430" s="34"/>
      <c r="Z430" s="34"/>
      <c r="AA430" s="34"/>
    </row>
    <row r="431" spans="1:27" ht="13">
      <c r="A431" s="34"/>
      <c r="B431" s="52"/>
      <c r="C431" s="34"/>
      <c r="D431" s="34"/>
      <c r="E431" s="34"/>
      <c r="F431" s="34"/>
      <c r="G431" s="33"/>
      <c r="H431" s="34"/>
      <c r="I431" s="34"/>
      <c r="J431" s="33"/>
      <c r="K431" s="34"/>
      <c r="L431" s="34"/>
      <c r="M431" s="34"/>
      <c r="N431" s="34"/>
      <c r="O431" s="34"/>
      <c r="P431" s="34"/>
      <c r="Q431" s="34"/>
      <c r="R431" s="34"/>
      <c r="S431" s="34"/>
      <c r="T431" s="34"/>
      <c r="U431" s="34"/>
      <c r="V431" s="34"/>
      <c r="W431" s="34"/>
      <c r="X431" s="34"/>
      <c r="Y431" s="34"/>
      <c r="Z431" s="34"/>
      <c r="AA431" s="34"/>
    </row>
    <row r="432" spans="1:27" ht="13">
      <c r="A432" s="34"/>
      <c r="B432" s="52"/>
      <c r="C432" s="34"/>
      <c r="D432" s="34"/>
      <c r="E432" s="34"/>
      <c r="F432" s="34"/>
      <c r="G432" s="33"/>
      <c r="H432" s="34"/>
      <c r="I432" s="34"/>
      <c r="J432" s="33"/>
      <c r="K432" s="34"/>
      <c r="L432" s="34"/>
      <c r="M432" s="34"/>
      <c r="N432" s="34"/>
      <c r="O432" s="34"/>
      <c r="P432" s="34"/>
      <c r="Q432" s="34"/>
      <c r="R432" s="34"/>
      <c r="S432" s="34"/>
      <c r="T432" s="34"/>
      <c r="U432" s="34"/>
      <c r="V432" s="34"/>
      <c r="W432" s="34"/>
      <c r="X432" s="34"/>
      <c r="Y432" s="34"/>
      <c r="Z432" s="34"/>
      <c r="AA432" s="34"/>
    </row>
    <row r="433" spans="1:27" ht="13">
      <c r="A433" s="34"/>
      <c r="B433" s="52"/>
      <c r="C433" s="34"/>
      <c r="D433" s="34"/>
      <c r="E433" s="34"/>
      <c r="F433" s="34"/>
      <c r="G433" s="33"/>
      <c r="H433" s="34"/>
      <c r="I433" s="34"/>
      <c r="J433" s="33"/>
      <c r="K433" s="34"/>
      <c r="L433" s="34"/>
      <c r="M433" s="34"/>
      <c r="N433" s="34"/>
      <c r="O433" s="34"/>
      <c r="P433" s="34"/>
      <c r="Q433" s="34"/>
      <c r="R433" s="34"/>
      <c r="S433" s="34"/>
      <c r="T433" s="34"/>
      <c r="U433" s="34"/>
      <c r="V433" s="34"/>
      <c r="W433" s="34"/>
      <c r="X433" s="34"/>
      <c r="Y433" s="34"/>
      <c r="Z433" s="34"/>
      <c r="AA433" s="34"/>
    </row>
    <row r="434" spans="1:27" ht="13">
      <c r="A434" s="34"/>
      <c r="B434" s="52"/>
      <c r="C434" s="34"/>
      <c r="D434" s="34"/>
      <c r="E434" s="34"/>
      <c r="F434" s="34"/>
      <c r="G434" s="33"/>
      <c r="H434" s="34"/>
      <c r="I434" s="34"/>
      <c r="J434" s="33"/>
      <c r="K434" s="34"/>
      <c r="L434" s="34"/>
      <c r="M434" s="34"/>
      <c r="N434" s="34"/>
      <c r="O434" s="34"/>
      <c r="P434" s="34"/>
      <c r="Q434" s="34"/>
      <c r="R434" s="34"/>
      <c r="S434" s="34"/>
      <c r="T434" s="34"/>
      <c r="U434" s="34"/>
      <c r="V434" s="34"/>
      <c r="W434" s="34"/>
      <c r="X434" s="34"/>
      <c r="Y434" s="34"/>
      <c r="Z434" s="34"/>
      <c r="AA434" s="34"/>
    </row>
    <row r="435" spans="1:27" ht="13">
      <c r="A435" s="34"/>
      <c r="B435" s="52"/>
      <c r="C435" s="34"/>
      <c r="D435" s="34"/>
      <c r="E435" s="34"/>
      <c r="F435" s="34"/>
      <c r="G435" s="33"/>
      <c r="H435" s="34"/>
      <c r="I435" s="34"/>
      <c r="J435" s="33"/>
      <c r="K435" s="34"/>
      <c r="L435" s="34"/>
      <c r="M435" s="34"/>
      <c r="N435" s="34"/>
      <c r="O435" s="34"/>
      <c r="P435" s="34"/>
      <c r="Q435" s="34"/>
      <c r="R435" s="34"/>
      <c r="S435" s="34"/>
      <c r="T435" s="34"/>
      <c r="U435" s="34"/>
      <c r="V435" s="34"/>
      <c r="W435" s="34"/>
      <c r="X435" s="34"/>
      <c r="Y435" s="34"/>
      <c r="Z435" s="34"/>
      <c r="AA435" s="34"/>
    </row>
    <row r="436" spans="1:27" ht="13">
      <c r="A436" s="34"/>
      <c r="B436" s="52"/>
      <c r="C436" s="34"/>
      <c r="D436" s="34"/>
      <c r="E436" s="34"/>
      <c r="F436" s="34"/>
      <c r="G436" s="33"/>
      <c r="H436" s="34"/>
      <c r="I436" s="34"/>
      <c r="J436" s="33"/>
      <c r="K436" s="34"/>
      <c r="L436" s="34"/>
      <c r="M436" s="34"/>
      <c r="N436" s="34"/>
      <c r="O436" s="34"/>
      <c r="P436" s="34"/>
      <c r="Q436" s="34"/>
      <c r="R436" s="34"/>
      <c r="S436" s="34"/>
      <c r="T436" s="34"/>
      <c r="U436" s="34"/>
      <c r="V436" s="34"/>
      <c r="W436" s="34"/>
      <c r="X436" s="34"/>
      <c r="Y436" s="34"/>
      <c r="Z436" s="34"/>
      <c r="AA436" s="34"/>
    </row>
    <row r="437" spans="1:27" ht="13">
      <c r="A437" s="34"/>
      <c r="B437" s="52"/>
      <c r="C437" s="34"/>
      <c r="D437" s="34"/>
      <c r="E437" s="34"/>
      <c r="F437" s="34"/>
      <c r="G437" s="33"/>
      <c r="H437" s="34"/>
      <c r="I437" s="34"/>
      <c r="J437" s="33"/>
      <c r="K437" s="34"/>
      <c r="L437" s="34"/>
      <c r="M437" s="34"/>
      <c r="N437" s="34"/>
      <c r="O437" s="34"/>
      <c r="P437" s="34"/>
      <c r="Q437" s="34"/>
      <c r="R437" s="34"/>
      <c r="S437" s="34"/>
      <c r="T437" s="34"/>
      <c r="U437" s="34"/>
      <c r="V437" s="34"/>
      <c r="W437" s="34"/>
      <c r="X437" s="34"/>
      <c r="Y437" s="34"/>
      <c r="Z437" s="34"/>
      <c r="AA437" s="34"/>
    </row>
    <row r="438" spans="1:27" ht="13">
      <c r="A438" s="34"/>
      <c r="B438" s="52"/>
      <c r="C438" s="34"/>
      <c r="D438" s="34"/>
      <c r="E438" s="34"/>
      <c r="F438" s="34"/>
      <c r="G438" s="33"/>
      <c r="H438" s="34"/>
      <c r="I438" s="34"/>
      <c r="J438" s="33"/>
      <c r="K438" s="34"/>
      <c r="L438" s="34"/>
      <c r="M438" s="34"/>
      <c r="N438" s="34"/>
      <c r="O438" s="34"/>
      <c r="P438" s="34"/>
      <c r="Q438" s="34"/>
      <c r="R438" s="34"/>
      <c r="S438" s="34"/>
      <c r="T438" s="34"/>
      <c r="U438" s="34"/>
      <c r="V438" s="34"/>
      <c r="W438" s="34"/>
      <c r="X438" s="34"/>
      <c r="Y438" s="34"/>
      <c r="Z438" s="34"/>
      <c r="AA438" s="34"/>
    </row>
    <row r="439" spans="1:27" ht="13">
      <c r="A439" s="34"/>
      <c r="B439" s="52"/>
      <c r="C439" s="34"/>
      <c r="D439" s="34"/>
      <c r="E439" s="34"/>
      <c r="F439" s="34"/>
      <c r="G439" s="33"/>
      <c r="H439" s="34"/>
      <c r="I439" s="34"/>
      <c r="J439" s="33"/>
      <c r="K439" s="34"/>
      <c r="L439" s="34"/>
      <c r="M439" s="34"/>
      <c r="N439" s="34"/>
      <c r="O439" s="34"/>
      <c r="P439" s="34"/>
      <c r="Q439" s="34"/>
      <c r="R439" s="34"/>
      <c r="S439" s="34"/>
      <c r="T439" s="34"/>
      <c r="U439" s="34"/>
      <c r="V439" s="34"/>
      <c r="W439" s="34"/>
      <c r="X439" s="34"/>
      <c r="Y439" s="34"/>
      <c r="Z439" s="34"/>
      <c r="AA439" s="34"/>
    </row>
    <row r="440" spans="1:27" ht="13">
      <c r="A440" s="34"/>
      <c r="B440" s="52"/>
      <c r="C440" s="34"/>
      <c r="D440" s="34"/>
      <c r="E440" s="34"/>
      <c r="F440" s="34"/>
      <c r="G440" s="33"/>
      <c r="H440" s="34"/>
      <c r="I440" s="34"/>
      <c r="J440" s="33"/>
      <c r="K440" s="34"/>
      <c r="L440" s="34"/>
      <c r="M440" s="34"/>
      <c r="N440" s="34"/>
      <c r="O440" s="34"/>
      <c r="P440" s="34"/>
      <c r="Q440" s="34"/>
      <c r="R440" s="34"/>
      <c r="S440" s="34"/>
      <c r="T440" s="34"/>
      <c r="U440" s="34"/>
      <c r="V440" s="34"/>
      <c r="W440" s="34"/>
      <c r="X440" s="34"/>
      <c r="Y440" s="34"/>
      <c r="Z440" s="34"/>
      <c r="AA440" s="34"/>
    </row>
    <row r="441" spans="1:27" ht="13">
      <c r="A441" s="34"/>
      <c r="B441" s="52"/>
      <c r="C441" s="34"/>
      <c r="D441" s="34"/>
      <c r="E441" s="34"/>
      <c r="F441" s="34"/>
      <c r="G441" s="33"/>
      <c r="H441" s="34"/>
      <c r="I441" s="34"/>
      <c r="J441" s="33"/>
      <c r="K441" s="34"/>
      <c r="L441" s="34"/>
      <c r="M441" s="34"/>
      <c r="N441" s="34"/>
      <c r="O441" s="34"/>
      <c r="P441" s="34"/>
      <c r="Q441" s="34"/>
      <c r="R441" s="34"/>
      <c r="S441" s="34"/>
      <c r="T441" s="34"/>
      <c r="U441" s="34"/>
      <c r="V441" s="34"/>
      <c r="W441" s="34"/>
      <c r="X441" s="34"/>
      <c r="Y441" s="34"/>
      <c r="Z441" s="34"/>
      <c r="AA441" s="34"/>
    </row>
    <row r="442" spans="1:27" ht="13">
      <c r="A442" s="34"/>
      <c r="B442" s="52"/>
      <c r="C442" s="34"/>
      <c r="D442" s="34"/>
      <c r="E442" s="34"/>
      <c r="F442" s="34"/>
      <c r="G442" s="33"/>
      <c r="H442" s="34"/>
      <c r="I442" s="34"/>
      <c r="J442" s="33"/>
      <c r="K442" s="34"/>
      <c r="L442" s="34"/>
      <c r="M442" s="34"/>
      <c r="N442" s="34"/>
      <c r="O442" s="34"/>
      <c r="P442" s="34"/>
      <c r="Q442" s="34"/>
      <c r="R442" s="34"/>
      <c r="S442" s="34"/>
      <c r="T442" s="34"/>
      <c r="U442" s="34"/>
      <c r="V442" s="34"/>
      <c r="W442" s="34"/>
      <c r="X442" s="34"/>
      <c r="Y442" s="34"/>
      <c r="Z442" s="34"/>
      <c r="AA442" s="34"/>
    </row>
    <row r="443" spans="1:27" ht="13">
      <c r="A443" s="34"/>
      <c r="B443" s="52"/>
      <c r="C443" s="34"/>
      <c r="D443" s="34"/>
      <c r="E443" s="34"/>
      <c r="F443" s="34"/>
      <c r="G443" s="33"/>
      <c r="H443" s="34"/>
      <c r="I443" s="34"/>
      <c r="J443" s="33"/>
      <c r="K443" s="34"/>
      <c r="L443" s="34"/>
      <c r="M443" s="34"/>
      <c r="N443" s="34"/>
      <c r="O443" s="34"/>
      <c r="P443" s="34"/>
      <c r="Q443" s="34"/>
      <c r="R443" s="34"/>
      <c r="S443" s="34"/>
      <c r="T443" s="34"/>
      <c r="U443" s="34"/>
      <c r="V443" s="34"/>
      <c r="W443" s="34"/>
      <c r="X443" s="34"/>
      <c r="Y443" s="34"/>
      <c r="Z443" s="34"/>
      <c r="AA443" s="34"/>
    </row>
    <row r="444" spans="1:27" ht="13">
      <c r="A444" s="34"/>
      <c r="B444" s="52"/>
      <c r="C444" s="34"/>
      <c r="D444" s="34"/>
      <c r="E444" s="34"/>
      <c r="F444" s="34"/>
      <c r="G444" s="33"/>
      <c r="H444" s="34"/>
      <c r="I444" s="34"/>
      <c r="J444" s="33"/>
      <c r="K444" s="34"/>
      <c r="L444" s="34"/>
      <c r="M444" s="34"/>
      <c r="N444" s="34"/>
      <c r="O444" s="34"/>
      <c r="P444" s="34"/>
      <c r="Q444" s="34"/>
      <c r="R444" s="34"/>
      <c r="S444" s="34"/>
      <c r="T444" s="34"/>
      <c r="U444" s="34"/>
      <c r="V444" s="34"/>
      <c r="W444" s="34"/>
      <c r="X444" s="34"/>
      <c r="Y444" s="34"/>
      <c r="Z444" s="34"/>
      <c r="AA444" s="34"/>
    </row>
    <row r="445" spans="1:27" ht="13">
      <c r="A445" s="34"/>
      <c r="B445" s="52"/>
      <c r="C445" s="34"/>
      <c r="D445" s="34"/>
      <c r="E445" s="34"/>
      <c r="F445" s="34"/>
      <c r="G445" s="33"/>
      <c r="H445" s="34"/>
      <c r="I445" s="34"/>
      <c r="J445" s="33"/>
      <c r="K445" s="34"/>
      <c r="L445" s="34"/>
      <c r="M445" s="34"/>
      <c r="N445" s="34"/>
      <c r="O445" s="34"/>
      <c r="P445" s="34"/>
      <c r="Q445" s="34"/>
      <c r="R445" s="34"/>
      <c r="S445" s="34"/>
      <c r="T445" s="34"/>
      <c r="U445" s="34"/>
      <c r="V445" s="34"/>
      <c r="W445" s="34"/>
      <c r="X445" s="34"/>
      <c r="Y445" s="34"/>
      <c r="Z445" s="34"/>
      <c r="AA445" s="34"/>
    </row>
    <row r="446" spans="1:27" ht="13">
      <c r="A446" s="34"/>
      <c r="B446" s="52"/>
      <c r="C446" s="34"/>
      <c r="D446" s="34"/>
      <c r="E446" s="34"/>
      <c r="F446" s="34"/>
      <c r="G446" s="33"/>
      <c r="H446" s="34"/>
      <c r="I446" s="34"/>
      <c r="J446" s="33"/>
      <c r="K446" s="34"/>
      <c r="L446" s="34"/>
      <c r="M446" s="34"/>
      <c r="N446" s="34"/>
      <c r="O446" s="34"/>
      <c r="P446" s="34"/>
      <c r="Q446" s="34"/>
      <c r="R446" s="34"/>
      <c r="S446" s="34"/>
      <c r="T446" s="34"/>
      <c r="U446" s="34"/>
      <c r="V446" s="34"/>
      <c r="W446" s="34"/>
      <c r="X446" s="34"/>
      <c r="Y446" s="34"/>
      <c r="Z446" s="34"/>
      <c r="AA446" s="34"/>
    </row>
    <row r="447" spans="1:27" ht="13">
      <c r="A447" s="34"/>
      <c r="B447" s="52"/>
      <c r="C447" s="34"/>
      <c r="D447" s="34"/>
      <c r="E447" s="34"/>
      <c r="F447" s="34"/>
      <c r="G447" s="33"/>
      <c r="H447" s="34"/>
      <c r="I447" s="34"/>
      <c r="J447" s="33"/>
      <c r="K447" s="34"/>
      <c r="L447" s="34"/>
      <c r="M447" s="34"/>
      <c r="N447" s="34"/>
      <c r="O447" s="34"/>
      <c r="P447" s="34"/>
      <c r="Q447" s="34"/>
      <c r="R447" s="34"/>
      <c r="S447" s="34"/>
      <c r="T447" s="34"/>
      <c r="U447" s="34"/>
      <c r="V447" s="34"/>
      <c r="W447" s="34"/>
      <c r="X447" s="34"/>
      <c r="Y447" s="34"/>
      <c r="Z447" s="34"/>
      <c r="AA447" s="34"/>
    </row>
    <row r="448" spans="1:27" ht="13">
      <c r="A448" s="34"/>
      <c r="B448" s="52"/>
      <c r="C448" s="34"/>
      <c r="D448" s="34"/>
      <c r="E448" s="34"/>
      <c r="F448" s="34"/>
      <c r="G448" s="33"/>
      <c r="H448" s="34"/>
      <c r="I448" s="34"/>
      <c r="J448" s="33"/>
      <c r="K448" s="34"/>
      <c r="L448" s="34"/>
      <c r="M448" s="34"/>
      <c r="N448" s="34"/>
      <c r="O448" s="34"/>
      <c r="P448" s="34"/>
      <c r="Q448" s="34"/>
      <c r="R448" s="34"/>
      <c r="S448" s="34"/>
      <c r="T448" s="34"/>
      <c r="U448" s="34"/>
      <c r="V448" s="34"/>
      <c r="W448" s="34"/>
      <c r="X448" s="34"/>
      <c r="Y448" s="34"/>
      <c r="Z448" s="34"/>
      <c r="AA448" s="34"/>
    </row>
    <row r="449" spans="1:27" ht="13">
      <c r="A449" s="34"/>
      <c r="B449" s="52"/>
      <c r="C449" s="34"/>
      <c r="D449" s="34"/>
      <c r="E449" s="34"/>
      <c r="F449" s="34"/>
      <c r="G449" s="33"/>
      <c r="H449" s="34"/>
      <c r="I449" s="34"/>
      <c r="J449" s="33"/>
      <c r="K449" s="34"/>
      <c r="L449" s="34"/>
      <c r="M449" s="34"/>
      <c r="N449" s="34"/>
      <c r="O449" s="34"/>
      <c r="P449" s="34"/>
      <c r="Q449" s="34"/>
      <c r="R449" s="34"/>
      <c r="S449" s="34"/>
      <c r="T449" s="34"/>
      <c r="U449" s="34"/>
      <c r="V449" s="34"/>
      <c r="W449" s="34"/>
      <c r="X449" s="34"/>
      <c r="Y449" s="34"/>
      <c r="Z449" s="34"/>
      <c r="AA449" s="34"/>
    </row>
    <row r="450" spans="1:27" ht="13">
      <c r="A450" s="34"/>
      <c r="B450" s="52"/>
      <c r="C450" s="34"/>
      <c r="D450" s="34"/>
      <c r="E450" s="34"/>
      <c r="F450" s="34"/>
      <c r="G450" s="33"/>
      <c r="H450" s="34"/>
      <c r="I450" s="34"/>
      <c r="J450" s="33"/>
      <c r="K450" s="34"/>
      <c r="L450" s="34"/>
      <c r="M450" s="34"/>
      <c r="N450" s="34"/>
      <c r="O450" s="34"/>
      <c r="P450" s="34"/>
      <c r="Q450" s="34"/>
      <c r="R450" s="34"/>
      <c r="S450" s="34"/>
      <c r="T450" s="34"/>
      <c r="U450" s="34"/>
      <c r="V450" s="34"/>
      <c r="W450" s="34"/>
      <c r="X450" s="34"/>
      <c r="Y450" s="34"/>
      <c r="Z450" s="34"/>
      <c r="AA450" s="34"/>
    </row>
    <row r="451" spans="1:27" ht="13">
      <c r="A451" s="34"/>
      <c r="B451" s="52"/>
      <c r="C451" s="34"/>
      <c r="D451" s="34"/>
      <c r="E451" s="34"/>
      <c r="F451" s="34"/>
      <c r="G451" s="33"/>
      <c r="H451" s="34"/>
      <c r="I451" s="34"/>
      <c r="J451" s="33"/>
      <c r="K451" s="34"/>
      <c r="L451" s="34"/>
      <c r="M451" s="34"/>
      <c r="N451" s="34"/>
      <c r="O451" s="34"/>
      <c r="P451" s="34"/>
      <c r="Q451" s="34"/>
      <c r="R451" s="34"/>
      <c r="S451" s="34"/>
      <c r="T451" s="34"/>
      <c r="U451" s="34"/>
      <c r="V451" s="34"/>
      <c r="W451" s="34"/>
      <c r="X451" s="34"/>
      <c r="Y451" s="34"/>
      <c r="Z451" s="34"/>
      <c r="AA451" s="34"/>
    </row>
    <row r="452" spans="1:27" ht="13">
      <c r="A452" s="34"/>
      <c r="B452" s="52"/>
      <c r="C452" s="34"/>
      <c r="D452" s="34"/>
      <c r="E452" s="34"/>
      <c r="F452" s="34"/>
      <c r="G452" s="33"/>
      <c r="H452" s="34"/>
      <c r="I452" s="34"/>
      <c r="J452" s="33"/>
      <c r="K452" s="34"/>
      <c r="L452" s="34"/>
      <c r="M452" s="34"/>
      <c r="N452" s="34"/>
      <c r="O452" s="34"/>
      <c r="P452" s="34"/>
      <c r="Q452" s="34"/>
      <c r="R452" s="34"/>
      <c r="S452" s="34"/>
      <c r="T452" s="34"/>
      <c r="U452" s="34"/>
      <c r="V452" s="34"/>
      <c r="W452" s="34"/>
      <c r="X452" s="34"/>
      <c r="Y452" s="34"/>
      <c r="Z452" s="34"/>
      <c r="AA452" s="34"/>
    </row>
    <row r="453" spans="1:27" ht="13">
      <c r="A453" s="34"/>
      <c r="B453" s="52"/>
      <c r="C453" s="34"/>
      <c r="D453" s="34"/>
      <c r="E453" s="34"/>
      <c r="F453" s="34"/>
      <c r="G453" s="33"/>
      <c r="H453" s="34"/>
      <c r="I453" s="34"/>
      <c r="J453" s="33"/>
      <c r="K453" s="34"/>
      <c r="L453" s="34"/>
      <c r="M453" s="34"/>
      <c r="N453" s="34"/>
      <c r="O453" s="34"/>
      <c r="P453" s="34"/>
      <c r="Q453" s="34"/>
      <c r="R453" s="34"/>
      <c r="S453" s="34"/>
      <c r="T453" s="34"/>
      <c r="U453" s="34"/>
      <c r="V453" s="34"/>
      <c r="W453" s="34"/>
      <c r="X453" s="34"/>
      <c r="Y453" s="34"/>
      <c r="Z453" s="34"/>
      <c r="AA453" s="34"/>
    </row>
    <row r="454" spans="1:27" ht="13">
      <c r="A454" s="34"/>
      <c r="B454" s="52"/>
      <c r="C454" s="34"/>
      <c r="D454" s="34"/>
      <c r="E454" s="34"/>
      <c r="F454" s="34"/>
      <c r="G454" s="33"/>
      <c r="H454" s="34"/>
      <c r="I454" s="34"/>
      <c r="J454" s="33"/>
      <c r="K454" s="34"/>
      <c r="L454" s="34"/>
      <c r="M454" s="34"/>
      <c r="N454" s="34"/>
      <c r="O454" s="34"/>
      <c r="P454" s="34"/>
      <c r="Q454" s="34"/>
      <c r="R454" s="34"/>
      <c r="S454" s="34"/>
      <c r="T454" s="34"/>
      <c r="U454" s="34"/>
      <c r="V454" s="34"/>
      <c r="W454" s="34"/>
      <c r="X454" s="34"/>
      <c r="Y454" s="34"/>
      <c r="Z454" s="34"/>
      <c r="AA454" s="34"/>
    </row>
    <row r="455" spans="1:27" ht="13">
      <c r="A455" s="34"/>
      <c r="B455" s="52"/>
      <c r="C455" s="34"/>
      <c r="D455" s="34"/>
      <c r="E455" s="34"/>
      <c r="F455" s="34"/>
      <c r="G455" s="33"/>
      <c r="H455" s="34"/>
      <c r="I455" s="34"/>
      <c r="J455" s="33"/>
      <c r="K455" s="34"/>
      <c r="L455" s="34"/>
      <c r="M455" s="34"/>
      <c r="N455" s="34"/>
      <c r="O455" s="34"/>
      <c r="P455" s="34"/>
      <c r="Q455" s="34"/>
      <c r="R455" s="34"/>
      <c r="S455" s="34"/>
      <c r="T455" s="34"/>
      <c r="U455" s="34"/>
      <c r="V455" s="34"/>
      <c r="W455" s="34"/>
      <c r="X455" s="34"/>
      <c r="Y455" s="34"/>
      <c r="Z455" s="34"/>
      <c r="AA455" s="34"/>
    </row>
    <row r="456" spans="1:27" ht="13">
      <c r="A456" s="34"/>
      <c r="B456" s="52"/>
      <c r="C456" s="34"/>
      <c r="D456" s="34"/>
      <c r="E456" s="34"/>
      <c r="F456" s="34"/>
      <c r="G456" s="33"/>
      <c r="H456" s="34"/>
      <c r="I456" s="34"/>
      <c r="J456" s="33"/>
      <c r="K456" s="34"/>
      <c r="L456" s="34"/>
      <c r="M456" s="34"/>
      <c r="N456" s="34"/>
      <c r="O456" s="34"/>
      <c r="P456" s="34"/>
      <c r="Q456" s="34"/>
      <c r="R456" s="34"/>
      <c r="S456" s="34"/>
      <c r="T456" s="34"/>
      <c r="U456" s="34"/>
      <c r="V456" s="34"/>
      <c r="W456" s="34"/>
      <c r="X456" s="34"/>
      <c r="Y456" s="34"/>
      <c r="Z456" s="34"/>
      <c r="AA456" s="34"/>
    </row>
    <row r="457" spans="1:27" ht="13">
      <c r="A457" s="34"/>
      <c r="B457" s="52"/>
      <c r="C457" s="34"/>
      <c r="D457" s="34"/>
      <c r="E457" s="34"/>
      <c r="F457" s="34"/>
      <c r="G457" s="33"/>
      <c r="H457" s="34"/>
      <c r="I457" s="34"/>
      <c r="J457" s="33"/>
      <c r="K457" s="34"/>
      <c r="L457" s="34"/>
      <c r="M457" s="34"/>
      <c r="N457" s="34"/>
      <c r="O457" s="34"/>
      <c r="P457" s="34"/>
      <c r="Q457" s="34"/>
      <c r="R457" s="34"/>
      <c r="S457" s="34"/>
      <c r="T457" s="34"/>
      <c r="U457" s="34"/>
      <c r="V457" s="34"/>
      <c r="W457" s="34"/>
      <c r="X457" s="34"/>
      <c r="Y457" s="34"/>
      <c r="Z457" s="34"/>
      <c r="AA457" s="34"/>
    </row>
    <row r="458" spans="1:27" ht="13">
      <c r="A458" s="34"/>
      <c r="B458" s="52"/>
      <c r="C458" s="34"/>
      <c r="D458" s="34"/>
      <c r="E458" s="34"/>
      <c r="F458" s="34"/>
      <c r="G458" s="33"/>
      <c r="H458" s="34"/>
      <c r="I458" s="34"/>
      <c r="J458" s="33"/>
      <c r="K458" s="34"/>
      <c r="L458" s="34"/>
      <c r="M458" s="34"/>
      <c r="N458" s="34"/>
      <c r="O458" s="34"/>
      <c r="P458" s="34"/>
      <c r="Q458" s="34"/>
      <c r="R458" s="34"/>
      <c r="S458" s="34"/>
      <c r="T458" s="34"/>
      <c r="U458" s="34"/>
      <c r="V458" s="34"/>
      <c r="W458" s="34"/>
      <c r="X458" s="34"/>
      <c r="Y458" s="34"/>
      <c r="Z458" s="34"/>
      <c r="AA458" s="34"/>
    </row>
    <row r="459" spans="1:27" ht="13">
      <c r="A459" s="34"/>
      <c r="B459" s="52"/>
      <c r="C459" s="34"/>
      <c r="D459" s="34"/>
      <c r="E459" s="34"/>
      <c r="F459" s="34"/>
      <c r="G459" s="33"/>
      <c r="H459" s="34"/>
      <c r="I459" s="34"/>
      <c r="J459" s="33"/>
      <c r="K459" s="34"/>
      <c r="L459" s="34"/>
      <c r="M459" s="34"/>
      <c r="N459" s="34"/>
      <c r="O459" s="34"/>
      <c r="P459" s="34"/>
      <c r="Q459" s="34"/>
      <c r="R459" s="34"/>
      <c r="S459" s="34"/>
      <c r="T459" s="34"/>
      <c r="U459" s="34"/>
      <c r="V459" s="34"/>
      <c r="W459" s="34"/>
      <c r="X459" s="34"/>
      <c r="Y459" s="34"/>
      <c r="Z459" s="34"/>
      <c r="AA459" s="34"/>
    </row>
    <row r="460" spans="1:27" ht="13">
      <c r="A460" s="34"/>
      <c r="B460" s="52"/>
      <c r="C460" s="34"/>
      <c r="D460" s="34"/>
      <c r="E460" s="34"/>
      <c r="F460" s="34"/>
      <c r="G460" s="33"/>
      <c r="H460" s="34"/>
      <c r="I460" s="34"/>
      <c r="J460" s="33"/>
      <c r="K460" s="34"/>
      <c r="L460" s="34"/>
      <c r="M460" s="34"/>
      <c r="N460" s="34"/>
      <c r="O460" s="34"/>
      <c r="P460" s="34"/>
      <c r="Q460" s="34"/>
      <c r="R460" s="34"/>
      <c r="S460" s="34"/>
      <c r="T460" s="34"/>
      <c r="U460" s="34"/>
      <c r="V460" s="34"/>
      <c r="W460" s="34"/>
      <c r="X460" s="34"/>
      <c r="Y460" s="34"/>
      <c r="Z460" s="34"/>
      <c r="AA460" s="34"/>
    </row>
    <row r="461" spans="1:27" ht="13">
      <c r="A461" s="34"/>
      <c r="B461" s="52"/>
      <c r="C461" s="34"/>
      <c r="D461" s="34"/>
      <c r="E461" s="34"/>
      <c r="F461" s="34"/>
      <c r="G461" s="33"/>
      <c r="H461" s="34"/>
      <c r="I461" s="34"/>
      <c r="J461" s="33"/>
      <c r="K461" s="34"/>
      <c r="L461" s="34"/>
      <c r="M461" s="34"/>
      <c r="N461" s="34"/>
      <c r="O461" s="34"/>
      <c r="P461" s="34"/>
      <c r="Q461" s="34"/>
      <c r="R461" s="34"/>
      <c r="S461" s="34"/>
      <c r="T461" s="34"/>
      <c r="U461" s="34"/>
      <c r="V461" s="34"/>
      <c r="W461" s="34"/>
      <c r="X461" s="34"/>
      <c r="Y461" s="34"/>
      <c r="Z461" s="34"/>
      <c r="AA461" s="34"/>
    </row>
    <row r="462" spans="1:27" ht="13">
      <c r="A462" s="34"/>
      <c r="B462" s="52"/>
      <c r="C462" s="34"/>
      <c r="D462" s="34"/>
      <c r="E462" s="34"/>
      <c r="F462" s="34"/>
      <c r="G462" s="33"/>
      <c r="H462" s="34"/>
      <c r="I462" s="34"/>
      <c r="J462" s="33"/>
      <c r="K462" s="34"/>
      <c r="L462" s="34"/>
      <c r="M462" s="34"/>
      <c r="N462" s="34"/>
      <c r="O462" s="34"/>
      <c r="P462" s="34"/>
      <c r="Q462" s="34"/>
      <c r="R462" s="34"/>
      <c r="S462" s="34"/>
      <c r="T462" s="34"/>
      <c r="U462" s="34"/>
      <c r="V462" s="34"/>
      <c r="W462" s="34"/>
      <c r="X462" s="34"/>
      <c r="Y462" s="34"/>
      <c r="Z462" s="34"/>
      <c r="AA462" s="34"/>
    </row>
    <row r="463" spans="1:27" ht="13">
      <c r="A463" s="34"/>
      <c r="B463" s="52"/>
      <c r="C463" s="34"/>
      <c r="D463" s="34"/>
      <c r="E463" s="34"/>
      <c r="F463" s="34"/>
      <c r="G463" s="33"/>
      <c r="H463" s="34"/>
      <c r="I463" s="34"/>
      <c r="J463" s="33"/>
      <c r="K463" s="34"/>
      <c r="L463" s="34"/>
      <c r="M463" s="34"/>
      <c r="N463" s="34"/>
      <c r="O463" s="34"/>
      <c r="P463" s="34"/>
      <c r="Q463" s="34"/>
      <c r="R463" s="34"/>
      <c r="S463" s="34"/>
      <c r="T463" s="34"/>
      <c r="U463" s="34"/>
      <c r="V463" s="34"/>
      <c r="W463" s="34"/>
      <c r="X463" s="34"/>
      <c r="Y463" s="34"/>
      <c r="Z463" s="34"/>
      <c r="AA463" s="34"/>
    </row>
    <row r="464" spans="1:27" ht="13">
      <c r="A464" s="34"/>
      <c r="B464" s="52"/>
      <c r="C464" s="34"/>
      <c r="D464" s="34"/>
      <c r="E464" s="34"/>
      <c r="F464" s="34"/>
      <c r="G464" s="33"/>
      <c r="H464" s="34"/>
      <c r="I464" s="34"/>
      <c r="J464" s="33"/>
      <c r="K464" s="34"/>
      <c r="L464" s="34"/>
      <c r="M464" s="34"/>
      <c r="N464" s="34"/>
      <c r="O464" s="34"/>
      <c r="P464" s="34"/>
      <c r="Q464" s="34"/>
      <c r="R464" s="34"/>
      <c r="S464" s="34"/>
      <c r="T464" s="34"/>
      <c r="U464" s="34"/>
      <c r="V464" s="34"/>
      <c r="W464" s="34"/>
      <c r="X464" s="34"/>
      <c r="Y464" s="34"/>
      <c r="Z464" s="34"/>
      <c r="AA464" s="34"/>
    </row>
    <row r="465" spans="1:27" ht="13">
      <c r="A465" s="34"/>
      <c r="B465" s="52"/>
      <c r="C465" s="34"/>
      <c r="D465" s="34"/>
      <c r="E465" s="34"/>
      <c r="F465" s="34"/>
      <c r="G465" s="33"/>
      <c r="H465" s="34"/>
      <c r="I465" s="34"/>
      <c r="J465" s="33"/>
      <c r="K465" s="34"/>
      <c r="L465" s="34"/>
      <c r="M465" s="34"/>
      <c r="N465" s="34"/>
      <c r="O465" s="34"/>
      <c r="P465" s="34"/>
      <c r="Q465" s="34"/>
      <c r="R465" s="34"/>
      <c r="S465" s="34"/>
      <c r="T465" s="34"/>
      <c r="U465" s="34"/>
      <c r="V465" s="34"/>
      <c r="W465" s="34"/>
      <c r="X465" s="34"/>
      <c r="Y465" s="34"/>
      <c r="Z465" s="34"/>
      <c r="AA465" s="34"/>
    </row>
    <row r="466" spans="1:27" ht="13">
      <c r="A466" s="34"/>
      <c r="B466" s="52"/>
      <c r="C466" s="34"/>
      <c r="D466" s="34"/>
      <c r="E466" s="34"/>
      <c r="F466" s="34"/>
      <c r="G466" s="33"/>
      <c r="H466" s="34"/>
      <c r="I466" s="34"/>
      <c r="J466" s="33"/>
      <c r="K466" s="34"/>
      <c r="L466" s="34"/>
      <c r="M466" s="34"/>
      <c r="N466" s="34"/>
      <c r="O466" s="34"/>
      <c r="P466" s="34"/>
      <c r="Q466" s="34"/>
      <c r="R466" s="34"/>
      <c r="S466" s="34"/>
      <c r="T466" s="34"/>
      <c r="U466" s="34"/>
      <c r="V466" s="34"/>
      <c r="W466" s="34"/>
      <c r="X466" s="34"/>
      <c r="Y466" s="34"/>
      <c r="Z466" s="34"/>
      <c r="AA466" s="34"/>
    </row>
    <row r="467" spans="1:27" ht="13">
      <c r="A467" s="34"/>
      <c r="B467" s="52"/>
      <c r="C467" s="34"/>
      <c r="D467" s="34"/>
      <c r="E467" s="34"/>
      <c r="F467" s="34"/>
      <c r="G467" s="33"/>
      <c r="H467" s="34"/>
      <c r="I467" s="34"/>
      <c r="J467" s="33"/>
      <c r="K467" s="34"/>
      <c r="L467" s="34"/>
      <c r="M467" s="34"/>
      <c r="N467" s="34"/>
      <c r="O467" s="34"/>
      <c r="P467" s="34"/>
      <c r="Q467" s="34"/>
      <c r="R467" s="34"/>
      <c r="S467" s="34"/>
      <c r="T467" s="34"/>
      <c r="U467" s="34"/>
      <c r="V467" s="34"/>
      <c r="W467" s="34"/>
      <c r="X467" s="34"/>
      <c r="Y467" s="34"/>
      <c r="Z467" s="34"/>
      <c r="AA467" s="34"/>
    </row>
    <row r="468" spans="1:27" ht="13">
      <c r="A468" s="34"/>
      <c r="B468" s="52"/>
      <c r="C468" s="34"/>
      <c r="D468" s="34"/>
      <c r="E468" s="34"/>
      <c r="F468" s="34"/>
      <c r="G468" s="33"/>
      <c r="H468" s="34"/>
      <c r="I468" s="34"/>
      <c r="J468" s="33"/>
      <c r="K468" s="34"/>
      <c r="L468" s="34"/>
      <c r="M468" s="34"/>
      <c r="N468" s="34"/>
      <c r="O468" s="34"/>
      <c r="P468" s="34"/>
      <c r="Q468" s="34"/>
      <c r="R468" s="34"/>
      <c r="S468" s="34"/>
      <c r="T468" s="34"/>
      <c r="U468" s="34"/>
      <c r="V468" s="34"/>
      <c r="W468" s="34"/>
      <c r="X468" s="34"/>
      <c r="Y468" s="34"/>
      <c r="Z468" s="34"/>
      <c r="AA468" s="34"/>
    </row>
    <row r="469" spans="1:27" ht="13">
      <c r="A469" s="34"/>
      <c r="B469" s="52"/>
      <c r="C469" s="34"/>
      <c r="D469" s="34"/>
      <c r="E469" s="34"/>
      <c r="F469" s="34"/>
      <c r="G469" s="33"/>
      <c r="H469" s="34"/>
      <c r="I469" s="34"/>
      <c r="J469" s="33"/>
      <c r="K469" s="34"/>
      <c r="L469" s="34"/>
      <c r="M469" s="34"/>
      <c r="N469" s="34"/>
      <c r="O469" s="34"/>
      <c r="P469" s="34"/>
      <c r="Q469" s="34"/>
      <c r="R469" s="34"/>
      <c r="S469" s="34"/>
      <c r="T469" s="34"/>
      <c r="U469" s="34"/>
      <c r="V469" s="34"/>
      <c r="W469" s="34"/>
      <c r="X469" s="34"/>
      <c r="Y469" s="34"/>
      <c r="Z469" s="34"/>
      <c r="AA469" s="34"/>
    </row>
    <row r="470" spans="1:27" ht="13">
      <c r="A470" s="34"/>
      <c r="B470" s="52"/>
      <c r="C470" s="34"/>
      <c r="D470" s="34"/>
      <c r="E470" s="34"/>
      <c r="F470" s="34"/>
      <c r="G470" s="33"/>
      <c r="H470" s="34"/>
      <c r="I470" s="34"/>
      <c r="J470" s="33"/>
      <c r="K470" s="34"/>
      <c r="L470" s="34"/>
      <c r="M470" s="34"/>
      <c r="N470" s="34"/>
      <c r="O470" s="34"/>
      <c r="P470" s="34"/>
      <c r="Q470" s="34"/>
      <c r="R470" s="34"/>
      <c r="S470" s="34"/>
      <c r="T470" s="34"/>
      <c r="U470" s="34"/>
      <c r="V470" s="34"/>
      <c r="W470" s="34"/>
      <c r="X470" s="34"/>
      <c r="Y470" s="34"/>
      <c r="Z470" s="34"/>
      <c r="AA470" s="34"/>
    </row>
    <row r="471" spans="1:27" ht="13">
      <c r="A471" s="34"/>
      <c r="B471" s="52"/>
      <c r="C471" s="34"/>
      <c r="D471" s="34"/>
      <c r="E471" s="34"/>
      <c r="F471" s="34"/>
      <c r="G471" s="33"/>
      <c r="H471" s="34"/>
      <c r="I471" s="34"/>
      <c r="J471" s="33"/>
      <c r="K471" s="34"/>
      <c r="L471" s="34"/>
      <c r="M471" s="34"/>
      <c r="N471" s="34"/>
      <c r="O471" s="34"/>
      <c r="P471" s="34"/>
      <c r="Q471" s="34"/>
      <c r="R471" s="34"/>
      <c r="S471" s="34"/>
      <c r="T471" s="34"/>
      <c r="U471" s="34"/>
      <c r="V471" s="34"/>
      <c r="W471" s="34"/>
      <c r="X471" s="34"/>
      <c r="Y471" s="34"/>
      <c r="Z471" s="34"/>
      <c r="AA471" s="34"/>
    </row>
    <row r="472" spans="1:27" ht="13">
      <c r="A472" s="34"/>
      <c r="B472" s="52"/>
      <c r="C472" s="34"/>
      <c r="D472" s="34"/>
      <c r="E472" s="34"/>
      <c r="F472" s="34"/>
      <c r="G472" s="33"/>
      <c r="H472" s="34"/>
      <c r="I472" s="34"/>
      <c r="J472" s="33"/>
      <c r="K472" s="34"/>
      <c r="L472" s="34"/>
      <c r="M472" s="34"/>
      <c r="N472" s="34"/>
      <c r="O472" s="34"/>
      <c r="P472" s="34"/>
      <c r="Q472" s="34"/>
      <c r="R472" s="34"/>
      <c r="S472" s="34"/>
      <c r="T472" s="34"/>
      <c r="U472" s="34"/>
      <c r="V472" s="34"/>
      <c r="W472" s="34"/>
      <c r="X472" s="34"/>
      <c r="Y472" s="34"/>
      <c r="Z472" s="34"/>
      <c r="AA472" s="34"/>
    </row>
    <row r="473" spans="1:27" ht="13">
      <c r="A473" s="34"/>
      <c r="B473" s="52"/>
      <c r="C473" s="34"/>
      <c r="D473" s="34"/>
      <c r="E473" s="34"/>
      <c r="F473" s="34"/>
      <c r="G473" s="33"/>
      <c r="H473" s="34"/>
      <c r="I473" s="34"/>
      <c r="J473" s="33"/>
      <c r="K473" s="34"/>
      <c r="L473" s="34"/>
      <c r="M473" s="34"/>
      <c r="N473" s="34"/>
      <c r="O473" s="34"/>
      <c r="P473" s="34"/>
      <c r="Q473" s="34"/>
      <c r="R473" s="34"/>
      <c r="S473" s="34"/>
      <c r="T473" s="34"/>
      <c r="U473" s="34"/>
      <c r="V473" s="34"/>
      <c r="W473" s="34"/>
      <c r="X473" s="34"/>
      <c r="Y473" s="34"/>
      <c r="Z473" s="34"/>
      <c r="AA473" s="34"/>
    </row>
    <row r="474" spans="1:27" ht="13">
      <c r="A474" s="34"/>
      <c r="B474" s="52"/>
      <c r="C474" s="34"/>
      <c r="D474" s="34"/>
      <c r="E474" s="34"/>
      <c r="F474" s="34"/>
      <c r="G474" s="33"/>
      <c r="H474" s="34"/>
      <c r="I474" s="34"/>
      <c r="J474" s="33"/>
      <c r="K474" s="34"/>
      <c r="L474" s="34"/>
      <c r="M474" s="34"/>
      <c r="N474" s="34"/>
      <c r="O474" s="34"/>
      <c r="P474" s="34"/>
      <c r="Q474" s="34"/>
      <c r="R474" s="34"/>
      <c r="S474" s="34"/>
      <c r="T474" s="34"/>
      <c r="U474" s="34"/>
      <c r="V474" s="34"/>
      <c r="W474" s="34"/>
      <c r="X474" s="34"/>
      <c r="Y474" s="34"/>
      <c r="Z474" s="34"/>
      <c r="AA474" s="34"/>
    </row>
    <row r="475" spans="1:27" ht="13">
      <c r="A475" s="34"/>
      <c r="B475" s="52"/>
      <c r="C475" s="34"/>
      <c r="D475" s="34"/>
      <c r="E475" s="34"/>
      <c r="F475" s="34"/>
      <c r="G475" s="33"/>
      <c r="H475" s="34"/>
      <c r="I475" s="34"/>
      <c r="J475" s="33"/>
      <c r="K475" s="34"/>
      <c r="L475" s="34"/>
      <c r="M475" s="34"/>
      <c r="N475" s="34"/>
      <c r="O475" s="34"/>
      <c r="P475" s="34"/>
      <c r="Q475" s="34"/>
      <c r="R475" s="34"/>
      <c r="S475" s="34"/>
      <c r="T475" s="34"/>
      <c r="U475" s="34"/>
      <c r="V475" s="34"/>
      <c r="W475" s="34"/>
      <c r="X475" s="34"/>
      <c r="Y475" s="34"/>
      <c r="Z475" s="34"/>
      <c r="AA475" s="34"/>
    </row>
    <row r="476" spans="1:27" ht="13">
      <c r="A476" s="34"/>
      <c r="B476" s="52"/>
      <c r="C476" s="34"/>
      <c r="D476" s="34"/>
      <c r="E476" s="34"/>
      <c r="F476" s="34"/>
      <c r="G476" s="33"/>
      <c r="H476" s="34"/>
      <c r="I476" s="34"/>
      <c r="J476" s="33"/>
      <c r="K476" s="34"/>
      <c r="L476" s="34"/>
      <c r="M476" s="34"/>
      <c r="N476" s="34"/>
      <c r="O476" s="34"/>
      <c r="P476" s="34"/>
      <c r="Q476" s="34"/>
      <c r="R476" s="34"/>
      <c r="S476" s="34"/>
      <c r="T476" s="34"/>
      <c r="U476" s="34"/>
      <c r="V476" s="34"/>
      <c r="W476" s="34"/>
      <c r="X476" s="34"/>
      <c r="Y476" s="34"/>
      <c r="Z476" s="34"/>
      <c r="AA476" s="34"/>
    </row>
    <row r="477" spans="1:27" ht="13">
      <c r="A477" s="34"/>
      <c r="B477" s="52"/>
      <c r="C477" s="34"/>
      <c r="D477" s="34"/>
      <c r="E477" s="34"/>
      <c r="F477" s="34"/>
      <c r="G477" s="33"/>
      <c r="H477" s="34"/>
      <c r="I477" s="34"/>
      <c r="J477" s="33"/>
      <c r="K477" s="34"/>
      <c r="L477" s="34"/>
      <c r="M477" s="34"/>
      <c r="N477" s="34"/>
      <c r="O477" s="34"/>
      <c r="P477" s="34"/>
      <c r="Q477" s="34"/>
      <c r="R477" s="34"/>
      <c r="S477" s="34"/>
      <c r="T477" s="34"/>
      <c r="U477" s="34"/>
      <c r="V477" s="34"/>
      <c r="W477" s="34"/>
      <c r="X477" s="34"/>
      <c r="Y477" s="34"/>
      <c r="Z477" s="34"/>
      <c r="AA477" s="34"/>
    </row>
    <row r="478" spans="1:27" ht="13">
      <c r="A478" s="34"/>
      <c r="B478" s="52"/>
      <c r="C478" s="34"/>
      <c r="D478" s="34"/>
      <c r="E478" s="34"/>
      <c r="F478" s="34"/>
      <c r="G478" s="33"/>
      <c r="H478" s="34"/>
      <c r="I478" s="34"/>
      <c r="J478" s="33"/>
      <c r="K478" s="34"/>
      <c r="L478" s="34"/>
      <c r="M478" s="34"/>
      <c r="N478" s="34"/>
      <c r="O478" s="34"/>
      <c r="P478" s="34"/>
      <c r="Q478" s="34"/>
      <c r="R478" s="34"/>
      <c r="S478" s="34"/>
      <c r="T478" s="34"/>
      <c r="U478" s="34"/>
      <c r="V478" s="34"/>
      <c r="W478" s="34"/>
      <c r="X478" s="34"/>
      <c r="Y478" s="34"/>
      <c r="Z478" s="34"/>
      <c r="AA478" s="34"/>
    </row>
    <row r="479" spans="1:27" ht="13">
      <c r="A479" s="34"/>
      <c r="B479" s="52"/>
      <c r="C479" s="34"/>
      <c r="D479" s="34"/>
      <c r="E479" s="34"/>
      <c r="F479" s="34"/>
      <c r="G479" s="33"/>
      <c r="H479" s="34"/>
      <c r="I479" s="34"/>
      <c r="J479" s="33"/>
      <c r="K479" s="34"/>
      <c r="L479" s="34"/>
      <c r="M479" s="34"/>
      <c r="N479" s="34"/>
      <c r="O479" s="34"/>
      <c r="P479" s="34"/>
      <c r="Q479" s="34"/>
      <c r="R479" s="34"/>
      <c r="S479" s="34"/>
      <c r="T479" s="34"/>
      <c r="U479" s="34"/>
      <c r="V479" s="34"/>
      <c r="W479" s="34"/>
      <c r="X479" s="34"/>
      <c r="Y479" s="34"/>
      <c r="Z479" s="34"/>
      <c r="AA479" s="34"/>
    </row>
    <row r="480" spans="1:27" ht="13">
      <c r="A480" s="34"/>
      <c r="B480" s="52"/>
      <c r="C480" s="34"/>
      <c r="D480" s="34"/>
      <c r="E480" s="34"/>
      <c r="F480" s="34"/>
      <c r="G480" s="33"/>
      <c r="H480" s="34"/>
      <c r="I480" s="34"/>
      <c r="J480" s="33"/>
      <c r="K480" s="34"/>
      <c r="L480" s="34"/>
      <c r="M480" s="34"/>
      <c r="N480" s="34"/>
      <c r="O480" s="34"/>
      <c r="P480" s="34"/>
      <c r="Q480" s="34"/>
      <c r="R480" s="34"/>
      <c r="S480" s="34"/>
      <c r="T480" s="34"/>
      <c r="U480" s="34"/>
      <c r="V480" s="34"/>
      <c r="W480" s="34"/>
      <c r="X480" s="34"/>
      <c r="Y480" s="34"/>
      <c r="Z480" s="34"/>
      <c r="AA480" s="34"/>
    </row>
    <row r="481" spans="1:27" ht="13">
      <c r="A481" s="34"/>
      <c r="B481" s="52"/>
      <c r="C481" s="34"/>
      <c r="D481" s="34"/>
      <c r="E481" s="34"/>
      <c r="F481" s="34"/>
      <c r="G481" s="33"/>
      <c r="H481" s="34"/>
      <c r="I481" s="34"/>
      <c r="J481" s="33"/>
      <c r="K481" s="34"/>
      <c r="L481" s="34"/>
      <c r="M481" s="34"/>
      <c r="N481" s="34"/>
      <c r="O481" s="34"/>
      <c r="P481" s="34"/>
      <c r="Q481" s="34"/>
      <c r="R481" s="34"/>
      <c r="S481" s="34"/>
      <c r="T481" s="34"/>
      <c r="U481" s="34"/>
      <c r="V481" s="34"/>
      <c r="W481" s="34"/>
      <c r="X481" s="34"/>
      <c r="Y481" s="34"/>
      <c r="Z481" s="34"/>
      <c r="AA481" s="34"/>
    </row>
    <row r="482" spans="1:27" ht="13">
      <c r="A482" s="34"/>
      <c r="B482" s="52"/>
      <c r="C482" s="34"/>
      <c r="D482" s="34"/>
      <c r="E482" s="34"/>
      <c r="F482" s="34"/>
      <c r="G482" s="33"/>
      <c r="H482" s="34"/>
      <c r="I482" s="34"/>
      <c r="J482" s="33"/>
      <c r="K482" s="34"/>
      <c r="L482" s="34"/>
      <c r="M482" s="34"/>
      <c r="N482" s="34"/>
      <c r="O482" s="34"/>
      <c r="P482" s="34"/>
      <c r="Q482" s="34"/>
      <c r="R482" s="34"/>
      <c r="S482" s="34"/>
      <c r="T482" s="34"/>
      <c r="U482" s="34"/>
      <c r="V482" s="34"/>
      <c r="W482" s="34"/>
      <c r="X482" s="34"/>
      <c r="Y482" s="34"/>
      <c r="Z482" s="34"/>
      <c r="AA482" s="34"/>
    </row>
    <row r="483" spans="1:27" ht="13">
      <c r="A483" s="34"/>
      <c r="B483" s="52"/>
      <c r="C483" s="34"/>
      <c r="D483" s="34"/>
      <c r="E483" s="34"/>
      <c r="F483" s="34"/>
      <c r="G483" s="33"/>
      <c r="H483" s="34"/>
      <c r="I483" s="34"/>
      <c r="J483" s="33"/>
      <c r="K483" s="34"/>
      <c r="L483" s="34"/>
      <c r="M483" s="34"/>
      <c r="N483" s="34"/>
      <c r="O483" s="34"/>
      <c r="P483" s="34"/>
      <c r="Q483" s="34"/>
      <c r="R483" s="34"/>
      <c r="S483" s="34"/>
      <c r="T483" s="34"/>
      <c r="U483" s="34"/>
      <c r="V483" s="34"/>
      <c r="W483" s="34"/>
      <c r="X483" s="34"/>
      <c r="Y483" s="34"/>
      <c r="Z483" s="34"/>
      <c r="AA483" s="34"/>
    </row>
    <row r="484" spans="1:27" ht="13">
      <c r="A484" s="34"/>
      <c r="B484" s="52"/>
      <c r="C484" s="34"/>
      <c r="D484" s="34"/>
      <c r="E484" s="34"/>
      <c r="F484" s="34"/>
      <c r="G484" s="33"/>
      <c r="H484" s="34"/>
      <c r="I484" s="34"/>
      <c r="J484" s="33"/>
      <c r="K484" s="34"/>
      <c r="L484" s="34"/>
      <c r="M484" s="34"/>
      <c r="N484" s="34"/>
      <c r="O484" s="34"/>
      <c r="P484" s="34"/>
      <c r="Q484" s="34"/>
      <c r="R484" s="34"/>
      <c r="S484" s="34"/>
      <c r="T484" s="34"/>
      <c r="U484" s="34"/>
      <c r="V484" s="34"/>
      <c r="W484" s="34"/>
      <c r="X484" s="34"/>
      <c r="Y484" s="34"/>
      <c r="Z484" s="34"/>
      <c r="AA484" s="34"/>
    </row>
    <row r="485" spans="1:27" ht="13">
      <c r="A485" s="34"/>
      <c r="B485" s="52"/>
      <c r="C485" s="34"/>
      <c r="D485" s="34"/>
      <c r="E485" s="34"/>
      <c r="F485" s="34"/>
      <c r="G485" s="33"/>
      <c r="H485" s="34"/>
      <c r="I485" s="34"/>
      <c r="J485" s="33"/>
      <c r="K485" s="34"/>
      <c r="L485" s="34"/>
      <c r="M485" s="34"/>
      <c r="N485" s="34"/>
      <c r="O485" s="34"/>
      <c r="P485" s="34"/>
      <c r="Q485" s="34"/>
      <c r="R485" s="34"/>
      <c r="S485" s="34"/>
      <c r="T485" s="34"/>
      <c r="U485" s="34"/>
      <c r="V485" s="34"/>
      <c r="W485" s="34"/>
      <c r="X485" s="34"/>
      <c r="Y485" s="34"/>
      <c r="Z485" s="34"/>
      <c r="AA485" s="34"/>
    </row>
    <row r="486" spans="1:27" ht="13">
      <c r="A486" s="34"/>
      <c r="B486" s="52"/>
      <c r="C486" s="34"/>
      <c r="D486" s="34"/>
      <c r="E486" s="34"/>
      <c r="F486" s="34"/>
      <c r="G486" s="33"/>
      <c r="H486" s="34"/>
      <c r="I486" s="34"/>
      <c r="J486" s="33"/>
      <c r="K486" s="34"/>
      <c r="L486" s="34"/>
      <c r="M486" s="34"/>
      <c r="N486" s="34"/>
      <c r="O486" s="34"/>
      <c r="P486" s="34"/>
      <c r="Q486" s="34"/>
      <c r="R486" s="34"/>
      <c r="S486" s="34"/>
      <c r="T486" s="34"/>
      <c r="U486" s="34"/>
      <c r="V486" s="34"/>
      <c r="W486" s="34"/>
      <c r="X486" s="34"/>
      <c r="Y486" s="34"/>
      <c r="Z486" s="34"/>
      <c r="AA486" s="34"/>
    </row>
    <row r="487" spans="1:27" ht="13">
      <c r="A487" s="34"/>
      <c r="B487" s="52"/>
      <c r="C487" s="34"/>
      <c r="D487" s="34"/>
      <c r="E487" s="34"/>
      <c r="F487" s="34"/>
      <c r="G487" s="33"/>
      <c r="H487" s="34"/>
      <c r="I487" s="34"/>
      <c r="J487" s="33"/>
      <c r="K487" s="34"/>
      <c r="L487" s="34"/>
      <c r="M487" s="34"/>
      <c r="N487" s="34"/>
      <c r="O487" s="34"/>
      <c r="P487" s="34"/>
      <c r="Q487" s="34"/>
      <c r="R487" s="34"/>
      <c r="S487" s="34"/>
      <c r="T487" s="34"/>
      <c r="U487" s="34"/>
      <c r="V487" s="34"/>
      <c r="W487" s="34"/>
      <c r="X487" s="34"/>
      <c r="Y487" s="34"/>
      <c r="Z487" s="34"/>
      <c r="AA487" s="34"/>
    </row>
    <row r="488" spans="1:27" ht="13">
      <c r="A488" s="34"/>
      <c r="B488" s="52"/>
      <c r="C488" s="34"/>
      <c r="D488" s="34"/>
      <c r="E488" s="34"/>
      <c r="F488" s="34"/>
      <c r="G488" s="33"/>
      <c r="H488" s="34"/>
      <c r="I488" s="34"/>
      <c r="J488" s="33"/>
      <c r="K488" s="34"/>
      <c r="L488" s="34"/>
      <c r="M488" s="34"/>
      <c r="N488" s="34"/>
      <c r="O488" s="34"/>
      <c r="P488" s="34"/>
      <c r="Q488" s="34"/>
      <c r="R488" s="34"/>
      <c r="S488" s="34"/>
      <c r="T488" s="34"/>
      <c r="U488" s="34"/>
      <c r="V488" s="34"/>
      <c r="W488" s="34"/>
      <c r="X488" s="34"/>
      <c r="Y488" s="34"/>
      <c r="Z488" s="34"/>
      <c r="AA488" s="34"/>
    </row>
    <row r="489" spans="1:27" ht="13">
      <c r="A489" s="34"/>
      <c r="B489" s="52"/>
      <c r="C489" s="34"/>
      <c r="D489" s="34"/>
      <c r="E489" s="34"/>
      <c r="F489" s="34"/>
      <c r="G489" s="33"/>
      <c r="H489" s="34"/>
      <c r="I489" s="34"/>
      <c r="J489" s="33"/>
      <c r="K489" s="34"/>
      <c r="L489" s="34"/>
      <c r="M489" s="34"/>
      <c r="N489" s="34"/>
      <c r="O489" s="34"/>
      <c r="P489" s="34"/>
      <c r="Q489" s="34"/>
      <c r="R489" s="34"/>
      <c r="S489" s="34"/>
      <c r="T489" s="34"/>
      <c r="U489" s="34"/>
      <c r="V489" s="34"/>
      <c r="W489" s="34"/>
      <c r="X489" s="34"/>
      <c r="Y489" s="34"/>
      <c r="Z489" s="34"/>
      <c r="AA489" s="34"/>
    </row>
    <row r="490" spans="1:27" ht="13">
      <c r="A490" s="34"/>
      <c r="B490" s="52"/>
      <c r="C490" s="34"/>
      <c r="D490" s="34"/>
      <c r="E490" s="34"/>
      <c r="F490" s="34"/>
      <c r="G490" s="33"/>
      <c r="H490" s="34"/>
      <c r="I490" s="34"/>
      <c r="J490" s="33"/>
      <c r="K490" s="34"/>
      <c r="L490" s="34"/>
      <c r="M490" s="34"/>
      <c r="N490" s="34"/>
      <c r="O490" s="34"/>
      <c r="P490" s="34"/>
      <c r="Q490" s="34"/>
      <c r="R490" s="34"/>
      <c r="S490" s="34"/>
      <c r="T490" s="34"/>
      <c r="U490" s="34"/>
      <c r="V490" s="34"/>
      <c r="W490" s="34"/>
      <c r="X490" s="34"/>
      <c r="Y490" s="34"/>
      <c r="Z490" s="34"/>
      <c r="AA490" s="34"/>
    </row>
    <row r="491" spans="1:27" ht="13">
      <c r="A491" s="34"/>
      <c r="B491" s="52"/>
      <c r="C491" s="34"/>
      <c r="D491" s="34"/>
      <c r="E491" s="34"/>
      <c r="F491" s="34"/>
      <c r="G491" s="33"/>
      <c r="H491" s="34"/>
      <c r="I491" s="34"/>
      <c r="J491" s="33"/>
      <c r="K491" s="34"/>
      <c r="L491" s="34"/>
      <c r="M491" s="34"/>
      <c r="N491" s="34"/>
      <c r="O491" s="34"/>
      <c r="P491" s="34"/>
      <c r="Q491" s="34"/>
      <c r="R491" s="34"/>
      <c r="S491" s="34"/>
      <c r="T491" s="34"/>
      <c r="U491" s="34"/>
      <c r="V491" s="34"/>
      <c r="W491" s="34"/>
      <c r="X491" s="34"/>
      <c r="Y491" s="34"/>
      <c r="Z491" s="34"/>
      <c r="AA491" s="34"/>
    </row>
    <row r="492" spans="1:27" ht="13">
      <c r="A492" s="34"/>
      <c r="B492" s="52"/>
      <c r="C492" s="34"/>
      <c r="D492" s="34"/>
      <c r="E492" s="34"/>
      <c r="F492" s="34"/>
      <c r="G492" s="33"/>
      <c r="H492" s="34"/>
      <c r="I492" s="34"/>
      <c r="J492" s="33"/>
      <c r="K492" s="34"/>
      <c r="L492" s="34"/>
      <c r="M492" s="34"/>
      <c r="N492" s="34"/>
      <c r="O492" s="34"/>
      <c r="P492" s="34"/>
      <c r="Q492" s="34"/>
      <c r="R492" s="34"/>
      <c r="S492" s="34"/>
      <c r="T492" s="34"/>
      <c r="U492" s="34"/>
      <c r="V492" s="34"/>
      <c r="W492" s="34"/>
      <c r="X492" s="34"/>
      <c r="Y492" s="34"/>
      <c r="Z492" s="34"/>
      <c r="AA492" s="34"/>
    </row>
    <row r="493" spans="1:27" ht="13">
      <c r="A493" s="34"/>
      <c r="B493" s="52"/>
      <c r="C493" s="34"/>
      <c r="D493" s="34"/>
      <c r="E493" s="34"/>
      <c r="F493" s="34"/>
      <c r="G493" s="33"/>
      <c r="H493" s="34"/>
      <c r="I493" s="34"/>
      <c r="J493" s="33"/>
      <c r="K493" s="34"/>
      <c r="L493" s="34"/>
      <c r="M493" s="34"/>
      <c r="N493" s="34"/>
      <c r="O493" s="34"/>
      <c r="P493" s="34"/>
      <c r="Q493" s="34"/>
      <c r="R493" s="34"/>
      <c r="S493" s="34"/>
      <c r="T493" s="34"/>
      <c r="U493" s="34"/>
      <c r="V493" s="34"/>
      <c r="W493" s="34"/>
      <c r="X493" s="34"/>
      <c r="Y493" s="34"/>
      <c r="Z493" s="34"/>
      <c r="AA493" s="34"/>
    </row>
    <row r="494" spans="1:27" ht="13">
      <c r="A494" s="34"/>
      <c r="B494" s="52"/>
      <c r="C494" s="34"/>
      <c r="D494" s="34"/>
      <c r="E494" s="34"/>
      <c r="F494" s="34"/>
      <c r="G494" s="33"/>
      <c r="H494" s="34"/>
      <c r="I494" s="34"/>
      <c r="J494" s="33"/>
      <c r="K494" s="34"/>
      <c r="L494" s="34"/>
      <c r="M494" s="34"/>
      <c r="N494" s="34"/>
      <c r="O494" s="34"/>
      <c r="P494" s="34"/>
      <c r="Q494" s="34"/>
      <c r="R494" s="34"/>
      <c r="S494" s="34"/>
      <c r="T494" s="34"/>
      <c r="U494" s="34"/>
      <c r="V494" s="34"/>
      <c r="W494" s="34"/>
      <c r="X494" s="34"/>
      <c r="Y494" s="34"/>
      <c r="Z494" s="34"/>
      <c r="AA494" s="34"/>
    </row>
    <row r="495" spans="1:27" ht="13">
      <c r="A495" s="34"/>
      <c r="B495" s="52"/>
      <c r="C495" s="34"/>
      <c r="D495" s="34"/>
      <c r="E495" s="34"/>
      <c r="F495" s="34"/>
      <c r="G495" s="33"/>
      <c r="H495" s="34"/>
      <c r="I495" s="34"/>
      <c r="J495" s="33"/>
      <c r="K495" s="34"/>
      <c r="L495" s="34"/>
      <c r="M495" s="34"/>
      <c r="N495" s="34"/>
      <c r="O495" s="34"/>
      <c r="P495" s="34"/>
      <c r="Q495" s="34"/>
      <c r="R495" s="34"/>
      <c r="S495" s="34"/>
      <c r="T495" s="34"/>
      <c r="U495" s="34"/>
      <c r="V495" s="34"/>
      <c r="W495" s="34"/>
      <c r="X495" s="34"/>
      <c r="Y495" s="34"/>
      <c r="Z495" s="34"/>
      <c r="AA495" s="34"/>
    </row>
    <row r="496" spans="1:27" ht="13">
      <c r="A496" s="34"/>
      <c r="B496" s="52"/>
      <c r="C496" s="34"/>
      <c r="D496" s="34"/>
      <c r="E496" s="34"/>
      <c r="F496" s="34"/>
      <c r="G496" s="33"/>
      <c r="H496" s="34"/>
      <c r="I496" s="34"/>
      <c r="J496" s="33"/>
      <c r="K496" s="34"/>
      <c r="L496" s="34"/>
      <c r="M496" s="34"/>
      <c r="N496" s="34"/>
      <c r="O496" s="34"/>
      <c r="P496" s="34"/>
      <c r="Q496" s="34"/>
      <c r="R496" s="34"/>
      <c r="S496" s="34"/>
      <c r="T496" s="34"/>
      <c r="U496" s="34"/>
      <c r="V496" s="34"/>
      <c r="W496" s="34"/>
      <c r="X496" s="34"/>
      <c r="Y496" s="34"/>
      <c r="Z496" s="34"/>
      <c r="AA496" s="34"/>
    </row>
    <row r="497" spans="1:27" ht="13">
      <c r="A497" s="34"/>
      <c r="B497" s="52"/>
      <c r="C497" s="34"/>
      <c r="D497" s="34"/>
      <c r="E497" s="34"/>
      <c r="F497" s="34"/>
      <c r="G497" s="33"/>
      <c r="H497" s="34"/>
      <c r="I497" s="34"/>
      <c r="J497" s="33"/>
      <c r="K497" s="34"/>
      <c r="L497" s="34"/>
      <c r="M497" s="34"/>
      <c r="N497" s="34"/>
      <c r="O497" s="34"/>
      <c r="P497" s="34"/>
      <c r="Q497" s="34"/>
      <c r="R497" s="34"/>
      <c r="S497" s="34"/>
      <c r="T497" s="34"/>
      <c r="U497" s="34"/>
      <c r="V497" s="34"/>
      <c r="W497" s="34"/>
      <c r="X497" s="34"/>
      <c r="Y497" s="34"/>
      <c r="Z497" s="34"/>
      <c r="AA497" s="34"/>
    </row>
    <row r="498" spans="1:27" ht="13">
      <c r="A498" s="34"/>
      <c r="B498" s="52"/>
      <c r="C498" s="34"/>
      <c r="D498" s="34"/>
      <c r="E498" s="34"/>
      <c r="F498" s="34"/>
      <c r="G498" s="33"/>
      <c r="H498" s="34"/>
      <c r="I498" s="34"/>
      <c r="J498" s="33"/>
      <c r="K498" s="34"/>
      <c r="L498" s="34"/>
      <c r="M498" s="34"/>
      <c r="N498" s="34"/>
      <c r="O498" s="34"/>
      <c r="P498" s="34"/>
      <c r="Q498" s="34"/>
      <c r="R498" s="34"/>
      <c r="S498" s="34"/>
      <c r="T498" s="34"/>
      <c r="U498" s="34"/>
      <c r="V498" s="34"/>
      <c r="W498" s="34"/>
      <c r="X498" s="34"/>
      <c r="Y498" s="34"/>
      <c r="Z498" s="34"/>
      <c r="AA498" s="34"/>
    </row>
    <row r="499" spans="1:27" ht="13">
      <c r="A499" s="34"/>
      <c r="B499" s="52"/>
      <c r="C499" s="34"/>
      <c r="D499" s="34"/>
      <c r="E499" s="34"/>
      <c r="F499" s="34"/>
      <c r="G499" s="33"/>
      <c r="H499" s="34"/>
      <c r="I499" s="34"/>
      <c r="J499" s="33"/>
      <c r="K499" s="34"/>
      <c r="L499" s="34"/>
      <c r="M499" s="34"/>
      <c r="N499" s="34"/>
      <c r="O499" s="34"/>
      <c r="P499" s="34"/>
      <c r="Q499" s="34"/>
      <c r="R499" s="34"/>
      <c r="S499" s="34"/>
      <c r="T499" s="34"/>
      <c r="U499" s="34"/>
      <c r="V499" s="34"/>
      <c r="W499" s="34"/>
      <c r="X499" s="34"/>
      <c r="Y499" s="34"/>
      <c r="Z499" s="34"/>
      <c r="AA499" s="34"/>
    </row>
    <row r="500" spans="1:27" ht="13">
      <c r="A500" s="34"/>
      <c r="B500" s="52"/>
      <c r="C500" s="34"/>
      <c r="D500" s="34"/>
      <c r="E500" s="34"/>
      <c r="F500" s="34"/>
      <c r="G500" s="33"/>
      <c r="H500" s="34"/>
      <c r="I500" s="34"/>
      <c r="J500" s="33"/>
      <c r="K500" s="34"/>
      <c r="L500" s="34"/>
      <c r="M500" s="34"/>
      <c r="N500" s="34"/>
      <c r="O500" s="34"/>
      <c r="P500" s="34"/>
      <c r="Q500" s="34"/>
      <c r="R500" s="34"/>
      <c r="S500" s="34"/>
      <c r="T500" s="34"/>
      <c r="U500" s="34"/>
      <c r="V500" s="34"/>
      <c r="W500" s="34"/>
      <c r="X500" s="34"/>
      <c r="Y500" s="34"/>
      <c r="Z500" s="34"/>
      <c r="AA500" s="34"/>
    </row>
    <row r="501" spans="1:27" ht="13">
      <c r="A501" s="34"/>
      <c r="B501" s="52"/>
      <c r="C501" s="34"/>
      <c r="D501" s="34"/>
      <c r="E501" s="34"/>
      <c r="F501" s="34"/>
      <c r="G501" s="33"/>
      <c r="H501" s="34"/>
      <c r="I501" s="34"/>
      <c r="J501" s="33"/>
      <c r="K501" s="34"/>
      <c r="L501" s="34"/>
      <c r="M501" s="34"/>
      <c r="N501" s="34"/>
      <c r="O501" s="34"/>
      <c r="P501" s="34"/>
      <c r="Q501" s="34"/>
      <c r="R501" s="34"/>
      <c r="S501" s="34"/>
      <c r="T501" s="34"/>
      <c r="U501" s="34"/>
      <c r="V501" s="34"/>
      <c r="W501" s="34"/>
      <c r="X501" s="34"/>
      <c r="Y501" s="34"/>
      <c r="Z501" s="34"/>
      <c r="AA501" s="34"/>
    </row>
    <row r="502" spans="1:27" ht="13">
      <c r="A502" s="34"/>
      <c r="B502" s="52"/>
      <c r="C502" s="34"/>
      <c r="D502" s="34"/>
      <c r="E502" s="34"/>
      <c r="F502" s="34"/>
      <c r="G502" s="33"/>
      <c r="H502" s="34"/>
      <c r="I502" s="34"/>
      <c r="J502" s="33"/>
      <c r="K502" s="34"/>
      <c r="L502" s="34"/>
      <c r="M502" s="34"/>
      <c r="N502" s="34"/>
      <c r="O502" s="34"/>
      <c r="P502" s="34"/>
      <c r="Q502" s="34"/>
      <c r="R502" s="34"/>
      <c r="S502" s="34"/>
      <c r="T502" s="34"/>
      <c r="U502" s="34"/>
      <c r="V502" s="34"/>
      <c r="W502" s="34"/>
      <c r="X502" s="34"/>
      <c r="Y502" s="34"/>
      <c r="Z502" s="34"/>
      <c r="AA502" s="34"/>
    </row>
    <row r="503" spans="1:27" ht="13">
      <c r="A503" s="34"/>
      <c r="B503" s="52"/>
      <c r="C503" s="34"/>
      <c r="D503" s="34"/>
      <c r="E503" s="34"/>
      <c r="F503" s="34"/>
      <c r="G503" s="33"/>
      <c r="H503" s="34"/>
      <c r="I503" s="34"/>
      <c r="J503" s="33"/>
      <c r="K503" s="34"/>
      <c r="L503" s="34"/>
      <c r="M503" s="34"/>
      <c r="N503" s="34"/>
      <c r="O503" s="34"/>
      <c r="P503" s="34"/>
      <c r="Q503" s="34"/>
      <c r="R503" s="34"/>
      <c r="S503" s="34"/>
      <c r="T503" s="34"/>
      <c r="U503" s="34"/>
      <c r="V503" s="34"/>
      <c r="W503" s="34"/>
      <c r="X503" s="34"/>
      <c r="Y503" s="34"/>
      <c r="Z503" s="34"/>
      <c r="AA503" s="34"/>
    </row>
    <row r="504" spans="1:27" ht="13">
      <c r="A504" s="34"/>
      <c r="B504" s="52"/>
      <c r="C504" s="34"/>
      <c r="D504" s="34"/>
      <c r="E504" s="34"/>
      <c r="F504" s="34"/>
      <c r="G504" s="33"/>
      <c r="H504" s="34"/>
      <c r="I504" s="34"/>
      <c r="J504" s="33"/>
      <c r="K504" s="34"/>
      <c r="L504" s="34"/>
      <c r="M504" s="34"/>
      <c r="N504" s="34"/>
      <c r="O504" s="34"/>
      <c r="P504" s="34"/>
      <c r="Q504" s="34"/>
      <c r="R504" s="34"/>
      <c r="S504" s="34"/>
      <c r="T504" s="34"/>
      <c r="U504" s="34"/>
      <c r="V504" s="34"/>
      <c r="W504" s="34"/>
      <c r="X504" s="34"/>
      <c r="Y504" s="34"/>
      <c r="Z504" s="34"/>
      <c r="AA504" s="34"/>
    </row>
    <row r="505" spans="1:27" ht="13">
      <c r="A505" s="34"/>
      <c r="B505" s="52"/>
      <c r="C505" s="34"/>
      <c r="D505" s="34"/>
      <c r="E505" s="34"/>
      <c r="F505" s="34"/>
      <c r="G505" s="33"/>
      <c r="H505" s="34"/>
      <c r="I505" s="34"/>
      <c r="J505" s="33"/>
      <c r="K505" s="34"/>
      <c r="L505" s="34"/>
      <c r="M505" s="34"/>
      <c r="N505" s="34"/>
      <c r="O505" s="34"/>
      <c r="P505" s="34"/>
      <c r="Q505" s="34"/>
      <c r="R505" s="34"/>
      <c r="S505" s="34"/>
      <c r="T505" s="34"/>
      <c r="U505" s="34"/>
      <c r="V505" s="34"/>
      <c r="W505" s="34"/>
      <c r="X505" s="34"/>
      <c r="Y505" s="34"/>
      <c r="Z505" s="34"/>
      <c r="AA505" s="34"/>
    </row>
    <row r="506" spans="1:27" ht="13">
      <c r="A506" s="34"/>
      <c r="B506" s="52"/>
      <c r="C506" s="34"/>
      <c r="D506" s="34"/>
      <c r="E506" s="34"/>
      <c r="F506" s="34"/>
      <c r="G506" s="33"/>
      <c r="H506" s="34"/>
      <c r="I506" s="34"/>
      <c r="J506" s="33"/>
      <c r="K506" s="34"/>
      <c r="L506" s="34"/>
      <c r="M506" s="34"/>
      <c r="N506" s="34"/>
      <c r="O506" s="34"/>
      <c r="P506" s="34"/>
      <c r="Q506" s="34"/>
      <c r="R506" s="34"/>
      <c r="S506" s="34"/>
      <c r="T506" s="34"/>
      <c r="U506" s="34"/>
      <c r="V506" s="34"/>
      <c r="W506" s="34"/>
      <c r="X506" s="34"/>
      <c r="Y506" s="34"/>
      <c r="Z506" s="34"/>
      <c r="AA506" s="34"/>
    </row>
    <row r="507" spans="1:27" ht="13">
      <c r="A507" s="34"/>
      <c r="B507" s="52"/>
      <c r="C507" s="34"/>
      <c r="D507" s="34"/>
      <c r="E507" s="34"/>
      <c r="F507" s="34"/>
      <c r="G507" s="33"/>
      <c r="H507" s="34"/>
      <c r="I507" s="34"/>
      <c r="J507" s="33"/>
      <c r="K507" s="34"/>
      <c r="L507" s="34"/>
      <c r="M507" s="34"/>
      <c r="N507" s="34"/>
      <c r="O507" s="34"/>
      <c r="P507" s="34"/>
      <c r="Q507" s="34"/>
      <c r="R507" s="34"/>
      <c r="S507" s="34"/>
      <c r="T507" s="34"/>
      <c r="U507" s="34"/>
      <c r="V507" s="34"/>
      <c r="W507" s="34"/>
      <c r="X507" s="34"/>
      <c r="Y507" s="34"/>
      <c r="Z507" s="34"/>
      <c r="AA507" s="34"/>
    </row>
    <row r="508" spans="1:27" ht="13">
      <c r="A508" s="34"/>
      <c r="B508" s="52"/>
      <c r="C508" s="34"/>
      <c r="D508" s="34"/>
      <c r="E508" s="34"/>
      <c r="F508" s="34"/>
      <c r="G508" s="33"/>
      <c r="H508" s="34"/>
      <c r="I508" s="34"/>
      <c r="J508" s="33"/>
      <c r="K508" s="34"/>
      <c r="L508" s="34"/>
      <c r="M508" s="34"/>
      <c r="N508" s="34"/>
      <c r="O508" s="34"/>
      <c r="P508" s="34"/>
      <c r="Q508" s="34"/>
      <c r="R508" s="34"/>
      <c r="S508" s="34"/>
      <c r="T508" s="34"/>
      <c r="U508" s="34"/>
      <c r="V508" s="34"/>
      <c r="W508" s="34"/>
      <c r="X508" s="34"/>
      <c r="Y508" s="34"/>
      <c r="Z508" s="34"/>
      <c r="AA508" s="34"/>
    </row>
    <row r="509" spans="1:27" ht="13">
      <c r="A509" s="34"/>
      <c r="B509" s="52"/>
      <c r="C509" s="34"/>
      <c r="D509" s="34"/>
      <c r="E509" s="34"/>
      <c r="F509" s="34"/>
      <c r="G509" s="33"/>
      <c r="H509" s="34"/>
      <c r="I509" s="34"/>
      <c r="J509" s="33"/>
      <c r="K509" s="34"/>
      <c r="L509" s="34"/>
      <c r="M509" s="34"/>
      <c r="N509" s="34"/>
      <c r="O509" s="34"/>
      <c r="P509" s="34"/>
      <c r="Q509" s="34"/>
      <c r="R509" s="34"/>
      <c r="S509" s="34"/>
      <c r="T509" s="34"/>
      <c r="U509" s="34"/>
      <c r="V509" s="34"/>
      <c r="W509" s="34"/>
      <c r="X509" s="34"/>
      <c r="Y509" s="34"/>
      <c r="Z509" s="34"/>
      <c r="AA509" s="34"/>
    </row>
    <row r="510" spans="1:27" ht="13">
      <c r="A510" s="34"/>
      <c r="B510" s="52"/>
      <c r="C510" s="34"/>
      <c r="D510" s="34"/>
      <c r="E510" s="34"/>
      <c r="F510" s="34"/>
      <c r="G510" s="33"/>
      <c r="H510" s="34"/>
      <c r="I510" s="34"/>
      <c r="J510" s="33"/>
      <c r="K510" s="34"/>
      <c r="L510" s="34"/>
      <c r="M510" s="34"/>
      <c r="N510" s="34"/>
      <c r="O510" s="34"/>
      <c r="P510" s="34"/>
      <c r="Q510" s="34"/>
      <c r="R510" s="34"/>
      <c r="S510" s="34"/>
      <c r="T510" s="34"/>
      <c r="U510" s="34"/>
      <c r="V510" s="34"/>
      <c r="W510" s="34"/>
      <c r="X510" s="34"/>
      <c r="Y510" s="34"/>
      <c r="Z510" s="34"/>
      <c r="AA510" s="34"/>
    </row>
    <row r="511" spans="1:27" ht="13">
      <c r="A511" s="34"/>
      <c r="B511" s="52"/>
      <c r="C511" s="34"/>
      <c r="D511" s="34"/>
      <c r="E511" s="34"/>
      <c r="F511" s="34"/>
      <c r="G511" s="33"/>
      <c r="H511" s="34"/>
      <c r="I511" s="34"/>
      <c r="J511" s="33"/>
      <c r="K511" s="34"/>
      <c r="L511" s="34"/>
      <c r="M511" s="34"/>
      <c r="N511" s="34"/>
      <c r="O511" s="34"/>
      <c r="P511" s="34"/>
      <c r="Q511" s="34"/>
      <c r="R511" s="34"/>
      <c r="S511" s="34"/>
      <c r="T511" s="34"/>
      <c r="U511" s="34"/>
      <c r="V511" s="34"/>
      <c r="W511" s="34"/>
      <c r="X511" s="34"/>
      <c r="Y511" s="34"/>
      <c r="Z511" s="34"/>
      <c r="AA511" s="34"/>
    </row>
    <row r="512" spans="1:27" ht="13">
      <c r="A512" s="34"/>
      <c r="B512" s="52"/>
      <c r="C512" s="34"/>
      <c r="D512" s="34"/>
      <c r="E512" s="34"/>
      <c r="F512" s="34"/>
      <c r="G512" s="33"/>
      <c r="H512" s="34"/>
      <c r="I512" s="34"/>
      <c r="J512" s="33"/>
      <c r="K512" s="34"/>
      <c r="L512" s="34"/>
      <c r="M512" s="34"/>
      <c r="N512" s="34"/>
      <c r="O512" s="34"/>
      <c r="P512" s="34"/>
      <c r="Q512" s="34"/>
      <c r="R512" s="34"/>
      <c r="S512" s="34"/>
      <c r="T512" s="34"/>
      <c r="U512" s="34"/>
      <c r="V512" s="34"/>
      <c r="W512" s="34"/>
      <c r="X512" s="34"/>
      <c r="Y512" s="34"/>
      <c r="Z512" s="34"/>
      <c r="AA512" s="34"/>
    </row>
    <row r="513" spans="1:27" ht="13">
      <c r="A513" s="34"/>
      <c r="B513" s="52"/>
      <c r="C513" s="34"/>
      <c r="D513" s="34"/>
      <c r="E513" s="34"/>
      <c r="F513" s="34"/>
      <c r="G513" s="33"/>
      <c r="H513" s="34"/>
      <c r="I513" s="34"/>
      <c r="J513" s="33"/>
      <c r="K513" s="34"/>
      <c r="L513" s="34"/>
      <c r="M513" s="34"/>
      <c r="N513" s="34"/>
      <c r="O513" s="34"/>
      <c r="P513" s="34"/>
      <c r="Q513" s="34"/>
      <c r="R513" s="34"/>
      <c r="S513" s="34"/>
      <c r="T513" s="34"/>
      <c r="U513" s="34"/>
      <c r="V513" s="34"/>
      <c r="W513" s="34"/>
      <c r="X513" s="34"/>
      <c r="Y513" s="34"/>
      <c r="Z513" s="34"/>
      <c r="AA513" s="34"/>
    </row>
    <row r="514" spans="1:27" ht="13">
      <c r="A514" s="34"/>
      <c r="B514" s="52"/>
      <c r="C514" s="34"/>
      <c r="D514" s="34"/>
      <c r="E514" s="34"/>
      <c r="F514" s="34"/>
      <c r="G514" s="33"/>
      <c r="H514" s="34"/>
      <c r="I514" s="34"/>
      <c r="J514" s="33"/>
      <c r="K514" s="34"/>
      <c r="L514" s="34"/>
      <c r="M514" s="34"/>
      <c r="N514" s="34"/>
      <c r="O514" s="34"/>
      <c r="P514" s="34"/>
      <c r="Q514" s="34"/>
      <c r="R514" s="34"/>
      <c r="S514" s="34"/>
      <c r="T514" s="34"/>
      <c r="U514" s="34"/>
      <c r="V514" s="34"/>
      <c r="W514" s="34"/>
      <c r="X514" s="34"/>
      <c r="Y514" s="34"/>
      <c r="Z514" s="34"/>
      <c r="AA514" s="34"/>
    </row>
    <row r="515" spans="1:27" ht="13">
      <c r="A515" s="34"/>
      <c r="B515" s="52"/>
      <c r="C515" s="34"/>
      <c r="D515" s="34"/>
      <c r="E515" s="34"/>
      <c r="F515" s="34"/>
      <c r="G515" s="33"/>
      <c r="H515" s="34"/>
      <c r="I515" s="34"/>
      <c r="J515" s="33"/>
      <c r="K515" s="34"/>
      <c r="L515" s="34"/>
      <c r="M515" s="34"/>
      <c r="N515" s="34"/>
      <c r="O515" s="34"/>
      <c r="P515" s="34"/>
      <c r="Q515" s="34"/>
      <c r="R515" s="34"/>
      <c r="S515" s="34"/>
      <c r="T515" s="34"/>
      <c r="U515" s="34"/>
      <c r="V515" s="34"/>
      <c r="W515" s="34"/>
      <c r="X515" s="34"/>
      <c r="Y515" s="34"/>
      <c r="Z515" s="34"/>
      <c r="AA515" s="34"/>
    </row>
    <row r="516" spans="1:27" ht="13">
      <c r="A516" s="34"/>
      <c r="B516" s="52"/>
      <c r="C516" s="34"/>
      <c r="D516" s="34"/>
      <c r="E516" s="34"/>
      <c r="F516" s="34"/>
      <c r="G516" s="33"/>
      <c r="H516" s="34"/>
      <c r="I516" s="34"/>
      <c r="J516" s="33"/>
      <c r="K516" s="34"/>
      <c r="L516" s="34"/>
      <c r="M516" s="34"/>
      <c r="N516" s="34"/>
      <c r="O516" s="34"/>
      <c r="P516" s="34"/>
      <c r="Q516" s="34"/>
      <c r="R516" s="34"/>
      <c r="S516" s="34"/>
      <c r="T516" s="34"/>
      <c r="U516" s="34"/>
      <c r="V516" s="34"/>
      <c r="W516" s="34"/>
      <c r="X516" s="34"/>
      <c r="Y516" s="34"/>
      <c r="Z516" s="34"/>
      <c r="AA516" s="34"/>
    </row>
    <row r="517" spans="1:27" ht="13">
      <c r="A517" s="34"/>
      <c r="B517" s="52"/>
      <c r="C517" s="34"/>
      <c r="D517" s="34"/>
      <c r="E517" s="34"/>
      <c r="F517" s="34"/>
      <c r="G517" s="33"/>
      <c r="H517" s="34"/>
      <c r="I517" s="34"/>
      <c r="J517" s="33"/>
      <c r="K517" s="34"/>
      <c r="L517" s="34"/>
      <c r="M517" s="34"/>
      <c r="N517" s="34"/>
      <c r="O517" s="34"/>
      <c r="P517" s="34"/>
      <c r="Q517" s="34"/>
      <c r="R517" s="34"/>
      <c r="S517" s="34"/>
      <c r="T517" s="34"/>
      <c r="U517" s="34"/>
      <c r="V517" s="34"/>
      <c r="W517" s="34"/>
      <c r="X517" s="34"/>
      <c r="Y517" s="34"/>
      <c r="Z517" s="34"/>
      <c r="AA517" s="34"/>
    </row>
    <row r="518" spans="1:27" ht="13">
      <c r="A518" s="34"/>
      <c r="B518" s="52"/>
      <c r="C518" s="34"/>
      <c r="D518" s="34"/>
      <c r="E518" s="34"/>
      <c r="F518" s="34"/>
      <c r="G518" s="33"/>
      <c r="H518" s="34"/>
      <c r="I518" s="34"/>
      <c r="J518" s="33"/>
      <c r="K518" s="34"/>
      <c r="L518" s="34"/>
      <c r="M518" s="34"/>
      <c r="N518" s="34"/>
      <c r="O518" s="34"/>
      <c r="P518" s="34"/>
      <c r="Q518" s="34"/>
      <c r="R518" s="34"/>
      <c r="S518" s="34"/>
      <c r="T518" s="34"/>
      <c r="U518" s="34"/>
      <c r="V518" s="34"/>
      <c r="W518" s="34"/>
      <c r="X518" s="34"/>
      <c r="Y518" s="34"/>
      <c r="Z518" s="34"/>
      <c r="AA518" s="34"/>
    </row>
    <row r="519" spans="1:27" ht="13">
      <c r="A519" s="34"/>
      <c r="B519" s="52"/>
      <c r="C519" s="34"/>
      <c r="D519" s="34"/>
      <c r="E519" s="34"/>
      <c r="F519" s="34"/>
      <c r="G519" s="33"/>
      <c r="H519" s="34"/>
      <c r="I519" s="34"/>
      <c r="J519" s="33"/>
      <c r="K519" s="34"/>
      <c r="L519" s="34"/>
      <c r="M519" s="34"/>
      <c r="N519" s="34"/>
      <c r="O519" s="34"/>
      <c r="P519" s="34"/>
      <c r="Q519" s="34"/>
      <c r="R519" s="34"/>
      <c r="S519" s="34"/>
      <c r="T519" s="34"/>
      <c r="U519" s="34"/>
      <c r="V519" s="34"/>
      <c r="W519" s="34"/>
      <c r="X519" s="34"/>
      <c r="Y519" s="34"/>
      <c r="Z519" s="34"/>
      <c r="AA519" s="34"/>
    </row>
    <row r="520" spans="1:27" ht="13">
      <c r="A520" s="34"/>
      <c r="B520" s="52"/>
      <c r="C520" s="34"/>
      <c r="D520" s="34"/>
      <c r="E520" s="34"/>
      <c r="F520" s="34"/>
      <c r="G520" s="33"/>
      <c r="H520" s="34"/>
      <c r="I520" s="34"/>
      <c r="J520" s="33"/>
      <c r="K520" s="34"/>
      <c r="L520" s="34"/>
      <c r="M520" s="34"/>
      <c r="N520" s="34"/>
      <c r="O520" s="34"/>
      <c r="P520" s="34"/>
      <c r="Q520" s="34"/>
      <c r="R520" s="34"/>
      <c r="S520" s="34"/>
      <c r="T520" s="34"/>
      <c r="U520" s="34"/>
      <c r="V520" s="34"/>
      <c r="W520" s="34"/>
      <c r="X520" s="34"/>
      <c r="Y520" s="34"/>
      <c r="Z520" s="34"/>
      <c r="AA520" s="34"/>
    </row>
    <row r="521" spans="1:27" ht="13">
      <c r="A521" s="34"/>
      <c r="B521" s="52"/>
      <c r="C521" s="34"/>
      <c r="D521" s="34"/>
      <c r="E521" s="34"/>
      <c r="F521" s="34"/>
      <c r="G521" s="33"/>
      <c r="H521" s="34"/>
      <c r="I521" s="34"/>
      <c r="J521" s="33"/>
      <c r="K521" s="34"/>
      <c r="L521" s="34"/>
      <c r="M521" s="34"/>
      <c r="N521" s="34"/>
      <c r="O521" s="34"/>
      <c r="P521" s="34"/>
      <c r="Q521" s="34"/>
      <c r="R521" s="34"/>
      <c r="S521" s="34"/>
      <c r="T521" s="34"/>
      <c r="U521" s="34"/>
      <c r="V521" s="34"/>
      <c r="W521" s="34"/>
      <c r="X521" s="34"/>
      <c r="Y521" s="34"/>
      <c r="Z521" s="34"/>
      <c r="AA521" s="34"/>
    </row>
    <row r="522" spans="1:27" ht="13">
      <c r="A522" s="34"/>
      <c r="B522" s="52"/>
      <c r="C522" s="34"/>
      <c r="D522" s="34"/>
      <c r="E522" s="34"/>
      <c r="F522" s="34"/>
      <c r="G522" s="33"/>
      <c r="H522" s="34"/>
      <c r="I522" s="34"/>
      <c r="J522" s="33"/>
      <c r="K522" s="34"/>
      <c r="L522" s="34"/>
      <c r="M522" s="34"/>
      <c r="N522" s="34"/>
      <c r="O522" s="34"/>
      <c r="P522" s="34"/>
      <c r="Q522" s="34"/>
      <c r="R522" s="34"/>
      <c r="S522" s="34"/>
      <c r="T522" s="34"/>
      <c r="U522" s="34"/>
      <c r="V522" s="34"/>
      <c r="W522" s="34"/>
      <c r="X522" s="34"/>
      <c r="Y522" s="34"/>
      <c r="Z522" s="34"/>
      <c r="AA522" s="34"/>
    </row>
    <row r="523" spans="1:27" ht="13">
      <c r="A523" s="34"/>
      <c r="B523" s="52"/>
      <c r="C523" s="34"/>
      <c r="D523" s="34"/>
      <c r="E523" s="34"/>
      <c r="F523" s="34"/>
      <c r="G523" s="33"/>
      <c r="H523" s="34"/>
      <c r="I523" s="34"/>
      <c r="J523" s="33"/>
      <c r="K523" s="34"/>
      <c r="L523" s="34"/>
      <c r="M523" s="34"/>
      <c r="N523" s="34"/>
      <c r="O523" s="34"/>
      <c r="P523" s="34"/>
      <c r="Q523" s="34"/>
      <c r="R523" s="34"/>
      <c r="S523" s="34"/>
      <c r="T523" s="34"/>
      <c r="U523" s="34"/>
      <c r="V523" s="34"/>
      <c r="W523" s="34"/>
      <c r="X523" s="34"/>
      <c r="Y523" s="34"/>
      <c r="Z523" s="34"/>
      <c r="AA523" s="34"/>
    </row>
    <row r="524" spans="1:27" ht="13">
      <c r="A524" s="34"/>
      <c r="B524" s="52"/>
      <c r="C524" s="34"/>
      <c r="D524" s="34"/>
      <c r="E524" s="34"/>
      <c r="F524" s="34"/>
      <c r="G524" s="33"/>
      <c r="H524" s="34"/>
      <c r="I524" s="34"/>
      <c r="J524" s="33"/>
      <c r="K524" s="34"/>
      <c r="L524" s="34"/>
      <c r="M524" s="34"/>
      <c r="N524" s="34"/>
      <c r="O524" s="34"/>
      <c r="P524" s="34"/>
      <c r="Q524" s="34"/>
      <c r="R524" s="34"/>
      <c r="S524" s="34"/>
      <c r="T524" s="34"/>
      <c r="U524" s="34"/>
      <c r="V524" s="34"/>
      <c r="W524" s="34"/>
      <c r="X524" s="34"/>
      <c r="Y524" s="34"/>
      <c r="Z524" s="34"/>
      <c r="AA524" s="34"/>
    </row>
    <row r="525" spans="1:27" ht="13">
      <c r="A525" s="34"/>
      <c r="B525" s="52"/>
      <c r="C525" s="34"/>
      <c r="D525" s="34"/>
      <c r="E525" s="34"/>
      <c r="F525" s="34"/>
      <c r="G525" s="33"/>
      <c r="H525" s="34"/>
      <c r="I525" s="34"/>
      <c r="J525" s="33"/>
      <c r="K525" s="34"/>
      <c r="L525" s="34"/>
      <c r="M525" s="34"/>
      <c r="N525" s="34"/>
      <c r="O525" s="34"/>
      <c r="P525" s="34"/>
      <c r="Q525" s="34"/>
      <c r="R525" s="34"/>
      <c r="S525" s="34"/>
      <c r="T525" s="34"/>
      <c r="U525" s="34"/>
      <c r="V525" s="34"/>
      <c r="W525" s="34"/>
      <c r="X525" s="34"/>
      <c r="Y525" s="34"/>
      <c r="Z525" s="34"/>
      <c r="AA525" s="34"/>
    </row>
    <row r="526" spans="1:27" ht="13">
      <c r="A526" s="34"/>
      <c r="B526" s="52"/>
      <c r="C526" s="34"/>
      <c r="D526" s="34"/>
      <c r="E526" s="34"/>
      <c r="F526" s="34"/>
      <c r="G526" s="33"/>
      <c r="H526" s="34"/>
      <c r="I526" s="34"/>
      <c r="J526" s="33"/>
      <c r="K526" s="34"/>
      <c r="L526" s="34"/>
      <c r="M526" s="34"/>
      <c r="N526" s="34"/>
      <c r="O526" s="34"/>
      <c r="P526" s="34"/>
      <c r="Q526" s="34"/>
      <c r="R526" s="34"/>
      <c r="S526" s="34"/>
      <c r="T526" s="34"/>
      <c r="U526" s="34"/>
      <c r="V526" s="34"/>
      <c r="W526" s="34"/>
      <c r="X526" s="34"/>
      <c r="Y526" s="34"/>
      <c r="Z526" s="34"/>
      <c r="AA526" s="34"/>
    </row>
    <row r="527" spans="1:27" ht="13">
      <c r="A527" s="34"/>
      <c r="B527" s="52"/>
      <c r="C527" s="34"/>
      <c r="D527" s="34"/>
      <c r="E527" s="34"/>
      <c r="F527" s="34"/>
      <c r="G527" s="33"/>
      <c r="H527" s="34"/>
      <c r="I527" s="34"/>
      <c r="J527" s="33"/>
      <c r="K527" s="34"/>
      <c r="L527" s="34"/>
      <c r="M527" s="34"/>
      <c r="N527" s="34"/>
      <c r="O527" s="34"/>
      <c r="P527" s="34"/>
      <c r="Q527" s="34"/>
      <c r="R527" s="34"/>
      <c r="S527" s="34"/>
      <c r="T527" s="34"/>
      <c r="U527" s="34"/>
      <c r="V527" s="34"/>
      <c r="W527" s="34"/>
      <c r="X527" s="34"/>
      <c r="Y527" s="34"/>
      <c r="Z527" s="34"/>
      <c r="AA527" s="34"/>
    </row>
    <row r="528" spans="1:27" ht="13">
      <c r="A528" s="34"/>
      <c r="B528" s="52"/>
      <c r="C528" s="34"/>
      <c r="D528" s="34"/>
      <c r="E528" s="34"/>
      <c r="F528" s="34"/>
      <c r="G528" s="33"/>
      <c r="H528" s="34"/>
      <c r="I528" s="34"/>
      <c r="J528" s="33"/>
      <c r="K528" s="34"/>
      <c r="L528" s="34"/>
      <c r="M528" s="34"/>
      <c r="N528" s="34"/>
      <c r="O528" s="34"/>
      <c r="P528" s="34"/>
      <c r="Q528" s="34"/>
      <c r="R528" s="34"/>
      <c r="S528" s="34"/>
      <c r="T528" s="34"/>
      <c r="U528" s="34"/>
      <c r="V528" s="34"/>
      <c r="W528" s="34"/>
      <c r="X528" s="34"/>
      <c r="Y528" s="34"/>
      <c r="Z528" s="34"/>
      <c r="AA528" s="34"/>
    </row>
    <row r="529" spans="1:27" ht="13">
      <c r="A529" s="34"/>
      <c r="B529" s="52"/>
      <c r="C529" s="34"/>
      <c r="D529" s="34"/>
      <c r="E529" s="34"/>
      <c r="F529" s="34"/>
      <c r="G529" s="33"/>
      <c r="H529" s="34"/>
      <c r="I529" s="34"/>
      <c r="J529" s="33"/>
      <c r="K529" s="34"/>
      <c r="L529" s="34"/>
      <c r="M529" s="34"/>
      <c r="N529" s="34"/>
      <c r="O529" s="34"/>
      <c r="P529" s="34"/>
      <c r="Q529" s="34"/>
      <c r="R529" s="34"/>
      <c r="S529" s="34"/>
      <c r="T529" s="34"/>
      <c r="U529" s="34"/>
      <c r="V529" s="34"/>
      <c r="W529" s="34"/>
      <c r="X529" s="34"/>
      <c r="Y529" s="34"/>
      <c r="Z529" s="34"/>
      <c r="AA529" s="34"/>
    </row>
    <row r="530" spans="1:27" ht="13">
      <c r="A530" s="34"/>
      <c r="B530" s="52"/>
      <c r="C530" s="34"/>
      <c r="D530" s="34"/>
      <c r="E530" s="34"/>
      <c r="F530" s="34"/>
      <c r="G530" s="33"/>
      <c r="H530" s="34"/>
      <c r="I530" s="34"/>
      <c r="J530" s="33"/>
      <c r="K530" s="34"/>
      <c r="L530" s="34"/>
      <c r="M530" s="34"/>
      <c r="N530" s="34"/>
      <c r="O530" s="34"/>
      <c r="P530" s="34"/>
      <c r="Q530" s="34"/>
      <c r="R530" s="34"/>
      <c r="S530" s="34"/>
      <c r="T530" s="34"/>
      <c r="U530" s="34"/>
      <c r="V530" s="34"/>
      <c r="W530" s="34"/>
      <c r="X530" s="34"/>
      <c r="Y530" s="34"/>
      <c r="Z530" s="34"/>
      <c r="AA530" s="34"/>
    </row>
    <row r="531" spans="1:27" ht="13">
      <c r="A531" s="34"/>
      <c r="B531" s="52"/>
      <c r="C531" s="34"/>
      <c r="D531" s="34"/>
      <c r="E531" s="34"/>
      <c r="F531" s="34"/>
      <c r="G531" s="33"/>
      <c r="H531" s="34"/>
      <c r="I531" s="34"/>
      <c r="J531" s="33"/>
      <c r="K531" s="34"/>
      <c r="L531" s="34"/>
      <c r="M531" s="34"/>
      <c r="N531" s="34"/>
      <c r="O531" s="34"/>
      <c r="P531" s="34"/>
      <c r="Q531" s="34"/>
      <c r="R531" s="34"/>
      <c r="S531" s="34"/>
      <c r="T531" s="34"/>
      <c r="U531" s="34"/>
      <c r="V531" s="34"/>
      <c r="W531" s="34"/>
      <c r="X531" s="34"/>
      <c r="Y531" s="34"/>
      <c r="Z531" s="34"/>
      <c r="AA531" s="34"/>
    </row>
    <row r="532" spans="1:27" ht="13">
      <c r="A532" s="34"/>
      <c r="B532" s="52"/>
      <c r="C532" s="34"/>
      <c r="D532" s="34"/>
      <c r="E532" s="34"/>
      <c r="F532" s="34"/>
      <c r="G532" s="33"/>
      <c r="H532" s="34"/>
      <c r="I532" s="34"/>
      <c r="J532" s="33"/>
      <c r="K532" s="34"/>
      <c r="L532" s="34"/>
      <c r="M532" s="34"/>
      <c r="N532" s="34"/>
      <c r="O532" s="34"/>
      <c r="P532" s="34"/>
      <c r="Q532" s="34"/>
      <c r="R532" s="34"/>
      <c r="S532" s="34"/>
      <c r="T532" s="34"/>
      <c r="U532" s="34"/>
      <c r="V532" s="34"/>
      <c r="W532" s="34"/>
      <c r="X532" s="34"/>
      <c r="Y532" s="34"/>
      <c r="Z532" s="34"/>
      <c r="AA532" s="34"/>
    </row>
    <row r="533" spans="1:27" ht="13">
      <c r="A533" s="34"/>
      <c r="B533" s="52"/>
      <c r="C533" s="34"/>
      <c r="D533" s="34"/>
      <c r="E533" s="34"/>
      <c r="F533" s="34"/>
      <c r="G533" s="33"/>
      <c r="H533" s="34"/>
      <c r="I533" s="34"/>
      <c r="J533" s="33"/>
      <c r="K533" s="34"/>
      <c r="L533" s="34"/>
      <c r="M533" s="34"/>
      <c r="N533" s="34"/>
      <c r="O533" s="34"/>
      <c r="P533" s="34"/>
      <c r="Q533" s="34"/>
      <c r="R533" s="34"/>
      <c r="S533" s="34"/>
      <c r="T533" s="34"/>
      <c r="U533" s="34"/>
      <c r="V533" s="34"/>
      <c r="W533" s="34"/>
      <c r="X533" s="34"/>
      <c r="Y533" s="34"/>
      <c r="Z533" s="34"/>
      <c r="AA533" s="34"/>
    </row>
    <row r="534" spans="1:27" ht="13">
      <c r="A534" s="34"/>
      <c r="B534" s="52"/>
      <c r="C534" s="34"/>
      <c r="D534" s="34"/>
      <c r="E534" s="34"/>
      <c r="F534" s="34"/>
      <c r="G534" s="33"/>
      <c r="H534" s="34"/>
      <c r="I534" s="34"/>
      <c r="J534" s="33"/>
      <c r="K534" s="34"/>
      <c r="L534" s="34"/>
      <c r="M534" s="34"/>
      <c r="N534" s="34"/>
      <c r="O534" s="34"/>
      <c r="P534" s="34"/>
      <c r="Q534" s="34"/>
      <c r="R534" s="34"/>
      <c r="S534" s="34"/>
      <c r="T534" s="34"/>
      <c r="U534" s="34"/>
      <c r="V534" s="34"/>
      <c r="W534" s="34"/>
      <c r="X534" s="34"/>
      <c r="Y534" s="34"/>
      <c r="Z534" s="34"/>
      <c r="AA534" s="34"/>
    </row>
    <row r="535" spans="1:27" ht="13">
      <c r="A535" s="34"/>
      <c r="B535" s="52"/>
      <c r="C535" s="34"/>
      <c r="D535" s="34"/>
      <c r="E535" s="34"/>
      <c r="F535" s="34"/>
      <c r="G535" s="33"/>
      <c r="H535" s="34"/>
      <c r="I535" s="34"/>
      <c r="J535" s="33"/>
      <c r="K535" s="34"/>
      <c r="L535" s="34"/>
      <c r="M535" s="34"/>
      <c r="N535" s="34"/>
      <c r="O535" s="34"/>
      <c r="P535" s="34"/>
      <c r="Q535" s="34"/>
      <c r="R535" s="34"/>
      <c r="S535" s="34"/>
      <c r="T535" s="34"/>
      <c r="U535" s="34"/>
      <c r="V535" s="34"/>
      <c r="W535" s="34"/>
      <c r="X535" s="34"/>
      <c r="Y535" s="34"/>
      <c r="Z535" s="34"/>
      <c r="AA535" s="34"/>
    </row>
    <row r="536" spans="1:27" ht="13">
      <c r="A536" s="34"/>
      <c r="B536" s="52"/>
      <c r="C536" s="34"/>
      <c r="D536" s="34"/>
      <c r="E536" s="34"/>
      <c r="F536" s="34"/>
      <c r="G536" s="33"/>
      <c r="H536" s="34"/>
      <c r="I536" s="34"/>
      <c r="J536" s="33"/>
      <c r="K536" s="34"/>
      <c r="L536" s="34"/>
      <c r="M536" s="34"/>
      <c r="N536" s="34"/>
      <c r="O536" s="34"/>
      <c r="P536" s="34"/>
      <c r="Q536" s="34"/>
      <c r="R536" s="34"/>
      <c r="S536" s="34"/>
      <c r="T536" s="34"/>
      <c r="U536" s="34"/>
      <c r="V536" s="34"/>
      <c r="W536" s="34"/>
      <c r="X536" s="34"/>
      <c r="Y536" s="34"/>
      <c r="Z536" s="34"/>
      <c r="AA536" s="34"/>
    </row>
    <row r="537" spans="1:27" ht="13">
      <c r="A537" s="34"/>
      <c r="B537" s="52"/>
      <c r="C537" s="34"/>
      <c r="D537" s="34"/>
      <c r="E537" s="34"/>
      <c r="F537" s="34"/>
      <c r="G537" s="33"/>
      <c r="H537" s="34"/>
      <c r="I537" s="34"/>
      <c r="J537" s="33"/>
      <c r="K537" s="34"/>
      <c r="L537" s="34"/>
      <c r="M537" s="34"/>
      <c r="N537" s="34"/>
      <c r="O537" s="34"/>
      <c r="P537" s="34"/>
      <c r="Q537" s="34"/>
      <c r="R537" s="34"/>
      <c r="S537" s="34"/>
      <c r="T537" s="34"/>
      <c r="U537" s="34"/>
      <c r="V537" s="34"/>
      <c r="W537" s="34"/>
      <c r="X537" s="34"/>
      <c r="Y537" s="34"/>
      <c r="Z537" s="34"/>
      <c r="AA537" s="34"/>
    </row>
    <row r="538" spans="1:27" ht="13">
      <c r="A538" s="34"/>
      <c r="B538" s="52"/>
      <c r="C538" s="34"/>
      <c r="D538" s="34"/>
      <c r="E538" s="34"/>
      <c r="F538" s="34"/>
      <c r="G538" s="33"/>
      <c r="H538" s="34"/>
      <c r="I538" s="34"/>
      <c r="J538" s="33"/>
      <c r="K538" s="34"/>
      <c r="L538" s="34"/>
      <c r="M538" s="34"/>
      <c r="N538" s="34"/>
      <c r="O538" s="34"/>
      <c r="P538" s="34"/>
      <c r="Q538" s="34"/>
      <c r="R538" s="34"/>
      <c r="S538" s="34"/>
      <c r="T538" s="34"/>
      <c r="U538" s="34"/>
      <c r="V538" s="34"/>
      <c r="W538" s="34"/>
      <c r="X538" s="34"/>
      <c r="Y538" s="34"/>
      <c r="Z538" s="34"/>
      <c r="AA538" s="34"/>
    </row>
    <row r="539" spans="1:27" ht="13">
      <c r="A539" s="34"/>
      <c r="B539" s="52"/>
      <c r="C539" s="34"/>
      <c r="D539" s="34"/>
      <c r="E539" s="34"/>
      <c r="F539" s="34"/>
      <c r="G539" s="33"/>
      <c r="H539" s="34"/>
      <c r="I539" s="34"/>
      <c r="J539" s="33"/>
      <c r="K539" s="34"/>
      <c r="L539" s="34"/>
      <c r="M539" s="34"/>
      <c r="N539" s="34"/>
      <c r="O539" s="34"/>
      <c r="P539" s="34"/>
      <c r="Q539" s="34"/>
      <c r="R539" s="34"/>
      <c r="S539" s="34"/>
      <c r="T539" s="34"/>
      <c r="U539" s="34"/>
      <c r="V539" s="34"/>
      <c r="W539" s="34"/>
      <c r="X539" s="34"/>
      <c r="Y539" s="34"/>
      <c r="Z539" s="34"/>
      <c r="AA539" s="34"/>
    </row>
    <row r="540" spans="1:27" ht="13">
      <c r="A540" s="34"/>
      <c r="B540" s="52"/>
      <c r="C540" s="34"/>
      <c r="D540" s="34"/>
      <c r="E540" s="34"/>
      <c r="F540" s="34"/>
      <c r="G540" s="33"/>
      <c r="H540" s="34"/>
      <c r="I540" s="34"/>
      <c r="J540" s="33"/>
      <c r="K540" s="34"/>
      <c r="L540" s="34"/>
      <c r="M540" s="34"/>
      <c r="N540" s="34"/>
      <c r="O540" s="34"/>
      <c r="P540" s="34"/>
      <c r="Q540" s="34"/>
      <c r="R540" s="34"/>
      <c r="S540" s="34"/>
      <c r="T540" s="34"/>
      <c r="U540" s="34"/>
      <c r="V540" s="34"/>
      <c r="W540" s="34"/>
      <c r="X540" s="34"/>
      <c r="Y540" s="34"/>
      <c r="Z540" s="34"/>
      <c r="AA540" s="34"/>
    </row>
    <row r="541" spans="1:27" ht="13">
      <c r="A541" s="34"/>
      <c r="B541" s="52"/>
      <c r="C541" s="34"/>
      <c r="D541" s="34"/>
      <c r="E541" s="34"/>
      <c r="F541" s="34"/>
      <c r="G541" s="33"/>
      <c r="H541" s="34"/>
      <c r="I541" s="34"/>
      <c r="J541" s="33"/>
      <c r="K541" s="34"/>
      <c r="L541" s="34"/>
      <c r="M541" s="34"/>
      <c r="N541" s="34"/>
      <c r="O541" s="34"/>
      <c r="P541" s="34"/>
      <c r="Q541" s="34"/>
      <c r="R541" s="34"/>
      <c r="S541" s="34"/>
      <c r="T541" s="34"/>
      <c r="U541" s="34"/>
      <c r="V541" s="34"/>
      <c r="W541" s="34"/>
      <c r="X541" s="34"/>
      <c r="Y541" s="34"/>
      <c r="Z541" s="34"/>
      <c r="AA541" s="34"/>
    </row>
    <row r="542" spans="1:27" ht="13">
      <c r="A542" s="34"/>
      <c r="B542" s="52"/>
      <c r="C542" s="34"/>
      <c r="D542" s="34"/>
      <c r="E542" s="34"/>
      <c r="F542" s="34"/>
      <c r="G542" s="33"/>
      <c r="H542" s="34"/>
      <c r="I542" s="34"/>
      <c r="J542" s="33"/>
      <c r="K542" s="34"/>
      <c r="L542" s="34"/>
      <c r="M542" s="34"/>
      <c r="N542" s="34"/>
      <c r="O542" s="34"/>
      <c r="P542" s="34"/>
      <c r="Q542" s="34"/>
      <c r="R542" s="34"/>
      <c r="S542" s="34"/>
      <c r="T542" s="34"/>
      <c r="U542" s="34"/>
      <c r="V542" s="34"/>
      <c r="W542" s="34"/>
      <c r="X542" s="34"/>
      <c r="Y542" s="34"/>
      <c r="Z542" s="34"/>
      <c r="AA542" s="34"/>
    </row>
    <row r="543" spans="1:27" ht="13">
      <c r="A543" s="34"/>
      <c r="B543" s="52"/>
      <c r="C543" s="34"/>
      <c r="D543" s="34"/>
      <c r="E543" s="34"/>
      <c r="F543" s="34"/>
      <c r="G543" s="33"/>
      <c r="H543" s="34"/>
      <c r="I543" s="34"/>
      <c r="J543" s="33"/>
      <c r="K543" s="34"/>
      <c r="L543" s="34"/>
      <c r="M543" s="34"/>
      <c r="N543" s="34"/>
      <c r="O543" s="34"/>
      <c r="P543" s="34"/>
      <c r="Q543" s="34"/>
      <c r="R543" s="34"/>
      <c r="S543" s="34"/>
      <c r="T543" s="34"/>
      <c r="U543" s="34"/>
      <c r="V543" s="34"/>
      <c r="W543" s="34"/>
      <c r="X543" s="34"/>
      <c r="Y543" s="34"/>
      <c r="Z543" s="34"/>
      <c r="AA543" s="34"/>
    </row>
    <row r="544" spans="1:27" ht="13">
      <c r="A544" s="34"/>
      <c r="B544" s="52"/>
      <c r="C544" s="34"/>
      <c r="D544" s="34"/>
      <c r="E544" s="34"/>
      <c r="F544" s="34"/>
      <c r="G544" s="33"/>
      <c r="H544" s="34"/>
      <c r="I544" s="34"/>
      <c r="J544" s="33"/>
      <c r="K544" s="34"/>
      <c r="L544" s="34"/>
      <c r="M544" s="34"/>
      <c r="N544" s="34"/>
      <c r="O544" s="34"/>
      <c r="P544" s="34"/>
      <c r="Q544" s="34"/>
      <c r="R544" s="34"/>
      <c r="S544" s="34"/>
      <c r="T544" s="34"/>
      <c r="U544" s="34"/>
      <c r="V544" s="34"/>
      <c r="W544" s="34"/>
      <c r="X544" s="34"/>
      <c r="Y544" s="34"/>
      <c r="Z544" s="34"/>
      <c r="AA544" s="34"/>
    </row>
    <row r="545" spans="1:27" ht="13">
      <c r="A545" s="34"/>
      <c r="B545" s="52"/>
      <c r="C545" s="34"/>
      <c r="D545" s="34"/>
      <c r="E545" s="34"/>
      <c r="F545" s="34"/>
      <c r="G545" s="33"/>
      <c r="H545" s="34"/>
      <c r="I545" s="34"/>
      <c r="J545" s="33"/>
      <c r="K545" s="34"/>
      <c r="L545" s="34"/>
      <c r="M545" s="34"/>
      <c r="N545" s="34"/>
      <c r="O545" s="34"/>
      <c r="P545" s="34"/>
      <c r="Q545" s="34"/>
      <c r="R545" s="34"/>
      <c r="S545" s="34"/>
      <c r="T545" s="34"/>
      <c r="U545" s="34"/>
      <c r="V545" s="34"/>
      <c r="W545" s="34"/>
      <c r="X545" s="34"/>
      <c r="Y545" s="34"/>
      <c r="Z545" s="34"/>
      <c r="AA545" s="34"/>
    </row>
    <row r="546" spans="1:27" ht="13">
      <c r="A546" s="34"/>
      <c r="B546" s="52"/>
      <c r="C546" s="34"/>
      <c r="D546" s="34"/>
      <c r="E546" s="34"/>
      <c r="F546" s="34"/>
      <c r="G546" s="33"/>
      <c r="H546" s="34"/>
      <c r="I546" s="34"/>
      <c r="J546" s="33"/>
      <c r="K546" s="34"/>
      <c r="L546" s="34"/>
      <c r="M546" s="34"/>
      <c r="N546" s="34"/>
      <c r="O546" s="34"/>
      <c r="P546" s="34"/>
      <c r="Q546" s="34"/>
      <c r="R546" s="34"/>
      <c r="S546" s="34"/>
      <c r="T546" s="34"/>
      <c r="U546" s="34"/>
      <c r="V546" s="34"/>
      <c r="W546" s="34"/>
      <c r="X546" s="34"/>
      <c r="Y546" s="34"/>
      <c r="Z546" s="34"/>
      <c r="AA546" s="34"/>
    </row>
    <row r="547" spans="1:27" ht="13">
      <c r="A547" s="34"/>
      <c r="B547" s="52"/>
      <c r="C547" s="34"/>
      <c r="D547" s="34"/>
      <c r="E547" s="34"/>
      <c r="F547" s="34"/>
      <c r="G547" s="33"/>
      <c r="H547" s="34"/>
      <c r="I547" s="34"/>
      <c r="J547" s="33"/>
      <c r="K547" s="34"/>
      <c r="L547" s="34"/>
      <c r="M547" s="34"/>
      <c r="N547" s="34"/>
      <c r="O547" s="34"/>
      <c r="P547" s="34"/>
      <c r="Q547" s="34"/>
      <c r="R547" s="34"/>
      <c r="S547" s="34"/>
      <c r="T547" s="34"/>
      <c r="U547" s="34"/>
      <c r="V547" s="34"/>
      <c r="W547" s="34"/>
      <c r="X547" s="34"/>
      <c r="Y547" s="34"/>
      <c r="Z547" s="34"/>
      <c r="AA547" s="34"/>
    </row>
    <row r="548" spans="1:27" ht="13">
      <c r="A548" s="34"/>
      <c r="B548" s="52"/>
      <c r="C548" s="34"/>
      <c r="D548" s="34"/>
      <c r="E548" s="34"/>
      <c r="F548" s="34"/>
      <c r="G548" s="33"/>
      <c r="H548" s="34"/>
      <c r="I548" s="34"/>
      <c r="J548" s="33"/>
      <c r="K548" s="34"/>
      <c r="L548" s="34"/>
      <c r="M548" s="34"/>
      <c r="N548" s="34"/>
      <c r="O548" s="34"/>
      <c r="P548" s="34"/>
      <c r="Q548" s="34"/>
      <c r="R548" s="34"/>
      <c r="S548" s="34"/>
      <c r="T548" s="34"/>
      <c r="U548" s="34"/>
      <c r="V548" s="34"/>
      <c r="W548" s="34"/>
      <c r="X548" s="34"/>
      <c r="Y548" s="34"/>
      <c r="Z548" s="34"/>
      <c r="AA548" s="34"/>
    </row>
    <row r="549" spans="1:27" ht="13">
      <c r="A549" s="34"/>
      <c r="B549" s="52"/>
      <c r="C549" s="34"/>
      <c r="D549" s="34"/>
      <c r="E549" s="34"/>
      <c r="F549" s="34"/>
      <c r="G549" s="33"/>
      <c r="H549" s="34"/>
      <c r="I549" s="34"/>
      <c r="J549" s="33"/>
      <c r="K549" s="34"/>
      <c r="L549" s="34"/>
      <c r="M549" s="34"/>
      <c r="N549" s="34"/>
      <c r="O549" s="34"/>
      <c r="P549" s="34"/>
      <c r="Q549" s="34"/>
      <c r="R549" s="34"/>
      <c r="S549" s="34"/>
      <c r="T549" s="34"/>
      <c r="U549" s="34"/>
      <c r="V549" s="34"/>
      <c r="W549" s="34"/>
      <c r="X549" s="34"/>
      <c r="Y549" s="34"/>
      <c r="Z549" s="34"/>
      <c r="AA549" s="34"/>
    </row>
    <row r="550" spans="1:27" ht="13">
      <c r="A550" s="34"/>
      <c r="B550" s="52"/>
      <c r="C550" s="34"/>
      <c r="D550" s="34"/>
      <c r="E550" s="34"/>
      <c r="F550" s="34"/>
      <c r="G550" s="33"/>
      <c r="H550" s="34"/>
      <c r="I550" s="34"/>
      <c r="J550" s="33"/>
      <c r="K550" s="34"/>
      <c r="L550" s="34"/>
      <c r="M550" s="34"/>
      <c r="N550" s="34"/>
      <c r="O550" s="34"/>
      <c r="P550" s="34"/>
      <c r="Q550" s="34"/>
      <c r="R550" s="34"/>
      <c r="S550" s="34"/>
      <c r="T550" s="34"/>
      <c r="U550" s="34"/>
      <c r="V550" s="34"/>
      <c r="W550" s="34"/>
      <c r="X550" s="34"/>
      <c r="Y550" s="34"/>
      <c r="Z550" s="34"/>
      <c r="AA550" s="34"/>
    </row>
    <row r="551" spans="1:27" ht="13">
      <c r="A551" s="34"/>
      <c r="B551" s="52"/>
      <c r="C551" s="34"/>
      <c r="D551" s="34"/>
      <c r="E551" s="34"/>
      <c r="F551" s="34"/>
      <c r="G551" s="33"/>
      <c r="H551" s="34"/>
      <c r="I551" s="34"/>
      <c r="J551" s="33"/>
      <c r="K551" s="34"/>
      <c r="L551" s="34"/>
      <c r="M551" s="34"/>
      <c r="N551" s="34"/>
      <c r="O551" s="34"/>
      <c r="P551" s="34"/>
      <c r="Q551" s="34"/>
      <c r="R551" s="34"/>
      <c r="S551" s="34"/>
      <c r="T551" s="34"/>
      <c r="U551" s="34"/>
      <c r="V551" s="34"/>
      <c r="W551" s="34"/>
      <c r="X551" s="34"/>
      <c r="Y551" s="34"/>
      <c r="Z551" s="34"/>
      <c r="AA551" s="34"/>
    </row>
    <row r="552" spans="1:27" ht="13">
      <c r="A552" s="34"/>
      <c r="B552" s="52"/>
      <c r="C552" s="34"/>
      <c r="D552" s="34"/>
      <c r="E552" s="34"/>
      <c r="F552" s="34"/>
      <c r="G552" s="33"/>
      <c r="H552" s="34"/>
      <c r="I552" s="34"/>
      <c r="J552" s="33"/>
      <c r="K552" s="34"/>
      <c r="L552" s="34"/>
      <c r="M552" s="34"/>
      <c r="N552" s="34"/>
      <c r="O552" s="34"/>
      <c r="P552" s="34"/>
      <c r="Q552" s="34"/>
      <c r="R552" s="34"/>
      <c r="S552" s="34"/>
      <c r="T552" s="34"/>
      <c r="U552" s="34"/>
      <c r="V552" s="34"/>
      <c r="W552" s="34"/>
      <c r="X552" s="34"/>
      <c r="Y552" s="34"/>
      <c r="Z552" s="34"/>
      <c r="AA552" s="34"/>
    </row>
    <row r="553" spans="1:27" ht="13">
      <c r="A553" s="34"/>
      <c r="B553" s="52"/>
      <c r="C553" s="34"/>
      <c r="D553" s="34"/>
      <c r="E553" s="34"/>
      <c r="F553" s="34"/>
      <c r="G553" s="33"/>
      <c r="H553" s="34"/>
      <c r="I553" s="34"/>
      <c r="J553" s="33"/>
      <c r="K553" s="34"/>
      <c r="L553" s="34"/>
      <c r="M553" s="34"/>
      <c r="N553" s="34"/>
      <c r="O553" s="34"/>
      <c r="P553" s="34"/>
      <c r="Q553" s="34"/>
      <c r="R553" s="34"/>
      <c r="S553" s="34"/>
      <c r="T553" s="34"/>
      <c r="U553" s="34"/>
      <c r="V553" s="34"/>
      <c r="W553" s="34"/>
      <c r="X553" s="34"/>
      <c r="Y553" s="34"/>
      <c r="Z553" s="34"/>
      <c r="AA553" s="34"/>
    </row>
    <row r="554" spans="1:27" ht="13">
      <c r="A554" s="34"/>
      <c r="B554" s="52"/>
      <c r="C554" s="34"/>
      <c r="D554" s="34"/>
      <c r="E554" s="34"/>
      <c r="F554" s="34"/>
      <c r="G554" s="33"/>
      <c r="H554" s="34"/>
      <c r="I554" s="34"/>
      <c r="J554" s="33"/>
      <c r="K554" s="34"/>
      <c r="L554" s="34"/>
      <c r="M554" s="34"/>
      <c r="N554" s="34"/>
      <c r="O554" s="34"/>
      <c r="P554" s="34"/>
      <c r="Q554" s="34"/>
      <c r="R554" s="34"/>
      <c r="S554" s="34"/>
      <c r="T554" s="34"/>
      <c r="U554" s="34"/>
      <c r="V554" s="34"/>
      <c r="W554" s="34"/>
      <c r="X554" s="34"/>
      <c r="Y554" s="34"/>
      <c r="Z554" s="34"/>
      <c r="AA554" s="34"/>
    </row>
    <row r="555" spans="1:27" ht="13">
      <c r="A555" s="34"/>
      <c r="B555" s="52"/>
      <c r="C555" s="34"/>
      <c r="D555" s="34"/>
      <c r="E555" s="34"/>
      <c r="F555" s="34"/>
      <c r="G555" s="33"/>
      <c r="H555" s="34"/>
      <c r="I555" s="34"/>
      <c r="J555" s="33"/>
      <c r="K555" s="34"/>
      <c r="L555" s="34"/>
      <c r="M555" s="34"/>
      <c r="N555" s="34"/>
      <c r="O555" s="34"/>
      <c r="P555" s="34"/>
      <c r="Q555" s="34"/>
      <c r="R555" s="34"/>
      <c r="S555" s="34"/>
      <c r="T555" s="34"/>
      <c r="U555" s="34"/>
      <c r="V555" s="34"/>
      <c r="W555" s="34"/>
      <c r="X555" s="34"/>
      <c r="Y555" s="34"/>
      <c r="Z555" s="34"/>
      <c r="AA555" s="34"/>
    </row>
    <row r="556" spans="1:27" ht="13">
      <c r="A556" s="34"/>
      <c r="B556" s="52"/>
      <c r="C556" s="34"/>
      <c r="D556" s="34"/>
      <c r="E556" s="34"/>
      <c r="F556" s="34"/>
      <c r="G556" s="33"/>
      <c r="H556" s="34"/>
      <c r="I556" s="34"/>
      <c r="J556" s="33"/>
      <c r="K556" s="34"/>
      <c r="L556" s="34"/>
      <c r="M556" s="34"/>
      <c r="N556" s="34"/>
      <c r="O556" s="34"/>
      <c r="P556" s="34"/>
      <c r="Q556" s="34"/>
      <c r="R556" s="34"/>
      <c r="S556" s="34"/>
      <c r="T556" s="34"/>
      <c r="U556" s="34"/>
      <c r="V556" s="34"/>
      <c r="W556" s="34"/>
      <c r="X556" s="34"/>
      <c r="Y556" s="34"/>
      <c r="Z556" s="34"/>
      <c r="AA556" s="34"/>
    </row>
    <row r="557" spans="1:27" ht="13">
      <c r="A557" s="34"/>
      <c r="B557" s="52"/>
      <c r="C557" s="34"/>
      <c r="D557" s="34"/>
      <c r="E557" s="34"/>
      <c r="F557" s="34"/>
      <c r="G557" s="33"/>
      <c r="H557" s="34"/>
      <c r="I557" s="34"/>
      <c r="J557" s="33"/>
      <c r="K557" s="34"/>
      <c r="L557" s="34"/>
      <c r="M557" s="34"/>
      <c r="N557" s="34"/>
      <c r="O557" s="34"/>
      <c r="P557" s="34"/>
      <c r="Q557" s="34"/>
      <c r="R557" s="34"/>
      <c r="S557" s="34"/>
      <c r="T557" s="34"/>
      <c r="U557" s="34"/>
      <c r="V557" s="34"/>
      <c r="W557" s="34"/>
      <c r="X557" s="34"/>
      <c r="Y557" s="34"/>
      <c r="Z557" s="34"/>
      <c r="AA557" s="34"/>
    </row>
    <row r="558" spans="1:27" ht="13">
      <c r="A558" s="34"/>
      <c r="B558" s="52"/>
      <c r="C558" s="34"/>
      <c r="D558" s="34"/>
      <c r="E558" s="34"/>
      <c r="F558" s="34"/>
      <c r="G558" s="33"/>
      <c r="H558" s="34"/>
      <c r="I558" s="34"/>
      <c r="J558" s="33"/>
      <c r="K558" s="34"/>
      <c r="L558" s="34"/>
      <c r="M558" s="34"/>
      <c r="N558" s="34"/>
      <c r="O558" s="34"/>
      <c r="P558" s="34"/>
      <c r="Q558" s="34"/>
      <c r="R558" s="34"/>
      <c r="S558" s="34"/>
      <c r="T558" s="34"/>
      <c r="U558" s="34"/>
      <c r="V558" s="34"/>
      <c r="W558" s="34"/>
      <c r="X558" s="34"/>
      <c r="Y558" s="34"/>
      <c r="Z558" s="34"/>
      <c r="AA558" s="34"/>
    </row>
    <row r="559" spans="1:27" ht="13">
      <c r="A559" s="34"/>
      <c r="B559" s="52"/>
      <c r="C559" s="34"/>
      <c r="D559" s="34"/>
      <c r="E559" s="34"/>
      <c r="F559" s="34"/>
      <c r="G559" s="33"/>
      <c r="H559" s="34"/>
      <c r="I559" s="34"/>
      <c r="J559" s="33"/>
      <c r="K559" s="34"/>
      <c r="L559" s="34"/>
      <c r="M559" s="34"/>
      <c r="N559" s="34"/>
      <c r="O559" s="34"/>
      <c r="P559" s="34"/>
      <c r="Q559" s="34"/>
      <c r="R559" s="34"/>
      <c r="S559" s="34"/>
      <c r="T559" s="34"/>
      <c r="U559" s="34"/>
      <c r="V559" s="34"/>
      <c r="W559" s="34"/>
      <c r="X559" s="34"/>
      <c r="Y559" s="34"/>
      <c r="Z559" s="34"/>
      <c r="AA559" s="34"/>
    </row>
    <row r="560" spans="1:27" ht="13">
      <c r="A560" s="34"/>
      <c r="B560" s="52"/>
      <c r="C560" s="34"/>
      <c r="D560" s="34"/>
      <c r="E560" s="34"/>
      <c r="F560" s="34"/>
      <c r="G560" s="33"/>
      <c r="H560" s="34"/>
      <c r="I560" s="34"/>
      <c r="J560" s="33"/>
      <c r="K560" s="34"/>
      <c r="L560" s="34"/>
      <c r="M560" s="34"/>
      <c r="N560" s="34"/>
      <c r="O560" s="34"/>
      <c r="P560" s="34"/>
      <c r="Q560" s="34"/>
      <c r="R560" s="34"/>
      <c r="S560" s="34"/>
      <c r="T560" s="34"/>
      <c r="U560" s="34"/>
      <c r="V560" s="34"/>
      <c r="W560" s="34"/>
      <c r="X560" s="34"/>
      <c r="Y560" s="34"/>
      <c r="Z560" s="34"/>
      <c r="AA560" s="34"/>
    </row>
    <row r="561" spans="1:27" ht="13">
      <c r="A561" s="34"/>
      <c r="B561" s="52"/>
      <c r="C561" s="34"/>
      <c r="D561" s="34"/>
      <c r="E561" s="34"/>
      <c r="F561" s="34"/>
      <c r="G561" s="33"/>
      <c r="H561" s="34"/>
      <c r="I561" s="34"/>
      <c r="J561" s="33"/>
      <c r="K561" s="34"/>
      <c r="L561" s="34"/>
      <c r="M561" s="34"/>
      <c r="N561" s="34"/>
      <c r="O561" s="34"/>
      <c r="P561" s="34"/>
      <c r="Q561" s="34"/>
      <c r="R561" s="34"/>
      <c r="S561" s="34"/>
      <c r="T561" s="34"/>
      <c r="U561" s="34"/>
      <c r="V561" s="34"/>
      <c r="W561" s="34"/>
      <c r="X561" s="34"/>
      <c r="Y561" s="34"/>
      <c r="Z561" s="34"/>
      <c r="AA561" s="34"/>
    </row>
    <row r="562" spans="1:27" ht="13">
      <c r="A562" s="34"/>
      <c r="B562" s="52"/>
      <c r="C562" s="34"/>
      <c r="D562" s="34"/>
      <c r="E562" s="34"/>
      <c r="F562" s="34"/>
      <c r="G562" s="33"/>
      <c r="H562" s="34"/>
      <c r="I562" s="34"/>
      <c r="J562" s="33"/>
      <c r="K562" s="34"/>
      <c r="L562" s="34"/>
      <c r="M562" s="34"/>
      <c r="N562" s="34"/>
      <c r="O562" s="34"/>
      <c r="P562" s="34"/>
      <c r="Q562" s="34"/>
      <c r="R562" s="34"/>
      <c r="S562" s="34"/>
      <c r="T562" s="34"/>
      <c r="U562" s="34"/>
      <c r="V562" s="34"/>
      <c r="W562" s="34"/>
      <c r="X562" s="34"/>
      <c r="Y562" s="34"/>
      <c r="Z562" s="34"/>
      <c r="AA562" s="34"/>
    </row>
    <row r="563" spans="1:27" ht="13">
      <c r="A563" s="34"/>
      <c r="B563" s="52"/>
      <c r="C563" s="34"/>
      <c r="D563" s="34"/>
      <c r="E563" s="34"/>
      <c r="F563" s="34"/>
      <c r="G563" s="33"/>
      <c r="H563" s="34"/>
      <c r="I563" s="34"/>
      <c r="J563" s="33"/>
      <c r="K563" s="34"/>
      <c r="L563" s="34"/>
      <c r="M563" s="34"/>
      <c r="N563" s="34"/>
      <c r="O563" s="34"/>
      <c r="P563" s="34"/>
      <c r="Q563" s="34"/>
      <c r="R563" s="34"/>
      <c r="S563" s="34"/>
      <c r="T563" s="34"/>
      <c r="U563" s="34"/>
      <c r="V563" s="34"/>
      <c r="W563" s="34"/>
      <c r="X563" s="34"/>
      <c r="Y563" s="34"/>
      <c r="Z563" s="34"/>
      <c r="AA563" s="34"/>
    </row>
    <row r="564" spans="1:27" ht="13">
      <c r="A564" s="34"/>
      <c r="B564" s="52"/>
      <c r="C564" s="34"/>
      <c r="D564" s="34"/>
      <c r="E564" s="34"/>
      <c r="F564" s="34"/>
      <c r="G564" s="33"/>
      <c r="H564" s="34"/>
      <c r="I564" s="34"/>
      <c r="J564" s="33"/>
      <c r="K564" s="34"/>
      <c r="L564" s="34"/>
      <c r="M564" s="34"/>
      <c r="N564" s="34"/>
      <c r="O564" s="34"/>
      <c r="P564" s="34"/>
      <c r="Q564" s="34"/>
      <c r="R564" s="34"/>
      <c r="S564" s="34"/>
      <c r="T564" s="34"/>
      <c r="U564" s="34"/>
      <c r="V564" s="34"/>
      <c r="W564" s="34"/>
      <c r="X564" s="34"/>
      <c r="Y564" s="34"/>
      <c r="Z564" s="34"/>
      <c r="AA564" s="34"/>
    </row>
    <row r="565" spans="1:27" ht="13">
      <c r="A565" s="34"/>
      <c r="B565" s="52"/>
      <c r="C565" s="34"/>
      <c r="D565" s="34"/>
      <c r="E565" s="34"/>
      <c r="F565" s="34"/>
      <c r="G565" s="33"/>
      <c r="H565" s="34"/>
      <c r="I565" s="34"/>
      <c r="J565" s="33"/>
      <c r="K565" s="34"/>
      <c r="L565" s="34"/>
      <c r="M565" s="34"/>
      <c r="N565" s="34"/>
      <c r="O565" s="34"/>
      <c r="P565" s="34"/>
      <c r="Q565" s="34"/>
      <c r="R565" s="34"/>
      <c r="S565" s="34"/>
      <c r="T565" s="34"/>
      <c r="U565" s="34"/>
      <c r="V565" s="34"/>
      <c r="W565" s="34"/>
      <c r="X565" s="34"/>
      <c r="Y565" s="34"/>
      <c r="Z565" s="34"/>
      <c r="AA565" s="34"/>
    </row>
    <row r="566" spans="1:27" ht="13">
      <c r="A566" s="34"/>
      <c r="B566" s="52"/>
      <c r="C566" s="34"/>
      <c r="D566" s="34"/>
      <c r="E566" s="34"/>
      <c r="F566" s="34"/>
      <c r="G566" s="33"/>
      <c r="H566" s="34"/>
      <c r="I566" s="34"/>
      <c r="J566" s="33"/>
      <c r="K566" s="34"/>
      <c r="L566" s="34"/>
      <c r="M566" s="34"/>
      <c r="N566" s="34"/>
      <c r="O566" s="34"/>
      <c r="P566" s="34"/>
      <c r="Q566" s="34"/>
      <c r="R566" s="34"/>
      <c r="S566" s="34"/>
      <c r="T566" s="34"/>
      <c r="U566" s="34"/>
      <c r="V566" s="34"/>
      <c r="W566" s="34"/>
      <c r="X566" s="34"/>
      <c r="Y566" s="34"/>
      <c r="Z566" s="34"/>
      <c r="AA566" s="34"/>
    </row>
    <row r="567" spans="1:27" ht="13">
      <c r="A567" s="34"/>
      <c r="B567" s="52"/>
      <c r="C567" s="34"/>
      <c r="D567" s="34"/>
      <c r="E567" s="34"/>
      <c r="F567" s="34"/>
      <c r="G567" s="33"/>
      <c r="H567" s="34"/>
      <c r="I567" s="34"/>
      <c r="J567" s="33"/>
      <c r="K567" s="34"/>
      <c r="L567" s="34"/>
      <c r="M567" s="34"/>
      <c r="N567" s="34"/>
      <c r="O567" s="34"/>
      <c r="P567" s="34"/>
      <c r="Q567" s="34"/>
      <c r="R567" s="34"/>
      <c r="S567" s="34"/>
      <c r="T567" s="34"/>
      <c r="U567" s="34"/>
      <c r="V567" s="34"/>
      <c r="W567" s="34"/>
      <c r="X567" s="34"/>
      <c r="Y567" s="34"/>
      <c r="Z567" s="34"/>
      <c r="AA567" s="34"/>
    </row>
    <row r="568" spans="1:27" ht="13">
      <c r="A568" s="34"/>
      <c r="B568" s="52"/>
      <c r="C568" s="34"/>
      <c r="D568" s="34"/>
      <c r="E568" s="34"/>
      <c r="F568" s="34"/>
      <c r="G568" s="33"/>
      <c r="H568" s="34"/>
      <c r="I568" s="34"/>
      <c r="J568" s="33"/>
      <c r="K568" s="34"/>
      <c r="L568" s="34"/>
      <c r="M568" s="34"/>
      <c r="N568" s="34"/>
      <c r="O568" s="34"/>
      <c r="P568" s="34"/>
      <c r="Q568" s="34"/>
      <c r="R568" s="34"/>
      <c r="S568" s="34"/>
      <c r="T568" s="34"/>
      <c r="U568" s="34"/>
      <c r="V568" s="34"/>
      <c r="W568" s="34"/>
      <c r="X568" s="34"/>
      <c r="Y568" s="34"/>
      <c r="Z568" s="34"/>
      <c r="AA568" s="34"/>
    </row>
    <row r="569" spans="1:27" ht="13">
      <c r="A569" s="34"/>
      <c r="B569" s="52"/>
      <c r="C569" s="34"/>
      <c r="D569" s="34"/>
      <c r="E569" s="34"/>
      <c r="F569" s="34"/>
      <c r="G569" s="33"/>
      <c r="H569" s="34"/>
      <c r="I569" s="34"/>
      <c r="J569" s="33"/>
      <c r="K569" s="34"/>
      <c r="L569" s="34"/>
      <c r="M569" s="34"/>
      <c r="N569" s="34"/>
      <c r="O569" s="34"/>
      <c r="P569" s="34"/>
      <c r="Q569" s="34"/>
      <c r="R569" s="34"/>
      <c r="S569" s="34"/>
      <c r="T569" s="34"/>
      <c r="U569" s="34"/>
      <c r="V569" s="34"/>
      <c r="W569" s="34"/>
      <c r="X569" s="34"/>
      <c r="Y569" s="34"/>
      <c r="Z569" s="34"/>
      <c r="AA569" s="34"/>
    </row>
    <row r="570" spans="1:27" ht="13">
      <c r="A570" s="34"/>
      <c r="B570" s="52"/>
      <c r="C570" s="34"/>
      <c r="D570" s="34"/>
      <c r="E570" s="34"/>
      <c r="F570" s="34"/>
      <c r="G570" s="33"/>
      <c r="H570" s="34"/>
      <c r="I570" s="34"/>
      <c r="J570" s="33"/>
      <c r="K570" s="34"/>
      <c r="L570" s="34"/>
      <c r="M570" s="34"/>
      <c r="N570" s="34"/>
      <c r="O570" s="34"/>
      <c r="P570" s="34"/>
      <c r="Q570" s="34"/>
      <c r="R570" s="34"/>
      <c r="S570" s="34"/>
      <c r="T570" s="34"/>
      <c r="U570" s="34"/>
      <c r="V570" s="34"/>
      <c r="W570" s="34"/>
      <c r="X570" s="34"/>
      <c r="Y570" s="34"/>
      <c r="Z570" s="34"/>
      <c r="AA570" s="34"/>
    </row>
    <row r="571" spans="1:27" ht="13">
      <c r="A571" s="34"/>
      <c r="B571" s="52"/>
      <c r="C571" s="34"/>
      <c r="D571" s="34"/>
      <c r="E571" s="34"/>
      <c r="F571" s="34"/>
      <c r="G571" s="33"/>
      <c r="H571" s="34"/>
      <c r="I571" s="34"/>
      <c r="J571" s="33"/>
      <c r="K571" s="34"/>
      <c r="L571" s="34"/>
      <c r="M571" s="34"/>
      <c r="N571" s="34"/>
      <c r="O571" s="34"/>
      <c r="P571" s="34"/>
      <c r="Q571" s="34"/>
      <c r="R571" s="34"/>
      <c r="S571" s="34"/>
      <c r="T571" s="34"/>
      <c r="U571" s="34"/>
      <c r="V571" s="34"/>
      <c r="W571" s="34"/>
      <c r="X571" s="34"/>
      <c r="Y571" s="34"/>
      <c r="Z571" s="34"/>
      <c r="AA571" s="34"/>
    </row>
    <row r="572" spans="1:27" ht="13">
      <c r="A572" s="34"/>
      <c r="B572" s="52"/>
      <c r="C572" s="34"/>
      <c r="D572" s="34"/>
      <c r="E572" s="34"/>
      <c r="F572" s="34"/>
      <c r="G572" s="33"/>
      <c r="H572" s="34"/>
      <c r="I572" s="34"/>
      <c r="J572" s="33"/>
      <c r="K572" s="34"/>
      <c r="L572" s="34"/>
      <c r="M572" s="34"/>
      <c r="N572" s="34"/>
      <c r="O572" s="34"/>
      <c r="P572" s="34"/>
      <c r="Q572" s="34"/>
      <c r="R572" s="34"/>
      <c r="S572" s="34"/>
      <c r="T572" s="34"/>
      <c r="U572" s="34"/>
      <c r="V572" s="34"/>
      <c r="W572" s="34"/>
      <c r="X572" s="34"/>
      <c r="Y572" s="34"/>
      <c r="Z572" s="34"/>
      <c r="AA572" s="34"/>
    </row>
    <row r="573" spans="1:27" ht="13">
      <c r="A573" s="34"/>
      <c r="B573" s="52"/>
      <c r="C573" s="34"/>
      <c r="D573" s="34"/>
      <c r="E573" s="34"/>
      <c r="F573" s="34"/>
      <c r="G573" s="33"/>
      <c r="H573" s="34"/>
      <c r="I573" s="34"/>
      <c r="J573" s="33"/>
      <c r="K573" s="34"/>
      <c r="L573" s="34"/>
      <c r="M573" s="34"/>
      <c r="N573" s="34"/>
      <c r="O573" s="34"/>
      <c r="P573" s="34"/>
      <c r="Q573" s="34"/>
      <c r="R573" s="34"/>
      <c r="S573" s="34"/>
      <c r="T573" s="34"/>
      <c r="U573" s="34"/>
      <c r="V573" s="34"/>
      <c r="W573" s="34"/>
      <c r="X573" s="34"/>
      <c r="Y573" s="34"/>
      <c r="Z573" s="34"/>
      <c r="AA573" s="34"/>
    </row>
    <row r="574" spans="1:27" ht="13">
      <c r="A574" s="34"/>
      <c r="B574" s="52"/>
      <c r="C574" s="34"/>
      <c r="D574" s="34"/>
      <c r="E574" s="34"/>
      <c r="F574" s="34"/>
      <c r="G574" s="33"/>
      <c r="H574" s="34"/>
      <c r="I574" s="34"/>
      <c r="J574" s="33"/>
      <c r="K574" s="34"/>
      <c r="L574" s="34"/>
      <c r="M574" s="34"/>
      <c r="N574" s="34"/>
      <c r="O574" s="34"/>
      <c r="P574" s="34"/>
      <c r="Q574" s="34"/>
      <c r="R574" s="34"/>
      <c r="S574" s="34"/>
      <c r="T574" s="34"/>
      <c r="U574" s="34"/>
      <c r="V574" s="34"/>
      <c r="W574" s="34"/>
      <c r="X574" s="34"/>
      <c r="Y574" s="34"/>
      <c r="Z574" s="34"/>
      <c r="AA574" s="34"/>
    </row>
    <row r="575" spans="1:27" ht="13">
      <c r="A575" s="34"/>
      <c r="B575" s="52"/>
      <c r="C575" s="34"/>
      <c r="D575" s="34"/>
      <c r="E575" s="34"/>
      <c r="F575" s="34"/>
      <c r="G575" s="33"/>
      <c r="H575" s="34"/>
      <c r="I575" s="34"/>
      <c r="J575" s="33"/>
      <c r="K575" s="34"/>
      <c r="L575" s="34"/>
      <c r="M575" s="34"/>
      <c r="N575" s="34"/>
      <c r="O575" s="34"/>
      <c r="P575" s="34"/>
      <c r="Q575" s="34"/>
      <c r="R575" s="34"/>
      <c r="S575" s="34"/>
      <c r="T575" s="34"/>
      <c r="U575" s="34"/>
      <c r="V575" s="34"/>
      <c r="W575" s="34"/>
      <c r="X575" s="34"/>
      <c r="Y575" s="34"/>
      <c r="Z575" s="34"/>
      <c r="AA575" s="34"/>
    </row>
    <row r="576" spans="1:27" ht="13">
      <c r="A576" s="34"/>
      <c r="B576" s="52"/>
      <c r="C576" s="34"/>
      <c r="D576" s="34"/>
      <c r="E576" s="34"/>
      <c r="F576" s="34"/>
      <c r="G576" s="33"/>
      <c r="H576" s="34"/>
      <c r="I576" s="34"/>
      <c r="J576" s="33"/>
      <c r="K576" s="34"/>
      <c r="L576" s="34"/>
      <c r="M576" s="34"/>
      <c r="N576" s="34"/>
      <c r="O576" s="34"/>
      <c r="P576" s="34"/>
      <c r="Q576" s="34"/>
      <c r="R576" s="34"/>
      <c r="S576" s="34"/>
      <c r="T576" s="34"/>
      <c r="U576" s="34"/>
      <c r="V576" s="34"/>
      <c r="W576" s="34"/>
      <c r="X576" s="34"/>
      <c r="Y576" s="34"/>
      <c r="Z576" s="34"/>
      <c r="AA576" s="34"/>
    </row>
    <row r="577" spans="1:27" ht="13">
      <c r="A577" s="34"/>
      <c r="B577" s="52"/>
      <c r="C577" s="34"/>
      <c r="D577" s="34"/>
      <c r="E577" s="34"/>
      <c r="F577" s="34"/>
      <c r="G577" s="33"/>
      <c r="H577" s="34"/>
      <c r="I577" s="34"/>
      <c r="J577" s="33"/>
      <c r="K577" s="34"/>
      <c r="L577" s="34"/>
      <c r="M577" s="34"/>
      <c r="N577" s="34"/>
      <c r="O577" s="34"/>
      <c r="P577" s="34"/>
      <c r="Q577" s="34"/>
      <c r="R577" s="34"/>
      <c r="S577" s="34"/>
      <c r="T577" s="34"/>
      <c r="U577" s="34"/>
      <c r="V577" s="34"/>
      <c r="W577" s="34"/>
      <c r="X577" s="34"/>
      <c r="Y577" s="34"/>
      <c r="Z577" s="34"/>
      <c r="AA577" s="34"/>
    </row>
    <row r="578" spans="1:27" ht="13">
      <c r="A578" s="34"/>
      <c r="B578" s="52"/>
      <c r="C578" s="34"/>
      <c r="D578" s="34"/>
      <c r="E578" s="34"/>
      <c r="F578" s="34"/>
      <c r="G578" s="33"/>
      <c r="H578" s="34"/>
      <c r="I578" s="34"/>
      <c r="J578" s="33"/>
      <c r="K578" s="34"/>
      <c r="L578" s="34"/>
      <c r="M578" s="34"/>
      <c r="N578" s="34"/>
      <c r="O578" s="34"/>
      <c r="P578" s="34"/>
      <c r="Q578" s="34"/>
      <c r="R578" s="34"/>
      <c r="S578" s="34"/>
      <c r="T578" s="34"/>
      <c r="U578" s="34"/>
      <c r="V578" s="34"/>
      <c r="W578" s="34"/>
      <c r="X578" s="34"/>
      <c r="Y578" s="34"/>
      <c r="Z578" s="34"/>
      <c r="AA578" s="34"/>
    </row>
    <row r="579" spans="1:27" ht="13">
      <c r="A579" s="34"/>
      <c r="B579" s="52"/>
      <c r="C579" s="34"/>
      <c r="D579" s="34"/>
      <c r="E579" s="34"/>
      <c r="F579" s="34"/>
      <c r="G579" s="33"/>
      <c r="H579" s="34"/>
      <c r="I579" s="34"/>
      <c r="J579" s="33"/>
      <c r="K579" s="34"/>
      <c r="L579" s="34"/>
      <c r="M579" s="34"/>
      <c r="N579" s="34"/>
      <c r="O579" s="34"/>
      <c r="P579" s="34"/>
      <c r="Q579" s="34"/>
      <c r="R579" s="34"/>
      <c r="S579" s="34"/>
      <c r="T579" s="34"/>
      <c r="U579" s="34"/>
      <c r="V579" s="34"/>
      <c r="W579" s="34"/>
      <c r="X579" s="34"/>
      <c r="Y579" s="34"/>
      <c r="Z579" s="34"/>
      <c r="AA579" s="34"/>
    </row>
    <row r="580" spans="1:27" ht="13">
      <c r="A580" s="34"/>
      <c r="B580" s="52"/>
      <c r="C580" s="34"/>
      <c r="D580" s="34"/>
      <c r="E580" s="34"/>
      <c r="F580" s="34"/>
      <c r="G580" s="33"/>
      <c r="H580" s="34"/>
      <c r="I580" s="34"/>
      <c r="J580" s="33"/>
      <c r="K580" s="34"/>
      <c r="L580" s="34"/>
      <c r="M580" s="34"/>
      <c r="N580" s="34"/>
      <c r="O580" s="34"/>
      <c r="P580" s="34"/>
      <c r="Q580" s="34"/>
      <c r="R580" s="34"/>
      <c r="S580" s="34"/>
      <c r="T580" s="34"/>
      <c r="U580" s="34"/>
      <c r="V580" s="34"/>
      <c r="W580" s="34"/>
      <c r="X580" s="34"/>
      <c r="Y580" s="34"/>
      <c r="Z580" s="34"/>
      <c r="AA580" s="34"/>
    </row>
    <row r="581" spans="1:27" ht="13">
      <c r="A581" s="34"/>
      <c r="B581" s="52"/>
      <c r="C581" s="34"/>
      <c r="D581" s="34"/>
      <c r="E581" s="34"/>
      <c r="F581" s="34"/>
      <c r="G581" s="33"/>
      <c r="H581" s="34"/>
      <c r="I581" s="34"/>
      <c r="J581" s="33"/>
      <c r="K581" s="34"/>
      <c r="L581" s="34"/>
      <c r="M581" s="34"/>
      <c r="N581" s="34"/>
      <c r="O581" s="34"/>
      <c r="P581" s="34"/>
      <c r="Q581" s="34"/>
      <c r="R581" s="34"/>
      <c r="S581" s="34"/>
      <c r="T581" s="34"/>
      <c r="U581" s="34"/>
      <c r="V581" s="34"/>
      <c r="W581" s="34"/>
      <c r="X581" s="34"/>
      <c r="Y581" s="34"/>
      <c r="Z581" s="34"/>
      <c r="AA581" s="34"/>
    </row>
    <row r="582" spans="1:27" ht="13">
      <c r="A582" s="34"/>
      <c r="B582" s="52"/>
      <c r="C582" s="34"/>
      <c r="D582" s="34"/>
      <c r="E582" s="34"/>
      <c r="F582" s="34"/>
      <c r="G582" s="33"/>
      <c r="H582" s="34"/>
      <c r="I582" s="34"/>
      <c r="J582" s="33"/>
      <c r="K582" s="34"/>
      <c r="L582" s="34"/>
      <c r="M582" s="34"/>
      <c r="N582" s="34"/>
      <c r="O582" s="34"/>
      <c r="P582" s="34"/>
      <c r="Q582" s="34"/>
      <c r="R582" s="34"/>
      <c r="S582" s="34"/>
      <c r="T582" s="34"/>
      <c r="U582" s="34"/>
      <c r="V582" s="34"/>
      <c r="W582" s="34"/>
      <c r="X582" s="34"/>
      <c r="Y582" s="34"/>
      <c r="Z582" s="34"/>
      <c r="AA582" s="34"/>
    </row>
    <row r="583" spans="1:27" ht="13">
      <c r="A583" s="34"/>
      <c r="B583" s="52"/>
      <c r="C583" s="34"/>
      <c r="D583" s="34"/>
      <c r="E583" s="34"/>
      <c r="F583" s="34"/>
      <c r="G583" s="33"/>
      <c r="H583" s="34"/>
      <c r="I583" s="34"/>
      <c r="J583" s="33"/>
      <c r="K583" s="34"/>
      <c r="L583" s="34"/>
      <c r="M583" s="34"/>
      <c r="N583" s="34"/>
      <c r="O583" s="34"/>
      <c r="P583" s="34"/>
      <c r="Q583" s="34"/>
      <c r="R583" s="34"/>
      <c r="S583" s="34"/>
      <c r="T583" s="34"/>
      <c r="U583" s="34"/>
      <c r="V583" s="34"/>
      <c r="W583" s="34"/>
      <c r="X583" s="34"/>
      <c r="Y583" s="34"/>
      <c r="Z583" s="34"/>
      <c r="AA583" s="34"/>
    </row>
    <row r="584" spans="1:27" ht="13">
      <c r="A584" s="34"/>
      <c r="B584" s="52"/>
      <c r="C584" s="34"/>
      <c r="D584" s="34"/>
      <c r="E584" s="34"/>
      <c r="F584" s="34"/>
      <c r="G584" s="33"/>
      <c r="H584" s="34"/>
      <c r="I584" s="34"/>
      <c r="J584" s="33"/>
      <c r="K584" s="34"/>
      <c r="L584" s="34"/>
      <c r="M584" s="34"/>
      <c r="N584" s="34"/>
      <c r="O584" s="34"/>
      <c r="P584" s="34"/>
      <c r="Q584" s="34"/>
      <c r="R584" s="34"/>
      <c r="S584" s="34"/>
      <c r="T584" s="34"/>
      <c r="U584" s="34"/>
      <c r="V584" s="34"/>
      <c r="W584" s="34"/>
      <c r="X584" s="34"/>
      <c r="Y584" s="34"/>
      <c r="Z584" s="34"/>
      <c r="AA584" s="34"/>
    </row>
    <row r="585" spans="1:27" ht="13">
      <c r="A585" s="34"/>
      <c r="B585" s="52"/>
      <c r="C585" s="34"/>
      <c r="D585" s="34"/>
      <c r="E585" s="34"/>
      <c r="F585" s="34"/>
      <c r="G585" s="33"/>
      <c r="H585" s="34"/>
      <c r="I585" s="34"/>
      <c r="J585" s="33"/>
      <c r="K585" s="34"/>
      <c r="L585" s="34"/>
      <c r="M585" s="34"/>
      <c r="N585" s="34"/>
      <c r="O585" s="34"/>
      <c r="P585" s="34"/>
      <c r="Q585" s="34"/>
      <c r="R585" s="34"/>
      <c r="S585" s="34"/>
      <c r="T585" s="34"/>
      <c r="U585" s="34"/>
      <c r="V585" s="34"/>
      <c r="W585" s="34"/>
      <c r="X585" s="34"/>
      <c r="Y585" s="34"/>
      <c r="Z585" s="34"/>
      <c r="AA585" s="34"/>
    </row>
    <row r="586" spans="1:27" ht="13">
      <c r="A586" s="34"/>
      <c r="B586" s="52"/>
      <c r="C586" s="34"/>
      <c r="D586" s="34"/>
      <c r="E586" s="34"/>
      <c r="F586" s="34"/>
      <c r="G586" s="33"/>
      <c r="H586" s="34"/>
      <c r="I586" s="34"/>
      <c r="J586" s="33"/>
      <c r="K586" s="34"/>
      <c r="L586" s="34"/>
      <c r="M586" s="34"/>
      <c r="N586" s="34"/>
      <c r="O586" s="34"/>
      <c r="P586" s="34"/>
      <c r="Q586" s="34"/>
      <c r="R586" s="34"/>
      <c r="S586" s="34"/>
      <c r="T586" s="34"/>
      <c r="U586" s="34"/>
      <c r="V586" s="34"/>
      <c r="W586" s="34"/>
      <c r="X586" s="34"/>
      <c r="Y586" s="34"/>
      <c r="Z586" s="34"/>
      <c r="AA586" s="34"/>
    </row>
    <row r="587" spans="1:27" ht="13">
      <c r="A587" s="34"/>
      <c r="B587" s="52"/>
      <c r="C587" s="34"/>
      <c r="D587" s="34"/>
      <c r="E587" s="34"/>
      <c r="F587" s="34"/>
      <c r="G587" s="33"/>
      <c r="H587" s="34"/>
      <c r="I587" s="34"/>
      <c r="J587" s="33"/>
      <c r="K587" s="34"/>
      <c r="L587" s="34"/>
      <c r="M587" s="34"/>
      <c r="N587" s="34"/>
      <c r="O587" s="34"/>
      <c r="P587" s="34"/>
      <c r="Q587" s="34"/>
      <c r="R587" s="34"/>
      <c r="S587" s="34"/>
      <c r="T587" s="34"/>
      <c r="U587" s="34"/>
      <c r="V587" s="34"/>
      <c r="W587" s="34"/>
      <c r="X587" s="34"/>
      <c r="Y587" s="34"/>
      <c r="Z587" s="34"/>
      <c r="AA587" s="34"/>
    </row>
    <row r="588" spans="1:27" ht="13">
      <c r="A588" s="34"/>
      <c r="B588" s="52"/>
      <c r="C588" s="34"/>
      <c r="D588" s="34"/>
      <c r="E588" s="34"/>
      <c r="F588" s="34"/>
      <c r="G588" s="33"/>
      <c r="H588" s="34"/>
      <c r="I588" s="34"/>
      <c r="J588" s="33"/>
      <c r="K588" s="34"/>
      <c r="L588" s="34"/>
      <c r="M588" s="34"/>
      <c r="N588" s="34"/>
      <c r="O588" s="34"/>
      <c r="P588" s="34"/>
      <c r="Q588" s="34"/>
      <c r="R588" s="34"/>
      <c r="S588" s="34"/>
      <c r="T588" s="34"/>
      <c r="U588" s="34"/>
      <c r="V588" s="34"/>
      <c r="W588" s="34"/>
      <c r="X588" s="34"/>
      <c r="Y588" s="34"/>
      <c r="Z588" s="34"/>
      <c r="AA588" s="34"/>
    </row>
    <row r="589" spans="1:27" ht="13">
      <c r="A589" s="34"/>
      <c r="B589" s="52"/>
      <c r="C589" s="34"/>
      <c r="D589" s="34"/>
      <c r="E589" s="34"/>
      <c r="F589" s="34"/>
      <c r="G589" s="33"/>
      <c r="H589" s="34"/>
      <c r="I589" s="34"/>
      <c r="J589" s="33"/>
      <c r="K589" s="34"/>
      <c r="L589" s="34"/>
      <c r="M589" s="34"/>
      <c r="N589" s="34"/>
      <c r="O589" s="34"/>
      <c r="P589" s="34"/>
      <c r="Q589" s="34"/>
      <c r="R589" s="34"/>
      <c r="S589" s="34"/>
      <c r="T589" s="34"/>
      <c r="U589" s="34"/>
      <c r="V589" s="34"/>
      <c r="W589" s="34"/>
      <c r="X589" s="34"/>
      <c r="Y589" s="34"/>
      <c r="Z589" s="34"/>
      <c r="AA589" s="34"/>
    </row>
    <row r="590" spans="1:27" ht="13">
      <c r="A590" s="34"/>
      <c r="B590" s="52"/>
      <c r="C590" s="34"/>
      <c r="D590" s="34"/>
      <c r="E590" s="34"/>
      <c r="F590" s="34"/>
      <c r="G590" s="33"/>
      <c r="H590" s="34"/>
      <c r="I590" s="34"/>
      <c r="J590" s="33"/>
      <c r="K590" s="34"/>
      <c r="L590" s="34"/>
      <c r="M590" s="34"/>
      <c r="N590" s="34"/>
      <c r="O590" s="34"/>
      <c r="P590" s="34"/>
      <c r="Q590" s="34"/>
      <c r="R590" s="34"/>
      <c r="S590" s="34"/>
      <c r="T590" s="34"/>
      <c r="U590" s="34"/>
      <c r="V590" s="34"/>
      <c r="W590" s="34"/>
      <c r="X590" s="34"/>
      <c r="Y590" s="34"/>
      <c r="Z590" s="34"/>
      <c r="AA590" s="34"/>
    </row>
    <row r="591" spans="1:27" ht="13">
      <c r="A591" s="34"/>
      <c r="B591" s="52"/>
      <c r="C591" s="34"/>
      <c r="D591" s="34"/>
      <c r="E591" s="34"/>
      <c r="F591" s="34"/>
      <c r="G591" s="33"/>
      <c r="H591" s="34"/>
      <c r="I591" s="34"/>
      <c r="J591" s="33"/>
      <c r="K591" s="34"/>
      <c r="L591" s="34"/>
      <c r="M591" s="34"/>
      <c r="N591" s="34"/>
      <c r="O591" s="34"/>
      <c r="P591" s="34"/>
      <c r="Q591" s="34"/>
      <c r="R591" s="34"/>
      <c r="S591" s="34"/>
      <c r="T591" s="34"/>
      <c r="U591" s="34"/>
      <c r="V591" s="34"/>
      <c r="W591" s="34"/>
      <c r="X591" s="34"/>
      <c r="Y591" s="34"/>
      <c r="Z591" s="34"/>
      <c r="AA591" s="34"/>
    </row>
    <row r="592" spans="1:27" ht="13">
      <c r="A592" s="34"/>
      <c r="B592" s="52"/>
      <c r="C592" s="34"/>
      <c r="D592" s="34"/>
      <c r="E592" s="34"/>
      <c r="F592" s="34"/>
      <c r="G592" s="33"/>
      <c r="H592" s="34"/>
      <c r="I592" s="34"/>
      <c r="J592" s="33"/>
      <c r="K592" s="34"/>
      <c r="L592" s="34"/>
      <c r="M592" s="34"/>
      <c r="N592" s="34"/>
      <c r="O592" s="34"/>
      <c r="P592" s="34"/>
      <c r="Q592" s="34"/>
      <c r="R592" s="34"/>
      <c r="S592" s="34"/>
      <c r="T592" s="34"/>
      <c r="U592" s="34"/>
      <c r="V592" s="34"/>
      <c r="W592" s="34"/>
      <c r="X592" s="34"/>
      <c r="Y592" s="34"/>
      <c r="Z592" s="34"/>
      <c r="AA592" s="34"/>
    </row>
    <row r="593" spans="1:27" ht="13">
      <c r="A593" s="34"/>
      <c r="B593" s="52"/>
      <c r="C593" s="34"/>
      <c r="D593" s="34"/>
      <c r="E593" s="34"/>
      <c r="F593" s="34"/>
      <c r="G593" s="33"/>
      <c r="H593" s="34"/>
      <c r="I593" s="34"/>
      <c r="J593" s="33"/>
      <c r="K593" s="34"/>
      <c r="L593" s="34"/>
      <c r="M593" s="34"/>
      <c r="N593" s="34"/>
      <c r="O593" s="34"/>
      <c r="P593" s="34"/>
      <c r="Q593" s="34"/>
      <c r="R593" s="34"/>
      <c r="S593" s="34"/>
      <c r="T593" s="34"/>
      <c r="U593" s="34"/>
      <c r="V593" s="34"/>
      <c r="W593" s="34"/>
      <c r="X593" s="34"/>
      <c r="Y593" s="34"/>
      <c r="Z593" s="34"/>
      <c r="AA593" s="34"/>
    </row>
    <row r="594" spans="1:27" ht="13">
      <c r="A594" s="34"/>
      <c r="B594" s="52"/>
      <c r="C594" s="34"/>
      <c r="D594" s="34"/>
      <c r="E594" s="34"/>
      <c r="F594" s="34"/>
      <c r="G594" s="33"/>
      <c r="H594" s="34"/>
      <c r="I594" s="34"/>
      <c r="J594" s="33"/>
      <c r="K594" s="34"/>
      <c r="L594" s="34"/>
      <c r="M594" s="34"/>
      <c r="N594" s="34"/>
      <c r="O594" s="34"/>
      <c r="P594" s="34"/>
      <c r="Q594" s="34"/>
      <c r="R594" s="34"/>
      <c r="S594" s="34"/>
      <c r="T594" s="34"/>
      <c r="U594" s="34"/>
      <c r="V594" s="34"/>
      <c r="W594" s="34"/>
      <c r="X594" s="34"/>
      <c r="Y594" s="34"/>
      <c r="Z594" s="34"/>
      <c r="AA594" s="34"/>
    </row>
    <row r="595" spans="1:27" ht="13">
      <c r="A595" s="34"/>
      <c r="B595" s="52"/>
      <c r="C595" s="34"/>
      <c r="D595" s="34"/>
      <c r="E595" s="34"/>
      <c r="F595" s="34"/>
      <c r="G595" s="33"/>
      <c r="H595" s="34"/>
      <c r="I595" s="34"/>
      <c r="J595" s="33"/>
      <c r="K595" s="34"/>
      <c r="L595" s="34"/>
      <c r="M595" s="34"/>
      <c r="N595" s="34"/>
      <c r="O595" s="34"/>
      <c r="P595" s="34"/>
      <c r="Q595" s="34"/>
      <c r="R595" s="34"/>
      <c r="S595" s="34"/>
      <c r="T595" s="34"/>
      <c r="U595" s="34"/>
      <c r="V595" s="34"/>
      <c r="W595" s="34"/>
      <c r="X595" s="34"/>
      <c r="Y595" s="34"/>
      <c r="Z595" s="34"/>
      <c r="AA595" s="34"/>
    </row>
    <row r="596" spans="1:27" ht="13">
      <c r="A596" s="34"/>
      <c r="B596" s="52"/>
      <c r="C596" s="34"/>
      <c r="D596" s="34"/>
      <c r="E596" s="34"/>
      <c r="F596" s="34"/>
      <c r="G596" s="33"/>
      <c r="H596" s="34"/>
      <c r="I596" s="34"/>
      <c r="J596" s="33"/>
      <c r="K596" s="34"/>
      <c r="L596" s="34"/>
      <c r="M596" s="34"/>
      <c r="N596" s="34"/>
      <c r="O596" s="34"/>
      <c r="P596" s="34"/>
      <c r="Q596" s="34"/>
      <c r="R596" s="34"/>
      <c r="S596" s="34"/>
      <c r="T596" s="34"/>
      <c r="U596" s="34"/>
      <c r="V596" s="34"/>
      <c r="W596" s="34"/>
      <c r="X596" s="34"/>
      <c r="Y596" s="34"/>
      <c r="Z596" s="34"/>
      <c r="AA596" s="34"/>
    </row>
    <row r="597" spans="1:27" ht="13">
      <c r="A597" s="34"/>
      <c r="B597" s="52"/>
      <c r="C597" s="34"/>
      <c r="D597" s="34"/>
      <c r="E597" s="34"/>
      <c r="F597" s="34"/>
      <c r="G597" s="33"/>
      <c r="H597" s="34"/>
      <c r="I597" s="34"/>
      <c r="J597" s="33"/>
      <c r="K597" s="34"/>
      <c r="L597" s="34"/>
      <c r="M597" s="34"/>
      <c r="N597" s="34"/>
      <c r="O597" s="34"/>
      <c r="P597" s="34"/>
      <c r="Q597" s="34"/>
      <c r="R597" s="34"/>
      <c r="S597" s="34"/>
      <c r="T597" s="34"/>
      <c r="U597" s="34"/>
      <c r="V597" s="34"/>
      <c r="W597" s="34"/>
      <c r="X597" s="34"/>
      <c r="Y597" s="34"/>
      <c r="Z597" s="34"/>
      <c r="AA597" s="34"/>
    </row>
    <row r="598" spans="1:27" ht="13">
      <c r="A598" s="34"/>
      <c r="B598" s="52"/>
      <c r="C598" s="34"/>
      <c r="D598" s="34"/>
      <c r="E598" s="34"/>
      <c r="F598" s="34"/>
      <c r="G598" s="33"/>
      <c r="H598" s="34"/>
      <c r="I598" s="34"/>
      <c r="J598" s="33"/>
      <c r="K598" s="34"/>
      <c r="L598" s="34"/>
      <c r="M598" s="34"/>
      <c r="N598" s="34"/>
      <c r="O598" s="34"/>
      <c r="P598" s="34"/>
      <c r="Q598" s="34"/>
      <c r="R598" s="34"/>
      <c r="S598" s="34"/>
      <c r="T598" s="34"/>
      <c r="U598" s="34"/>
      <c r="V598" s="34"/>
      <c r="W598" s="34"/>
      <c r="X598" s="34"/>
      <c r="Y598" s="34"/>
      <c r="Z598" s="34"/>
      <c r="AA598" s="34"/>
    </row>
    <row r="599" spans="1:27" ht="13">
      <c r="A599" s="34"/>
      <c r="B599" s="52"/>
      <c r="C599" s="34"/>
      <c r="D599" s="34"/>
      <c r="E599" s="34"/>
      <c r="F599" s="34"/>
      <c r="G599" s="33"/>
      <c r="H599" s="34"/>
      <c r="I599" s="34"/>
      <c r="J599" s="33"/>
      <c r="K599" s="34"/>
      <c r="L599" s="34"/>
      <c r="M599" s="34"/>
      <c r="N599" s="34"/>
      <c r="O599" s="34"/>
      <c r="P599" s="34"/>
      <c r="Q599" s="34"/>
      <c r="R599" s="34"/>
      <c r="S599" s="34"/>
      <c r="T599" s="34"/>
      <c r="U599" s="34"/>
      <c r="V599" s="34"/>
      <c r="W599" s="34"/>
      <c r="X599" s="34"/>
      <c r="Y599" s="34"/>
      <c r="Z599" s="34"/>
      <c r="AA599" s="34"/>
    </row>
    <row r="600" spans="1:27" ht="13">
      <c r="A600" s="34"/>
      <c r="B600" s="52"/>
      <c r="C600" s="34"/>
      <c r="D600" s="34"/>
      <c r="E600" s="34"/>
      <c r="F600" s="34"/>
      <c r="G600" s="33"/>
      <c r="H600" s="34"/>
      <c r="I600" s="34"/>
      <c r="J600" s="33"/>
      <c r="K600" s="34"/>
      <c r="L600" s="34"/>
      <c r="M600" s="34"/>
      <c r="N600" s="34"/>
      <c r="O600" s="34"/>
      <c r="P600" s="34"/>
      <c r="Q600" s="34"/>
      <c r="R600" s="34"/>
      <c r="S600" s="34"/>
      <c r="T600" s="34"/>
      <c r="U600" s="34"/>
      <c r="V600" s="34"/>
      <c r="W600" s="34"/>
      <c r="X600" s="34"/>
      <c r="Y600" s="34"/>
      <c r="Z600" s="34"/>
      <c r="AA600" s="34"/>
    </row>
    <row r="601" spans="1:27" ht="13">
      <c r="A601" s="34"/>
      <c r="B601" s="52"/>
      <c r="C601" s="34"/>
      <c r="D601" s="34"/>
      <c r="E601" s="34"/>
      <c r="F601" s="34"/>
      <c r="G601" s="33"/>
      <c r="H601" s="34"/>
      <c r="I601" s="34"/>
      <c r="J601" s="33"/>
      <c r="K601" s="34"/>
      <c r="L601" s="34"/>
      <c r="M601" s="34"/>
      <c r="N601" s="34"/>
      <c r="O601" s="34"/>
      <c r="P601" s="34"/>
      <c r="Q601" s="34"/>
      <c r="R601" s="34"/>
      <c r="S601" s="34"/>
      <c r="T601" s="34"/>
      <c r="U601" s="34"/>
      <c r="V601" s="34"/>
      <c r="W601" s="34"/>
      <c r="X601" s="34"/>
      <c r="Y601" s="34"/>
      <c r="Z601" s="34"/>
      <c r="AA601" s="34"/>
    </row>
    <row r="602" spans="1:27" ht="13">
      <c r="A602" s="34"/>
      <c r="B602" s="52"/>
      <c r="C602" s="34"/>
      <c r="D602" s="34"/>
      <c r="E602" s="34"/>
      <c r="F602" s="34"/>
      <c r="G602" s="33"/>
      <c r="H602" s="34"/>
      <c r="I602" s="34"/>
      <c r="J602" s="33"/>
      <c r="K602" s="34"/>
      <c r="L602" s="34"/>
      <c r="M602" s="34"/>
      <c r="N602" s="34"/>
      <c r="O602" s="34"/>
      <c r="P602" s="34"/>
      <c r="Q602" s="34"/>
      <c r="R602" s="34"/>
      <c r="S602" s="34"/>
      <c r="T602" s="34"/>
      <c r="U602" s="34"/>
      <c r="V602" s="34"/>
      <c r="W602" s="34"/>
      <c r="X602" s="34"/>
      <c r="Y602" s="34"/>
      <c r="Z602" s="34"/>
      <c r="AA602" s="34"/>
    </row>
    <row r="603" spans="1:27" ht="13">
      <c r="A603" s="34"/>
      <c r="B603" s="52"/>
      <c r="C603" s="34"/>
      <c r="D603" s="34"/>
      <c r="E603" s="34"/>
      <c r="F603" s="34"/>
      <c r="G603" s="33"/>
      <c r="H603" s="34"/>
      <c r="I603" s="34"/>
      <c r="J603" s="33"/>
      <c r="K603" s="34"/>
      <c r="L603" s="34"/>
      <c r="M603" s="34"/>
      <c r="N603" s="34"/>
      <c r="O603" s="34"/>
      <c r="P603" s="34"/>
      <c r="Q603" s="34"/>
      <c r="R603" s="34"/>
      <c r="S603" s="34"/>
      <c r="T603" s="34"/>
      <c r="U603" s="34"/>
      <c r="V603" s="34"/>
      <c r="W603" s="34"/>
      <c r="X603" s="34"/>
      <c r="Y603" s="34"/>
      <c r="Z603" s="34"/>
      <c r="AA603" s="34"/>
    </row>
    <row r="604" spans="1:27" ht="13">
      <c r="A604" s="34"/>
      <c r="B604" s="52"/>
      <c r="C604" s="34"/>
      <c r="D604" s="34"/>
      <c r="E604" s="34"/>
      <c r="F604" s="34"/>
      <c r="G604" s="33"/>
      <c r="H604" s="34"/>
      <c r="I604" s="34"/>
      <c r="J604" s="33"/>
      <c r="K604" s="34"/>
      <c r="L604" s="34"/>
      <c r="M604" s="34"/>
      <c r="N604" s="34"/>
      <c r="O604" s="34"/>
      <c r="P604" s="34"/>
      <c r="Q604" s="34"/>
      <c r="R604" s="34"/>
      <c r="S604" s="34"/>
      <c r="T604" s="34"/>
      <c r="U604" s="34"/>
      <c r="V604" s="34"/>
      <c r="W604" s="34"/>
      <c r="X604" s="34"/>
      <c r="Y604" s="34"/>
      <c r="Z604" s="34"/>
      <c r="AA604" s="34"/>
    </row>
    <row r="605" spans="1:27" ht="13">
      <c r="A605" s="34"/>
      <c r="B605" s="52"/>
      <c r="C605" s="34"/>
      <c r="D605" s="34"/>
      <c r="E605" s="34"/>
      <c r="F605" s="34"/>
      <c r="G605" s="33"/>
      <c r="H605" s="34"/>
      <c r="I605" s="34"/>
      <c r="J605" s="33"/>
      <c r="K605" s="34"/>
      <c r="L605" s="34"/>
      <c r="M605" s="34"/>
      <c r="N605" s="34"/>
      <c r="O605" s="34"/>
      <c r="P605" s="34"/>
      <c r="Q605" s="34"/>
      <c r="R605" s="34"/>
      <c r="S605" s="34"/>
      <c r="T605" s="34"/>
      <c r="U605" s="34"/>
      <c r="V605" s="34"/>
      <c r="W605" s="34"/>
      <c r="X605" s="34"/>
      <c r="Y605" s="34"/>
      <c r="Z605" s="34"/>
      <c r="AA605" s="34"/>
    </row>
    <row r="606" spans="1:27" ht="13">
      <c r="A606" s="34"/>
      <c r="B606" s="52"/>
      <c r="C606" s="34"/>
      <c r="D606" s="34"/>
      <c r="E606" s="34"/>
      <c r="F606" s="34"/>
      <c r="G606" s="33"/>
      <c r="H606" s="34"/>
      <c r="I606" s="34"/>
      <c r="J606" s="33"/>
      <c r="K606" s="34"/>
      <c r="L606" s="34"/>
      <c r="M606" s="34"/>
      <c r="N606" s="34"/>
      <c r="O606" s="34"/>
      <c r="P606" s="34"/>
      <c r="Q606" s="34"/>
      <c r="R606" s="34"/>
      <c r="S606" s="34"/>
      <c r="T606" s="34"/>
      <c r="U606" s="34"/>
      <c r="V606" s="34"/>
      <c r="W606" s="34"/>
      <c r="X606" s="34"/>
      <c r="Y606" s="34"/>
      <c r="Z606" s="34"/>
      <c r="AA606" s="34"/>
    </row>
    <row r="607" spans="1:27" ht="13">
      <c r="A607" s="34"/>
      <c r="B607" s="52"/>
      <c r="C607" s="34"/>
      <c r="D607" s="34"/>
      <c r="E607" s="34"/>
      <c r="F607" s="34"/>
      <c r="G607" s="33"/>
      <c r="H607" s="34"/>
      <c r="I607" s="34"/>
      <c r="J607" s="33"/>
      <c r="K607" s="34"/>
      <c r="L607" s="34"/>
      <c r="M607" s="34"/>
      <c r="N607" s="34"/>
      <c r="O607" s="34"/>
      <c r="P607" s="34"/>
      <c r="Q607" s="34"/>
      <c r="R607" s="34"/>
      <c r="S607" s="34"/>
      <c r="T607" s="34"/>
      <c r="U607" s="34"/>
      <c r="V607" s="34"/>
      <c r="W607" s="34"/>
      <c r="X607" s="34"/>
      <c r="Y607" s="34"/>
      <c r="Z607" s="34"/>
      <c r="AA607" s="34"/>
    </row>
    <row r="608" spans="1:27" ht="13">
      <c r="A608" s="34"/>
      <c r="B608" s="52"/>
      <c r="C608" s="34"/>
      <c r="D608" s="34"/>
      <c r="E608" s="34"/>
      <c r="F608" s="34"/>
      <c r="G608" s="33"/>
      <c r="H608" s="34"/>
      <c r="I608" s="34"/>
      <c r="J608" s="33"/>
      <c r="K608" s="34"/>
      <c r="L608" s="34"/>
      <c r="M608" s="34"/>
      <c r="N608" s="34"/>
      <c r="O608" s="34"/>
      <c r="P608" s="34"/>
      <c r="Q608" s="34"/>
      <c r="R608" s="34"/>
      <c r="S608" s="34"/>
      <c r="T608" s="34"/>
      <c r="U608" s="34"/>
      <c r="V608" s="34"/>
      <c r="W608" s="34"/>
      <c r="X608" s="34"/>
      <c r="Y608" s="34"/>
      <c r="Z608" s="34"/>
      <c r="AA608" s="34"/>
    </row>
    <row r="609" spans="1:27" ht="13">
      <c r="A609" s="34"/>
      <c r="B609" s="52"/>
      <c r="C609" s="34"/>
      <c r="D609" s="34"/>
      <c r="E609" s="34"/>
      <c r="F609" s="34"/>
      <c r="G609" s="33"/>
      <c r="H609" s="34"/>
      <c r="I609" s="34"/>
      <c r="J609" s="33"/>
      <c r="K609" s="34"/>
      <c r="L609" s="34"/>
      <c r="M609" s="34"/>
      <c r="N609" s="34"/>
      <c r="O609" s="34"/>
      <c r="P609" s="34"/>
      <c r="Q609" s="34"/>
      <c r="R609" s="34"/>
      <c r="S609" s="34"/>
      <c r="T609" s="34"/>
      <c r="U609" s="34"/>
      <c r="V609" s="34"/>
      <c r="W609" s="34"/>
      <c r="X609" s="34"/>
      <c r="Y609" s="34"/>
      <c r="Z609" s="34"/>
      <c r="AA609" s="34"/>
    </row>
    <row r="610" spans="1:27" ht="13">
      <c r="A610" s="34"/>
      <c r="B610" s="52"/>
      <c r="C610" s="34"/>
      <c r="D610" s="34"/>
      <c r="E610" s="34"/>
      <c r="F610" s="34"/>
      <c r="G610" s="33"/>
      <c r="H610" s="34"/>
      <c r="I610" s="34"/>
      <c r="J610" s="33"/>
      <c r="K610" s="34"/>
      <c r="L610" s="34"/>
      <c r="M610" s="34"/>
      <c r="N610" s="34"/>
      <c r="O610" s="34"/>
      <c r="P610" s="34"/>
      <c r="Q610" s="34"/>
      <c r="R610" s="34"/>
      <c r="S610" s="34"/>
      <c r="T610" s="34"/>
      <c r="U610" s="34"/>
      <c r="V610" s="34"/>
      <c r="W610" s="34"/>
      <c r="X610" s="34"/>
      <c r="Y610" s="34"/>
      <c r="Z610" s="34"/>
      <c r="AA610" s="34"/>
    </row>
    <row r="611" spans="1:27" ht="13">
      <c r="A611" s="34"/>
      <c r="B611" s="52"/>
      <c r="C611" s="34"/>
      <c r="D611" s="34"/>
      <c r="E611" s="34"/>
      <c r="F611" s="34"/>
      <c r="G611" s="33"/>
      <c r="H611" s="34"/>
      <c r="I611" s="34"/>
      <c r="J611" s="33"/>
      <c r="K611" s="34"/>
      <c r="L611" s="34"/>
      <c r="M611" s="34"/>
      <c r="N611" s="34"/>
      <c r="O611" s="34"/>
      <c r="P611" s="34"/>
      <c r="Q611" s="34"/>
      <c r="R611" s="34"/>
      <c r="S611" s="34"/>
      <c r="T611" s="34"/>
      <c r="U611" s="34"/>
      <c r="V611" s="34"/>
      <c r="W611" s="34"/>
      <c r="X611" s="34"/>
      <c r="Y611" s="34"/>
      <c r="Z611" s="34"/>
      <c r="AA611" s="34"/>
    </row>
    <row r="612" spans="1:27" ht="13">
      <c r="A612" s="34"/>
      <c r="B612" s="52"/>
      <c r="C612" s="34"/>
      <c r="D612" s="34"/>
      <c r="E612" s="34"/>
      <c r="F612" s="34"/>
      <c r="G612" s="33"/>
      <c r="H612" s="34"/>
      <c r="I612" s="34"/>
      <c r="J612" s="33"/>
      <c r="K612" s="34"/>
      <c r="L612" s="34"/>
      <c r="M612" s="34"/>
      <c r="N612" s="34"/>
      <c r="O612" s="34"/>
      <c r="P612" s="34"/>
      <c r="Q612" s="34"/>
      <c r="R612" s="34"/>
      <c r="S612" s="34"/>
      <c r="T612" s="34"/>
      <c r="U612" s="34"/>
      <c r="V612" s="34"/>
      <c r="W612" s="34"/>
      <c r="X612" s="34"/>
      <c r="Y612" s="34"/>
      <c r="Z612" s="34"/>
      <c r="AA612" s="34"/>
    </row>
    <row r="613" spans="1:27" ht="13">
      <c r="A613" s="34"/>
      <c r="B613" s="52"/>
      <c r="C613" s="34"/>
      <c r="D613" s="34"/>
      <c r="E613" s="34"/>
      <c r="F613" s="34"/>
      <c r="G613" s="33"/>
      <c r="H613" s="34"/>
      <c r="I613" s="34"/>
      <c r="J613" s="33"/>
      <c r="K613" s="34"/>
      <c r="L613" s="34"/>
      <c r="M613" s="34"/>
      <c r="N613" s="34"/>
      <c r="O613" s="34"/>
      <c r="P613" s="34"/>
      <c r="Q613" s="34"/>
      <c r="R613" s="34"/>
      <c r="S613" s="34"/>
      <c r="T613" s="34"/>
      <c r="U613" s="34"/>
      <c r="V613" s="34"/>
      <c r="W613" s="34"/>
      <c r="X613" s="34"/>
      <c r="Y613" s="34"/>
      <c r="Z613" s="34"/>
      <c r="AA613" s="34"/>
    </row>
    <row r="614" spans="1:27" ht="13">
      <c r="A614" s="34"/>
      <c r="B614" s="52"/>
      <c r="C614" s="34"/>
      <c r="D614" s="34"/>
      <c r="E614" s="34"/>
      <c r="F614" s="34"/>
      <c r="G614" s="33"/>
      <c r="H614" s="34"/>
      <c r="I614" s="34"/>
      <c r="J614" s="33"/>
      <c r="K614" s="34"/>
      <c r="L614" s="34"/>
      <c r="M614" s="34"/>
      <c r="N614" s="34"/>
      <c r="O614" s="34"/>
      <c r="P614" s="34"/>
      <c r="Q614" s="34"/>
      <c r="R614" s="34"/>
      <c r="S614" s="34"/>
      <c r="T614" s="34"/>
      <c r="U614" s="34"/>
      <c r="V614" s="34"/>
      <c r="W614" s="34"/>
      <c r="X614" s="34"/>
      <c r="Y614" s="34"/>
      <c r="Z614" s="34"/>
      <c r="AA614" s="34"/>
    </row>
    <row r="615" spans="1:27" ht="13">
      <c r="A615" s="34"/>
      <c r="B615" s="52"/>
      <c r="C615" s="34"/>
      <c r="D615" s="34"/>
      <c r="E615" s="34"/>
      <c r="F615" s="34"/>
      <c r="G615" s="33"/>
      <c r="H615" s="34"/>
      <c r="I615" s="34"/>
      <c r="J615" s="33"/>
      <c r="K615" s="34"/>
      <c r="L615" s="34"/>
      <c r="M615" s="34"/>
      <c r="N615" s="34"/>
      <c r="O615" s="34"/>
      <c r="P615" s="34"/>
      <c r="Q615" s="34"/>
      <c r="R615" s="34"/>
      <c r="S615" s="34"/>
      <c r="T615" s="34"/>
      <c r="U615" s="34"/>
      <c r="V615" s="34"/>
      <c r="W615" s="34"/>
      <c r="X615" s="34"/>
      <c r="Y615" s="34"/>
      <c r="Z615" s="34"/>
      <c r="AA615" s="34"/>
    </row>
    <row r="616" spans="1:27" ht="13">
      <c r="A616" s="34"/>
      <c r="B616" s="52"/>
      <c r="C616" s="34"/>
      <c r="D616" s="34"/>
      <c r="E616" s="34"/>
      <c r="F616" s="34"/>
      <c r="G616" s="33"/>
      <c r="H616" s="34"/>
      <c r="I616" s="34"/>
      <c r="J616" s="33"/>
      <c r="K616" s="34"/>
      <c r="L616" s="34"/>
      <c r="M616" s="34"/>
      <c r="N616" s="34"/>
      <c r="O616" s="34"/>
      <c r="P616" s="34"/>
      <c r="Q616" s="34"/>
      <c r="R616" s="34"/>
      <c r="S616" s="34"/>
      <c r="T616" s="34"/>
      <c r="U616" s="34"/>
      <c r="V616" s="34"/>
      <c r="W616" s="34"/>
      <c r="X616" s="34"/>
      <c r="Y616" s="34"/>
      <c r="Z616" s="34"/>
      <c r="AA616" s="34"/>
    </row>
    <row r="617" spans="1:27" ht="13">
      <c r="A617" s="34"/>
      <c r="B617" s="52"/>
      <c r="C617" s="34"/>
      <c r="D617" s="34"/>
      <c r="E617" s="34"/>
      <c r="F617" s="34"/>
      <c r="G617" s="33"/>
      <c r="H617" s="34"/>
      <c r="I617" s="34"/>
      <c r="J617" s="33"/>
      <c r="K617" s="34"/>
      <c r="L617" s="34"/>
      <c r="M617" s="34"/>
      <c r="N617" s="34"/>
      <c r="O617" s="34"/>
      <c r="P617" s="34"/>
      <c r="Q617" s="34"/>
      <c r="R617" s="34"/>
      <c r="S617" s="34"/>
      <c r="T617" s="34"/>
      <c r="U617" s="34"/>
      <c r="V617" s="34"/>
      <c r="W617" s="34"/>
      <c r="X617" s="34"/>
      <c r="Y617" s="34"/>
      <c r="Z617" s="34"/>
      <c r="AA617" s="34"/>
    </row>
    <row r="618" spans="1:27" ht="13">
      <c r="A618" s="34"/>
      <c r="B618" s="52"/>
      <c r="C618" s="34"/>
      <c r="D618" s="34"/>
      <c r="E618" s="34"/>
      <c r="F618" s="34"/>
      <c r="G618" s="33"/>
      <c r="H618" s="34"/>
      <c r="I618" s="34"/>
      <c r="J618" s="33"/>
      <c r="K618" s="34"/>
      <c r="L618" s="34"/>
      <c r="M618" s="34"/>
      <c r="N618" s="34"/>
      <c r="O618" s="34"/>
      <c r="P618" s="34"/>
      <c r="Q618" s="34"/>
      <c r="R618" s="34"/>
      <c r="S618" s="34"/>
      <c r="T618" s="34"/>
      <c r="U618" s="34"/>
      <c r="V618" s="34"/>
      <c r="W618" s="34"/>
      <c r="X618" s="34"/>
      <c r="Y618" s="34"/>
      <c r="Z618" s="34"/>
      <c r="AA618" s="34"/>
    </row>
    <row r="619" spans="1:27" ht="13">
      <c r="A619" s="34"/>
      <c r="B619" s="52"/>
      <c r="C619" s="34"/>
      <c r="D619" s="34"/>
      <c r="E619" s="34"/>
      <c r="F619" s="34"/>
      <c r="G619" s="33"/>
      <c r="H619" s="34"/>
      <c r="I619" s="34"/>
      <c r="J619" s="33"/>
      <c r="K619" s="34"/>
      <c r="L619" s="34"/>
      <c r="M619" s="34"/>
      <c r="N619" s="34"/>
      <c r="O619" s="34"/>
      <c r="P619" s="34"/>
      <c r="Q619" s="34"/>
      <c r="R619" s="34"/>
      <c r="S619" s="34"/>
      <c r="T619" s="34"/>
      <c r="U619" s="34"/>
      <c r="V619" s="34"/>
      <c r="W619" s="34"/>
      <c r="X619" s="34"/>
      <c r="Y619" s="34"/>
      <c r="Z619" s="34"/>
      <c r="AA619" s="34"/>
    </row>
    <row r="620" spans="1:27" ht="13">
      <c r="A620" s="34"/>
      <c r="B620" s="52"/>
      <c r="C620" s="34"/>
      <c r="D620" s="34"/>
      <c r="E620" s="34"/>
      <c r="F620" s="34"/>
      <c r="G620" s="33"/>
      <c r="H620" s="34"/>
      <c r="I620" s="34"/>
      <c r="J620" s="33"/>
      <c r="K620" s="34"/>
      <c r="L620" s="34"/>
      <c r="M620" s="34"/>
      <c r="N620" s="34"/>
      <c r="O620" s="34"/>
      <c r="P620" s="34"/>
      <c r="Q620" s="34"/>
      <c r="R620" s="34"/>
      <c r="S620" s="34"/>
      <c r="T620" s="34"/>
      <c r="U620" s="34"/>
      <c r="V620" s="34"/>
      <c r="W620" s="34"/>
      <c r="X620" s="34"/>
      <c r="Y620" s="34"/>
      <c r="Z620" s="34"/>
      <c r="AA620" s="34"/>
    </row>
    <row r="621" spans="1:27" ht="13">
      <c r="A621" s="34"/>
      <c r="B621" s="52"/>
      <c r="C621" s="34"/>
      <c r="D621" s="34"/>
      <c r="E621" s="34"/>
      <c r="F621" s="34"/>
      <c r="G621" s="33"/>
      <c r="H621" s="34"/>
      <c r="I621" s="34"/>
      <c r="J621" s="33"/>
      <c r="K621" s="34"/>
      <c r="L621" s="34"/>
      <c r="M621" s="34"/>
      <c r="N621" s="34"/>
      <c r="O621" s="34"/>
      <c r="P621" s="34"/>
      <c r="Q621" s="34"/>
      <c r="R621" s="34"/>
      <c r="S621" s="34"/>
      <c r="T621" s="34"/>
      <c r="U621" s="34"/>
      <c r="V621" s="34"/>
      <c r="W621" s="34"/>
      <c r="X621" s="34"/>
      <c r="Y621" s="34"/>
      <c r="Z621" s="34"/>
      <c r="AA621" s="34"/>
    </row>
    <row r="622" spans="1:27" ht="13">
      <c r="A622" s="34"/>
      <c r="B622" s="52"/>
      <c r="C622" s="34"/>
      <c r="D622" s="34"/>
      <c r="E622" s="34"/>
      <c r="F622" s="34"/>
      <c r="G622" s="33"/>
      <c r="H622" s="34"/>
      <c r="I622" s="34"/>
      <c r="J622" s="33"/>
      <c r="K622" s="34"/>
      <c r="L622" s="34"/>
      <c r="M622" s="34"/>
      <c r="N622" s="34"/>
      <c r="O622" s="34"/>
      <c r="P622" s="34"/>
      <c r="Q622" s="34"/>
      <c r="R622" s="34"/>
      <c r="S622" s="34"/>
      <c r="T622" s="34"/>
      <c r="U622" s="34"/>
      <c r="V622" s="34"/>
      <c r="W622" s="34"/>
      <c r="X622" s="34"/>
      <c r="Y622" s="34"/>
      <c r="Z622" s="34"/>
      <c r="AA622" s="34"/>
    </row>
    <row r="623" spans="1:27" ht="13">
      <c r="A623" s="34"/>
      <c r="B623" s="52"/>
      <c r="C623" s="34"/>
      <c r="D623" s="34"/>
      <c r="E623" s="34"/>
      <c r="F623" s="34"/>
      <c r="G623" s="33"/>
      <c r="H623" s="34"/>
      <c r="I623" s="34"/>
      <c r="J623" s="33"/>
      <c r="K623" s="34"/>
      <c r="L623" s="34"/>
      <c r="M623" s="34"/>
      <c r="N623" s="34"/>
      <c r="O623" s="34"/>
      <c r="P623" s="34"/>
      <c r="Q623" s="34"/>
      <c r="R623" s="34"/>
      <c r="S623" s="34"/>
      <c r="T623" s="34"/>
      <c r="U623" s="34"/>
      <c r="V623" s="34"/>
      <c r="W623" s="34"/>
      <c r="X623" s="34"/>
      <c r="Y623" s="34"/>
      <c r="Z623" s="34"/>
      <c r="AA623" s="34"/>
    </row>
    <row r="624" spans="1:27" ht="13">
      <c r="A624" s="34"/>
      <c r="B624" s="52"/>
      <c r="C624" s="34"/>
      <c r="D624" s="34"/>
      <c r="E624" s="34"/>
      <c r="F624" s="34"/>
      <c r="G624" s="33"/>
      <c r="H624" s="34"/>
      <c r="I624" s="34"/>
      <c r="J624" s="33"/>
      <c r="K624" s="34"/>
      <c r="L624" s="34"/>
      <c r="M624" s="34"/>
      <c r="N624" s="34"/>
      <c r="O624" s="34"/>
      <c r="P624" s="34"/>
      <c r="Q624" s="34"/>
      <c r="R624" s="34"/>
      <c r="S624" s="34"/>
      <c r="T624" s="34"/>
      <c r="U624" s="34"/>
      <c r="V624" s="34"/>
      <c r="W624" s="34"/>
      <c r="X624" s="34"/>
      <c r="Y624" s="34"/>
      <c r="Z624" s="34"/>
      <c r="AA624" s="34"/>
    </row>
    <row r="625" spans="1:27" ht="13">
      <c r="A625" s="34"/>
      <c r="B625" s="52"/>
      <c r="C625" s="34"/>
      <c r="D625" s="34"/>
      <c r="E625" s="34"/>
      <c r="F625" s="34"/>
      <c r="G625" s="33"/>
      <c r="H625" s="34"/>
      <c r="I625" s="34"/>
      <c r="J625" s="33"/>
      <c r="K625" s="34"/>
      <c r="L625" s="34"/>
      <c r="M625" s="34"/>
      <c r="N625" s="34"/>
      <c r="O625" s="34"/>
      <c r="P625" s="34"/>
      <c r="Q625" s="34"/>
      <c r="R625" s="34"/>
      <c r="S625" s="34"/>
      <c r="T625" s="34"/>
      <c r="U625" s="34"/>
      <c r="V625" s="34"/>
      <c r="W625" s="34"/>
      <c r="X625" s="34"/>
      <c r="Y625" s="34"/>
      <c r="Z625" s="34"/>
      <c r="AA625" s="34"/>
    </row>
    <row r="626" spans="1:27" ht="13">
      <c r="A626" s="34"/>
      <c r="B626" s="52"/>
      <c r="C626" s="34"/>
      <c r="D626" s="34"/>
      <c r="E626" s="34"/>
      <c r="F626" s="34"/>
      <c r="G626" s="33"/>
      <c r="H626" s="34"/>
      <c r="I626" s="34"/>
      <c r="J626" s="33"/>
      <c r="K626" s="34"/>
      <c r="L626" s="34"/>
      <c r="M626" s="34"/>
      <c r="N626" s="34"/>
      <c r="O626" s="34"/>
      <c r="P626" s="34"/>
      <c r="Q626" s="34"/>
      <c r="R626" s="34"/>
      <c r="S626" s="34"/>
      <c r="T626" s="34"/>
      <c r="U626" s="34"/>
      <c r="V626" s="34"/>
      <c r="W626" s="34"/>
      <c r="X626" s="34"/>
      <c r="Y626" s="34"/>
      <c r="Z626" s="34"/>
      <c r="AA626" s="34"/>
    </row>
    <row r="627" spans="1:27" ht="13">
      <c r="A627" s="34"/>
      <c r="B627" s="52"/>
      <c r="C627" s="34"/>
      <c r="D627" s="34"/>
      <c r="E627" s="34"/>
      <c r="F627" s="34"/>
      <c r="G627" s="33"/>
      <c r="H627" s="34"/>
      <c r="I627" s="34"/>
      <c r="J627" s="33"/>
      <c r="K627" s="34"/>
      <c r="L627" s="34"/>
      <c r="M627" s="34"/>
      <c r="N627" s="34"/>
      <c r="O627" s="34"/>
      <c r="P627" s="34"/>
      <c r="Q627" s="34"/>
      <c r="R627" s="34"/>
      <c r="S627" s="34"/>
      <c r="T627" s="34"/>
      <c r="U627" s="34"/>
      <c r="V627" s="34"/>
      <c r="W627" s="34"/>
      <c r="X627" s="34"/>
      <c r="Y627" s="34"/>
      <c r="Z627" s="34"/>
      <c r="AA627" s="34"/>
    </row>
    <row r="628" spans="1:27" ht="13">
      <c r="A628" s="34"/>
      <c r="B628" s="52"/>
      <c r="C628" s="34"/>
      <c r="D628" s="34"/>
      <c r="E628" s="34"/>
      <c r="F628" s="34"/>
      <c r="G628" s="33"/>
      <c r="H628" s="34"/>
      <c r="I628" s="34"/>
      <c r="J628" s="33"/>
      <c r="K628" s="34"/>
      <c r="L628" s="34"/>
      <c r="M628" s="34"/>
      <c r="N628" s="34"/>
      <c r="O628" s="34"/>
      <c r="P628" s="34"/>
      <c r="Q628" s="34"/>
      <c r="R628" s="34"/>
      <c r="S628" s="34"/>
      <c r="T628" s="34"/>
      <c r="U628" s="34"/>
      <c r="V628" s="34"/>
      <c r="W628" s="34"/>
      <c r="X628" s="34"/>
      <c r="Y628" s="34"/>
      <c r="Z628" s="34"/>
      <c r="AA628" s="34"/>
    </row>
    <row r="629" spans="1:27" ht="13">
      <c r="A629" s="34"/>
      <c r="B629" s="52"/>
      <c r="C629" s="34"/>
      <c r="D629" s="34"/>
      <c r="E629" s="34"/>
      <c r="F629" s="34"/>
      <c r="G629" s="33"/>
      <c r="H629" s="34"/>
      <c r="I629" s="34"/>
      <c r="J629" s="33"/>
      <c r="K629" s="34"/>
      <c r="L629" s="34"/>
      <c r="M629" s="34"/>
      <c r="N629" s="34"/>
      <c r="O629" s="34"/>
      <c r="P629" s="34"/>
      <c r="Q629" s="34"/>
      <c r="R629" s="34"/>
      <c r="S629" s="34"/>
      <c r="T629" s="34"/>
      <c r="U629" s="34"/>
      <c r="V629" s="34"/>
      <c r="W629" s="34"/>
      <c r="X629" s="34"/>
      <c r="Y629" s="34"/>
      <c r="Z629" s="34"/>
      <c r="AA629" s="34"/>
    </row>
    <row r="630" spans="1:27" ht="13">
      <c r="A630" s="34"/>
      <c r="B630" s="52"/>
      <c r="C630" s="34"/>
      <c r="D630" s="34"/>
      <c r="E630" s="34"/>
      <c r="F630" s="34"/>
      <c r="G630" s="33"/>
      <c r="H630" s="34"/>
      <c r="I630" s="34"/>
      <c r="J630" s="33"/>
      <c r="K630" s="34"/>
      <c r="L630" s="34"/>
      <c r="M630" s="34"/>
      <c r="N630" s="34"/>
      <c r="O630" s="34"/>
      <c r="P630" s="34"/>
      <c r="Q630" s="34"/>
      <c r="R630" s="34"/>
      <c r="S630" s="34"/>
      <c r="T630" s="34"/>
      <c r="U630" s="34"/>
      <c r="V630" s="34"/>
      <c r="W630" s="34"/>
      <c r="X630" s="34"/>
      <c r="Y630" s="34"/>
      <c r="Z630" s="34"/>
      <c r="AA630" s="34"/>
    </row>
    <row r="631" spans="1:27" ht="13">
      <c r="A631" s="34"/>
      <c r="B631" s="52"/>
      <c r="C631" s="34"/>
      <c r="D631" s="34"/>
      <c r="E631" s="34"/>
      <c r="F631" s="34"/>
      <c r="G631" s="33"/>
      <c r="H631" s="34"/>
      <c r="I631" s="34"/>
      <c r="J631" s="33"/>
      <c r="K631" s="34"/>
      <c r="L631" s="34"/>
      <c r="M631" s="34"/>
      <c r="N631" s="34"/>
      <c r="O631" s="34"/>
      <c r="P631" s="34"/>
      <c r="Q631" s="34"/>
      <c r="R631" s="34"/>
      <c r="S631" s="34"/>
      <c r="T631" s="34"/>
      <c r="U631" s="34"/>
      <c r="V631" s="34"/>
      <c r="W631" s="34"/>
      <c r="X631" s="34"/>
      <c r="Y631" s="34"/>
      <c r="Z631" s="34"/>
      <c r="AA631" s="34"/>
    </row>
    <row r="632" spans="1:27" ht="13">
      <c r="A632" s="34"/>
      <c r="B632" s="52"/>
      <c r="C632" s="34"/>
      <c r="D632" s="34"/>
      <c r="E632" s="34"/>
      <c r="F632" s="34"/>
      <c r="G632" s="33"/>
      <c r="H632" s="34"/>
      <c r="I632" s="34"/>
      <c r="J632" s="33"/>
      <c r="K632" s="34"/>
      <c r="L632" s="34"/>
      <c r="M632" s="34"/>
      <c r="N632" s="34"/>
      <c r="O632" s="34"/>
      <c r="P632" s="34"/>
      <c r="Q632" s="34"/>
      <c r="R632" s="34"/>
      <c r="S632" s="34"/>
      <c r="T632" s="34"/>
      <c r="U632" s="34"/>
      <c r="V632" s="34"/>
      <c r="W632" s="34"/>
      <c r="X632" s="34"/>
      <c r="Y632" s="34"/>
      <c r="Z632" s="34"/>
      <c r="AA632" s="34"/>
    </row>
    <row r="633" spans="1:27" ht="13">
      <c r="A633" s="34"/>
      <c r="B633" s="52"/>
      <c r="C633" s="34"/>
      <c r="D633" s="34"/>
      <c r="E633" s="34"/>
      <c r="F633" s="34"/>
      <c r="G633" s="33"/>
      <c r="H633" s="34"/>
      <c r="I633" s="34"/>
      <c r="J633" s="33"/>
      <c r="K633" s="34"/>
      <c r="L633" s="34"/>
      <c r="M633" s="34"/>
      <c r="N633" s="34"/>
      <c r="O633" s="34"/>
      <c r="P633" s="34"/>
      <c r="Q633" s="34"/>
      <c r="R633" s="34"/>
      <c r="S633" s="34"/>
      <c r="T633" s="34"/>
      <c r="U633" s="34"/>
      <c r="V633" s="34"/>
      <c r="W633" s="34"/>
      <c r="X633" s="34"/>
      <c r="Y633" s="34"/>
      <c r="Z633" s="34"/>
      <c r="AA633" s="34"/>
    </row>
    <row r="634" spans="1:27" ht="13">
      <c r="A634" s="34"/>
      <c r="B634" s="52"/>
      <c r="C634" s="34"/>
      <c r="D634" s="34"/>
      <c r="E634" s="34"/>
      <c r="F634" s="34"/>
      <c r="G634" s="33"/>
      <c r="H634" s="34"/>
      <c r="I634" s="34"/>
      <c r="J634" s="33"/>
      <c r="K634" s="34"/>
      <c r="L634" s="34"/>
      <c r="M634" s="34"/>
      <c r="N634" s="34"/>
      <c r="O634" s="34"/>
      <c r="P634" s="34"/>
      <c r="Q634" s="34"/>
      <c r="R634" s="34"/>
      <c r="S634" s="34"/>
      <c r="T634" s="34"/>
      <c r="U634" s="34"/>
      <c r="V634" s="34"/>
      <c r="W634" s="34"/>
      <c r="X634" s="34"/>
      <c r="Y634" s="34"/>
      <c r="Z634" s="34"/>
      <c r="AA634" s="34"/>
    </row>
    <row r="635" spans="1:27" ht="13">
      <c r="A635" s="34"/>
      <c r="B635" s="52"/>
      <c r="C635" s="34"/>
      <c r="D635" s="34"/>
      <c r="E635" s="34"/>
      <c r="F635" s="34"/>
      <c r="G635" s="33"/>
      <c r="H635" s="34"/>
      <c r="I635" s="34"/>
      <c r="J635" s="33"/>
      <c r="K635" s="34"/>
      <c r="L635" s="34"/>
      <c r="M635" s="34"/>
      <c r="N635" s="34"/>
      <c r="O635" s="34"/>
      <c r="P635" s="34"/>
      <c r="Q635" s="34"/>
      <c r="R635" s="34"/>
      <c r="S635" s="34"/>
      <c r="T635" s="34"/>
      <c r="U635" s="34"/>
      <c r="V635" s="34"/>
      <c r="W635" s="34"/>
      <c r="X635" s="34"/>
      <c r="Y635" s="34"/>
      <c r="Z635" s="34"/>
      <c r="AA635" s="34"/>
    </row>
    <row r="636" spans="1:27" ht="13">
      <c r="A636" s="34"/>
      <c r="B636" s="52"/>
      <c r="C636" s="34"/>
      <c r="D636" s="34"/>
      <c r="E636" s="34"/>
      <c r="F636" s="34"/>
      <c r="G636" s="33"/>
      <c r="H636" s="34"/>
      <c r="I636" s="34"/>
      <c r="J636" s="33"/>
      <c r="K636" s="34"/>
      <c r="L636" s="34"/>
      <c r="M636" s="34"/>
      <c r="N636" s="34"/>
      <c r="O636" s="34"/>
      <c r="P636" s="34"/>
      <c r="Q636" s="34"/>
      <c r="R636" s="34"/>
      <c r="S636" s="34"/>
      <c r="T636" s="34"/>
      <c r="U636" s="34"/>
      <c r="V636" s="34"/>
      <c r="W636" s="34"/>
      <c r="X636" s="34"/>
      <c r="Y636" s="34"/>
      <c r="Z636" s="34"/>
      <c r="AA636" s="34"/>
    </row>
    <row r="637" spans="1:27" ht="13">
      <c r="A637" s="34"/>
      <c r="B637" s="52"/>
      <c r="C637" s="34"/>
      <c r="D637" s="34"/>
      <c r="E637" s="34"/>
      <c r="F637" s="34"/>
      <c r="G637" s="33"/>
      <c r="H637" s="34"/>
      <c r="I637" s="34"/>
      <c r="J637" s="33"/>
      <c r="K637" s="34"/>
      <c r="L637" s="34"/>
      <c r="M637" s="34"/>
      <c r="N637" s="34"/>
      <c r="O637" s="34"/>
      <c r="P637" s="34"/>
      <c r="Q637" s="34"/>
      <c r="R637" s="34"/>
      <c r="S637" s="34"/>
      <c r="T637" s="34"/>
      <c r="U637" s="34"/>
      <c r="V637" s="34"/>
      <c r="W637" s="34"/>
      <c r="X637" s="34"/>
      <c r="Y637" s="34"/>
      <c r="Z637" s="34"/>
      <c r="AA637" s="34"/>
    </row>
    <row r="638" spans="1:27" ht="13">
      <c r="A638" s="34"/>
      <c r="B638" s="52"/>
      <c r="C638" s="34"/>
      <c r="D638" s="34"/>
      <c r="E638" s="34"/>
      <c r="F638" s="34"/>
      <c r="G638" s="33"/>
      <c r="H638" s="34"/>
      <c r="I638" s="34"/>
      <c r="J638" s="33"/>
      <c r="K638" s="34"/>
      <c r="L638" s="34"/>
      <c r="M638" s="34"/>
      <c r="N638" s="34"/>
      <c r="O638" s="34"/>
      <c r="P638" s="34"/>
      <c r="Q638" s="34"/>
      <c r="R638" s="34"/>
      <c r="S638" s="34"/>
      <c r="T638" s="34"/>
      <c r="U638" s="34"/>
      <c r="V638" s="34"/>
      <c r="W638" s="34"/>
      <c r="X638" s="34"/>
      <c r="Y638" s="34"/>
      <c r="Z638" s="34"/>
      <c r="AA638" s="34"/>
    </row>
    <row r="639" spans="1:27" ht="13">
      <c r="A639" s="34"/>
      <c r="B639" s="52"/>
      <c r="C639" s="34"/>
      <c r="D639" s="34"/>
      <c r="E639" s="34"/>
      <c r="F639" s="34"/>
      <c r="G639" s="33"/>
      <c r="H639" s="34"/>
      <c r="I639" s="34"/>
      <c r="J639" s="33"/>
      <c r="K639" s="34"/>
      <c r="L639" s="34"/>
      <c r="M639" s="34"/>
      <c r="N639" s="34"/>
      <c r="O639" s="34"/>
      <c r="P639" s="34"/>
      <c r="Q639" s="34"/>
      <c r="R639" s="34"/>
      <c r="S639" s="34"/>
      <c r="T639" s="34"/>
      <c r="U639" s="34"/>
      <c r="V639" s="34"/>
      <c r="W639" s="34"/>
      <c r="X639" s="34"/>
      <c r="Y639" s="34"/>
      <c r="Z639" s="34"/>
      <c r="AA639" s="34"/>
    </row>
    <row r="640" spans="1:27" ht="13">
      <c r="A640" s="34"/>
      <c r="B640" s="52"/>
      <c r="C640" s="34"/>
      <c r="D640" s="34"/>
      <c r="E640" s="34"/>
      <c r="F640" s="34"/>
      <c r="G640" s="33"/>
      <c r="H640" s="34"/>
      <c r="I640" s="34"/>
      <c r="J640" s="33"/>
      <c r="K640" s="34"/>
      <c r="L640" s="34"/>
      <c r="M640" s="34"/>
      <c r="N640" s="34"/>
      <c r="O640" s="34"/>
      <c r="P640" s="34"/>
      <c r="Q640" s="34"/>
      <c r="R640" s="34"/>
      <c r="S640" s="34"/>
      <c r="T640" s="34"/>
      <c r="U640" s="34"/>
      <c r="V640" s="34"/>
      <c r="W640" s="34"/>
      <c r="X640" s="34"/>
      <c r="Y640" s="34"/>
      <c r="Z640" s="34"/>
      <c r="AA640" s="34"/>
    </row>
    <row r="641" spans="1:27" ht="13">
      <c r="A641" s="34"/>
      <c r="B641" s="52"/>
      <c r="C641" s="34"/>
      <c r="D641" s="34"/>
      <c r="E641" s="34"/>
      <c r="F641" s="34"/>
      <c r="G641" s="33"/>
      <c r="H641" s="34"/>
      <c r="I641" s="34"/>
      <c r="J641" s="33"/>
      <c r="K641" s="34"/>
      <c r="L641" s="34"/>
      <c r="M641" s="34"/>
      <c r="N641" s="34"/>
      <c r="O641" s="34"/>
      <c r="P641" s="34"/>
      <c r="Q641" s="34"/>
      <c r="R641" s="34"/>
      <c r="S641" s="34"/>
      <c r="T641" s="34"/>
      <c r="U641" s="34"/>
      <c r="V641" s="34"/>
      <c r="W641" s="34"/>
      <c r="X641" s="34"/>
      <c r="Y641" s="34"/>
      <c r="Z641" s="34"/>
      <c r="AA641" s="34"/>
    </row>
    <row r="642" spans="1:27" ht="13">
      <c r="A642" s="34"/>
      <c r="B642" s="52"/>
      <c r="C642" s="34"/>
      <c r="D642" s="34"/>
      <c r="E642" s="34"/>
      <c r="F642" s="34"/>
      <c r="G642" s="33"/>
      <c r="H642" s="34"/>
      <c r="I642" s="34"/>
      <c r="J642" s="33"/>
      <c r="K642" s="34"/>
      <c r="L642" s="34"/>
      <c r="M642" s="34"/>
      <c r="N642" s="34"/>
      <c r="O642" s="34"/>
      <c r="P642" s="34"/>
      <c r="Q642" s="34"/>
      <c r="R642" s="34"/>
      <c r="S642" s="34"/>
      <c r="T642" s="34"/>
      <c r="U642" s="34"/>
      <c r="V642" s="34"/>
      <c r="W642" s="34"/>
      <c r="X642" s="34"/>
      <c r="Y642" s="34"/>
      <c r="Z642" s="34"/>
      <c r="AA642" s="34"/>
    </row>
    <row r="643" spans="1:27" ht="13">
      <c r="A643" s="34"/>
      <c r="B643" s="52"/>
      <c r="C643" s="34"/>
      <c r="D643" s="34"/>
      <c r="E643" s="34"/>
      <c r="F643" s="34"/>
      <c r="G643" s="33"/>
      <c r="H643" s="34"/>
      <c r="I643" s="34"/>
      <c r="J643" s="33"/>
      <c r="K643" s="34"/>
      <c r="L643" s="34"/>
      <c r="M643" s="34"/>
      <c r="N643" s="34"/>
      <c r="O643" s="34"/>
      <c r="P643" s="34"/>
      <c r="Q643" s="34"/>
      <c r="R643" s="34"/>
      <c r="S643" s="34"/>
      <c r="T643" s="34"/>
      <c r="U643" s="34"/>
      <c r="V643" s="34"/>
      <c r="W643" s="34"/>
      <c r="X643" s="34"/>
      <c r="Y643" s="34"/>
      <c r="Z643" s="34"/>
      <c r="AA643" s="34"/>
    </row>
    <row r="644" spans="1:27" ht="13">
      <c r="A644" s="34"/>
      <c r="B644" s="52"/>
      <c r="C644" s="34"/>
      <c r="D644" s="34"/>
      <c r="E644" s="34"/>
      <c r="F644" s="34"/>
      <c r="G644" s="33"/>
      <c r="H644" s="34"/>
      <c r="I644" s="34"/>
      <c r="J644" s="33"/>
      <c r="K644" s="34"/>
      <c r="L644" s="34"/>
      <c r="M644" s="34"/>
      <c r="N644" s="34"/>
      <c r="O644" s="34"/>
      <c r="P644" s="34"/>
      <c r="Q644" s="34"/>
      <c r="R644" s="34"/>
      <c r="S644" s="34"/>
      <c r="T644" s="34"/>
      <c r="U644" s="34"/>
      <c r="V644" s="34"/>
      <c r="W644" s="34"/>
      <c r="X644" s="34"/>
      <c r="Y644" s="34"/>
      <c r="Z644" s="34"/>
      <c r="AA644" s="34"/>
    </row>
    <row r="645" spans="1:27" ht="13">
      <c r="A645" s="34"/>
      <c r="B645" s="52"/>
      <c r="C645" s="34"/>
      <c r="D645" s="34"/>
      <c r="E645" s="34"/>
      <c r="F645" s="34"/>
      <c r="G645" s="33"/>
      <c r="H645" s="34"/>
      <c r="I645" s="34"/>
      <c r="J645" s="33"/>
      <c r="K645" s="34"/>
      <c r="L645" s="34"/>
      <c r="M645" s="34"/>
      <c r="N645" s="34"/>
      <c r="O645" s="34"/>
      <c r="P645" s="34"/>
      <c r="Q645" s="34"/>
      <c r="R645" s="34"/>
      <c r="S645" s="34"/>
      <c r="T645" s="34"/>
      <c r="U645" s="34"/>
      <c r="V645" s="34"/>
      <c r="W645" s="34"/>
      <c r="X645" s="34"/>
      <c r="Y645" s="34"/>
      <c r="Z645" s="34"/>
      <c r="AA645" s="34"/>
    </row>
    <row r="646" spans="1:27" ht="13">
      <c r="A646" s="34"/>
      <c r="B646" s="52"/>
      <c r="C646" s="34"/>
      <c r="D646" s="34"/>
      <c r="E646" s="34"/>
      <c r="F646" s="34"/>
      <c r="G646" s="33"/>
      <c r="H646" s="34"/>
      <c r="I646" s="34"/>
      <c r="J646" s="33"/>
      <c r="K646" s="34"/>
      <c r="L646" s="34"/>
      <c r="M646" s="34"/>
      <c r="N646" s="34"/>
      <c r="O646" s="34"/>
      <c r="P646" s="34"/>
      <c r="Q646" s="34"/>
      <c r="R646" s="34"/>
      <c r="S646" s="34"/>
      <c r="T646" s="34"/>
      <c r="U646" s="34"/>
      <c r="V646" s="34"/>
      <c r="W646" s="34"/>
      <c r="X646" s="34"/>
      <c r="Y646" s="34"/>
      <c r="Z646" s="34"/>
      <c r="AA646" s="34"/>
    </row>
    <row r="647" spans="1:27" ht="13">
      <c r="A647" s="34"/>
      <c r="B647" s="52"/>
      <c r="C647" s="34"/>
      <c r="D647" s="34"/>
      <c r="E647" s="34"/>
      <c r="F647" s="34"/>
      <c r="G647" s="33"/>
      <c r="H647" s="34"/>
      <c r="I647" s="34"/>
      <c r="J647" s="33"/>
      <c r="K647" s="34"/>
      <c r="L647" s="34"/>
      <c r="M647" s="34"/>
      <c r="N647" s="34"/>
      <c r="O647" s="34"/>
      <c r="P647" s="34"/>
      <c r="Q647" s="34"/>
      <c r="R647" s="34"/>
      <c r="S647" s="34"/>
      <c r="T647" s="34"/>
      <c r="U647" s="34"/>
      <c r="V647" s="34"/>
      <c r="W647" s="34"/>
      <c r="X647" s="34"/>
      <c r="Y647" s="34"/>
      <c r="Z647" s="34"/>
      <c r="AA647" s="34"/>
    </row>
    <row r="648" spans="1:27" ht="13">
      <c r="A648" s="34"/>
      <c r="B648" s="52"/>
      <c r="C648" s="34"/>
      <c r="D648" s="34"/>
      <c r="E648" s="34"/>
      <c r="F648" s="34"/>
      <c r="G648" s="33"/>
      <c r="H648" s="34"/>
      <c r="I648" s="34"/>
      <c r="J648" s="33"/>
      <c r="K648" s="34"/>
      <c r="L648" s="34"/>
      <c r="M648" s="34"/>
      <c r="N648" s="34"/>
      <c r="O648" s="34"/>
      <c r="P648" s="34"/>
      <c r="Q648" s="34"/>
      <c r="R648" s="34"/>
      <c r="S648" s="34"/>
      <c r="T648" s="34"/>
      <c r="U648" s="34"/>
      <c r="V648" s="34"/>
      <c r="W648" s="34"/>
      <c r="X648" s="34"/>
      <c r="Y648" s="34"/>
      <c r="Z648" s="34"/>
      <c r="AA648" s="34"/>
    </row>
    <row r="649" spans="1:27" ht="13">
      <c r="A649" s="34"/>
      <c r="B649" s="52"/>
      <c r="C649" s="34"/>
      <c r="D649" s="34"/>
      <c r="E649" s="34"/>
      <c r="F649" s="34"/>
      <c r="G649" s="33"/>
      <c r="H649" s="34"/>
      <c r="I649" s="34"/>
      <c r="J649" s="33"/>
      <c r="K649" s="34"/>
      <c r="L649" s="34"/>
      <c r="M649" s="34"/>
      <c r="N649" s="34"/>
      <c r="O649" s="34"/>
      <c r="P649" s="34"/>
      <c r="Q649" s="34"/>
      <c r="R649" s="34"/>
      <c r="S649" s="34"/>
      <c r="T649" s="34"/>
      <c r="U649" s="34"/>
      <c r="V649" s="34"/>
      <c r="W649" s="34"/>
      <c r="X649" s="34"/>
      <c r="Y649" s="34"/>
      <c r="Z649" s="34"/>
      <c r="AA649" s="34"/>
    </row>
    <row r="650" spans="1:27" ht="13">
      <c r="A650" s="34"/>
      <c r="B650" s="52"/>
      <c r="C650" s="34"/>
      <c r="D650" s="34"/>
      <c r="E650" s="34"/>
      <c r="F650" s="34"/>
      <c r="G650" s="33"/>
      <c r="H650" s="34"/>
      <c r="I650" s="34"/>
      <c r="J650" s="33"/>
      <c r="K650" s="34"/>
      <c r="L650" s="34"/>
      <c r="M650" s="34"/>
      <c r="N650" s="34"/>
      <c r="O650" s="34"/>
      <c r="P650" s="34"/>
      <c r="Q650" s="34"/>
      <c r="R650" s="34"/>
      <c r="S650" s="34"/>
      <c r="T650" s="34"/>
      <c r="U650" s="34"/>
      <c r="V650" s="34"/>
      <c r="W650" s="34"/>
      <c r="X650" s="34"/>
      <c r="Y650" s="34"/>
      <c r="Z650" s="34"/>
      <c r="AA650" s="34"/>
    </row>
    <row r="651" spans="1:27" ht="13">
      <c r="A651" s="34"/>
      <c r="B651" s="52"/>
      <c r="C651" s="34"/>
      <c r="D651" s="34"/>
      <c r="E651" s="34"/>
      <c r="F651" s="34"/>
      <c r="G651" s="33"/>
      <c r="H651" s="34"/>
      <c r="I651" s="34"/>
      <c r="J651" s="33"/>
      <c r="K651" s="34"/>
      <c r="L651" s="34"/>
      <c r="M651" s="34"/>
      <c r="N651" s="34"/>
      <c r="O651" s="34"/>
      <c r="P651" s="34"/>
      <c r="Q651" s="34"/>
      <c r="R651" s="34"/>
      <c r="S651" s="34"/>
      <c r="T651" s="34"/>
      <c r="U651" s="34"/>
      <c r="V651" s="34"/>
      <c r="W651" s="34"/>
      <c r="X651" s="34"/>
      <c r="Y651" s="34"/>
      <c r="Z651" s="34"/>
      <c r="AA651" s="34"/>
    </row>
    <row r="652" spans="1:27" ht="13">
      <c r="A652" s="34"/>
      <c r="B652" s="52"/>
      <c r="C652" s="34"/>
      <c r="D652" s="34"/>
      <c r="E652" s="34"/>
      <c r="F652" s="34"/>
      <c r="G652" s="33"/>
      <c r="H652" s="34"/>
      <c r="I652" s="34"/>
      <c r="J652" s="33"/>
      <c r="K652" s="34"/>
      <c r="L652" s="34"/>
      <c r="M652" s="34"/>
      <c r="N652" s="34"/>
      <c r="O652" s="34"/>
      <c r="P652" s="34"/>
      <c r="Q652" s="34"/>
      <c r="R652" s="34"/>
      <c r="S652" s="34"/>
      <c r="T652" s="34"/>
      <c r="U652" s="34"/>
      <c r="V652" s="34"/>
      <c r="W652" s="34"/>
      <c r="X652" s="34"/>
      <c r="Y652" s="34"/>
      <c r="Z652" s="34"/>
      <c r="AA652" s="34"/>
    </row>
    <row r="653" spans="1:27" ht="13">
      <c r="A653" s="34"/>
      <c r="B653" s="52"/>
      <c r="C653" s="34"/>
      <c r="D653" s="34"/>
      <c r="E653" s="34"/>
      <c r="F653" s="34"/>
      <c r="G653" s="33"/>
      <c r="H653" s="34"/>
      <c r="I653" s="34"/>
      <c r="J653" s="33"/>
      <c r="K653" s="34"/>
      <c r="L653" s="34"/>
      <c r="M653" s="34"/>
      <c r="N653" s="34"/>
      <c r="O653" s="34"/>
      <c r="P653" s="34"/>
      <c r="Q653" s="34"/>
      <c r="R653" s="34"/>
      <c r="S653" s="34"/>
      <c r="T653" s="34"/>
      <c r="U653" s="34"/>
      <c r="V653" s="34"/>
      <c r="W653" s="34"/>
      <c r="X653" s="34"/>
      <c r="Y653" s="34"/>
      <c r="Z653" s="34"/>
      <c r="AA653" s="34"/>
    </row>
    <row r="654" spans="1:27" ht="13">
      <c r="A654" s="34"/>
      <c r="B654" s="52"/>
      <c r="C654" s="34"/>
      <c r="D654" s="34"/>
      <c r="E654" s="34"/>
      <c r="F654" s="34"/>
      <c r="G654" s="33"/>
      <c r="H654" s="34"/>
      <c r="I654" s="34"/>
      <c r="J654" s="33"/>
      <c r="K654" s="34"/>
      <c r="L654" s="34"/>
      <c r="M654" s="34"/>
      <c r="N654" s="34"/>
      <c r="O654" s="34"/>
      <c r="P654" s="34"/>
      <c r="Q654" s="34"/>
      <c r="R654" s="34"/>
      <c r="S654" s="34"/>
      <c r="T654" s="34"/>
      <c r="U654" s="34"/>
      <c r="V654" s="34"/>
      <c r="W654" s="34"/>
      <c r="X654" s="34"/>
      <c r="Y654" s="34"/>
      <c r="Z654" s="34"/>
      <c r="AA654" s="34"/>
    </row>
    <row r="655" spans="1:27" ht="13">
      <c r="A655" s="34"/>
      <c r="B655" s="52"/>
      <c r="C655" s="34"/>
      <c r="D655" s="34"/>
      <c r="E655" s="34"/>
      <c r="F655" s="34"/>
      <c r="G655" s="33"/>
      <c r="H655" s="34"/>
      <c r="I655" s="34"/>
      <c r="J655" s="33"/>
      <c r="K655" s="34"/>
      <c r="L655" s="34"/>
      <c r="M655" s="34"/>
      <c r="N655" s="34"/>
      <c r="O655" s="34"/>
      <c r="P655" s="34"/>
      <c r="Q655" s="34"/>
      <c r="R655" s="34"/>
      <c r="S655" s="34"/>
      <c r="T655" s="34"/>
      <c r="U655" s="34"/>
      <c r="V655" s="34"/>
      <c r="W655" s="34"/>
      <c r="X655" s="34"/>
      <c r="Y655" s="34"/>
      <c r="Z655" s="34"/>
      <c r="AA655" s="34"/>
    </row>
    <row r="656" spans="1:27" ht="13">
      <c r="A656" s="34"/>
      <c r="B656" s="52"/>
      <c r="C656" s="34"/>
      <c r="D656" s="34"/>
      <c r="E656" s="34"/>
      <c r="F656" s="34"/>
      <c r="G656" s="33"/>
      <c r="H656" s="34"/>
      <c r="I656" s="34"/>
      <c r="J656" s="33"/>
      <c r="K656" s="34"/>
      <c r="L656" s="34"/>
      <c r="M656" s="34"/>
      <c r="N656" s="34"/>
      <c r="O656" s="34"/>
      <c r="P656" s="34"/>
      <c r="Q656" s="34"/>
      <c r="R656" s="34"/>
      <c r="S656" s="34"/>
      <c r="T656" s="34"/>
      <c r="U656" s="34"/>
      <c r="V656" s="34"/>
      <c r="W656" s="34"/>
      <c r="X656" s="34"/>
      <c r="Y656" s="34"/>
      <c r="Z656" s="34"/>
      <c r="AA656" s="34"/>
    </row>
    <row r="657" spans="1:27" ht="13">
      <c r="A657" s="34"/>
      <c r="B657" s="52"/>
      <c r="C657" s="34"/>
      <c r="D657" s="34"/>
      <c r="E657" s="34"/>
      <c r="F657" s="34"/>
      <c r="G657" s="33"/>
      <c r="H657" s="34"/>
      <c r="I657" s="34"/>
      <c r="J657" s="33"/>
      <c r="K657" s="34"/>
      <c r="L657" s="34"/>
      <c r="M657" s="34"/>
      <c r="N657" s="34"/>
      <c r="O657" s="34"/>
      <c r="P657" s="34"/>
      <c r="Q657" s="34"/>
      <c r="R657" s="34"/>
      <c r="S657" s="34"/>
      <c r="T657" s="34"/>
      <c r="U657" s="34"/>
      <c r="V657" s="34"/>
      <c r="W657" s="34"/>
      <c r="X657" s="34"/>
      <c r="Y657" s="34"/>
      <c r="Z657" s="34"/>
      <c r="AA657" s="34"/>
    </row>
    <row r="658" spans="1:27" ht="13">
      <c r="A658" s="34"/>
      <c r="B658" s="52"/>
      <c r="C658" s="34"/>
      <c r="D658" s="34"/>
      <c r="E658" s="34"/>
      <c r="F658" s="34"/>
      <c r="G658" s="33"/>
      <c r="H658" s="34"/>
      <c r="I658" s="34"/>
      <c r="J658" s="33"/>
      <c r="K658" s="34"/>
      <c r="L658" s="34"/>
      <c r="M658" s="34"/>
      <c r="N658" s="34"/>
      <c r="O658" s="34"/>
      <c r="P658" s="34"/>
      <c r="Q658" s="34"/>
      <c r="R658" s="34"/>
      <c r="S658" s="34"/>
      <c r="T658" s="34"/>
      <c r="U658" s="34"/>
      <c r="V658" s="34"/>
      <c r="W658" s="34"/>
      <c r="X658" s="34"/>
      <c r="Y658" s="34"/>
      <c r="Z658" s="34"/>
      <c r="AA658" s="34"/>
    </row>
    <row r="659" spans="1:27" ht="13">
      <c r="A659" s="34"/>
      <c r="B659" s="52"/>
      <c r="C659" s="34"/>
      <c r="D659" s="34"/>
      <c r="E659" s="34"/>
      <c r="F659" s="34"/>
      <c r="G659" s="33"/>
      <c r="H659" s="34"/>
      <c r="I659" s="34"/>
      <c r="J659" s="33"/>
      <c r="K659" s="34"/>
      <c r="L659" s="34"/>
      <c r="M659" s="34"/>
      <c r="N659" s="34"/>
      <c r="O659" s="34"/>
      <c r="P659" s="34"/>
      <c r="Q659" s="34"/>
      <c r="R659" s="34"/>
      <c r="S659" s="34"/>
      <c r="T659" s="34"/>
      <c r="U659" s="34"/>
      <c r="V659" s="34"/>
      <c r="W659" s="34"/>
      <c r="X659" s="34"/>
      <c r="Y659" s="34"/>
      <c r="Z659" s="34"/>
      <c r="AA659" s="34"/>
    </row>
    <row r="660" spans="1:27" ht="13">
      <c r="A660" s="34"/>
      <c r="B660" s="52"/>
      <c r="C660" s="34"/>
      <c r="D660" s="34"/>
      <c r="E660" s="34"/>
      <c r="F660" s="34"/>
      <c r="G660" s="33"/>
      <c r="H660" s="34"/>
      <c r="I660" s="34"/>
      <c r="J660" s="33"/>
      <c r="K660" s="34"/>
      <c r="L660" s="34"/>
      <c r="M660" s="34"/>
      <c r="N660" s="34"/>
      <c r="O660" s="34"/>
      <c r="P660" s="34"/>
      <c r="Q660" s="34"/>
      <c r="R660" s="34"/>
      <c r="S660" s="34"/>
      <c r="T660" s="34"/>
      <c r="U660" s="34"/>
      <c r="V660" s="34"/>
      <c r="W660" s="34"/>
      <c r="X660" s="34"/>
      <c r="Y660" s="34"/>
      <c r="Z660" s="34"/>
      <c r="AA660" s="34"/>
    </row>
    <row r="661" spans="1:27" ht="13">
      <c r="A661" s="34"/>
      <c r="B661" s="52"/>
      <c r="C661" s="34"/>
      <c r="D661" s="34"/>
      <c r="E661" s="34"/>
      <c r="F661" s="34"/>
      <c r="G661" s="33"/>
      <c r="H661" s="34"/>
      <c r="I661" s="34"/>
      <c r="J661" s="33"/>
      <c r="K661" s="34"/>
      <c r="L661" s="34"/>
      <c r="M661" s="34"/>
      <c r="N661" s="34"/>
      <c r="O661" s="34"/>
      <c r="P661" s="34"/>
      <c r="Q661" s="34"/>
      <c r="R661" s="34"/>
      <c r="S661" s="34"/>
      <c r="T661" s="34"/>
      <c r="U661" s="34"/>
      <c r="V661" s="34"/>
      <c r="W661" s="34"/>
      <c r="X661" s="34"/>
      <c r="Y661" s="34"/>
      <c r="Z661" s="34"/>
      <c r="AA661" s="34"/>
    </row>
    <row r="662" spans="1:27" ht="13">
      <c r="A662" s="34"/>
      <c r="B662" s="52"/>
      <c r="C662" s="34"/>
      <c r="D662" s="34"/>
      <c r="E662" s="34"/>
      <c r="F662" s="34"/>
      <c r="G662" s="33"/>
      <c r="H662" s="34"/>
      <c r="I662" s="34"/>
      <c r="J662" s="33"/>
      <c r="K662" s="34"/>
      <c r="L662" s="34"/>
      <c r="M662" s="34"/>
      <c r="N662" s="34"/>
      <c r="O662" s="34"/>
      <c r="P662" s="34"/>
      <c r="Q662" s="34"/>
      <c r="R662" s="34"/>
      <c r="S662" s="34"/>
      <c r="T662" s="34"/>
      <c r="U662" s="34"/>
      <c r="V662" s="34"/>
      <c r="W662" s="34"/>
      <c r="X662" s="34"/>
      <c r="Y662" s="34"/>
      <c r="Z662" s="34"/>
      <c r="AA662" s="34"/>
    </row>
    <row r="663" spans="1:27" ht="13">
      <c r="A663" s="34"/>
      <c r="B663" s="52"/>
      <c r="C663" s="34"/>
      <c r="D663" s="34"/>
      <c r="E663" s="34"/>
      <c r="F663" s="34"/>
      <c r="G663" s="33"/>
      <c r="H663" s="34"/>
      <c r="I663" s="34"/>
      <c r="J663" s="33"/>
      <c r="K663" s="34"/>
      <c r="L663" s="34"/>
      <c r="M663" s="34"/>
      <c r="N663" s="34"/>
      <c r="O663" s="34"/>
      <c r="P663" s="34"/>
      <c r="Q663" s="34"/>
      <c r="R663" s="34"/>
      <c r="S663" s="34"/>
      <c r="T663" s="34"/>
      <c r="U663" s="34"/>
      <c r="V663" s="34"/>
      <c r="W663" s="34"/>
      <c r="X663" s="34"/>
      <c r="Y663" s="34"/>
      <c r="Z663" s="34"/>
      <c r="AA663" s="34"/>
    </row>
    <row r="664" spans="1:27" ht="13">
      <c r="A664" s="34"/>
      <c r="B664" s="52"/>
      <c r="C664" s="34"/>
      <c r="D664" s="34"/>
      <c r="E664" s="34"/>
      <c r="F664" s="34"/>
      <c r="G664" s="33"/>
      <c r="H664" s="34"/>
      <c r="I664" s="34"/>
      <c r="J664" s="33"/>
      <c r="K664" s="34"/>
      <c r="L664" s="34"/>
      <c r="M664" s="34"/>
      <c r="N664" s="34"/>
      <c r="O664" s="34"/>
      <c r="P664" s="34"/>
      <c r="Q664" s="34"/>
      <c r="R664" s="34"/>
      <c r="S664" s="34"/>
      <c r="T664" s="34"/>
      <c r="U664" s="34"/>
      <c r="V664" s="34"/>
      <c r="W664" s="34"/>
      <c r="X664" s="34"/>
      <c r="Y664" s="34"/>
      <c r="Z664" s="34"/>
      <c r="AA664" s="34"/>
    </row>
    <row r="665" spans="1:27" ht="13">
      <c r="A665" s="34"/>
      <c r="B665" s="52"/>
      <c r="C665" s="34"/>
      <c r="D665" s="34"/>
      <c r="E665" s="34"/>
      <c r="F665" s="34"/>
      <c r="G665" s="33"/>
      <c r="H665" s="34"/>
      <c r="I665" s="34"/>
      <c r="J665" s="33"/>
      <c r="K665" s="34"/>
      <c r="L665" s="34"/>
      <c r="M665" s="34"/>
      <c r="N665" s="34"/>
      <c r="O665" s="34"/>
      <c r="P665" s="34"/>
      <c r="Q665" s="34"/>
      <c r="R665" s="34"/>
      <c r="S665" s="34"/>
      <c r="T665" s="34"/>
      <c r="U665" s="34"/>
      <c r="V665" s="34"/>
      <c r="W665" s="34"/>
      <c r="X665" s="34"/>
      <c r="Y665" s="34"/>
      <c r="Z665" s="34"/>
      <c r="AA665" s="34"/>
    </row>
    <row r="666" spans="1:27" ht="13">
      <c r="A666" s="34"/>
      <c r="B666" s="52"/>
      <c r="C666" s="34"/>
      <c r="D666" s="34"/>
      <c r="E666" s="34"/>
      <c r="F666" s="34"/>
      <c r="G666" s="33"/>
      <c r="H666" s="34"/>
      <c r="I666" s="34"/>
      <c r="J666" s="33"/>
      <c r="K666" s="34"/>
      <c r="L666" s="34"/>
      <c r="M666" s="34"/>
      <c r="N666" s="34"/>
      <c r="O666" s="34"/>
      <c r="P666" s="34"/>
      <c r="Q666" s="34"/>
      <c r="R666" s="34"/>
      <c r="S666" s="34"/>
      <c r="T666" s="34"/>
      <c r="U666" s="34"/>
      <c r="V666" s="34"/>
      <c r="W666" s="34"/>
      <c r="X666" s="34"/>
      <c r="Y666" s="34"/>
      <c r="Z666" s="34"/>
      <c r="AA666" s="34"/>
    </row>
    <row r="667" spans="1:27" ht="13">
      <c r="A667" s="34"/>
      <c r="B667" s="52"/>
      <c r="C667" s="34"/>
      <c r="D667" s="34"/>
      <c r="E667" s="34"/>
      <c r="F667" s="34"/>
      <c r="G667" s="33"/>
      <c r="H667" s="34"/>
      <c r="I667" s="34"/>
      <c r="J667" s="33"/>
      <c r="K667" s="34"/>
      <c r="L667" s="34"/>
      <c r="M667" s="34"/>
      <c r="N667" s="34"/>
      <c r="O667" s="34"/>
      <c r="P667" s="34"/>
      <c r="Q667" s="34"/>
      <c r="R667" s="34"/>
      <c r="S667" s="34"/>
      <c r="T667" s="34"/>
      <c r="U667" s="34"/>
      <c r="V667" s="34"/>
      <c r="W667" s="34"/>
      <c r="X667" s="34"/>
      <c r="Y667" s="34"/>
      <c r="Z667" s="34"/>
      <c r="AA667" s="34"/>
    </row>
    <row r="668" spans="1:27" ht="13">
      <c r="A668" s="34"/>
      <c r="B668" s="52"/>
      <c r="C668" s="34"/>
      <c r="D668" s="34"/>
      <c r="E668" s="34"/>
      <c r="F668" s="34"/>
      <c r="G668" s="33"/>
      <c r="H668" s="34"/>
      <c r="I668" s="34"/>
      <c r="J668" s="33"/>
      <c r="K668" s="34"/>
      <c r="L668" s="34"/>
      <c r="M668" s="34"/>
      <c r="N668" s="34"/>
      <c r="O668" s="34"/>
      <c r="P668" s="34"/>
      <c r="Q668" s="34"/>
      <c r="R668" s="34"/>
      <c r="S668" s="34"/>
      <c r="T668" s="34"/>
      <c r="U668" s="34"/>
      <c r="V668" s="34"/>
      <c r="W668" s="34"/>
      <c r="X668" s="34"/>
      <c r="Y668" s="34"/>
      <c r="Z668" s="34"/>
      <c r="AA668" s="34"/>
    </row>
    <row r="669" spans="1:27" ht="13">
      <c r="A669" s="34"/>
      <c r="B669" s="52"/>
      <c r="C669" s="34"/>
      <c r="D669" s="34"/>
      <c r="E669" s="34"/>
      <c r="F669" s="34"/>
      <c r="G669" s="33"/>
      <c r="H669" s="34"/>
      <c r="I669" s="34"/>
      <c r="J669" s="33"/>
      <c r="K669" s="34"/>
      <c r="L669" s="34"/>
      <c r="M669" s="34"/>
      <c r="N669" s="34"/>
      <c r="O669" s="34"/>
      <c r="P669" s="34"/>
      <c r="Q669" s="34"/>
      <c r="R669" s="34"/>
      <c r="S669" s="34"/>
      <c r="T669" s="34"/>
      <c r="U669" s="34"/>
      <c r="V669" s="34"/>
      <c r="W669" s="34"/>
      <c r="X669" s="34"/>
      <c r="Y669" s="34"/>
      <c r="Z669" s="34"/>
      <c r="AA669" s="34"/>
    </row>
    <row r="670" spans="1:27" ht="13">
      <c r="A670" s="34"/>
      <c r="B670" s="52"/>
      <c r="C670" s="34"/>
      <c r="D670" s="34"/>
      <c r="E670" s="34"/>
      <c r="F670" s="34"/>
      <c r="G670" s="33"/>
      <c r="H670" s="34"/>
      <c r="I670" s="34"/>
      <c r="J670" s="33"/>
      <c r="K670" s="34"/>
      <c r="L670" s="34"/>
      <c r="M670" s="34"/>
      <c r="N670" s="34"/>
      <c r="O670" s="34"/>
      <c r="P670" s="34"/>
      <c r="Q670" s="34"/>
      <c r="R670" s="34"/>
      <c r="S670" s="34"/>
      <c r="T670" s="34"/>
      <c r="U670" s="34"/>
      <c r="V670" s="34"/>
      <c r="W670" s="34"/>
      <c r="X670" s="34"/>
      <c r="Y670" s="34"/>
      <c r="Z670" s="34"/>
      <c r="AA670" s="34"/>
    </row>
    <row r="671" spans="1:27" ht="13">
      <c r="A671" s="34"/>
      <c r="B671" s="52"/>
      <c r="C671" s="34"/>
      <c r="D671" s="34"/>
      <c r="E671" s="34"/>
      <c r="F671" s="34"/>
      <c r="G671" s="33"/>
      <c r="H671" s="34"/>
      <c r="I671" s="34"/>
      <c r="J671" s="33"/>
      <c r="K671" s="34"/>
      <c r="L671" s="34"/>
      <c r="M671" s="34"/>
      <c r="N671" s="34"/>
      <c r="O671" s="34"/>
      <c r="P671" s="34"/>
      <c r="Q671" s="34"/>
      <c r="R671" s="34"/>
      <c r="S671" s="34"/>
      <c r="T671" s="34"/>
      <c r="U671" s="34"/>
      <c r="V671" s="34"/>
      <c r="W671" s="34"/>
      <c r="X671" s="34"/>
      <c r="Y671" s="34"/>
      <c r="Z671" s="34"/>
      <c r="AA671" s="34"/>
    </row>
    <row r="672" spans="1:27" ht="13">
      <c r="A672" s="34"/>
      <c r="B672" s="52"/>
      <c r="C672" s="34"/>
      <c r="D672" s="34"/>
      <c r="E672" s="34"/>
      <c r="F672" s="34"/>
      <c r="G672" s="33"/>
      <c r="H672" s="34"/>
      <c r="I672" s="34"/>
      <c r="J672" s="33"/>
      <c r="K672" s="34"/>
      <c r="L672" s="34"/>
      <c r="M672" s="34"/>
      <c r="N672" s="34"/>
      <c r="O672" s="34"/>
      <c r="P672" s="34"/>
      <c r="Q672" s="34"/>
      <c r="R672" s="34"/>
      <c r="S672" s="34"/>
      <c r="T672" s="34"/>
      <c r="U672" s="34"/>
      <c r="V672" s="34"/>
      <c r="W672" s="34"/>
      <c r="X672" s="34"/>
      <c r="Y672" s="34"/>
      <c r="Z672" s="34"/>
      <c r="AA672" s="34"/>
    </row>
    <row r="673" spans="1:27" ht="13">
      <c r="A673" s="34"/>
      <c r="B673" s="52"/>
      <c r="C673" s="34"/>
      <c r="D673" s="34"/>
      <c r="E673" s="34"/>
      <c r="F673" s="34"/>
      <c r="G673" s="33"/>
      <c r="H673" s="34"/>
      <c r="I673" s="34"/>
      <c r="J673" s="33"/>
      <c r="K673" s="34"/>
      <c r="L673" s="34"/>
      <c r="M673" s="34"/>
      <c r="N673" s="34"/>
      <c r="O673" s="34"/>
      <c r="P673" s="34"/>
      <c r="Q673" s="34"/>
      <c r="R673" s="34"/>
      <c r="S673" s="34"/>
      <c r="T673" s="34"/>
      <c r="U673" s="34"/>
      <c r="V673" s="34"/>
      <c r="W673" s="34"/>
      <c r="X673" s="34"/>
      <c r="Y673" s="34"/>
      <c r="Z673" s="34"/>
      <c r="AA673" s="34"/>
    </row>
    <row r="674" spans="1:27" ht="13">
      <c r="A674" s="34"/>
      <c r="B674" s="52"/>
      <c r="C674" s="34"/>
      <c r="D674" s="34"/>
      <c r="E674" s="34"/>
      <c r="F674" s="34"/>
      <c r="G674" s="33"/>
      <c r="H674" s="34"/>
      <c r="I674" s="34"/>
      <c r="J674" s="33"/>
      <c r="K674" s="34"/>
      <c r="L674" s="34"/>
      <c r="M674" s="34"/>
      <c r="N674" s="34"/>
      <c r="O674" s="34"/>
      <c r="P674" s="34"/>
      <c r="Q674" s="34"/>
      <c r="R674" s="34"/>
      <c r="S674" s="34"/>
      <c r="T674" s="34"/>
      <c r="U674" s="34"/>
      <c r="V674" s="34"/>
      <c r="W674" s="34"/>
      <c r="X674" s="34"/>
      <c r="Y674" s="34"/>
      <c r="Z674" s="34"/>
      <c r="AA674" s="34"/>
    </row>
    <row r="675" spans="1:27" ht="13">
      <c r="A675" s="34"/>
      <c r="B675" s="52"/>
      <c r="C675" s="34"/>
      <c r="D675" s="34"/>
      <c r="E675" s="34"/>
      <c r="F675" s="34"/>
      <c r="G675" s="33"/>
      <c r="H675" s="34"/>
      <c r="I675" s="34"/>
      <c r="J675" s="33"/>
      <c r="K675" s="34"/>
      <c r="L675" s="34"/>
      <c r="M675" s="34"/>
      <c r="N675" s="34"/>
      <c r="O675" s="34"/>
      <c r="P675" s="34"/>
      <c r="Q675" s="34"/>
      <c r="R675" s="34"/>
      <c r="S675" s="34"/>
      <c r="T675" s="34"/>
      <c r="U675" s="34"/>
      <c r="V675" s="34"/>
      <c r="W675" s="34"/>
      <c r="X675" s="34"/>
      <c r="Y675" s="34"/>
      <c r="Z675" s="34"/>
      <c r="AA675" s="34"/>
    </row>
    <row r="676" spans="1:27" ht="13">
      <c r="A676" s="34"/>
      <c r="B676" s="52"/>
      <c r="C676" s="34"/>
      <c r="D676" s="34"/>
      <c r="E676" s="34"/>
      <c r="F676" s="34"/>
      <c r="G676" s="33"/>
      <c r="H676" s="34"/>
      <c r="I676" s="34"/>
      <c r="J676" s="33"/>
      <c r="K676" s="34"/>
      <c r="L676" s="34"/>
      <c r="M676" s="34"/>
      <c r="N676" s="34"/>
      <c r="O676" s="34"/>
      <c r="P676" s="34"/>
      <c r="Q676" s="34"/>
      <c r="R676" s="34"/>
      <c r="S676" s="34"/>
      <c r="T676" s="34"/>
      <c r="U676" s="34"/>
      <c r="V676" s="34"/>
      <c r="W676" s="34"/>
      <c r="X676" s="34"/>
      <c r="Y676" s="34"/>
      <c r="Z676" s="34"/>
      <c r="AA676" s="34"/>
    </row>
    <row r="677" spans="1:27" ht="13">
      <c r="A677" s="34"/>
      <c r="B677" s="52"/>
      <c r="C677" s="34"/>
      <c r="D677" s="34"/>
      <c r="E677" s="34"/>
      <c r="F677" s="34"/>
      <c r="G677" s="33"/>
      <c r="H677" s="34"/>
      <c r="I677" s="34"/>
      <c r="J677" s="33"/>
      <c r="K677" s="34"/>
      <c r="L677" s="34"/>
      <c r="M677" s="34"/>
      <c r="N677" s="34"/>
      <c r="O677" s="34"/>
      <c r="P677" s="34"/>
      <c r="Q677" s="34"/>
      <c r="R677" s="34"/>
      <c r="S677" s="34"/>
      <c r="T677" s="34"/>
      <c r="U677" s="34"/>
      <c r="V677" s="34"/>
      <c r="W677" s="34"/>
      <c r="X677" s="34"/>
      <c r="Y677" s="34"/>
      <c r="Z677" s="34"/>
      <c r="AA677" s="34"/>
    </row>
    <row r="678" spans="1:27" ht="13">
      <c r="A678" s="34"/>
      <c r="B678" s="52"/>
      <c r="C678" s="34"/>
      <c r="D678" s="34"/>
      <c r="E678" s="34"/>
      <c r="F678" s="34"/>
      <c r="G678" s="33"/>
      <c r="H678" s="34"/>
      <c r="I678" s="34"/>
      <c r="J678" s="33"/>
      <c r="K678" s="34"/>
      <c r="L678" s="34"/>
      <c r="M678" s="34"/>
      <c r="N678" s="34"/>
      <c r="O678" s="34"/>
      <c r="P678" s="34"/>
      <c r="Q678" s="34"/>
      <c r="R678" s="34"/>
      <c r="S678" s="34"/>
      <c r="T678" s="34"/>
      <c r="U678" s="34"/>
      <c r="V678" s="34"/>
      <c r="W678" s="34"/>
      <c r="X678" s="34"/>
      <c r="Y678" s="34"/>
      <c r="Z678" s="34"/>
      <c r="AA678" s="34"/>
    </row>
    <row r="679" spans="1:27" ht="13">
      <c r="A679" s="34"/>
      <c r="B679" s="52"/>
      <c r="C679" s="34"/>
      <c r="D679" s="34"/>
      <c r="E679" s="34"/>
      <c r="F679" s="34"/>
      <c r="G679" s="33"/>
      <c r="H679" s="34"/>
      <c r="I679" s="34"/>
      <c r="J679" s="33"/>
      <c r="K679" s="34"/>
      <c r="L679" s="34"/>
      <c r="M679" s="34"/>
      <c r="N679" s="34"/>
      <c r="O679" s="34"/>
      <c r="P679" s="34"/>
      <c r="Q679" s="34"/>
      <c r="R679" s="34"/>
      <c r="S679" s="34"/>
      <c r="T679" s="34"/>
      <c r="U679" s="34"/>
      <c r="V679" s="34"/>
      <c r="W679" s="34"/>
      <c r="X679" s="34"/>
      <c r="Y679" s="34"/>
      <c r="Z679" s="34"/>
      <c r="AA679" s="34"/>
    </row>
    <row r="680" spans="1:27" ht="13">
      <c r="A680" s="34"/>
      <c r="B680" s="52"/>
      <c r="C680" s="34"/>
      <c r="D680" s="34"/>
      <c r="E680" s="34"/>
      <c r="F680" s="34"/>
      <c r="G680" s="33"/>
      <c r="H680" s="34"/>
      <c r="I680" s="34"/>
      <c r="J680" s="33"/>
      <c r="K680" s="34"/>
      <c r="L680" s="34"/>
      <c r="M680" s="34"/>
      <c r="N680" s="34"/>
      <c r="O680" s="34"/>
      <c r="P680" s="34"/>
      <c r="Q680" s="34"/>
      <c r="R680" s="34"/>
      <c r="S680" s="34"/>
      <c r="T680" s="34"/>
      <c r="U680" s="34"/>
      <c r="V680" s="34"/>
      <c r="W680" s="34"/>
      <c r="X680" s="34"/>
      <c r="Y680" s="34"/>
      <c r="Z680" s="34"/>
      <c r="AA680" s="34"/>
    </row>
    <row r="681" spans="1:27" ht="13">
      <c r="A681" s="34"/>
      <c r="B681" s="52"/>
      <c r="C681" s="34"/>
      <c r="D681" s="34"/>
      <c r="E681" s="34"/>
      <c r="F681" s="34"/>
      <c r="G681" s="33"/>
      <c r="H681" s="34"/>
      <c r="I681" s="34"/>
      <c r="J681" s="33"/>
      <c r="K681" s="34"/>
      <c r="L681" s="34"/>
      <c r="M681" s="34"/>
      <c r="N681" s="34"/>
      <c r="O681" s="34"/>
      <c r="P681" s="34"/>
      <c r="Q681" s="34"/>
      <c r="R681" s="34"/>
      <c r="S681" s="34"/>
      <c r="T681" s="34"/>
      <c r="U681" s="34"/>
      <c r="V681" s="34"/>
      <c r="W681" s="34"/>
      <c r="X681" s="34"/>
      <c r="Y681" s="34"/>
      <c r="Z681" s="34"/>
      <c r="AA681" s="34"/>
    </row>
    <row r="682" spans="1:27" ht="13">
      <c r="A682" s="34"/>
      <c r="B682" s="52"/>
      <c r="C682" s="34"/>
      <c r="D682" s="34"/>
      <c r="E682" s="34"/>
      <c r="F682" s="34"/>
      <c r="G682" s="33"/>
      <c r="H682" s="34"/>
      <c r="I682" s="34"/>
      <c r="J682" s="33"/>
      <c r="K682" s="34"/>
      <c r="L682" s="34"/>
      <c r="M682" s="34"/>
      <c r="N682" s="34"/>
      <c r="O682" s="34"/>
      <c r="P682" s="34"/>
      <c r="Q682" s="34"/>
      <c r="R682" s="34"/>
      <c r="S682" s="34"/>
      <c r="T682" s="34"/>
      <c r="U682" s="34"/>
      <c r="V682" s="34"/>
      <c r="W682" s="34"/>
      <c r="X682" s="34"/>
      <c r="Y682" s="34"/>
      <c r="Z682" s="34"/>
      <c r="AA682" s="34"/>
    </row>
    <row r="683" spans="1:27" ht="13">
      <c r="A683" s="34"/>
      <c r="B683" s="52"/>
      <c r="C683" s="34"/>
      <c r="D683" s="34"/>
      <c r="E683" s="34"/>
      <c r="F683" s="34"/>
      <c r="G683" s="33"/>
      <c r="H683" s="34"/>
      <c r="I683" s="34"/>
      <c r="J683" s="33"/>
      <c r="K683" s="34"/>
      <c r="L683" s="34"/>
      <c r="M683" s="34"/>
      <c r="N683" s="34"/>
      <c r="O683" s="34"/>
      <c r="P683" s="34"/>
      <c r="Q683" s="34"/>
      <c r="R683" s="34"/>
      <c r="S683" s="34"/>
      <c r="T683" s="34"/>
      <c r="U683" s="34"/>
      <c r="V683" s="34"/>
      <c r="W683" s="34"/>
      <c r="X683" s="34"/>
      <c r="Y683" s="34"/>
      <c r="Z683" s="34"/>
      <c r="AA683" s="34"/>
    </row>
    <row r="684" spans="1:27" ht="13">
      <c r="A684" s="34"/>
      <c r="B684" s="52"/>
      <c r="C684" s="34"/>
      <c r="D684" s="34"/>
      <c r="E684" s="34"/>
      <c r="F684" s="34"/>
      <c r="G684" s="33"/>
      <c r="H684" s="34"/>
      <c r="I684" s="34"/>
      <c r="J684" s="33"/>
      <c r="K684" s="34"/>
      <c r="L684" s="34"/>
      <c r="M684" s="34"/>
      <c r="N684" s="34"/>
      <c r="O684" s="34"/>
      <c r="P684" s="34"/>
      <c r="Q684" s="34"/>
      <c r="R684" s="34"/>
      <c r="S684" s="34"/>
      <c r="T684" s="34"/>
      <c r="U684" s="34"/>
      <c r="V684" s="34"/>
      <c r="W684" s="34"/>
      <c r="X684" s="34"/>
      <c r="Y684" s="34"/>
      <c r="Z684" s="34"/>
      <c r="AA684" s="34"/>
    </row>
    <row r="685" spans="1:27" ht="13">
      <c r="A685" s="34"/>
      <c r="B685" s="52"/>
      <c r="C685" s="34"/>
      <c r="D685" s="34"/>
      <c r="E685" s="34"/>
      <c r="F685" s="34"/>
      <c r="G685" s="33"/>
      <c r="H685" s="34"/>
      <c r="I685" s="34"/>
      <c r="J685" s="33"/>
      <c r="K685" s="34"/>
      <c r="L685" s="34"/>
      <c r="M685" s="34"/>
      <c r="N685" s="34"/>
      <c r="O685" s="34"/>
      <c r="P685" s="34"/>
      <c r="Q685" s="34"/>
      <c r="R685" s="34"/>
      <c r="S685" s="34"/>
      <c r="T685" s="34"/>
      <c r="U685" s="34"/>
      <c r="V685" s="34"/>
      <c r="W685" s="34"/>
      <c r="X685" s="34"/>
      <c r="Y685" s="34"/>
      <c r="Z685" s="34"/>
      <c r="AA685" s="34"/>
    </row>
    <row r="686" spans="1:27" ht="13">
      <c r="A686" s="34"/>
      <c r="B686" s="52"/>
      <c r="C686" s="34"/>
      <c r="D686" s="34"/>
      <c r="E686" s="34"/>
      <c r="F686" s="34"/>
      <c r="G686" s="33"/>
      <c r="H686" s="34"/>
      <c r="I686" s="34"/>
      <c r="J686" s="33"/>
      <c r="K686" s="34"/>
      <c r="L686" s="34"/>
      <c r="M686" s="34"/>
      <c r="N686" s="34"/>
      <c r="O686" s="34"/>
      <c r="P686" s="34"/>
      <c r="Q686" s="34"/>
      <c r="R686" s="34"/>
      <c r="S686" s="34"/>
      <c r="T686" s="34"/>
      <c r="U686" s="34"/>
      <c r="V686" s="34"/>
      <c r="W686" s="34"/>
      <c r="X686" s="34"/>
      <c r="Y686" s="34"/>
      <c r="Z686" s="34"/>
      <c r="AA686" s="34"/>
    </row>
    <row r="687" spans="1:27" ht="13">
      <c r="A687" s="34"/>
      <c r="B687" s="52"/>
      <c r="C687" s="34"/>
      <c r="D687" s="34"/>
      <c r="E687" s="34"/>
      <c r="F687" s="34"/>
      <c r="G687" s="33"/>
      <c r="H687" s="34"/>
      <c r="I687" s="34"/>
      <c r="J687" s="33"/>
      <c r="K687" s="34"/>
      <c r="L687" s="34"/>
      <c r="M687" s="34"/>
      <c r="N687" s="34"/>
      <c r="O687" s="34"/>
      <c r="P687" s="34"/>
      <c r="Q687" s="34"/>
      <c r="R687" s="34"/>
      <c r="S687" s="34"/>
      <c r="T687" s="34"/>
      <c r="U687" s="34"/>
      <c r="V687" s="34"/>
      <c r="W687" s="34"/>
      <c r="X687" s="34"/>
      <c r="Y687" s="34"/>
      <c r="Z687" s="34"/>
      <c r="AA687" s="34"/>
    </row>
    <row r="688" spans="1:27" ht="13">
      <c r="A688" s="34"/>
      <c r="B688" s="52"/>
      <c r="C688" s="34"/>
      <c r="D688" s="34"/>
      <c r="E688" s="34"/>
      <c r="F688" s="34"/>
      <c r="G688" s="33"/>
      <c r="H688" s="34"/>
      <c r="I688" s="34"/>
      <c r="J688" s="33"/>
      <c r="K688" s="34"/>
      <c r="L688" s="34"/>
      <c r="M688" s="34"/>
      <c r="N688" s="34"/>
      <c r="O688" s="34"/>
      <c r="P688" s="34"/>
      <c r="Q688" s="34"/>
      <c r="R688" s="34"/>
      <c r="S688" s="34"/>
      <c r="T688" s="34"/>
      <c r="U688" s="34"/>
      <c r="V688" s="34"/>
      <c r="W688" s="34"/>
      <c r="X688" s="34"/>
      <c r="Y688" s="34"/>
      <c r="Z688" s="34"/>
      <c r="AA688" s="34"/>
    </row>
    <row r="689" spans="1:27" ht="13">
      <c r="A689" s="34"/>
      <c r="B689" s="52"/>
      <c r="C689" s="34"/>
      <c r="D689" s="34"/>
      <c r="E689" s="34"/>
      <c r="F689" s="34"/>
      <c r="G689" s="33"/>
      <c r="H689" s="34"/>
      <c r="I689" s="34"/>
      <c r="J689" s="33"/>
      <c r="K689" s="34"/>
      <c r="L689" s="34"/>
      <c r="M689" s="34"/>
      <c r="N689" s="34"/>
      <c r="O689" s="34"/>
      <c r="P689" s="34"/>
      <c r="Q689" s="34"/>
      <c r="R689" s="34"/>
      <c r="S689" s="34"/>
      <c r="T689" s="34"/>
      <c r="U689" s="34"/>
      <c r="V689" s="34"/>
      <c r="W689" s="34"/>
      <c r="X689" s="34"/>
      <c r="Y689" s="34"/>
      <c r="Z689" s="34"/>
      <c r="AA689" s="34"/>
    </row>
    <row r="690" spans="1:27" ht="13">
      <c r="A690" s="34"/>
      <c r="B690" s="52"/>
      <c r="C690" s="34"/>
      <c r="D690" s="34"/>
      <c r="E690" s="34"/>
      <c r="F690" s="34"/>
      <c r="G690" s="33"/>
      <c r="H690" s="34"/>
      <c r="I690" s="34"/>
      <c r="J690" s="33"/>
      <c r="K690" s="34"/>
      <c r="L690" s="34"/>
      <c r="M690" s="34"/>
      <c r="N690" s="34"/>
      <c r="O690" s="34"/>
      <c r="P690" s="34"/>
      <c r="Q690" s="34"/>
      <c r="R690" s="34"/>
      <c r="S690" s="34"/>
      <c r="T690" s="34"/>
      <c r="U690" s="34"/>
      <c r="V690" s="34"/>
      <c r="W690" s="34"/>
      <c r="X690" s="34"/>
      <c r="Y690" s="34"/>
      <c r="Z690" s="34"/>
      <c r="AA690" s="34"/>
    </row>
    <row r="691" spans="1:27" ht="13">
      <c r="A691" s="34"/>
      <c r="B691" s="52"/>
      <c r="C691" s="34"/>
      <c r="D691" s="34"/>
      <c r="E691" s="34"/>
      <c r="F691" s="34"/>
      <c r="G691" s="33"/>
      <c r="H691" s="34"/>
      <c r="I691" s="34"/>
      <c r="J691" s="33"/>
      <c r="K691" s="34"/>
      <c r="L691" s="34"/>
      <c r="M691" s="34"/>
      <c r="N691" s="34"/>
      <c r="O691" s="34"/>
      <c r="P691" s="34"/>
      <c r="Q691" s="34"/>
      <c r="R691" s="34"/>
      <c r="S691" s="34"/>
      <c r="T691" s="34"/>
      <c r="U691" s="34"/>
      <c r="V691" s="34"/>
      <c r="W691" s="34"/>
      <c r="X691" s="34"/>
      <c r="Y691" s="34"/>
      <c r="Z691" s="34"/>
      <c r="AA691" s="34"/>
    </row>
    <row r="692" spans="1:27" ht="13">
      <c r="A692" s="34"/>
      <c r="B692" s="52"/>
      <c r="C692" s="34"/>
      <c r="D692" s="34"/>
      <c r="E692" s="34"/>
      <c r="F692" s="34"/>
      <c r="G692" s="33"/>
      <c r="H692" s="34"/>
      <c r="I692" s="34"/>
      <c r="J692" s="33"/>
      <c r="K692" s="34"/>
      <c r="L692" s="34"/>
      <c r="M692" s="34"/>
      <c r="N692" s="34"/>
      <c r="O692" s="34"/>
      <c r="P692" s="34"/>
      <c r="Q692" s="34"/>
      <c r="R692" s="34"/>
      <c r="S692" s="34"/>
      <c r="T692" s="34"/>
      <c r="U692" s="34"/>
      <c r="V692" s="34"/>
      <c r="W692" s="34"/>
      <c r="X692" s="34"/>
      <c r="Y692" s="34"/>
      <c r="Z692" s="34"/>
      <c r="AA692" s="34"/>
    </row>
    <row r="693" spans="1:27" ht="13">
      <c r="A693" s="34"/>
      <c r="B693" s="52"/>
      <c r="C693" s="34"/>
      <c r="D693" s="34"/>
      <c r="E693" s="34"/>
      <c r="F693" s="34"/>
      <c r="G693" s="33"/>
      <c r="H693" s="34"/>
      <c r="I693" s="34"/>
      <c r="J693" s="33"/>
      <c r="K693" s="34"/>
      <c r="L693" s="34"/>
      <c r="M693" s="34"/>
      <c r="N693" s="34"/>
      <c r="O693" s="34"/>
      <c r="P693" s="34"/>
      <c r="Q693" s="34"/>
      <c r="R693" s="34"/>
      <c r="S693" s="34"/>
      <c r="T693" s="34"/>
      <c r="U693" s="34"/>
      <c r="V693" s="34"/>
      <c r="W693" s="34"/>
      <c r="X693" s="34"/>
      <c r="Y693" s="34"/>
      <c r="Z693" s="34"/>
      <c r="AA693" s="34"/>
    </row>
    <row r="694" spans="1:27" ht="13">
      <c r="A694" s="34"/>
      <c r="B694" s="52"/>
      <c r="C694" s="34"/>
      <c r="D694" s="34"/>
      <c r="E694" s="34"/>
      <c r="F694" s="34"/>
      <c r="G694" s="33"/>
      <c r="H694" s="34"/>
      <c r="I694" s="34"/>
      <c r="J694" s="33"/>
      <c r="K694" s="34"/>
      <c r="L694" s="34"/>
      <c r="M694" s="34"/>
      <c r="N694" s="34"/>
      <c r="O694" s="34"/>
      <c r="P694" s="34"/>
      <c r="Q694" s="34"/>
      <c r="R694" s="34"/>
      <c r="S694" s="34"/>
      <c r="T694" s="34"/>
      <c r="U694" s="34"/>
      <c r="V694" s="34"/>
      <c r="W694" s="34"/>
      <c r="X694" s="34"/>
      <c r="Y694" s="34"/>
      <c r="Z694" s="34"/>
      <c r="AA694" s="34"/>
    </row>
    <row r="695" spans="1:27" ht="13">
      <c r="A695" s="34"/>
      <c r="B695" s="52"/>
      <c r="C695" s="34"/>
      <c r="D695" s="34"/>
      <c r="E695" s="34"/>
      <c r="F695" s="34"/>
      <c r="G695" s="33"/>
      <c r="H695" s="34"/>
      <c r="I695" s="34"/>
      <c r="J695" s="33"/>
      <c r="K695" s="34"/>
      <c r="L695" s="34"/>
      <c r="M695" s="34"/>
      <c r="N695" s="34"/>
      <c r="O695" s="34"/>
      <c r="P695" s="34"/>
      <c r="Q695" s="34"/>
      <c r="R695" s="34"/>
      <c r="S695" s="34"/>
      <c r="T695" s="34"/>
      <c r="U695" s="34"/>
      <c r="V695" s="34"/>
      <c r="W695" s="34"/>
      <c r="X695" s="34"/>
      <c r="Y695" s="34"/>
      <c r="Z695" s="34"/>
      <c r="AA695" s="34"/>
    </row>
    <row r="696" spans="1:27" ht="13">
      <c r="A696" s="34"/>
      <c r="B696" s="52"/>
      <c r="C696" s="34"/>
      <c r="D696" s="34"/>
      <c r="E696" s="34"/>
      <c r="F696" s="34"/>
      <c r="G696" s="33"/>
      <c r="H696" s="34"/>
      <c r="I696" s="34"/>
      <c r="J696" s="33"/>
      <c r="K696" s="34"/>
      <c r="L696" s="34"/>
      <c r="M696" s="34"/>
      <c r="N696" s="34"/>
      <c r="O696" s="34"/>
      <c r="P696" s="34"/>
      <c r="Q696" s="34"/>
      <c r="R696" s="34"/>
      <c r="S696" s="34"/>
      <c r="T696" s="34"/>
      <c r="U696" s="34"/>
      <c r="V696" s="34"/>
      <c r="W696" s="34"/>
      <c r="X696" s="34"/>
      <c r="Y696" s="34"/>
      <c r="Z696" s="34"/>
      <c r="AA696" s="34"/>
    </row>
    <row r="697" spans="1:27" ht="13">
      <c r="A697" s="34"/>
      <c r="B697" s="52"/>
      <c r="C697" s="34"/>
      <c r="D697" s="34"/>
      <c r="E697" s="34"/>
      <c r="F697" s="34"/>
      <c r="G697" s="33"/>
      <c r="H697" s="34"/>
      <c r="I697" s="34"/>
      <c r="J697" s="33"/>
      <c r="K697" s="34"/>
      <c r="L697" s="34"/>
      <c r="M697" s="34"/>
      <c r="N697" s="34"/>
      <c r="O697" s="34"/>
      <c r="P697" s="34"/>
      <c r="Q697" s="34"/>
      <c r="R697" s="34"/>
      <c r="S697" s="34"/>
      <c r="T697" s="34"/>
      <c r="U697" s="34"/>
      <c r="V697" s="34"/>
      <c r="W697" s="34"/>
      <c r="X697" s="34"/>
      <c r="Y697" s="34"/>
      <c r="Z697" s="34"/>
      <c r="AA697" s="34"/>
    </row>
    <row r="698" spans="1:27" ht="13">
      <c r="A698" s="34"/>
      <c r="B698" s="52"/>
      <c r="C698" s="34"/>
      <c r="D698" s="34"/>
      <c r="E698" s="34"/>
      <c r="F698" s="34"/>
      <c r="G698" s="33"/>
      <c r="H698" s="34"/>
      <c r="I698" s="34"/>
      <c r="J698" s="33"/>
      <c r="K698" s="34"/>
      <c r="L698" s="34"/>
      <c r="M698" s="34"/>
      <c r="N698" s="34"/>
      <c r="O698" s="34"/>
      <c r="P698" s="34"/>
      <c r="Q698" s="34"/>
      <c r="R698" s="34"/>
      <c r="S698" s="34"/>
      <c r="T698" s="34"/>
      <c r="U698" s="34"/>
      <c r="V698" s="34"/>
      <c r="W698" s="34"/>
      <c r="X698" s="34"/>
      <c r="Y698" s="34"/>
      <c r="Z698" s="34"/>
      <c r="AA698" s="34"/>
    </row>
    <row r="699" spans="1:27" ht="13">
      <c r="A699" s="34"/>
      <c r="B699" s="52"/>
      <c r="C699" s="34"/>
      <c r="D699" s="34"/>
      <c r="E699" s="34"/>
      <c r="F699" s="34"/>
      <c r="G699" s="33"/>
      <c r="H699" s="34"/>
      <c r="I699" s="34"/>
      <c r="J699" s="33"/>
      <c r="K699" s="34"/>
      <c r="L699" s="34"/>
      <c r="M699" s="34"/>
      <c r="N699" s="34"/>
      <c r="O699" s="34"/>
      <c r="P699" s="34"/>
      <c r="Q699" s="34"/>
      <c r="R699" s="34"/>
      <c r="S699" s="34"/>
      <c r="T699" s="34"/>
      <c r="U699" s="34"/>
      <c r="V699" s="34"/>
      <c r="W699" s="34"/>
      <c r="X699" s="34"/>
      <c r="Y699" s="34"/>
      <c r="Z699" s="34"/>
      <c r="AA699" s="34"/>
    </row>
    <row r="700" spans="1:27" ht="13">
      <c r="A700" s="34"/>
      <c r="B700" s="52"/>
      <c r="C700" s="34"/>
      <c r="D700" s="34"/>
      <c r="E700" s="34"/>
      <c r="F700" s="34"/>
      <c r="G700" s="33"/>
      <c r="H700" s="34"/>
      <c r="I700" s="34"/>
      <c r="J700" s="33"/>
      <c r="K700" s="34"/>
      <c r="L700" s="34"/>
      <c r="M700" s="34"/>
      <c r="N700" s="34"/>
      <c r="O700" s="34"/>
      <c r="P700" s="34"/>
      <c r="Q700" s="34"/>
      <c r="R700" s="34"/>
      <c r="S700" s="34"/>
      <c r="T700" s="34"/>
      <c r="U700" s="34"/>
      <c r="V700" s="34"/>
      <c r="W700" s="34"/>
      <c r="X700" s="34"/>
      <c r="Y700" s="34"/>
      <c r="Z700" s="34"/>
      <c r="AA700" s="34"/>
    </row>
    <row r="701" spans="1:27" ht="13">
      <c r="A701" s="34"/>
      <c r="B701" s="52"/>
      <c r="C701" s="34"/>
      <c r="D701" s="34"/>
      <c r="E701" s="34"/>
      <c r="F701" s="34"/>
      <c r="G701" s="33"/>
      <c r="H701" s="34"/>
      <c r="I701" s="34"/>
      <c r="J701" s="33"/>
      <c r="K701" s="34"/>
      <c r="L701" s="34"/>
      <c r="M701" s="34"/>
      <c r="N701" s="34"/>
      <c r="O701" s="34"/>
      <c r="P701" s="34"/>
      <c r="Q701" s="34"/>
      <c r="R701" s="34"/>
      <c r="S701" s="34"/>
      <c r="T701" s="34"/>
      <c r="U701" s="34"/>
      <c r="V701" s="34"/>
      <c r="W701" s="34"/>
      <c r="X701" s="34"/>
      <c r="Y701" s="34"/>
      <c r="Z701" s="34"/>
      <c r="AA701" s="34"/>
    </row>
    <row r="702" spans="1:27" ht="13">
      <c r="A702" s="34"/>
      <c r="B702" s="52"/>
      <c r="C702" s="34"/>
      <c r="D702" s="34"/>
      <c r="E702" s="34"/>
      <c r="F702" s="34"/>
      <c r="G702" s="33"/>
      <c r="H702" s="34"/>
      <c r="I702" s="34"/>
      <c r="J702" s="33"/>
      <c r="K702" s="34"/>
      <c r="L702" s="34"/>
      <c r="M702" s="34"/>
      <c r="N702" s="34"/>
      <c r="O702" s="34"/>
      <c r="P702" s="34"/>
      <c r="Q702" s="34"/>
      <c r="R702" s="34"/>
      <c r="S702" s="34"/>
      <c r="T702" s="34"/>
      <c r="U702" s="34"/>
      <c r="V702" s="34"/>
      <c r="W702" s="34"/>
      <c r="X702" s="34"/>
      <c r="Y702" s="34"/>
      <c r="Z702" s="34"/>
      <c r="AA702" s="34"/>
    </row>
    <row r="703" spans="1:27" ht="13">
      <c r="A703" s="34"/>
      <c r="B703" s="52"/>
      <c r="C703" s="34"/>
      <c r="D703" s="34"/>
      <c r="E703" s="34"/>
      <c r="F703" s="34"/>
      <c r="G703" s="33"/>
      <c r="H703" s="34"/>
      <c r="I703" s="34"/>
      <c r="J703" s="33"/>
      <c r="K703" s="34"/>
      <c r="L703" s="34"/>
      <c r="M703" s="34"/>
      <c r="N703" s="34"/>
      <c r="O703" s="34"/>
      <c r="P703" s="34"/>
      <c r="Q703" s="34"/>
      <c r="R703" s="34"/>
      <c r="S703" s="34"/>
      <c r="T703" s="34"/>
      <c r="U703" s="34"/>
      <c r="V703" s="34"/>
      <c r="W703" s="34"/>
      <c r="X703" s="34"/>
      <c r="Y703" s="34"/>
      <c r="Z703" s="34"/>
      <c r="AA703" s="34"/>
    </row>
    <row r="704" spans="1:27" ht="13">
      <c r="A704" s="34"/>
      <c r="B704" s="52"/>
      <c r="C704" s="34"/>
      <c r="D704" s="34"/>
      <c r="E704" s="34"/>
      <c r="F704" s="34"/>
      <c r="G704" s="33"/>
      <c r="H704" s="34"/>
      <c r="I704" s="34"/>
      <c r="J704" s="33"/>
      <c r="K704" s="34"/>
      <c r="L704" s="34"/>
      <c r="M704" s="34"/>
      <c r="N704" s="34"/>
      <c r="O704" s="34"/>
      <c r="P704" s="34"/>
      <c r="Q704" s="34"/>
      <c r="R704" s="34"/>
      <c r="S704" s="34"/>
      <c r="T704" s="34"/>
      <c r="U704" s="34"/>
      <c r="V704" s="34"/>
      <c r="W704" s="34"/>
      <c r="X704" s="34"/>
      <c r="Y704" s="34"/>
      <c r="Z704" s="34"/>
      <c r="AA704" s="34"/>
    </row>
    <row r="705" spans="1:27" ht="13">
      <c r="A705" s="34"/>
      <c r="B705" s="52"/>
      <c r="C705" s="34"/>
      <c r="D705" s="34"/>
      <c r="E705" s="34"/>
      <c r="F705" s="34"/>
      <c r="G705" s="33"/>
      <c r="H705" s="34"/>
      <c r="I705" s="34"/>
      <c r="J705" s="33"/>
      <c r="K705" s="34"/>
      <c r="L705" s="34"/>
      <c r="M705" s="34"/>
      <c r="N705" s="34"/>
      <c r="O705" s="34"/>
      <c r="P705" s="34"/>
      <c r="Q705" s="34"/>
      <c r="R705" s="34"/>
      <c r="S705" s="34"/>
      <c r="T705" s="34"/>
      <c r="U705" s="34"/>
      <c r="V705" s="34"/>
      <c r="W705" s="34"/>
      <c r="X705" s="34"/>
      <c r="Y705" s="34"/>
      <c r="Z705" s="34"/>
      <c r="AA705" s="34"/>
    </row>
    <row r="706" spans="1:27" ht="13">
      <c r="A706" s="34"/>
      <c r="B706" s="52"/>
      <c r="C706" s="34"/>
      <c r="D706" s="34"/>
      <c r="E706" s="34"/>
      <c r="F706" s="34"/>
      <c r="G706" s="33"/>
      <c r="H706" s="34"/>
      <c r="I706" s="34"/>
      <c r="J706" s="33"/>
      <c r="K706" s="34"/>
      <c r="L706" s="34"/>
      <c r="M706" s="34"/>
      <c r="N706" s="34"/>
      <c r="O706" s="34"/>
      <c r="P706" s="34"/>
      <c r="Q706" s="34"/>
      <c r="R706" s="34"/>
      <c r="S706" s="34"/>
      <c r="T706" s="34"/>
      <c r="U706" s="34"/>
      <c r="V706" s="34"/>
      <c r="W706" s="34"/>
      <c r="X706" s="34"/>
      <c r="Y706" s="34"/>
      <c r="Z706" s="34"/>
      <c r="AA706" s="34"/>
    </row>
    <row r="707" spans="1:27" ht="13">
      <c r="A707" s="34"/>
      <c r="B707" s="52"/>
      <c r="C707" s="34"/>
      <c r="D707" s="34"/>
      <c r="E707" s="34"/>
      <c r="F707" s="34"/>
      <c r="G707" s="33"/>
      <c r="H707" s="34"/>
      <c r="I707" s="34"/>
      <c r="J707" s="33"/>
      <c r="K707" s="34"/>
      <c r="L707" s="34"/>
      <c r="M707" s="34"/>
      <c r="N707" s="34"/>
      <c r="O707" s="34"/>
      <c r="P707" s="34"/>
      <c r="Q707" s="34"/>
      <c r="R707" s="34"/>
      <c r="S707" s="34"/>
      <c r="T707" s="34"/>
      <c r="U707" s="34"/>
      <c r="V707" s="34"/>
      <c r="W707" s="34"/>
      <c r="X707" s="34"/>
      <c r="Y707" s="34"/>
      <c r="Z707" s="34"/>
      <c r="AA707" s="34"/>
    </row>
    <row r="708" spans="1:27" ht="13">
      <c r="A708" s="34"/>
      <c r="B708" s="52"/>
      <c r="C708" s="34"/>
      <c r="D708" s="34"/>
      <c r="E708" s="34"/>
      <c r="F708" s="34"/>
      <c r="G708" s="33"/>
      <c r="H708" s="34"/>
      <c r="I708" s="34"/>
      <c r="J708" s="33"/>
      <c r="K708" s="34"/>
      <c r="L708" s="34"/>
      <c r="M708" s="34"/>
      <c r="N708" s="34"/>
      <c r="O708" s="34"/>
      <c r="P708" s="34"/>
      <c r="Q708" s="34"/>
      <c r="R708" s="34"/>
      <c r="S708" s="34"/>
      <c r="T708" s="34"/>
      <c r="U708" s="34"/>
      <c r="V708" s="34"/>
      <c r="W708" s="34"/>
      <c r="X708" s="34"/>
      <c r="Y708" s="34"/>
      <c r="Z708" s="34"/>
      <c r="AA708" s="34"/>
    </row>
    <row r="709" spans="1:27" ht="13">
      <c r="A709" s="34"/>
      <c r="B709" s="52"/>
      <c r="C709" s="34"/>
      <c r="D709" s="34"/>
      <c r="E709" s="34"/>
      <c r="F709" s="34"/>
      <c r="G709" s="33"/>
      <c r="H709" s="34"/>
      <c r="I709" s="34"/>
      <c r="J709" s="33"/>
      <c r="K709" s="34"/>
      <c r="L709" s="34"/>
      <c r="M709" s="34"/>
      <c r="N709" s="34"/>
      <c r="O709" s="34"/>
      <c r="P709" s="34"/>
      <c r="Q709" s="34"/>
      <c r="R709" s="34"/>
      <c r="S709" s="34"/>
      <c r="T709" s="34"/>
      <c r="U709" s="34"/>
      <c r="V709" s="34"/>
      <c r="W709" s="34"/>
      <c r="X709" s="34"/>
      <c r="Y709" s="34"/>
      <c r="Z709" s="34"/>
      <c r="AA709" s="34"/>
    </row>
    <row r="710" spans="1:27" ht="13">
      <c r="A710" s="34"/>
      <c r="B710" s="52"/>
      <c r="C710" s="34"/>
      <c r="D710" s="34"/>
      <c r="E710" s="34"/>
      <c r="F710" s="34"/>
      <c r="G710" s="33"/>
      <c r="H710" s="34"/>
      <c r="I710" s="34"/>
      <c r="J710" s="33"/>
      <c r="K710" s="34"/>
      <c r="L710" s="34"/>
      <c r="M710" s="34"/>
      <c r="N710" s="34"/>
      <c r="O710" s="34"/>
      <c r="P710" s="34"/>
      <c r="Q710" s="34"/>
      <c r="R710" s="34"/>
      <c r="S710" s="34"/>
      <c r="T710" s="34"/>
      <c r="U710" s="34"/>
      <c r="V710" s="34"/>
      <c r="W710" s="34"/>
      <c r="X710" s="34"/>
      <c r="Y710" s="34"/>
      <c r="Z710" s="34"/>
      <c r="AA710" s="34"/>
    </row>
    <row r="711" spans="1:27" ht="13">
      <c r="A711" s="34"/>
      <c r="B711" s="52"/>
      <c r="C711" s="34"/>
      <c r="D711" s="34"/>
      <c r="E711" s="34"/>
      <c r="F711" s="34"/>
      <c r="G711" s="33"/>
      <c r="H711" s="34"/>
      <c r="I711" s="34"/>
      <c r="J711" s="33"/>
      <c r="K711" s="34"/>
      <c r="L711" s="34"/>
      <c r="M711" s="34"/>
      <c r="N711" s="34"/>
      <c r="O711" s="34"/>
      <c r="P711" s="34"/>
      <c r="Q711" s="34"/>
      <c r="R711" s="34"/>
      <c r="S711" s="34"/>
      <c r="T711" s="34"/>
      <c r="U711" s="34"/>
      <c r="V711" s="34"/>
      <c r="W711" s="34"/>
      <c r="X711" s="34"/>
      <c r="Y711" s="34"/>
      <c r="Z711" s="34"/>
      <c r="AA711" s="34"/>
    </row>
    <row r="712" spans="1:27" ht="13">
      <c r="A712" s="34"/>
      <c r="B712" s="52"/>
      <c r="C712" s="34"/>
      <c r="D712" s="34"/>
      <c r="E712" s="34"/>
      <c r="F712" s="34"/>
      <c r="G712" s="33"/>
      <c r="H712" s="34"/>
      <c r="I712" s="34"/>
      <c r="J712" s="33"/>
      <c r="K712" s="34"/>
      <c r="L712" s="34"/>
      <c r="M712" s="34"/>
      <c r="N712" s="34"/>
      <c r="O712" s="34"/>
      <c r="P712" s="34"/>
      <c r="Q712" s="34"/>
      <c r="R712" s="34"/>
      <c r="S712" s="34"/>
      <c r="T712" s="34"/>
      <c r="U712" s="34"/>
      <c r="V712" s="34"/>
      <c r="W712" s="34"/>
      <c r="X712" s="34"/>
      <c r="Y712" s="34"/>
      <c r="Z712" s="34"/>
      <c r="AA712" s="34"/>
    </row>
    <row r="713" spans="1:27" ht="13">
      <c r="A713" s="34"/>
      <c r="B713" s="52"/>
      <c r="C713" s="34"/>
      <c r="D713" s="34"/>
      <c r="E713" s="34"/>
      <c r="F713" s="34"/>
      <c r="G713" s="33"/>
      <c r="H713" s="34"/>
      <c r="I713" s="34"/>
      <c r="J713" s="33"/>
      <c r="K713" s="34"/>
      <c r="L713" s="34"/>
      <c r="M713" s="34"/>
      <c r="N713" s="34"/>
      <c r="O713" s="34"/>
      <c r="P713" s="34"/>
      <c r="Q713" s="34"/>
      <c r="R713" s="34"/>
      <c r="S713" s="34"/>
      <c r="T713" s="34"/>
      <c r="U713" s="34"/>
      <c r="V713" s="34"/>
      <c r="W713" s="34"/>
      <c r="X713" s="34"/>
      <c r="Y713" s="34"/>
      <c r="Z713" s="34"/>
      <c r="AA713" s="34"/>
    </row>
    <row r="714" spans="1:27" ht="13">
      <c r="A714" s="34"/>
      <c r="B714" s="52"/>
      <c r="C714" s="34"/>
      <c r="D714" s="34"/>
      <c r="E714" s="34"/>
      <c r="F714" s="34"/>
      <c r="G714" s="33"/>
      <c r="H714" s="34"/>
      <c r="I714" s="34"/>
      <c r="J714" s="33"/>
      <c r="K714" s="34"/>
      <c r="L714" s="34"/>
      <c r="M714" s="34"/>
      <c r="N714" s="34"/>
      <c r="O714" s="34"/>
      <c r="P714" s="34"/>
      <c r="Q714" s="34"/>
      <c r="R714" s="34"/>
      <c r="S714" s="34"/>
      <c r="T714" s="34"/>
      <c r="U714" s="34"/>
      <c r="V714" s="34"/>
      <c r="W714" s="34"/>
      <c r="X714" s="34"/>
      <c r="Y714" s="34"/>
      <c r="Z714" s="34"/>
      <c r="AA714" s="34"/>
    </row>
    <row r="715" spans="1:27" ht="13">
      <c r="A715" s="34"/>
      <c r="B715" s="52"/>
      <c r="C715" s="34"/>
      <c r="D715" s="34"/>
      <c r="E715" s="34"/>
      <c r="F715" s="34"/>
      <c r="G715" s="33"/>
      <c r="H715" s="34"/>
      <c r="I715" s="34"/>
      <c r="J715" s="33"/>
      <c r="K715" s="34"/>
      <c r="L715" s="34"/>
      <c r="M715" s="34"/>
      <c r="N715" s="34"/>
      <c r="O715" s="34"/>
      <c r="P715" s="34"/>
      <c r="Q715" s="34"/>
      <c r="R715" s="34"/>
      <c r="S715" s="34"/>
      <c r="T715" s="34"/>
      <c r="U715" s="34"/>
      <c r="V715" s="34"/>
      <c r="W715" s="34"/>
      <c r="X715" s="34"/>
      <c r="Y715" s="34"/>
      <c r="Z715" s="34"/>
      <c r="AA715" s="34"/>
    </row>
    <row r="716" spans="1:27" ht="13">
      <c r="A716" s="34"/>
      <c r="B716" s="52"/>
      <c r="C716" s="34"/>
      <c r="D716" s="34"/>
      <c r="E716" s="34"/>
      <c r="F716" s="34"/>
      <c r="G716" s="33"/>
      <c r="H716" s="34"/>
      <c r="I716" s="34"/>
      <c r="J716" s="33"/>
      <c r="K716" s="34"/>
      <c r="L716" s="34"/>
      <c r="M716" s="34"/>
      <c r="N716" s="34"/>
      <c r="O716" s="34"/>
      <c r="P716" s="34"/>
      <c r="Q716" s="34"/>
      <c r="R716" s="34"/>
      <c r="S716" s="34"/>
      <c r="T716" s="34"/>
      <c r="U716" s="34"/>
      <c r="V716" s="34"/>
      <c r="W716" s="34"/>
      <c r="X716" s="34"/>
      <c r="Y716" s="34"/>
      <c r="Z716" s="34"/>
      <c r="AA716" s="34"/>
    </row>
    <row r="717" spans="1:27" ht="13">
      <c r="A717" s="34"/>
      <c r="B717" s="52"/>
      <c r="C717" s="34"/>
      <c r="D717" s="34"/>
      <c r="E717" s="34"/>
      <c r="F717" s="34"/>
      <c r="G717" s="33"/>
      <c r="H717" s="34"/>
      <c r="I717" s="34"/>
      <c r="J717" s="33"/>
      <c r="K717" s="34"/>
      <c r="L717" s="34"/>
      <c r="M717" s="34"/>
      <c r="N717" s="34"/>
      <c r="O717" s="34"/>
      <c r="P717" s="34"/>
      <c r="Q717" s="34"/>
      <c r="R717" s="34"/>
      <c r="S717" s="34"/>
      <c r="T717" s="34"/>
      <c r="U717" s="34"/>
      <c r="V717" s="34"/>
      <c r="W717" s="34"/>
      <c r="X717" s="34"/>
      <c r="Y717" s="34"/>
      <c r="Z717" s="34"/>
      <c r="AA717" s="34"/>
    </row>
    <row r="718" spans="1:27" ht="13">
      <c r="A718" s="34"/>
      <c r="B718" s="52"/>
      <c r="C718" s="34"/>
      <c r="D718" s="34"/>
      <c r="E718" s="34"/>
      <c r="F718" s="34"/>
      <c r="G718" s="33"/>
      <c r="H718" s="34"/>
      <c r="I718" s="34"/>
      <c r="J718" s="33"/>
      <c r="K718" s="34"/>
      <c r="L718" s="34"/>
      <c r="M718" s="34"/>
      <c r="N718" s="34"/>
      <c r="O718" s="34"/>
      <c r="P718" s="34"/>
      <c r="Q718" s="34"/>
      <c r="R718" s="34"/>
      <c r="S718" s="34"/>
      <c r="T718" s="34"/>
      <c r="U718" s="34"/>
      <c r="V718" s="34"/>
      <c r="W718" s="34"/>
      <c r="X718" s="34"/>
      <c r="Y718" s="34"/>
      <c r="Z718" s="34"/>
      <c r="AA718" s="34"/>
    </row>
    <row r="719" spans="1:27" ht="13">
      <c r="A719" s="34"/>
      <c r="B719" s="52"/>
      <c r="C719" s="34"/>
      <c r="D719" s="34"/>
      <c r="E719" s="34"/>
      <c r="F719" s="34"/>
      <c r="G719" s="33"/>
      <c r="H719" s="34"/>
      <c r="I719" s="34"/>
      <c r="J719" s="33"/>
      <c r="K719" s="34"/>
      <c r="L719" s="34"/>
      <c r="M719" s="34"/>
      <c r="N719" s="34"/>
      <c r="O719" s="34"/>
      <c r="P719" s="34"/>
      <c r="Q719" s="34"/>
      <c r="R719" s="34"/>
      <c r="S719" s="34"/>
      <c r="T719" s="34"/>
      <c r="U719" s="34"/>
      <c r="V719" s="34"/>
      <c r="W719" s="34"/>
      <c r="X719" s="34"/>
      <c r="Y719" s="34"/>
      <c r="Z719" s="34"/>
      <c r="AA719" s="34"/>
    </row>
    <row r="720" spans="1:27" ht="13">
      <c r="A720" s="34"/>
      <c r="B720" s="52"/>
      <c r="C720" s="34"/>
      <c r="D720" s="34"/>
      <c r="E720" s="34"/>
      <c r="F720" s="34"/>
      <c r="G720" s="33"/>
      <c r="H720" s="34"/>
      <c r="I720" s="34"/>
      <c r="J720" s="33"/>
      <c r="K720" s="34"/>
      <c r="L720" s="34"/>
      <c r="M720" s="34"/>
      <c r="N720" s="34"/>
      <c r="O720" s="34"/>
      <c r="P720" s="34"/>
      <c r="Q720" s="34"/>
      <c r="R720" s="34"/>
      <c r="S720" s="34"/>
      <c r="T720" s="34"/>
      <c r="U720" s="34"/>
      <c r="V720" s="34"/>
      <c r="W720" s="34"/>
      <c r="X720" s="34"/>
      <c r="Y720" s="34"/>
      <c r="Z720" s="34"/>
      <c r="AA720" s="34"/>
    </row>
    <row r="721" spans="1:27" ht="13">
      <c r="A721" s="34"/>
      <c r="B721" s="52"/>
      <c r="C721" s="34"/>
      <c r="D721" s="34"/>
      <c r="E721" s="34"/>
      <c r="F721" s="34"/>
      <c r="G721" s="33"/>
      <c r="H721" s="34"/>
      <c r="I721" s="34"/>
      <c r="J721" s="33"/>
      <c r="K721" s="34"/>
      <c r="L721" s="34"/>
      <c r="M721" s="34"/>
      <c r="N721" s="34"/>
      <c r="O721" s="34"/>
      <c r="P721" s="34"/>
      <c r="Q721" s="34"/>
      <c r="R721" s="34"/>
      <c r="S721" s="34"/>
      <c r="T721" s="34"/>
      <c r="U721" s="34"/>
      <c r="V721" s="34"/>
      <c r="W721" s="34"/>
      <c r="X721" s="34"/>
      <c r="Y721" s="34"/>
      <c r="Z721" s="34"/>
      <c r="AA721" s="34"/>
    </row>
    <row r="722" spans="1:27" ht="13">
      <c r="A722" s="34"/>
      <c r="B722" s="52"/>
      <c r="C722" s="34"/>
      <c r="D722" s="34"/>
      <c r="E722" s="34"/>
      <c r="F722" s="34"/>
      <c r="G722" s="33"/>
      <c r="H722" s="34"/>
      <c r="I722" s="34"/>
      <c r="J722" s="33"/>
      <c r="K722" s="34"/>
      <c r="L722" s="34"/>
      <c r="M722" s="34"/>
      <c r="N722" s="34"/>
      <c r="O722" s="34"/>
      <c r="P722" s="34"/>
      <c r="Q722" s="34"/>
      <c r="R722" s="34"/>
      <c r="S722" s="34"/>
      <c r="T722" s="34"/>
      <c r="U722" s="34"/>
      <c r="V722" s="34"/>
      <c r="W722" s="34"/>
      <c r="X722" s="34"/>
      <c r="Y722" s="34"/>
      <c r="Z722" s="34"/>
      <c r="AA722" s="34"/>
    </row>
    <row r="723" spans="1:27" ht="13">
      <c r="A723" s="34"/>
      <c r="B723" s="52"/>
      <c r="C723" s="34"/>
      <c r="D723" s="34"/>
      <c r="E723" s="34"/>
      <c r="F723" s="34"/>
      <c r="G723" s="33"/>
      <c r="H723" s="34"/>
      <c r="I723" s="34"/>
      <c r="J723" s="33"/>
      <c r="K723" s="34"/>
      <c r="L723" s="34"/>
      <c r="M723" s="34"/>
      <c r="N723" s="34"/>
      <c r="O723" s="34"/>
      <c r="P723" s="34"/>
      <c r="Q723" s="34"/>
      <c r="R723" s="34"/>
      <c r="S723" s="34"/>
      <c r="T723" s="34"/>
      <c r="U723" s="34"/>
      <c r="V723" s="34"/>
      <c r="W723" s="34"/>
      <c r="X723" s="34"/>
      <c r="Y723" s="34"/>
      <c r="Z723" s="34"/>
      <c r="AA723" s="34"/>
    </row>
    <row r="724" spans="1:27" ht="13">
      <c r="A724" s="34"/>
      <c r="B724" s="52"/>
      <c r="C724" s="34"/>
      <c r="D724" s="34"/>
      <c r="E724" s="34"/>
      <c r="F724" s="34"/>
      <c r="G724" s="33"/>
      <c r="H724" s="34"/>
      <c r="I724" s="34"/>
      <c r="J724" s="33"/>
      <c r="K724" s="34"/>
      <c r="L724" s="34"/>
      <c r="M724" s="34"/>
      <c r="N724" s="34"/>
      <c r="O724" s="34"/>
      <c r="P724" s="34"/>
      <c r="Q724" s="34"/>
      <c r="R724" s="34"/>
      <c r="S724" s="34"/>
      <c r="T724" s="34"/>
      <c r="U724" s="34"/>
      <c r="V724" s="34"/>
      <c r="W724" s="34"/>
      <c r="X724" s="34"/>
      <c r="Y724" s="34"/>
      <c r="Z724" s="34"/>
      <c r="AA724" s="34"/>
    </row>
    <row r="725" spans="1:27" ht="13">
      <c r="A725" s="34"/>
      <c r="B725" s="52"/>
      <c r="C725" s="34"/>
      <c r="D725" s="34"/>
      <c r="E725" s="34"/>
      <c r="F725" s="34"/>
      <c r="G725" s="33"/>
      <c r="H725" s="34"/>
      <c r="I725" s="34"/>
      <c r="J725" s="33"/>
      <c r="K725" s="34"/>
      <c r="L725" s="34"/>
      <c r="M725" s="34"/>
      <c r="N725" s="34"/>
      <c r="O725" s="34"/>
      <c r="P725" s="34"/>
      <c r="Q725" s="34"/>
      <c r="R725" s="34"/>
      <c r="S725" s="34"/>
      <c r="T725" s="34"/>
      <c r="U725" s="34"/>
      <c r="V725" s="34"/>
      <c r="W725" s="34"/>
      <c r="X725" s="34"/>
      <c r="Y725" s="34"/>
      <c r="Z725" s="34"/>
      <c r="AA725" s="34"/>
    </row>
    <row r="726" spans="1:27" ht="13">
      <c r="A726" s="34"/>
      <c r="B726" s="52"/>
      <c r="C726" s="34"/>
      <c r="D726" s="34"/>
      <c r="E726" s="34"/>
      <c r="F726" s="34"/>
      <c r="G726" s="33"/>
      <c r="H726" s="34"/>
      <c r="I726" s="34"/>
      <c r="J726" s="33"/>
      <c r="K726" s="34"/>
      <c r="L726" s="34"/>
      <c r="M726" s="34"/>
      <c r="N726" s="34"/>
      <c r="O726" s="34"/>
      <c r="P726" s="34"/>
      <c r="Q726" s="34"/>
      <c r="R726" s="34"/>
      <c r="S726" s="34"/>
      <c r="T726" s="34"/>
      <c r="U726" s="34"/>
      <c r="V726" s="34"/>
      <c r="W726" s="34"/>
      <c r="X726" s="34"/>
      <c r="Y726" s="34"/>
      <c r="Z726" s="34"/>
      <c r="AA726" s="34"/>
    </row>
    <row r="727" spans="1:27" ht="13">
      <c r="A727" s="34"/>
      <c r="B727" s="52"/>
      <c r="C727" s="34"/>
      <c r="D727" s="34"/>
      <c r="E727" s="34"/>
      <c r="F727" s="34"/>
      <c r="G727" s="33"/>
      <c r="H727" s="34"/>
      <c r="I727" s="34"/>
      <c r="J727" s="33"/>
      <c r="K727" s="34"/>
      <c r="L727" s="34"/>
      <c r="M727" s="34"/>
      <c r="N727" s="34"/>
      <c r="O727" s="34"/>
      <c r="P727" s="34"/>
      <c r="Q727" s="34"/>
      <c r="R727" s="34"/>
      <c r="S727" s="34"/>
      <c r="T727" s="34"/>
      <c r="U727" s="34"/>
      <c r="V727" s="34"/>
      <c r="W727" s="34"/>
      <c r="X727" s="34"/>
      <c r="Y727" s="34"/>
      <c r="Z727" s="34"/>
      <c r="AA727" s="34"/>
    </row>
    <row r="728" spans="1:27" ht="13">
      <c r="A728" s="34"/>
      <c r="B728" s="52"/>
      <c r="C728" s="34"/>
      <c r="D728" s="34"/>
      <c r="E728" s="34"/>
      <c r="F728" s="34"/>
      <c r="G728" s="33"/>
      <c r="H728" s="34"/>
      <c r="I728" s="34"/>
      <c r="J728" s="33"/>
      <c r="K728" s="34"/>
      <c r="L728" s="34"/>
      <c r="M728" s="34"/>
      <c r="N728" s="34"/>
      <c r="O728" s="34"/>
      <c r="P728" s="34"/>
      <c r="Q728" s="34"/>
      <c r="R728" s="34"/>
      <c r="S728" s="34"/>
      <c r="T728" s="34"/>
      <c r="U728" s="34"/>
      <c r="V728" s="34"/>
      <c r="W728" s="34"/>
      <c r="X728" s="34"/>
      <c r="Y728" s="34"/>
      <c r="Z728" s="34"/>
      <c r="AA728" s="34"/>
    </row>
    <row r="729" spans="1:27" ht="13">
      <c r="A729" s="34"/>
      <c r="B729" s="52"/>
      <c r="C729" s="34"/>
      <c r="D729" s="34"/>
      <c r="E729" s="34"/>
      <c r="F729" s="34"/>
      <c r="G729" s="33"/>
      <c r="H729" s="34"/>
      <c r="I729" s="34"/>
      <c r="J729" s="33"/>
      <c r="K729" s="34"/>
      <c r="L729" s="34"/>
      <c r="M729" s="34"/>
      <c r="N729" s="34"/>
      <c r="O729" s="34"/>
      <c r="P729" s="34"/>
      <c r="Q729" s="34"/>
      <c r="R729" s="34"/>
      <c r="S729" s="34"/>
      <c r="T729" s="34"/>
      <c r="U729" s="34"/>
      <c r="V729" s="34"/>
      <c r="W729" s="34"/>
      <c r="X729" s="34"/>
      <c r="Y729" s="34"/>
      <c r="Z729" s="34"/>
      <c r="AA729" s="34"/>
    </row>
    <row r="730" spans="1:27" ht="13">
      <c r="A730" s="34"/>
      <c r="B730" s="52"/>
      <c r="C730" s="34"/>
      <c r="D730" s="34"/>
      <c r="E730" s="34"/>
      <c r="F730" s="34"/>
      <c r="G730" s="33"/>
      <c r="H730" s="34"/>
      <c r="I730" s="34"/>
      <c r="J730" s="33"/>
      <c r="K730" s="34"/>
      <c r="L730" s="34"/>
      <c r="M730" s="34"/>
      <c r="N730" s="34"/>
      <c r="O730" s="34"/>
      <c r="P730" s="34"/>
      <c r="Q730" s="34"/>
      <c r="R730" s="34"/>
      <c r="S730" s="34"/>
      <c r="T730" s="34"/>
      <c r="U730" s="34"/>
      <c r="V730" s="34"/>
      <c r="W730" s="34"/>
      <c r="X730" s="34"/>
      <c r="Y730" s="34"/>
      <c r="Z730" s="34"/>
      <c r="AA730" s="34"/>
    </row>
    <row r="731" spans="1:27" ht="13">
      <c r="A731" s="34"/>
      <c r="B731" s="52"/>
      <c r="C731" s="34"/>
      <c r="D731" s="34"/>
      <c r="E731" s="34"/>
      <c r="F731" s="34"/>
      <c r="G731" s="33"/>
      <c r="H731" s="34"/>
      <c r="I731" s="34"/>
      <c r="J731" s="33"/>
      <c r="K731" s="34"/>
      <c r="L731" s="34"/>
      <c r="M731" s="34"/>
      <c r="N731" s="34"/>
      <c r="O731" s="34"/>
      <c r="P731" s="34"/>
      <c r="Q731" s="34"/>
      <c r="R731" s="34"/>
      <c r="S731" s="34"/>
      <c r="T731" s="34"/>
      <c r="U731" s="34"/>
      <c r="V731" s="34"/>
      <c r="W731" s="34"/>
      <c r="X731" s="34"/>
      <c r="Y731" s="34"/>
      <c r="Z731" s="34"/>
      <c r="AA731" s="34"/>
    </row>
    <row r="732" spans="1:27" ht="13">
      <c r="A732" s="34"/>
      <c r="B732" s="52"/>
      <c r="C732" s="34"/>
      <c r="D732" s="34"/>
      <c r="E732" s="34"/>
      <c r="F732" s="34"/>
      <c r="G732" s="33"/>
      <c r="H732" s="34"/>
      <c r="I732" s="34"/>
      <c r="J732" s="33"/>
      <c r="K732" s="34"/>
      <c r="L732" s="34"/>
      <c r="M732" s="34"/>
      <c r="N732" s="34"/>
      <c r="O732" s="34"/>
      <c r="P732" s="34"/>
      <c r="Q732" s="34"/>
      <c r="R732" s="34"/>
      <c r="S732" s="34"/>
      <c r="T732" s="34"/>
      <c r="U732" s="34"/>
      <c r="V732" s="34"/>
      <c r="W732" s="34"/>
      <c r="X732" s="34"/>
      <c r="Y732" s="34"/>
      <c r="Z732" s="34"/>
      <c r="AA732" s="34"/>
    </row>
    <row r="733" spans="1:27" ht="13">
      <c r="A733" s="34"/>
      <c r="B733" s="52"/>
      <c r="C733" s="34"/>
      <c r="D733" s="34"/>
      <c r="E733" s="34"/>
      <c r="F733" s="34"/>
      <c r="G733" s="33"/>
      <c r="H733" s="34"/>
      <c r="I733" s="34"/>
      <c r="J733" s="33"/>
      <c r="K733" s="34"/>
      <c r="L733" s="34"/>
      <c r="M733" s="34"/>
      <c r="N733" s="34"/>
      <c r="O733" s="34"/>
      <c r="P733" s="34"/>
      <c r="Q733" s="34"/>
      <c r="R733" s="34"/>
      <c r="S733" s="34"/>
      <c r="T733" s="34"/>
      <c r="U733" s="34"/>
      <c r="V733" s="34"/>
      <c r="W733" s="34"/>
      <c r="X733" s="34"/>
      <c r="Y733" s="34"/>
      <c r="Z733" s="34"/>
      <c r="AA733" s="34"/>
    </row>
    <row r="734" spans="1:27" ht="13">
      <c r="A734" s="34"/>
      <c r="B734" s="52"/>
      <c r="C734" s="34"/>
      <c r="D734" s="34"/>
      <c r="E734" s="34"/>
      <c r="F734" s="34"/>
      <c r="G734" s="33"/>
      <c r="H734" s="34"/>
      <c r="I734" s="34"/>
      <c r="J734" s="33"/>
      <c r="K734" s="34"/>
      <c r="L734" s="34"/>
      <c r="M734" s="34"/>
      <c r="N734" s="34"/>
      <c r="O734" s="34"/>
      <c r="P734" s="34"/>
      <c r="Q734" s="34"/>
      <c r="R734" s="34"/>
      <c r="S734" s="34"/>
      <c r="T734" s="34"/>
      <c r="U734" s="34"/>
      <c r="V734" s="34"/>
      <c r="W734" s="34"/>
      <c r="X734" s="34"/>
      <c r="Y734" s="34"/>
      <c r="Z734" s="34"/>
      <c r="AA734" s="34"/>
    </row>
    <row r="735" spans="1:27" ht="13">
      <c r="A735" s="34"/>
      <c r="B735" s="52"/>
      <c r="C735" s="34"/>
      <c r="D735" s="34"/>
      <c r="E735" s="34"/>
      <c r="F735" s="34"/>
      <c r="G735" s="33"/>
      <c r="H735" s="34"/>
      <c r="I735" s="34"/>
      <c r="J735" s="33"/>
      <c r="K735" s="34"/>
      <c r="L735" s="34"/>
      <c r="M735" s="34"/>
      <c r="N735" s="34"/>
      <c r="O735" s="34"/>
      <c r="P735" s="34"/>
      <c r="Q735" s="34"/>
      <c r="R735" s="34"/>
      <c r="S735" s="34"/>
      <c r="T735" s="34"/>
      <c r="U735" s="34"/>
      <c r="V735" s="34"/>
      <c r="W735" s="34"/>
      <c r="X735" s="34"/>
      <c r="Y735" s="34"/>
      <c r="Z735" s="34"/>
      <c r="AA735" s="34"/>
    </row>
    <row r="736" spans="1:27" ht="13">
      <c r="A736" s="34"/>
      <c r="B736" s="52"/>
      <c r="C736" s="34"/>
      <c r="D736" s="34"/>
      <c r="E736" s="34"/>
      <c r="F736" s="34"/>
      <c r="G736" s="33"/>
      <c r="H736" s="34"/>
      <c r="I736" s="34"/>
      <c r="J736" s="33"/>
      <c r="K736" s="34"/>
      <c r="L736" s="34"/>
      <c r="M736" s="34"/>
      <c r="N736" s="34"/>
      <c r="O736" s="34"/>
      <c r="P736" s="34"/>
      <c r="Q736" s="34"/>
      <c r="R736" s="34"/>
      <c r="S736" s="34"/>
      <c r="T736" s="34"/>
      <c r="U736" s="34"/>
      <c r="V736" s="34"/>
      <c r="W736" s="34"/>
      <c r="X736" s="34"/>
      <c r="Y736" s="34"/>
      <c r="Z736" s="34"/>
      <c r="AA736" s="34"/>
    </row>
    <row r="737" spans="1:27" ht="13">
      <c r="A737" s="34"/>
      <c r="B737" s="52"/>
      <c r="C737" s="34"/>
      <c r="D737" s="34"/>
      <c r="E737" s="34"/>
      <c r="F737" s="34"/>
      <c r="G737" s="33"/>
      <c r="H737" s="34"/>
      <c r="I737" s="34"/>
      <c r="J737" s="33"/>
      <c r="K737" s="34"/>
      <c r="L737" s="34"/>
      <c r="M737" s="34"/>
      <c r="N737" s="34"/>
      <c r="O737" s="34"/>
      <c r="P737" s="34"/>
      <c r="Q737" s="34"/>
      <c r="R737" s="34"/>
      <c r="S737" s="34"/>
      <c r="T737" s="34"/>
      <c r="U737" s="34"/>
      <c r="V737" s="34"/>
      <c r="W737" s="34"/>
      <c r="X737" s="34"/>
      <c r="Y737" s="34"/>
      <c r="Z737" s="34"/>
      <c r="AA737" s="34"/>
    </row>
    <row r="738" spans="1:27" ht="13">
      <c r="A738" s="34"/>
      <c r="B738" s="52"/>
      <c r="C738" s="34"/>
      <c r="D738" s="34"/>
      <c r="E738" s="34"/>
      <c r="F738" s="34"/>
      <c r="G738" s="33"/>
      <c r="H738" s="34"/>
      <c r="I738" s="34"/>
      <c r="J738" s="33"/>
      <c r="K738" s="34"/>
      <c r="L738" s="34"/>
      <c r="M738" s="34"/>
      <c r="N738" s="34"/>
      <c r="O738" s="34"/>
      <c r="P738" s="34"/>
      <c r="Q738" s="34"/>
      <c r="R738" s="34"/>
      <c r="S738" s="34"/>
      <c r="T738" s="34"/>
      <c r="U738" s="34"/>
      <c r="V738" s="34"/>
      <c r="W738" s="34"/>
      <c r="X738" s="34"/>
      <c r="Y738" s="34"/>
      <c r="Z738" s="34"/>
      <c r="AA738" s="34"/>
    </row>
    <row r="739" spans="1:27" ht="13">
      <c r="A739" s="34"/>
      <c r="B739" s="52"/>
      <c r="C739" s="34"/>
      <c r="D739" s="34"/>
      <c r="E739" s="34"/>
      <c r="F739" s="34"/>
      <c r="G739" s="33"/>
      <c r="H739" s="34"/>
      <c r="I739" s="34"/>
      <c r="J739" s="33"/>
      <c r="K739" s="34"/>
      <c r="L739" s="34"/>
      <c r="M739" s="34"/>
      <c r="N739" s="34"/>
      <c r="O739" s="34"/>
      <c r="P739" s="34"/>
      <c r="Q739" s="34"/>
      <c r="R739" s="34"/>
      <c r="S739" s="34"/>
      <c r="T739" s="34"/>
      <c r="U739" s="34"/>
      <c r="V739" s="34"/>
      <c r="W739" s="34"/>
      <c r="X739" s="34"/>
      <c r="Y739" s="34"/>
      <c r="Z739" s="34"/>
      <c r="AA739" s="34"/>
    </row>
    <row r="740" spans="1:27" ht="13">
      <c r="A740" s="34"/>
      <c r="B740" s="52"/>
      <c r="C740" s="34"/>
      <c r="D740" s="34"/>
      <c r="E740" s="34"/>
      <c r="F740" s="34"/>
      <c r="G740" s="33"/>
      <c r="H740" s="34"/>
      <c r="I740" s="34"/>
      <c r="J740" s="33"/>
      <c r="K740" s="34"/>
      <c r="L740" s="34"/>
      <c r="M740" s="34"/>
      <c r="N740" s="34"/>
      <c r="O740" s="34"/>
      <c r="P740" s="34"/>
      <c r="Q740" s="34"/>
      <c r="R740" s="34"/>
      <c r="S740" s="34"/>
      <c r="T740" s="34"/>
      <c r="U740" s="34"/>
      <c r="V740" s="34"/>
      <c r="W740" s="34"/>
      <c r="X740" s="34"/>
      <c r="Y740" s="34"/>
      <c r="Z740" s="34"/>
      <c r="AA740" s="34"/>
    </row>
    <row r="741" spans="1:27" ht="13">
      <c r="A741" s="34"/>
      <c r="B741" s="52"/>
      <c r="C741" s="34"/>
      <c r="D741" s="34"/>
      <c r="E741" s="34"/>
      <c r="F741" s="34"/>
      <c r="G741" s="33"/>
      <c r="H741" s="34"/>
      <c r="I741" s="34"/>
      <c r="J741" s="33"/>
      <c r="K741" s="34"/>
      <c r="L741" s="34"/>
      <c r="M741" s="34"/>
      <c r="N741" s="34"/>
      <c r="O741" s="34"/>
      <c r="P741" s="34"/>
      <c r="Q741" s="34"/>
      <c r="R741" s="34"/>
      <c r="S741" s="34"/>
      <c r="T741" s="34"/>
      <c r="U741" s="34"/>
      <c r="V741" s="34"/>
      <c r="W741" s="34"/>
      <c r="X741" s="34"/>
      <c r="Y741" s="34"/>
      <c r="Z741" s="34"/>
      <c r="AA741" s="34"/>
    </row>
    <row r="742" spans="1:27" ht="13">
      <c r="A742" s="34"/>
      <c r="B742" s="52"/>
      <c r="C742" s="34"/>
      <c r="D742" s="34"/>
      <c r="E742" s="34"/>
      <c r="F742" s="34"/>
      <c r="G742" s="33"/>
      <c r="H742" s="34"/>
      <c r="I742" s="34"/>
      <c r="J742" s="33"/>
      <c r="K742" s="34"/>
      <c r="L742" s="34"/>
      <c r="M742" s="34"/>
      <c r="N742" s="34"/>
      <c r="O742" s="34"/>
      <c r="P742" s="34"/>
      <c r="Q742" s="34"/>
      <c r="R742" s="34"/>
      <c r="S742" s="34"/>
      <c r="T742" s="34"/>
      <c r="U742" s="34"/>
      <c r="V742" s="34"/>
      <c r="W742" s="34"/>
      <c r="X742" s="34"/>
      <c r="Y742" s="34"/>
      <c r="Z742" s="34"/>
      <c r="AA742" s="34"/>
    </row>
    <row r="743" spans="1:27" ht="13">
      <c r="A743" s="34"/>
      <c r="B743" s="52"/>
      <c r="C743" s="34"/>
      <c r="D743" s="34"/>
      <c r="E743" s="34"/>
      <c r="F743" s="34"/>
      <c r="G743" s="33"/>
      <c r="H743" s="34"/>
      <c r="I743" s="34"/>
      <c r="J743" s="33"/>
      <c r="K743" s="34"/>
      <c r="L743" s="34"/>
      <c r="M743" s="34"/>
      <c r="N743" s="34"/>
      <c r="O743" s="34"/>
      <c r="P743" s="34"/>
      <c r="Q743" s="34"/>
      <c r="R743" s="34"/>
      <c r="S743" s="34"/>
      <c r="T743" s="34"/>
      <c r="U743" s="34"/>
      <c r="V743" s="34"/>
      <c r="W743" s="34"/>
      <c r="X743" s="34"/>
      <c r="Y743" s="34"/>
      <c r="Z743" s="34"/>
      <c r="AA743" s="34"/>
    </row>
    <row r="744" spans="1:27" ht="13">
      <c r="A744" s="34"/>
      <c r="B744" s="52"/>
      <c r="C744" s="34"/>
      <c r="D744" s="34"/>
      <c r="E744" s="34"/>
      <c r="F744" s="34"/>
      <c r="G744" s="33"/>
      <c r="H744" s="34"/>
      <c r="I744" s="34"/>
      <c r="J744" s="33"/>
      <c r="K744" s="34"/>
      <c r="L744" s="34"/>
      <c r="M744" s="34"/>
      <c r="N744" s="34"/>
      <c r="O744" s="34"/>
      <c r="P744" s="34"/>
      <c r="Q744" s="34"/>
      <c r="R744" s="34"/>
      <c r="S744" s="34"/>
      <c r="T744" s="34"/>
      <c r="U744" s="34"/>
      <c r="V744" s="34"/>
      <c r="W744" s="34"/>
      <c r="X744" s="34"/>
      <c r="Y744" s="34"/>
      <c r="Z744" s="34"/>
      <c r="AA744" s="34"/>
    </row>
    <row r="745" spans="1:27" ht="13">
      <c r="A745" s="34"/>
      <c r="B745" s="52"/>
      <c r="C745" s="34"/>
      <c r="D745" s="34"/>
      <c r="E745" s="34"/>
      <c r="F745" s="34"/>
      <c r="G745" s="33"/>
      <c r="H745" s="34"/>
      <c r="I745" s="34"/>
      <c r="J745" s="33"/>
      <c r="K745" s="34"/>
      <c r="L745" s="34"/>
      <c r="M745" s="34"/>
      <c r="N745" s="34"/>
      <c r="O745" s="34"/>
      <c r="P745" s="34"/>
      <c r="Q745" s="34"/>
      <c r="R745" s="34"/>
      <c r="S745" s="34"/>
      <c r="T745" s="34"/>
      <c r="U745" s="34"/>
      <c r="V745" s="34"/>
      <c r="W745" s="34"/>
      <c r="X745" s="34"/>
      <c r="Y745" s="34"/>
      <c r="Z745" s="34"/>
      <c r="AA745" s="34"/>
    </row>
    <row r="746" spans="1:27" ht="13">
      <c r="A746" s="34"/>
      <c r="B746" s="52"/>
      <c r="C746" s="34"/>
      <c r="D746" s="34"/>
      <c r="E746" s="34"/>
      <c r="F746" s="34"/>
      <c r="G746" s="33"/>
      <c r="H746" s="34"/>
      <c r="I746" s="34"/>
      <c r="J746" s="33"/>
      <c r="K746" s="34"/>
      <c r="L746" s="34"/>
      <c r="M746" s="34"/>
      <c r="N746" s="34"/>
      <c r="O746" s="34"/>
      <c r="P746" s="34"/>
      <c r="Q746" s="34"/>
      <c r="R746" s="34"/>
      <c r="S746" s="34"/>
      <c r="T746" s="34"/>
      <c r="U746" s="34"/>
      <c r="V746" s="34"/>
      <c r="W746" s="34"/>
      <c r="X746" s="34"/>
      <c r="Y746" s="34"/>
      <c r="Z746" s="34"/>
      <c r="AA746" s="34"/>
    </row>
    <row r="747" spans="1:27" ht="13">
      <c r="A747" s="34"/>
      <c r="B747" s="52"/>
      <c r="C747" s="34"/>
      <c r="D747" s="34"/>
      <c r="E747" s="34"/>
      <c r="F747" s="34"/>
      <c r="G747" s="33"/>
      <c r="H747" s="34"/>
      <c r="I747" s="34"/>
      <c r="J747" s="33"/>
      <c r="K747" s="34"/>
      <c r="L747" s="34"/>
      <c r="M747" s="34"/>
      <c r="N747" s="34"/>
      <c r="O747" s="34"/>
      <c r="P747" s="34"/>
      <c r="Q747" s="34"/>
      <c r="R747" s="34"/>
      <c r="S747" s="34"/>
      <c r="T747" s="34"/>
      <c r="U747" s="34"/>
      <c r="V747" s="34"/>
      <c r="W747" s="34"/>
      <c r="X747" s="34"/>
      <c r="Y747" s="34"/>
      <c r="Z747" s="34"/>
      <c r="AA747" s="34"/>
    </row>
    <row r="748" spans="1:27" ht="13">
      <c r="A748" s="34"/>
      <c r="B748" s="52"/>
      <c r="C748" s="34"/>
      <c r="D748" s="34"/>
      <c r="E748" s="34"/>
      <c r="F748" s="34"/>
      <c r="G748" s="33"/>
      <c r="H748" s="34"/>
      <c r="I748" s="34"/>
      <c r="J748" s="33"/>
      <c r="K748" s="34"/>
      <c r="L748" s="34"/>
      <c r="M748" s="34"/>
      <c r="N748" s="34"/>
      <c r="O748" s="34"/>
      <c r="P748" s="34"/>
      <c r="Q748" s="34"/>
      <c r="R748" s="34"/>
      <c r="S748" s="34"/>
      <c r="T748" s="34"/>
      <c r="U748" s="34"/>
      <c r="V748" s="34"/>
      <c r="W748" s="34"/>
      <c r="X748" s="34"/>
      <c r="Y748" s="34"/>
      <c r="Z748" s="34"/>
      <c r="AA748" s="34"/>
    </row>
    <row r="749" spans="1:27" ht="13">
      <c r="A749" s="34"/>
      <c r="B749" s="52"/>
      <c r="C749" s="34"/>
      <c r="D749" s="34"/>
      <c r="E749" s="34"/>
      <c r="F749" s="34"/>
      <c r="G749" s="33"/>
      <c r="H749" s="34"/>
      <c r="I749" s="34"/>
      <c r="J749" s="33"/>
      <c r="K749" s="34"/>
      <c r="L749" s="34"/>
      <c r="M749" s="34"/>
      <c r="N749" s="34"/>
      <c r="O749" s="34"/>
      <c r="P749" s="34"/>
      <c r="Q749" s="34"/>
      <c r="R749" s="34"/>
      <c r="S749" s="34"/>
      <c r="T749" s="34"/>
      <c r="U749" s="34"/>
      <c r="V749" s="34"/>
      <c r="W749" s="34"/>
      <c r="X749" s="34"/>
      <c r="Y749" s="34"/>
      <c r="Z749" s="34"/>
      <c r="AA749" s="34"/>
    </row>
    <row r="750" spans="1:27" ht="13">
      <c r="A750" s="34"/>
      <c r="B750" s="52"/>
      <c r="C750" s="34"/>
      <c r="D750" s="34"/>
      <c r="E750" s="34"/>
      <c r="F750" s="34"/>
      <c r="G750" s="33"/>
      <c r="H750" s="34"/>
      <c r="I750" s="34"/>
      <c r="J750" s="33"/>
      <c r="K750" s="34"/>
      <c r="L750" s="34"/>
      <c r="M750" s="34"/>
      <c r="N750" s="34"/>
      <c r="O750" s="34"/>
      <c r="P750" s="34"/>
      <c r="Q750" s="34"/>
      <c r="R750" s="34"/>
      <c r="S750" s="34"/>
      <c r="T750" s="34"/>
      <c r="U750" s="34"/>
      <c r="V750" s="34"/>
      <c r="W750" s="34"/>
      <c r="X750" s="34"/>
      <c r="Y750" s="34"/>
      <c r="Z750" s="34"/>
      <c r="AA750" s="34"/>
    </row>
    <row r="751" spans="1:27" ht="13">
      <c r="A751" s="34"/>
      <c r="B751" s="52"/>
      <c r="C751" s="34"/>
      <c r="D751" s="34"/>
      <c r="E751" s="34"/>
      <c r="F751" s="34"/>
      <c r="G751" s="33"/>
      <c r="H751" s="34"/>
      <c r="I751" s="34"/>
      <c r="J751" s="33"/>
      <c r="K751" s="34"/>
      <c r="L751" s="34"/>
      <c r="M751" s="34"/>
      <c r="N751" s="34"/>
      <c r="O751" s="34"/>
      <c r="P751" s="34"/>
      <c r="Q751" s="34"/>
      <c r="R751" s="34"/>
      <c r="S751" s="34"/>
      <c r="T751" s="34"/>
      <c r="U751" s="34"/>
      <c r="V751" s="34"/>
      <c r="W751" s="34"/>
      <c r="X751" s="34"/>
      <c r="Y751" s="34"/>
      <c r="Z751" s="34"/>
      <c r="AA751" s="34"/>
    </row>
    <row r="752" spans="1:27" ht="13">
      <c r="A752" s="34"/>
      <c r="B752" s="52"/>
      <c r="C752" s="34"/>
      <c r="D752" s="34"/>
      <c r="E752" s="34"/>
      <c r="F752" s="34"/>
      <c r="G752" s="33"/>
      <c r="H752" s="34"/>
      <c r="I752" s="34"/>
      <c r="J752" s="33"/>
      <c r="K752" s="34"/>
      <c r="L752" s="34"/>
      <c r="M752" s="34"/>
      <c r="N752" s="34"/>
      <c r="O752" s="34"/>
      <c r="P752" s="34"/>
      <c r="Q752" s="34"/>
      <c r="R752" s="34"/>
      <c r="S752" s="34"/>
      <c r="T752" s="34"/>
      <c r="U752" s="34"/>
      <c r="V752" s="34"/>
      <c r="W752" s="34"/>
      <c r="X752" s="34"/>
      <c r="Y752" s="34"/>
      <c r="Z752" s="34"/>
      <c r="AA752" s="34"/>
    </row>
    <row r="753" spans="1:27" ht="13">
      <c r="A753" s="34"/>
      <c r="B753" s="52"/>
      <c r="C753" s="34"/>
      <c r="D753" s="34"/>
      <c r="E753" s="34"/>
      <c r="F753" s="34"/>
      <c r="G753" s="33"/>
      <c r="H753" s="34"/>
      <c r="I753" s="34"/>
      <c r="J753" s="33"/>
      <c r="K753" s="34"/>
      <c r="L753" s="34"/>
      <c r="M753" s="34"/>
      <c r="N753" s="34"/>
      <c r="O753" s="34"/>
      <c r="P753" s="34"/>
      <c r="Q753" s="34"/>
      <c r="R753" s="34"/>
      <c r="S753" s="34"/>
      <c r="T753" s="34"/>
      <c r="U753" s="34"/>
      <c r="V753" s="34"/>
      <c r="W753" s="34"/>
      <c r="X753" s="34"/>
      <c r="Y753" s="34"/>
      <c r="Z753" s="34"/>
      <c r="AA753" s="34"/>
    </row>
    <row r="754" spans="1:27" ht="13">
      <c r="A754" s="34"/>
      <c r="B754" s="52"/>
      <c r="C754" s="34"/>
      <c r="D754" s="34"/>
      <c r="E754" s="34"/>
      <c r="F754" s="34"/>
      <c r="G754" s="33"/>
      <c r="H754" s="34"/>
      <c r="I754" s="34"/>
      <c r="J754" s="33"/>
      <c r="K754" s="34"/>
      <c r="L754" s="34"/>
      <c r="M754" s="34"/>
      <c r="N754" s="34"/>
      <c r="O754" s="34"/>
      <c r="P754" s="34"/>
      <c r="Q754" s="34"/>
      <c r="R754" s="34"/>
      <c r="S754" s="34"/>
      <c r="T754" s="34"/>
      <c r="U754" s="34"/>
      <c r="V754" s="34"/>
      <c r="W754" s="34"/>
      <c r="X754" s="34"/>
      <c r="Y754" s="34"/>
      <c r="Z754" s="34"/>
      <c r="AA754" s="34"/>
    </row>
    <row r="755" spans="1:27" ht="13">
      <c r="A755" s="34"/>
      <c r="B755" s="52"/>
      <c r="C755" s="34"/>
      <c r="D755" s="34"/>
      <c r="E755" s="34"/>
      <c r="F755" s="34"/>
      <c r="G755" s="33"/>
      <c r="H755" s="34"/>
      <c r="I755" s="34"/>
      <c r="J755" s="33"/>
      <c r="K755" s="34"/>
      <c r="L755" s="34"/>
      <c r="M755" s="34"/>
      <c r="N755" s="34"/>
      <c r="O755" s="34"/>
      <c r="P755" s="34"/>
      <c r="Q755" s="34"/>
      <c r="R755" s="34"/>
      <c r="S755" s="34"/>
      <c r="T755" s="34"/>
      <c r="U755" s="34"/>
      <c r="V755" s="34"/>
      <c r="W755" s="34"/>
      <c r="X755" s="34"/>
      <c r="Y755" s="34"/>
      <c r="Z755" s="34"/>
      <c r="AA755" s="34"/>
    </row>
    <row r="756" spans="1:27" ht="13">
      <c r="A756" s="34"/>
      <c r="B756" s="52"/>
      <c r="C756" s="34"/>
      <c r="D756" s="34"/>
      <c r="E756" s="34"/>
      <c r="F756" s="34"/>
      <c r="G756" s="33"/>
      <c r="H756" s="34"/>
      <c r="I756" s="34"/>
      <c r="J756" s="33"/>
      <c r="K756" s="34"/>
      <c r="L756" s="34"/>
      <c r="M756" s="34"/>
      <c r="N756" s="34"/>
      <c r="O756" s="34"/>
      <c r="P756" s="34"/>
      <c r="Q756" s="34"/>
      <c r="R756" s="34"/>
      <c r="S756" s="34"/>
      <c r="T756" s="34"/>
      <c r="U756" s="34"/>
      <c r="V756" s="34"/>
      <c r="W756" s="34"/>
      <c r="X756" s="34"/>
      <c r="Y756" s="34"/>
      <c r="Z756" s="34"/>
      <c r="AA756" s="34"/>
    </row>
    <row r="757" spans="1:27" ht="13">
      <c r="A757" s="34"/>
      <c r="B757" s="52"/>
      <c r="C757" s="34"/>
      <c r="D757" s="34"/>
      <c r="E757" s="34"/>
      <c r="F757" s="34"/>
      <c r="G757" s="33"/>
      <c r="H757" s="34"/>
      <c r="I757" s="34"/>
      <c r="J757" s="33"/>
      <c r="K757" s="34"/>
      <c r="L757" s="34"/>
      <c r="M757" s="34"/>
      <c r="N757" s="34"/>
      <c r="O757" s="34"/>
      <c r="P757" s="34"/>
      <c r="Q757" s="34"/>
      <c r="R757" s="34"/>
      <c r="S757" s="34"/>
      <c r="T757" s="34"/>
      <c r="U757" s="34"/>
      <c r="V757" s="34"/>
      <c r="W757" s="34"/>
      <c r="X757" s="34"/>
      <c r="Y757" s="34"/>
      <c r="Z757" s="34"/>
      <c r="AA757" s="34"/>
    </row>
    <row r="758" spans="1:27" ht="13">
      <c r="A758" s="34"/>
      <c r="B758" s="52"/>
      <c r="C758" s="34"/>
      <c r="D758" s="34"/>
      <c r="E758" s="34"/>
      <c r="F758" s="34"/>
      <c r="G758" s="33"/>
      <c r="H758" s="34"/>
      <c r="I758" s="34"/>
      <c r="J758" s="33"/>
      <c r="K758" s="34"/>
      <c r="L758" s="34"/>
      <c r="M758" s="34"/>
      <c r="N758" s="34"/>
      <c r="O758" s="34"/>
      <c r="P758" s="34"/>
      <c r="Q758" s="34"/>
      <c r="R758" s="34"/>
      <c r="S758" s="34"/>
      <c r="T758" s="34"/>
      <c r="U758" s="34"/>
      <c r="V758" s="34"/>
      <c r="W758" s="34"/>
      <c r="X758" s="34"/>
      <c r="Y758" s="34"/>
      <c r="Z758" s="34"/>
      <c r="AA758" s="34"/>
    </row>
    <row r="759" spans="1:27" ht="13">
      <c r="A759" s="34"/>
      <c r="B759" s="52"/>
      <c r="C759" s="34"/>
      <c r="D759" s="34"/>
      <c r="E759" s="34"/>
      <c r="F759" s="34"/>
      <c r="G759" s="33"/>
      <c r="H759" s="34"/>
      <c r="I759" s="34"/>
      <c r="J759" s="33"/>
      <c r="K759" s="34"/>
      <c r="L759" s="34"/>
      <c r="M759" s="34"/>
      <c r="N759" s="34"/>
      <c r="O759" s="34"/>
      <c r="P759" s="34"/>
      <c r="Q759" s="34"/>
      <c r="R759" s="34"/>
      <c r="S759" s="34"/>
      <c r="T759" s="34"/>
      <c r="U759" s="34"/>
      <c r="V759" s="34"/>
      <c r="W759" s="34"/>
      <c r="X759" s="34"/>
      <c r="Y759" s="34"/>
      <c r="Z759" s="34"/>
      <c r="AA759" s="34"/>
    </row>
    <row r="760" spans="1:27" ht="13">
      <c r="A760" s="34"/>
      <c r="B760" s="52"/>
      <c r="C760" s="34"/>
      <c r="D760" s="34"/>
      <c r="E760" s="34"/>
      <c r="F760" s="34"/>
      <c r="G760" s="33"/>
      <c r="H760" s="34"/>
      <c r="I760" s="34"/>
      <c r="J760" s="33"/>
      <c r="K760" s="34"/>
      <c r="L760" s="34"/>
      <c r="M760" s="34"/>
      <c r="N760" s="34"/>
      <c r="O760" s="34"/>
      <c r="P760" s="34"/>
      <c r="Q760" s="34"/>
      <c r="R760" s="34"/>
      <c r="S760" s="34"/>
      <c r="T760" s="34"/>
      <c r="U760" s="34"/>
      <c r="V760" s="34"/>
      <c r="W760" s="34"/>
      <c r="X760" s="34"/>
      <c r="Y760" s="34"/>
      <c r="Z760" s="34"/>
      <c r="AA760" s="34"/>
    </row>
    <row r="761" spans="1:27" ht="13">
      <c r="A761" s="34"/>
      <c r="B761" s="52"/>
      <c r="C761" s="34"/>
      <c r="D761" s="34"/>
      <c r="E761" s="34"/>
      <c r="F761" s="34"/>
      <c r="G761" s="33"/>
      <c r="H761" s="34"/>
      <c r="I761" s="34"/>
      <c r="J761" s="33"/>
      <c r="K761" s="34"/>
      <c r="L761" s="34"/>
      <c r="M761" s="34"/>
      <c r="N761" s="34"/>
      <c r="O761" s="34"/>
      <c r="P761" s="34"/>
      <c r="Q761" s="34"/>
      <c r="R761" s="34"/>
      <c r="S761" s="34"/>
      <c r="T761" s="34"/>
      <c r="U761" s="34"/>
      <c r="V761" s="34"/>
      <c r="W761" s="34"/>
      <c r="X761" s="34"/>
      <c r="Y761" s="34"/>
      <c r="Z761" s="34"/>
      <c r="AA761" s="34"/>
    </row>
    <row r="762" spans="1:27" ht="13">
      <c r="A762" s="34"/>
      <c r="B762" s="52"/>
      <c r="C762" s="34"/>
      <c r="D762" s="34"/>
      <c r="E762" s="34"/>
      <c r="F762" s="34"/>
      <c r="G762" s="33"/>
      <c r="H762" s="34"/>
      <c r="I762" s="34"/>
      <c r="J762" s="33"/>
      <c r="K762" s="34"/>
      <c r="L762" s="34"/>
      <c r="M762" s="34"/>
      <c r="N762" s="34"/>
      <c r="O762" s="34"/>
      <c r="P762" s="34"/>
      <c r="Q762" s="34"/>
      <c r="R762" s="34"/>
      <c r="S762" s="34"/>
      <c r="T762" s="34"/>
      <c r="U762" s="34"/>
      <c r="V762" s="34"/>
      <c r="W762" s="34"/>
      <c r="X762" s="34"/>
      <c r="Y762" s="34"/>
      <c r="Z762" s="34"/>
      <c r="AA762" s="34"/>
    </row>
    <row r="763" spans="1:27" ht="13">
      <c r="A763" s="34"/>
      <c r="B763" s="52"/>
      <c r="C763" s="34"/>
      <c r="D763" s="34"/>
      <c r="E763" s="34"/>
      <c r="F763" s="34"/>
      <c r="G763" s="33"/>
      <c r="H763" s="34"/>
      <c r="I763" s="34"/>
      <c r="J763" s="33"/>
      <c r="K763" s="34"/>
      <c r="L763" s="34"/>
      <c r="M763" s="34"/>
      <c r="N763" s="34"/>
      <c r="O763" s="34"/>
      <c r="P763" s="34"/>
      <c r="Q763" s="34"/>
      <c r="R763" s="34"/>
      <c r="S763" s="34"/>
      <c r="T763" s="34"/>
      <c r="U763" s="34"/>
      <c r="V763" s="34"/>
      <c r="W763" s="34"/>
      <c r="X763" s="34"/>
      <c r="Y763" s="34"/>
      <c r="Z763" s="34"/>
      <c r="AA763" s="34"/>
    </row>
    <row r="764" spans="1:27" ht="13">
      <c r="A764" s="34"/>
      <c r="B764" s="52"/>
      <c r="C764" s="34"/>
      <c r="D764" s="34"/>
      <c r="E764" s="34"/>
      <c r="F764" s="34"/>
      <c r="G764" s="33"/>
      <c r="H764" s="34"/>
      <c r="I764" s="34"/>
      <c r="J764" s="33"/>
      <c r="K764" s="34"/>
      <c r="L764" s="34"/>
      <c r="M764" s="34"/>
      <c r="N764" s="34"/>
      <c r="O764" s="34"/>
      <c r="P764" s="34"/>
      <c r="Q764" s="34"/>
      <c r="R764" s="34"/>
      <c r="S764" s="34"/>
      <c r="T764" s="34"/>
      <c r="U764" s="34"/>
      <c r="V764" s="34"/>
      <c r="W764" s="34"/>
      <c r="X764" s="34"/>
      <c r="Y764" s="34"/>
      <c r="Z764" s="34"/>
      <c r="AA764" s="34"/>
    </row>
    <row r="765" spans="1:27" ht="13">
      <c r="A765" s="34"/>
      <c r="B765" s="52"/>
      <c r="C765" s="34"/>
      <c r="D765" s="34"/>
      <c r="E765" s="34"/>
      <c r="F765" s="34"/>
      <c r="G765" s="33"/>
      <c r="H765" s="34"/>
      <c r="I765" s="34"/>
      <c r="J765" s="33"/>
      <c r="K765" s="34"/>
      <c r="L765" s="34"/>
      <c r="M765" s="34"/>
      <c r="N765" s="34"/>
      <c r="O765" s="34"/>
      <c r="P765" s="34"/>
      <c r="Q765" s="34"/>
      <c r="R765" s="34"/>
      <c r="S765" s="34"/>
      <c r="T765" s="34"/>
      <c r="U765" s="34"/>
      <c r="V765" s="34"/>
      <c r="W765" s="34"/>
      <c r="X765" s="34"/>
      <c r="Y765" s="34"/>
      <c r="Z765" s="34"/>
      <c r="AA765" s="34"/>
    </row>
    <row r="766" spans="1:27" ht="13">
      <c r="A766" s="34"/>
      <c r="B766" s="52"/>
      <c r="C766" s="34"/>
      <c r="D766" s="34"/>
      <c r="E766" s="34"/>
      <c r="F766" s="34"/>
      <c r="G766" s="33"/>
      <c r="H766" s="34"/>
      <c r="I766" s="34"/>
      <c r="J766" s="33"/>
      <c r="K766" s="34"/>
      <c r="L766" s="34"/>
      <c r="M766" s="34"/>
      <c r="N766" s="34"/>
      <c r="O766" s="34"/>
      <c r="P766" s="34"/>
      <c r="Q766" s="34"/>
      <c r="R766" s="34"/>
      <c r="S766" s="34"/>
      <c r="T766" s="34"/>
      <c r="U766" s="34"/>
      <c r="V766" s="34"/>
      <c r="W766" s="34"/>
      <c r="X766" s="34"/>
      <c r="Y766" s="34"/>
      <c r="Z766" s="34"/>
      <c r="AA766" s="34"/>
    </row>
    <row r="767" spans="1:27" ht="13">
      <c r="A767" s="34"/>
      <c r="B767" s="52"/>
      <c r="C767" s="34"/>
      <c r="D767" s="34"/>
      <c r="E767" s="34"/>
      <c r="F767" s="34"/>
      <c r="G767" s="33"/>
      <c r="H767" s="34"/>
      <c r="I767" s="34"/>
      <c r="J767" s="33"/>
      <c r="K767" s="34"/>
      <c r="L767" s="34"/>
      <c r="M767" s="34"/>
      <c r="N767" s="34"/>
      <c r="O767" s="34"/>
      <c r="P767" s="34"/>
      <c r="Q767" s="34"/>
      <c r="R767" s="34"/>
      <c r="S767" s="34"/>
      <c r="T767" s="34"/>
      <c r="U767" s="34"/>
      <c r="V767" s="34"/>
      <c r="W767" s="34"/>
      <c r="X767" s="34"/>
      <c r="Y767" s="34"/>
      <c r="Z767" s="34"/>
      <c r="AA767" s="34"/>
    </row>
    <row r="768" spans="1:27" ht="13">
      <c r="A768" s="34"/>
      <c r="B768" s="52"/>
      <c r="C768" s="34"/>
      <c r="D768" s="34"/>
      <c r="E768" s="34"/>
      <c r="F768" s="34"/>
      <c r="G768" s="33"/>
      <c r="H768" s="34"/>
      <c r="I768" s="34"/>
      <c r="J768" s="33"/>
      <c r="K768" s="34"/>
      <c r="L768" s="34"/>
      <c r="M768" s="34"/>
      <c r="N768" s="34"/>
      <c r="O768" s="34"/>
      <c r="P768" s="34"/>
      <c r="Q768" s="34"/>
      <c r="R768" s="34"/>
      <c r="S768" s="34"/>
      <c r="T768" s="34"/>
      <c r="U768" s="34"/>
      <c r="V768" s="34"/>
      <c r="W768" s="34"/>
      <c r="X768" s="34"/>
      <c r="Y768" s="34"/>
      <c r="Z768" s="34"/>
      <c r="AA768" s="34"/>
    </row>
    <row r="769" spans="1:27" ht="13">
      <c r="A769" s="34"/>
      <c r="B769" s="52"/>
      <c r="C769" s="34"/>
      <c r="D769" s="34"/>
      <c r="E769" s="34"/>
      <c r="F769" s="34"/>
      <c r="G769" s="33"/>
      <c r="H769" s="34"/>
      <c r="I769" s="34"/>
      <c r="J769" s="33"/>
      <c r="K769" s="34"/>
      <c r="L769" s="34"/>
      <c r="M769" s="34"/>
      <c r="N769" s="34"/>
      <c r="O769" s="34"/>
      <c r="P769" s="34"/>
      <c r="Q769" s="34"/>
      <c r="R769" s="34"/>
      <c r="S769" s="34"/>
      <c r="T769" s="34"/>
      <c r="U769" s="34"/>
      <c r="V769" s="34"/>
      <c r="W769" s="34"/>
      <c r="X769" s="34"/>
      <c r="Y769" s="34"/>
      <c r="Z769" s="34"/>
      <c r="AA769" s="34"/>
    </row>
    <row r="770" spans="1:27" ht="13">
      <c r="A770" s="34"/>
      <c r="B770" s="52"/>
      <c r="C770" s="34"/>
      <c r="D770" s="34"/>
      <c r="E770" s="34"/>
      <c r="F770" s="34"/>
      <c r="G770" s="33"/>
      <c r="H770" s="34"/>
      <c r="I770" s="34"/>
      <c r="J770" s="33"/>
      <c r="K770" s="34"/>
      <c r="L770" s="34"/>
      <c r="M770" s="34"/>
      <c r="N770" s="34"/>
      <c r="O770" s="34"/>
      <c r="P770" s="34"/>
      <c r="Q770" s="34"/>
      <c r="R770" s="34"/>
      <c r="S770" s="34"/>
      <c r="T770" s="34"/>
      <c r="U770" s="34"/>
      <c r="V770" s="34"/>
      <c r="W770" s="34"/>
      <c r="X770" s="34"/>
      <c r="Y770" s="34"/>
      <c r="Z770" s="34"/>
      <c r="AA770" s="34"/>
    </row>
    <row r="771" spans="1:27" ht="13">
      <c r="A771" s="34"/>
      <c r="B771" s="52"/>
      <c r="C771" s="34"/>
      <c r="D771" s="34"/>
      <c r="E771" s="34"/>
      <c r="F771" s="34"/>
      <c r="G771" s="33"/>
      <c r="H771" s="34"/>
      <c r="I771" s="34"/>
      <c r="J771" s="33"/>
      <c r="K771" s="34"/>
      <c r="L771" s="34"/>
      <c r="M771" s="34"/>
      <c r="N771" s="34"/>
      <c r="O771" s="34"/>
      <c r="P771" s="34"/>
      <c r="Q771" s="34"/>
      <c r="R771" s="34"/>
      <c r="S771" s="34"/>
      <c r="T771" s="34"/>
      <c r="U771" s="34"/>
      <c r="V771" s="34"/>
      <c r="W771" s="34"/>
      <c r="X771" s="34"/>
      <c r="Y771" s="34"/>
      <c r="Z771" s="34"/>
      <c r="AA771" s="34"/>
    </row>
    <row r="772" spans="1:27" ht="13">
      <c r="A772" s="34"/>
      <c r="B772" s="52"/>
      <c r="C772" s="34"/>
      <c r="D772" s="34"/>
      <c r="E772" s="34"/>
      <c r="F772" s="34"/>
      <c r="G772" s="33"/>
      <c r="H772" s="34"/>
      <c r="I772" s="34"/>
      <c r="J772" s="33"/>
      <c r="K772" s="34"/>
      <c r="L772" s="34"/>
      <c r="M772" s="34"/>
      <c r="N772" s="34"/>
      <c r="O772" s="34"/>
      <c r="P772" s="34"/>
      <c r="Q772" s="34"/>
      <c r="R772" s="34"/>
      <c r="S772" s="34"/>
      <c r="T772" s="34"/>
      <c r="U772" s="34"/>
      <c r="V772" s="34"/>
      <c r="W772" s="34"/>
      <c r="X772" s="34"/>
      <c r="Y772" s="34"/>
      <c r="Z772" s="34"/>
      <c r="AA772" s="34"/>
    </row>
    <row r="773" spans="1:27" ht="13">
      <c r="A773" s="34"/>
      <c r="B773" s="52"/>
      <c r="C773" s="34"/>
      <c r="D773" s="34"/>
      <c r="E773" s="34"/>
      <c r="F773" s="34"/>
      <c r="G773" s="33"/>
      <c r="H773" s="34"/>
      <c r="I773" s="34"/>
      <c r="J773" s="33"/>
      <c r="K773" s="34"/>
      <c r="L773" s="34"/>
      <c r="M773" s="34"/>
      <c r="N773" s="34"/>
      <c r="O773" s="34"/>
      <c r="P773" s="34"/>
      <c r="Q773" s="34"/>
      <c r="R773" s="34"/>
      <c r="S773" s="34"/>
      <c r="T773" s="34"/>
      <c r="U773" s="34"/>
      <c r="V773" s="34"/>
      <c r="W773" s="34"/>
      <c r="X773" s="34"/>
      <c r="Y773" s="34"/>
      <c r="Z773" s="34"/>
      <c r="AA773" s="34"/>
    </row>
    <row r="774" spans="1:27" ht="13">
      <c r="A774" s="34"/>
      <c r="B774" s="52"/>
      <c r="C774" s="34"/>
      <c r="D774" s="34"/>
      <c r="E774" s="34"/>
      <c r="F774" s="34"/>
      <c r="G774" s="33"/>
      <c r="H774" s="34"/>
      <c r="I774" s="34"/>
      <c r="J774" s="33"/>
      <c r="K774" s="34"/>
      <c r="L774" s="34"/>
      <c r="M774" s="34"/>
      <c r="N774" s="34"/>
      <c r="O774" s="34"/>
      <c r="P774" s="34"/>
      <c r="Q774" s="34"/>
      <c r="R774" s="34"/>
      <c r="S774" s="34"/>
      <c r="T774" s="34"/>
      <c r="U774" s="34"/>
      <c r="V774" s="34"/>
      <c r="W774" s="34"/>
      <c r="X774" s="34"/>
      <c r="Y774" s="34"/>
      <c r="Z774" s="34"/>
      <c r="AA774" s="34"/>
    </row>
    <row r="775" spans="1:27" ht="13">
      <c r="A775" s="34"/>
      <c r="B775" s="52"/>
      <c r="C775" s="34"/>
      <c r="D775" s="34"/>
      <c r="E775" s="34"/>
      <c r="F775" s="34"/>
      <c r="G775" s="33"/>
      <c r="H775" s="34"/>
      <c r="I775" s="34"/>
      <c r="J775" s="33"/>
      <c r="K775" s="34"/>
      <c r="L775" s="34"/>
      <c r="M775" s="34"/>
      <c r="N775" s="34"/>
      <c r="O775" s="34"/>
      <c r="P775" s="34"/>
      <c r="Q775" s="34"/>
      <c r="R775" s="34"/>
      <c r="S775" s="34"/>
      <c r="T775" s="34"/>
      <c r="U775" s="34"/>
      <c r="V775" s="34"/>
      <c r="W775" s="34"/>
      <c r="X775" s="34"/>
      <c r="Y775" s="34"/>
      <c r="Z775" s="34"/>
      <c r="AA775" s="34"/>
    </row>
    <row r="776" spans="1:27" ht="13">
      <c r="A776" s="34"/>
      <c r="B776" s="52"/>
      <c r="C776" s="34"/>
      <c r="D776" s="34"/>
      <c r="E776" s="34"/>
      <c r="F776" s="34"/>
      <c r="G776" s="33"/>
      <c r="H776" s="34"/>
      <c r="I776" s="34"/>
      <c r="J776" s="33"/>
      <c r="K776" s="34"/>
      <c r="L776" s="34"/>
      <c r="M776" s="34"/>
      <c r="N776" s="34"/>
      <c r="O776" s="34"/>
      <c r="P776" s="34"/>
      <c r="Q776" s="34"/>
      <c r="R776" s="34"/>
      <c r="S776" s="34"/>
      <c r="T776" s="34"/>
      <c r="U776" s="34"/>
      <c r="V776" s="34"/>
      <c r="W776" s="34"/>
      <c r="X776" s="34"/>
      <c r="Y776" s="34"/>
      <c r="Z776" s="34"/>
      <c r="AA776" s="34"/>
    </row>
    <row r="777" spans="1:27" ht="13">
      <c r="A777" s="34"/>
      <c r="B777" s="52"/>
      <c r="C777" s="34"/>
      <c r="D777" s="34"/>
      <c r="E777" s="34"/>
      <c r="F777" s="34"/>
      <c r="G777" s="33"/>
      <c r="H777" s="34"/>
      <c r="I777" s="34"/>
      <c r="J777" s="33"/>
      <c r="K777" s="34"/>
      <c r="L777" s="34"/>
      <c r="M777" s="34"/>
      <c r="N777" s="34"/>
      <c r="O777" s="34"/>
      <c r="P777" s="34"/>
      <c r="Q777" s="34"/>
      <c r="R777" s="34"/>
      <c r="S777" s="34"/>
      <c r="T777" s="34"/>
      <c r="U777" s="34"/>
      <c r="V777" s="34"/>
      <c r="W777" s="34"/>
      <c r="X777" s="34"/>
      <c r="Y777" s="34"/>
      <c r="Z777" s="34"/>
      <c r="AA777" s="34"/>
    </row>
    <row r="778" spans="1:27" ht="13">
      <c r="A778" s="34"/>
      <c r="B778" s="52"/>
      <c r="C778" s="34"/>
      <c r="D778" s="34"/>
      <c r="E778" s="34"/>
      <c r="F778" s="34"/>
      <c r="G778" s="33"/>
      <c r="H778" s="34"/>
      <c r="I778" s="34"/>
      <c r="J778" s="33"/>
      <c r="K778" s="34"/>
      <c r="L778" s="34"/>
      <c r="M778" s="34"/>
      <c r="N778" s="34"/>
      <c r="O778" s="34"/>
      <c r="P778" s="34"/>
      <c r="Q778" s="34"/>
      <c r="R778" s="34"/>
      <c r="S778" s="34"/>
      <c r="T778" s="34"/>
      <c r="U778" s="34"/>
      <c r="V778" s="34"/>
      <c r="W778" s="34"/>
      <c r="X778" s="34"/>
      <c r="Y778" s="34"/>
      <c r="Z778" s="34"/>
      <c r="AA778" s="34"/>
    </row>
    <row r="779" spans="1:27" ht="13">
      <c r="A779" s="34"/>
      <c r="B779" s="52"/>
      <c r="C779" s="34"/>
      <c r="D779" s="34"/>
      <c r="E779" s="34"/>
      <c r="F779" s="34"/>
      <c r="G779" s="33"/>
      <c r="H779" s="34"/>
      <c r="I779" s="34"/>
      <c r="J779" s="33"/>
      <c r="K779" s="34"/>
      <c r="L779" s="34"/>
      <c r="M779" s="34"/>
      <c r="N779" s="34"/>
      <c r="O779" s="34"/>
      <c r="P779" s="34"/>
      <c r="Q779" s="34"/>
      <c r="R779" s="34"/>
      <c r="S779" s="34"/>
      <c r="T779" s="34"/>
      <c r="U779" s="34"/>
      <c r="V779" s="34"/>
      <c r="W779" s="34"/>
      <c r="X779" s="34"/>
      <c r="Y779" s="34"/>
      <c r="Z779" s="34"/>
      <c r="AA779" s="34"/>
    </row>
    <row r="780" spans="1:27" ht="13">
      <c r="A780" s="34"/>
      <c r="B780" s="52"/>
      <c r="C780" s="34"/>
      <c r="D780" s="34"/>
      <c r="E780" s="34"/>
      <c r="F780" s="34"/>
      <c r="G780" s="33"/>
      <c r="H780" s="34"/>
      <c r="I780" s="34"/>
      <c r="J780" s="33"/>
      <c r="K780" s="34"/>
      <c r="L780" s="34"/>
      <c r="M780" s="34"/>
      <c r="N780" s="34"/>
      <c r="O780" s="34"/>
      <c r="P780" s="34"/>
      <c r="Q780" s="34"/>
      <c r="R780" s="34"/>
      <c r="S780" s="34"/>
      <c r="T780" s="34"/>
      <c r="U780" s="34"/>
      <c r="V780" s="34"/>
      <c r="W780" s="34"/>
      <c r="X780" s="34"/>
      <c r="Y780" s="34"/>
      <c r="Z780" s="34"/>
      <c r="AA780" s="34"/>
    </row>
    <row r="781" spans="1:27" ht="13">
      <c r="A781" s="34"/>
      <c r="B781" s="52"/>
      <c r="C781" s="34"/>
      <c r="D781" s="34"/>
      <c r="E781" s="34"/>
      <c r="F781" s="34"/>
      <c r="G781" s="33"/>
      <c r="H781" s="34"/>
      <c r="I781" s="34"/>
      <c r="J781" s="33"/>
      <c r="K781" s="34"/>
      <c r="L781" s="34"/>
      <c r="M781" s="34"/>
      <c r="N781" s="34"/>
      <c r="O781" s="34"/>
      <c r="P781" s="34"/>
      <c r="Q781" s="34"/>
      <c r="R781" s="34"/>
      <c r="S781" s="34"/>
      <c r="T781" s="34"/>
      <c r="U781" s="34"/>
      <c r="V781" s="34"/>
      <c r="W781" s="34"/>
      <c r="X781" s="34"/>
      <c r="Y781" s="34"/>
      <c r="Z781" s="34"/>
      <c r="AA781" s="34"/>
    </row>
    <row r="782" spans="1:27" ht="13">
      <c r="A782" s="34"/>
      <c r="B782" s="52"/>
      <c r="C782" s="34"/>
      <c r="D782" s="34"/>
      <c r="E782" s="34"/>
      <c r="F782" s="34"/>
      <c r="G782" s="33"/>
      <c r="H782" s="34"/>
      <c r="I782" s="34"/>
      <c r="J782" s="33"/>
      <c r="K782" s="34"/>
      <c r="L782" s="34"/>
      <c r="M782" s="34"/>
      <c r="N782" s="34"/>
      <c r="O782" s="34"/>
      <c r="P782" s="34"/>
      <c r="Q782" s="34"/>
      <c r="R782" s="34"/>
      <c r="S782" s="34"/>
      <c r="T782" s="34"/>
      <c r="U782" s="34"/>
      <c r="V782" s="34"/>
      <c r="W782" s="34"/>
      <c r="X782" s="34"/>
      <c r="Y782" s="34"/>
      <c r="Z782" s="34"/>
      <c r="AA782" s="34"/>
    </row>
    <row r="783" spans="1:27" ht="13">
      <c r="A783" s="34"/>
      <c r="B783" s="52"/>
      <c r="C783" s="34"/>
      <c r="D783" s="34"/>
      <c r="E783" s="34"/>
      <c r="F783" s="34"/>
      <c r="G783" s="33"/>
      <c r="H783" s="34"/>
      <c r="I783" s="34"/>
      <c r="J783" s="33"/>
      <c r="K783" s="34"/>
      <c r="L783" s="34"/>
      <c r="M783" s="34"/>
      <c r="N783" s="34"/>
      <c r="O783" s="34"/>
      <c r="P783" s="34"/>
      <c r="Q783" s="34"/>
      <c r="R783" s="34"/>
      <c r="S783" s="34"/>
      <c r="T783" s="34"/>
      <c r="U783" s="34"/>
      <c r="V783" s="34"/>
      <c r="W783" s="34"/>
      <c r="X783" s="34"/>
      <c r="Y783" s="34"/>
      <c r="Z783" s="34"/>
      <c r="AA783" s="34"/>
    </row>
    <row r="784" spans="1:27" ht="13">
      <c r="A784" s="34"/>
      <c r="B784" s="52"/>
      <c r="C784" s="34"/>
      <c r="D784" s="34"/>
      <c r="E784" s="34"/>
      <c r="F784" s="34"/>
      <c r="G784" s="33"/>
      <c r="H784" s="34"/>
      <c r="I784" s="34"/>
      <c r="J784" s="33"/>
      <c r="K784" s="34"/>
      <c r="L784" s="34"/>
      <c r="M784" s="34"/>
      <c r="N784" s="34"/>
      <c r="O784" s="34"/>
      <c r="P784" s="34"/>
      <c r="Q784" s="34"/>
      <c r="R784" s="34"/>
      <c r="S784" s="34"/>
      <c r="T784" s="34"/>
      <c r="U784" s="34"/>
      <c r="V784" s="34"/>
      <c r="W784" s="34"/>
      <c r="X784" s="34"/>
      <c r="Y784" s="34"/>
      <c r="Z784" s="34"/>
      <c r="AA784" s="34"/>
    </row>
    <row r="785" spans="1:27" ht="13">
      <c r="A785" s="34"/>
      <c r="B785" s="52"/>
      <c r="C785" s="34"/>
      <c r="D785" s="34"/>
      <c r="E785" s="34"/>
      <c r="F785" s="34"/>
      <c r="G785" s="33"/>
      <c r="H785" s="34"/>
      <c r="I785" s="34"/>
      <c r="J785" s="33"/>
      <c r="K785" s="34"/>
      <c r="L785" s="34"/>
      <c r="M785" s="34"/>
      <c r="N785" s="34"/>
      <c r="O785" s="34"/>
      <c r="P785" s="34"/>
      <c r="Q785" s="34"/>
      <c r="R785" s="34"/>
      <c r="S785" s="34"/>
      <c r="T785" s="34"/>
      <c r="U785" s="34"/>
      <c r="V785" s="34"/>
      <c r="W785" s="34"/>
      <c r="X785" s="34"/>
      <c r="Y785" s="34"/>
      <c r="Z785" s="34"/>
      <c r="AA785" s="34"/>
    </row>
    <row r="786" spans="1:27" ht="13">
      <c r="A786" s="34"/>
      <c r="B786" s="52"/>
      <c r="C786" s="34"/>
      <c r="D786" s="34"/>
      <c r="E786" s="34"/>
      <c r="F786" s="34"/>
      <c r="G786" s="33"/>
      <c r="H786" s="34"/>
      <c r="I786" s="34"/>
      <c r="J786" s="33"/>
      <c r="K786" s="34"/>
      <c r="L786" s="34"/>
      <c r="M786" s="34"/>
      <c r="N786" s="34"/>
      <c r="O786" s="34"/>
      <c r="P786" s="34"/>
      <c r="Q786" s="34"/>
      <c r="R786" s="34"/>
      <c r="S786" s="34"/>
      <c r="T786" s="34"/>
      <c r="U786" s="34"/>
      <c r="V786" s="34"/>
      <c r="W786" s="34"/>
      <c r="X786" s="34"/>
      <c r="Y786" s="34"/>
      <c r="Z786" s="34"/>
      <c r="AA786" s="34"/>
    </row>
    <row r="787" spans="1:27" ht="13">
      <c r="A787" s="34"/>
      <c r="B787" s="52"/>
      <c r="C787" s="34"/>
      <c r="D787" s="34"/>
      <c r="E787" s="34"/>
      <c r="F787" s="34"/>
      <c r="G787" s="33"/>
      <c r="H787" s="34"/>
      <c r="I787" s="34"/>
      <c r="J787" s="33"/>
      <c r="K787" s="34"/>
      <c r="L787" s="34"/>
      <c r="M787" s="34"/>
      <c r="N787" s="34"/>
      <c r="O787" s="34"/>
      <c r="P787" s="34"/>
      <c r="Q787" s="34"/>
      <c r="R787" s="34"/>
      <c r="S787" s="34"/>
      <c r="T787" s="34"/>
      <c r="U787" s="34"/>
      <c r="V787" s="34"/>
      <c r="W787" s="34"/>
      <c r="X787" s="34"/>
      <c r="Y787" s="34"/>
      <c r="Z787" s="34"/>
      <c r="AA787" s="34"/>
    </row>
    <row r="788" spans="1:27" ht="13">
      <c r="A788" s="34"/>
      <c r="B788" s="52"/>
      <c r="C788" s="34"/>
      <c r="D788" s="34"/>
      <c r="E788" s="34"/>
      <c r="F788" s="34"/>
      <c r="G788" s="33"/>
      <c r="H788" s="34"/>
      <c r="I788" s="34"/>
      <c r="J788" s="33"/>
      <c r="K788" s="34"/>
      <c r="L788" s="34"/>
      <c r="M788" s="34"/>
      <c r="N788" s="34"/>
      <c r="O788" s="34"/>
      <c r="P788" s="34"/>
      <c r="Q788" s="34"/>
      <c r="R788" s="34"/>
      <c r="S788" s="34"/>
      <c r="T788" s="34"/>
      <c r="U788" s="34"/>
      <c r="V788" s="34"/>
      <c r="W788" s="34"/>
      <c r="X788" s="34"/>
      <c r="Y788" s="34"/>
      <c r="Z788" s="34"/>
      <c r="AA788" s="34"/>
    </row>
    <row r="789" spans="1:27" ht="13">
      <c r="A789" s="34"/>
      <c r="B789" s="52"/>
      <c r="C789" s="34"/>
      <c r="D789" s="34"/>
      <c r="E789" s="34"/>
      <c r="F789" s="34"/>
      <c r="G789" s="33"/>
      <c r="H789" s="34"/>
      <c r="I789" s="34"/>
      <c r="J789" s="33"/>
      <c r="K789" s="34"/>
      <c r="L789" s="34"/>
      <c r="M789" s="34"/>
      <c r="N789" s="34"/>
      <c r="O789" s="34"/>
      <c r="P789" s="34"/>
      <c r="Q789" s="34"/>
      <c r="R789" s="34"/>
      <c r="S789" s="34"/>
      <c r="T789" s="34"/>
      <c r="U789" s="34"/>
      <c r="V789" s="34"/>
      <c r="W789" s="34"/>
      <c r="X789" s="34"/>
      <c r="Y789" s="34"/>
      <c r="Z789" s="34"/>
      <c r="AA789" s="34"/>
    </row>
    <row r="790" spans="1:27" ht="13">
      <c r="A790" s="34"/>
      <c r="B790" s="52"/>
      <c r="C790" s="34"/>
      <c r="D790" s="34"/>
      <c r="E790" s="34"/>
      <c r="F790" s="34"/>
      <c r="G790" s="33"/>
      <c r="H790" s="34"/>
      <c r="I790" s="34"/>
      <c r="J790" s="33"/>
      <c r="K790" s="34"/>
      <c r="L790" s="34"/>
      <c r="M790" s="34"/>
      <c r="N790" s="34"/>
      <c r="O790" s="34"/>
      <c r="P790" s="34"/>
      <c r="Q790" s="34"/>
      <c r="R790" s="34"/>
      <c r="S790" s="34"/>
      <c r="T790" s="34"/>
      <c r="U790" s="34"/>
      <c r="V790" s="34"/>
      <c r="W790" s="34"/>
      <c r="X790" s="34"/>
      <c r="Y790" s="34"/>
      <c r="Z790" s="34"/>
      <c r="AA790" s="34"/>
    </row>
    <row r="791" spans="1:27" ht="13">
      <c r="A791" s="34"/>
      <c r="B791" s="52"/>
      <c r="C791" s="34"/>
      <c r="D791" s="34"/>
      <c r="E791" s="34"/>
      <c r="F791" s="34"/>
      <c r="G791" s="33"/>
      <c r="H791" s="34"/>
      <c r="I791" s="34"/>
      <c r="J791" s="33"/>
      <c r="K791" s="34"/>
      <c r="L791" s="34"/>
      <c r="M791" s="34"/>
      <c r="N791" s="34"/>
      <c r="O791" s="34"/>
      <c r="P791" s="34"/>
      <c r="Q791" s="34"/>
      <c r="R791" s="34"/>
      <c r="S791" s="34"/>
      <c r="T791" s="34"/>
      <c r="U791" s="34"/>
      <c r="V791" s="34"/>
      <c r="W791" s="34"/>
      <c r="X791" s="34"/>
      <c r="Y791" s="34"/>
      <c r="Z791" s="34"/>
      <c r="AA791" s="34"/>
    </row>
    <row r="792" spans="1:27" ht="13">
      <c r="A792" s="34"/>
      <c r="B792" s="52"/>
      <c r="C792" s="34"/>
      <c r="D792" s="34"/>
      <c r="E792" s="34"/>
      <c r="F792" s="34"/>
      <c r="G792" s="33"/>
      <c r="H792" s="34"/>
      <c r="I792" s="34"/>
      <c r="J792" s="33"/>
      <c r="K792" s="34"/>
      <c r="L792" s="34"/>
      <c r="M792" s="34"/>
      <c r="N792" s="34"/>
      <c r="O792" s="34"/>
      <c r="P792" s="34"/>
      <c r="Q792" s="34"/>
      <c r="R792" s="34"/>
      <c r="S792" s="34"/>
      <c r="T792" s="34"/>
      <c r="U792" s="34"/>
      <c r="V792" s="34"/>
      <c r="W792" s="34"/>
      <c r="X792" s="34"/>
      <c r="Y792" s="34"/>
      <c r="Z792" s="34"/>
      <c r="AA792" s="34"/>
    </row>
    <row r="793" spans="1:27" ht="13">
      <c r="A793" s="34"/>
      <c r="B793" s="52"/>
      <c r="C793" s="34"/>
      <c r="D793" s="34"/>
      <c r="E793" s="34"/>
      <c r="F793" s="34"/>
      <c r="G793" s="33"/>
      <c r="H793" s="34"/>
      <c r="I793" s="34"/>
      <c r="J793" s="33"/>
      <c r="K793" s="34"/>
      <c r="L793" s="34"/>
      <c r="M793" s="34"/>
      <c r="N793" s="34"/>
      <c r="O793" s="34"/>
      <c r="P793" s="34"/>
      <c r="Q793" s="34"/>
      <c r="R793" s="34"/>
      <c r="S793" s="34"/>
      <c r="T793" s="34"/>
      <c r="U793" s="34"/>
      <c r="V793" s="34"/>
      <c r="W793" s="34"/>
      <c r="X793" s="34"/>
      <c r="Y793" s="34"/>
      <c r="Z793" s="34"/>
      <c r="AA793" s="34"/>
    </row>
    <row r="794" spans="1:27" ht="13">
      <c r="A794" s="34"/>
      <c r="B794" s="52"/>
      <c r="C794" s="34"/>
      <c r="D794" s="34"/>
      <c r="E794" s="34"/>
      <c r="F794" s="34"/>
      <c r="G794" s="33"/>
      <c r="H794" s="34"/>
      <c r="I794" s="34"/>
      <c r="J794" s="33"/>
      <c r="K794" s="34"/>
      <c r="L794" s="34"/>
      <c r="M794" s="34"/>
      <c r="N794" s="34"/>
      <c r="O794" s="34"/>
      <c r="P794" s="34"/>
      <c r="Q794" s="34"/>
      <c r="R794" s="34"/>
      <c r="S794" s="34"/>
      <c r="T794" s="34"/>
      <c r="U794" s="34"/>
      <c r="V794" s="34"/>
      <c r="W794" s="34"/>
      <c r="X794" s="34"/>
      <c r="Y794" s="34"/>
      <c r="Z794" s="34"/>
      <c r="AA794" s="34"/>
    </row>
    <row r="795" spans="1:27" ht="13">
      <c r="A795" s="34"/>
      <c r="B795" s="52"/>
      <c r="C795" s="34"/>
      <c r="D795" s="34"/>
      <c r="E795" s="34"/>
      <c r="F795" s="34"/>
      <c r="G795" s="33"/>
      <c r="H795" s="34"/>
      <c r="I795" s="34"/>
      <c r="J795" s="33"/>
      <c r="K795" s="34"/>
      <c r="L795" s="34"/>
      <c r="M795" s="34"/>
      <c r="N795" s="34"/>
      <c r="O795" s="34"/>
      <c r="P795" s="34"/>
      <c r="Q795" s="34"/>
      <c r="R795" s="34"/>
      <c r="S795" s="34"/>
      <c r="T795" s="34"/>
      <c r="U795" s="34"/>
      <c r="V795" s="34"/>
      <c r="W795" s="34"/>
      <c r="X795" s="34"/>
      <c r="Y795" s="34"/>
      <c r="Z795" s="34"/>
      <c r="AA795" s="34"/>
    </row>
    <row r="796" spans="1:27" ht="13">
      <c r="A796" s="34"/>
      <c r="B796" s="52"/>
      <c r="C796" s="34"/>
      <c r="D796" s="34"/>
      <c r="E796" s="34"/>
      <c r="F796" s="34"/>
      <c r="G796" s="33"/>
      <c r="H796" s="34"/>
      <c r="I796" s="34"/>
      <c r="J796" s="33"/>
      <c r="K796" s="34"/>
      <c r="L796" s="34"/>
      <c r="M796" s="34"/>
      <c r="N796" s="34"/>
      <c r="O796" s="34"/>
      <c r="P796" s="34"/>
      <c r="Q796" s="34"/>
      <c r="R796" s="34"/>
      <c r="S796" s="34"/>
      <c r="T796" s="34"/>
      <c r="U796" s="34"/>
      <c r="V796" s="34"/>
      <c r="W796" s="34"/>
      <c r="X796" s="34"/>
      <c r="Y796" s="34"/>
      <c r="Z796" s="34"/>
      <c r="AA796" s="34"/>
    </row>
    <row r="797" spans="1:27" ht="13">
      <c r="A797" s="34"/>
      <c r="B797" s="52"/>
      <c r="C797" s="34"/>
      <c r="D797" s="34"/>
      <c r="E797" s="34"/>
      <c r="F797" s="34"/>
      <c r="G797" s="33"/>
      <c r="H797" s="34"/>
      <c r="I797" s="34"/>
      <c r="J797" s="33"/>
      <c r="K797" s="34"/>
      <c r="L797" s="34"/>
      <c r="M797" s="34"/>
      <c r="N797" s="34"/>
      <c r="O797" s="34"/>
      <c r="P797" s="34"/>
      <c r="Q797" s="34"/>
      <c r="R797" s="34"/>
      <c r="S797" s="34"/>
      <c r="T797" s="34"/>
      <c r="U797" s="34"/>
      <c r="V797" s="34"/>
      <c r="W797" s="34"/>
      <c r="X797" s="34"/>
      <c r="Y797" s="34"/>
      <c r="Z797" s="34"/>
      <c r="AA797" s="34"/>
    </row>
    <row r="798" spans="1:27" ht="13">
      <c r="A798" s="34"/>
      <c r="B798" s="52"/>
      <c r="C798" s="34"/>
      <c r="D798" s="34"/>
      <c r="E798" s="34"/>
      <c r="F798" s="34"/>
      <c r="G798" s="33"/>
      <c r="H798" s="34"/>
      <c r="I798" s="34"/>
      <c r="J798" s="33"/>
      <c r="K798" s="34"/>
      <c r="L798" s="34"/>
      <c r="M798" s="34"/>
      <c r="N798" s="34"/>
      <c r="O798" s="34"/>
      <c r="P798" s="34"/>
      <c r="Q798" s="34"/>
      <c r="R798" s="34"/>
      <c r="S798" s="34"/>
      <c r="T798" s="34"/>
      <c r="U798" s="34"/>
      <c r="V798" s="34"/>
      <c r="W798" s="34"/>
      <c r="X798" s="34"/>
      <c r="Y798" s="34"/>
      <c r="Z798" s="34"/>
      <c r="AA798" s="34"/>
    </row>
    <row r="799" spans="1:27" ht="13">
      <c r="A799" s="34"/>
      <c r="B799" s="52"/>
      <c r="C799" s="34"/>
      <c r="D799" s="34"/>
      <c r="E799" s="34"/>
      <c r="F799" s="34"/>
      <c r="G799" s="33"/>
      <c r="H799" s="34"/>
      <c r="I799" s="34"/>
      <c r="J799" s="33"/>
      <c r="K799" s="34"/>
      <c r="L799" s="34"/>
      <c r="M799" s="34"/>
      <c r="N799" s="34"/>
      <c r="O799" s="34"/>
      <c r="P799" s="34"/>
      <c r="Q799" s="34"/>
      <c r="R799" s="34"/>
      <c r="S799" s="34"/>
      <c r="T799" s="34"/>
      <c r="U799" s="34"/>
      <c r="V799" s="34"/>
      <c r="W799" s="34"/>
      <c r="X799" s="34"/>
      <c r="Y799" s="34"/>
      <c r="Z799" s="34"/>
      <c r="AA799" s="34"/>
    </row>
    <row r="800" spans="1:27" ht="13">
      <c r="A800" s="34"/>
      <c r="B800" s="52"/>
      <c r="C800" s="34"/>
      <c r="D800" s="34"/>
      <c r="E800" s="34"/>
      <c r="F800" s="34"/>
      <c r="G800" s="33"/>
      <c r="H800" s="34"/>
      <c r="I800" s="34"/>
      <c r="J800" s="33"/>
      <c r="K800" s="34"/>
      <c r="L800" s="34"/>
      <c r="M800" s="34"/>
      <c r="N800" s="34"/>
      <c r="O800" s="34"/>
      <c r="P800" s="34"/>
      <c r="Q800" s="34"/>
      <c r="R800" s="34"/>
      <c r="S800" s="34"/>
      <c r="T800" s="34"/>
      <c r="U800" s="34"/>
      <c r="V800" s="34"/>
      <c r="W800" s="34"/>
      <c r="X800" s="34"/>
      <c r="Y800" s="34"/>
      <c r="Z800" s="34"/>
      <c r="AA800" s="34"/>
    </row>
    <row r="801" spans="1:27" ht="13">
      <c r="A801" s="34"/>
      <c r="B801" s="52"/>
      <c r="C801" s="34"/>
      <c r="D801" s="34"/>
      <c r="E801" s="34"/>
      <c r="F801" s="34"/>
      <c r="G801" s="33"/>
      <c r="H801" s="34"/>
      <c r="I801" s="34"/>
      <c r="J801" s="33"/>
      <c r="K801" s="34"/>
      <c r="L801" s="34"/>
      <c r="M801" s="34"/>
      <c r="N801" s="34"/>
      <c r="O801" s="34"/>
      <c r="P801" s="34"/>
      <c r="Q801" s="34"/>
      <c r="R801" s="34"/>
      <c r="S801" s="34"/>
      <c r="T801" s="34"/>
      <c r="U801" s="34"/>
      <c r="V801" s="34"/>
      <c r="W801" s="34"/>
      <c r="X801" s="34"/>
      <c r="Y801" s="34"/>
      <c r="Z801" s="34"/>
      <c r="AA801" s="34"/>
    </row>
    <row r="802" spans="1:27" ht="13">
      <c r="A802" s="34"/>
      <c r="B802" s="52"/>
      <c r="C802" s="34"/>
      <c r="D802" s="34"/>
      <c r="E802" s="34"/>
      <c r="F802" s="34"/>
      <c r="G802" s="33"/>
      <c r="H802" s="34"/>
      <c r="I802" s="34"/>
      <c r="J802" s="33"/>
      <c r="K802" s="34"/>
      <c r="L802" s="34"/>
      <c r="M802" s="34"/>
      <c r="N802" s="34"/>
      <c r="O802" s="34"/>
      <c r="P802" s="34"/>
      <c r="Q802" s="34"/>
      <c r="R802" s="34"/>
      <c r="S802" s="34"/>
      <c r="T802" s="34"/>
      <c r="U802" s="34"/>
      <c r="V802" s="34"/>
      <c r="W802" s="34"/>
      <c r="X802" s="34"/>
      <c r="Y802" s="34"/>
      <c r="Z802" s="34"/>
      <c r="AA802" s="34"/>
    </row>
    <row r="803" spans="1:27" ht="13">
      <c r="A803" s="34"/>
      <c r="B803" s="52"/>
      <c r="C803" s="34"/>
      <c r="D803" s="34"/>
      <c r="E803" s="34"/>
      <c r="F803" s="34"/>
      <c r="G803" s="33"/>
      <c r="H803" s="34"/>
      <c r="I803" s="34"/>
      <c r="J803" s="33"/>
      <c r="K803" s="34"/>
      <c r="L803" s="34"/>
      <c r="M803" s="34"/>
      <c r="N803" s="34"/>
      <c r="O803" s="34"/>
      <c r="P803" s="34"/>
      <c r="Q803" s="34"/>
      <c r="R803" s="34"/>
      <c r="S803" s="34"/>
      <c r="T803" s="34"/>
      <c r="U803" s="34"/>
      <c r="V803" s="34"/>
      <c r="W803" s="34"/>
      <c r="X803" s="34"/>
      <c r="Y803" s="34"/>
      <c r="Z803" s="34"/>
      <c r="AA803" s="34"/>
    </row>
    <row r="804" spans="1:27" ht="13">
      <c r="A804" s="34"/>
      <c r="B804" s="52"/>
      <c r="C804" s="34"/>
      <c r="D804" s="34"/>
      <c r="E804" s="34"/>
      <c r="F804" s="34"/>
      <c r="G804" s="33"/>
      <c r="H804" s="34"/>
      <c r="I804" s="34"/>
      <c r="J804" s="33"/>
      <c r="K804" s="34"/>
      <c r="L804" s="34"/>
      <c r="M804" s="34"/>
      <c r="N804" s="34"/>
      <c r="O804" s="34"/>
      <c r="P804" s="34"/>
      <c r="Q804" s="34"/>
      <c r="R804" s="34"/>
      <c r="S804" s="34"/>
      <c r="T804" s="34"/>
      <c r="U804" s="34"/>
      <c r="V804" s="34"/>
      <c r="W804" s="34"/>
      <c r="X804" s="34"/>
      <c r="Y804" s="34"/>
      <c r="Z804" s="34"/>
      <c r="AA804" s="34"/>
    </row>
    <row r="805" spans="1:27" ht="13">
      <c r="A805" s="34"/>
      <c r="B805" s="52"/>
      <c r="C805" s="34"/>
      <c r="D805" s="34"/>
      <c r="E805" s="34"/>
      <c r="F805" s="34"/>
      <c r="G805" s="33"/>
      <c r="H805" s="34"/>
      <c r="I805" s="34"/>
      <c r="J805" s="33"/>
      <c r="K805" s="34"/>
      <c r="L805" s="34"/>
      <c r="M805" s="34"/>
      <c r="N805" s="34"/>
      <c r="O805" s="34"/>
      <c r="P805" s="34"/>
      <c r="Q805" s="34"/>
      <c r="R805" s="34"/>
      <c r="S805" s="34"/>
      <c r="T805" s="34"/>
      <c r="U805" s="34"/>
      <c r="V805" s="34"/>
      <c r="W805" s="34"/>
      <c r="X805" s="34"/>
      <c r="Y805" s="34"/>
      <c r="Z805" s="34"/>
      <c r="AA805" s="34"/>
    </row>
    <row r="806" spans="1:27" ht="13">
      <c r="A806" s="34"/>
      <c r="B806" s="52"/>
      <c r="C806" s="34"/>
      <c r="D806" s="34"/>
      <c r="E806" s="34"/>
      <c r="F806" s="34"/>
      <c r="G806" s="33"/>
      <c r="H806" s="34"/>
      <c r="I806" s="34"/>
      <c r="J806" s="33"/>
      <c r="K806" s="34"/>
      <c r="L806" s="34"/>
      <c r="M806" s="34"/>
      <c r="N806" s="34"/>
      <c r="O806" s="34"/>
      <c r="P806" s="34"/>
      <c r="Q806" s="34"/>
      <c r="R806" s="34"/>
      <c r="S806" s="34"/>
      <c r="T806" s="34"/>
      <c r="U806" s="34"/>
      <c r="V806" s="34"/>
      <c r="W806" s="34"/>
      <c r="X806" s="34"/>
      <c r="Y806" s="34"/>
      <c r="Z806" s="34"/>
      <c r="AA806" s="34"/>
    </row>
    <row r="807" spans="1:27" ht="13">
      <c r="A807" s="34"/>
      <c r="B807" s="52"/>
      <c r="C807" s="34"/>
      <c r="D807" s="34"/>
      <c r="E807" s="34"/>
      <c r="F807" s="34"/>
      <c r="G807" s="33"/>
      <c r="H807" s="34"/>
      <c r="I807" s="34"/>
      <c r="J807" s="33"/>
      <c r="K807" s="34"/>
      <c r="L807" s="34"/>
      <c r="M807" s="34"/>
      <c r="N807" s="34"/>
      <c r="O807" s="34"/>
      <c r="P807" s="34"/>
      <c r="Q807" s="34"/>
      <c r="R807" s="34"/>
      <c r="S807" s="34"/>
      <c r="T807" s="34"/>
      <c r="U807" s="34"/>
      <c r="V807" s="34"/>
      <c r="W807" s="34"/>
      <c r="X807" s="34"/>
      <c r="Y807" s="34"/>
      <c r="Z807" s="34"/>
      <c r="AA807" s="34"/>
    </row>
    <row r="808" spans="1:27" ht="13">
      <c r="A808" s="34"/>
      <c r="B808" s="52"/>
      <c r="C808" s="34"/>
      <c r="D808" s="34"/>
      <c r="E808" s="34"/>
      <c r="F808" s="34"/>
      <c r="G808" s="33"/>
      <c r="H808" s="34"/>
      <c r="I808" s="34"/>
      <c r="J808" s="33"/>
      <c r="K808" s="34"/>
      <c r="L808" s="34"/>
      <c r="M808" s="34"/>
      <c r="N808" s="34"/>
      <c r="O808" s="34"/>
      <c r="P808" s="34"/>
      <c r="Q808" s="34"/>
      <c r="R808" s="34"/>
      <c r="S808" s="34"/>
      <c r="T808" s="34"/>
      <c r="U808" s="34"/>
      <c r="V808" s="34"/>
      <c r="W808" s="34"/>
      <c r="X808" s="34"/>
      <c r="Y808" s="34"/>
      <c r="Z808" s="34"/>
      <c r="AA808" s="34"/>
    </row>
    <row r="809" spans="1:27" ht="13">
      <c r="A809" s="34"/>
      <c r="B809" s="52"/>
      <c r="C809" s="34"/>
      <c r="D809" s="34"/>
      <c r="E809" s="34"/>
      <c r="F809" s="34"/>
      <c r="G809" s="33"/>
      <c r="H809" s="34"/>
      <c r="I809" s="34"/>
      <c r="J809" s="33"/>
      <c r="K809" s="34"/>
      <c r="L809" s="34"/>
      <c r="M809" s="34"/>
      <c r="N809" s="34"/>
      <c r="O809" s="34"/>
      <c r="P809" s="34"/>
      <c r="Q809" s="34"/>
      <c r="R809" s="34"/>
      <c r="S809" s="34"/>
      <c r="T809" s="34"/>
      <c r="U809" s="34"/>
      <c r="V809" s="34"/>
      <c r="W809" s="34"/>
      <c r="X809" s="34"/>
      <c r="Y809" s="34"/>
      <c r="Z809" s="34"/>
      <c r="AA809" s="34"/>
    </row>
    <row r="810" spans="1:27" ht="13">
      <c r="A810" s="34"/>
      <c r="B810" s="52"/>
      <c r="C810" s="34"/>
      <c r="D810" s="34"/>
      <c r="E810" s="34"/>
      <c r="F810" s="34"/>
      <c r="G810" s="33"/>
      <c r="H810" s="34"/>
      <c r="I810" s="34"/>
      <c r="J810" s="33"/>
      <c r="K810" s="34"/>
      <c r="L810" s="34"/>
      <c r="M810" s="34"/>
      <c r="N810" s="34"/>
      <c r="O810" s="34"/>
      <c r="P810" s="34"/>
      <c r="Q810" s="34"/>
      <c r="R810" s="34"/>
      <c r="S810" s="34"/>
      <c r="T810" s="34"/>
      <c r="U810" s="34"/>
      <c r="V810" s="34"/>
      <c r="W810" s="34"/>
      <c r="X810" s="34"/>
      <c r="Y810" s="34"/>
      <c r="Z810" s="34"/>
      <c r="AA810" s="34"/>
    </row>
    <row r="811" spans="1:27" ht="13">
      <c r="A811" s="34"/>
      <c r="B811" s="52"/>
      <c r="C811" s="34"/>
      <c r="D811" s="34"/>
      <c r="E811" s="34"/>
      <c r="F811" s="34"/>
      <c r="G811" s="33"/>
      <c r="H811" s="34"/>
      <c r="I811" s="34"/>
      <c r="J811" s="33"/>
      <c r="K811" s="34"/>
      <c r="L811" s="34"/>
      <c r="M811" s="34"/>
      <c r="N811" s="34"/>
      <c r="O811" s="34"/>
      <c r="P811" s="34"/>
      <c r="Q811" s="34"/>
      <c r="R811" s="34"/>
      <c r="S811" s="34"/>
      <c r="T811" s="34"/>
      <c r="U811" s="34"/>
      <c r="V811" s="34"/>
      <c r="W811" s="34"/>
      <c r="X811" s="34"/>
      <c r="Y811" s="34"/>
      <c r="Z811" s="34"/>
      <c r="AA811" s="34"/>
    </row>
    <row r="812" spans="1:27" ht="13">
      <c r="A812" s="34"/>
      <c r="B812" s="52"/>
      <c r="C812" s="34"/>
      <c r="D812" s="34"/>
      <c r="E812" s="34"/>
      <c r="F812" s="34"/>
      <c r="G812" s="33"/>
      <c r="H812" s="34"/>
      <c r="I812" s="34"/>
      <c r="J812" s="33"/>
      <c r="K812" s="34"/>
      <c r="L812" s="34"/>
      <c r="M812" s="34"/>
      <c r="N812" s="34"/>
      <c r="O812" s="34"/>
      <c r="P812" s="34"/>
      <c r="Q812" s="34"/>
      <c r="R812" s="34"/>
      <c r="S812" s="34"/>
      <c r="T812" s="34"/>
      <c r="U812" s="34"/>
      <c r="V812" s="34"/>
      <c r="W812" s="34"/>
      <c r="X812" s="34"/>
      <c r="Y812" s="34"/>
      <c r="Z812" s="34"/>
      <c r="AA812" s="34"/>
    </row>
    <row r="813" spans="1:27" ht="13">
      <c r="A813" s="34"/>
      <c r="B813" s="52"/>
      <c r="C813" s="34"/>
      <c r="D813" s="34"/>
      <c r="E813" s="34"/>
      <c r="F813" s="34"/>
      <c r="G813" s="33"/>
      <c r="H813" s="34"/>
      <c r="I813" s="34"/>
      <c r="J813" s="33"/>
      <c r="K813" s="34"/>
      <c r="L813" s="34"/>
      <c r="M813" s="34"/>
      <c r="N813" s="34"/>
      <c r="O813" s="34"/>
      <c r="P813" s="34"/>
      <c r="Q813" s="34"/>
      <c r="R813" s="34"/>
      <c r="S813" s="34"/>
      <c r="T813" s="34"/>
      <c r="U813" s="34"/>
      <c r="V813" s="34"/>
      <c r="W813" s="34"/>
      <c r="X813" s="34"/>
      <c r="Y813" s="34"/>
      <c r="Z813" s="34"/>
      <c r="AA813" s="34"/>
    </row>
    <row r="814" spans="1:27" ht="13">
      <c r="A814" s="34"/>
      <c r="B814" s="52"/>
      <c r="C814" s="34"/>
      <c r="D814" s="34"/>
      <c r="E814" s="34"/>
      <c r="F814" s="34"/>
      <c r="G814" s="33"/>
      <c r="H814" s="34"/>
      <c r="I814" s="34"/>
      <c r="J814" s="33"/>
      <c r="K814" s="34"/>
      <c r="L814" s="34"/>
      <c r="M814" s="34"/>
      <c r="N814" s="34"/>
      <c r="O814" s="34"/>
      <c r="P814" s="34"/>
      <c r="Q814" s="34"/>
      <c r="R814" s="34"/>
      <c r="S814" s="34"/>
      <c r="T814" s="34"/>
      <c r="U814" s="34"/>
      <c r="V814" s="34"/>
      <c r="W814" s="34"/>
      <c r="X814" s="34"/>
      <c r="Y814" s="34"/>
      <c r="Z814" s="34"/>
      <c r="AA814" s="34"/>
    </row>
    <row r="815" spans="1:27" ht="13">
      <c r="A815" s="34"/>
      <c r="B815" s="52"/>
      <c r="C815" s="34"/>
      <c r="D815" s="34"/>
      <c r="E815" s="34"/>
      <c r="F815" s="34"/>
      <c r="G815" s="33"/>
      <c r="H815" s="34"/>
      <c r="I815" s="34"/>
      <c r="J815" s="33"/>
      <c r="K815" s="34"/>
      <c r="L815" s="34"/>
      <c r="M815" s="34"/>
      <c r="N815" s="34"/>
      <c r="O815" s="34"/>
      <c r="P815" s="34"/>
      <c r="Q815" s="34"/>
      <c r="R815" s="34"/>
      <c r="S815" s="34"/>
      <c r="T815" s="34"/>
      <c r="U815" s="34"/>
      <c r="V815" s="34"/>
      <c r="W815" s="34"/>
      <c r="X815" s="34"/>
      <c r="Y815" s="34"/>
      <c r="Z815" s="34"/>
      <c r="AA815" s="34"/>
    </row>
    <row r="816" spans="1:27" ht="13">
      <c r="A816" s="34"/>
      <c r="B816" s="52"/>
      <c r="C816" s="34"/>
      <c r="D816" s="34"/>
      <c r="E816" s="34"/>
      <c r="F816" s="34"/>
      <c r="G816" s="33"/>
      <c r="H816" s="34"/>
      <c r="I816" s="34"/>
      <c r="J816" s="33"/>
      <c r="K816" s="34"/>
      <c r="L816" s="34"/>
      <c r="M816" s="34"/>
      <c r="N816" s="34"/>
      <c r="O816" s="34"/>
      <c r="P816" s="34"/>
      <c r="Q816" s="34"/>
      <c r="R816" s="34"/>
      <c r="S816" s="34"/>
      <c r="T816" s="34"/>
      <c r="U816" s="34"/>
      <c r="V816" s="34"/>
      <c r="W816" s="34"/>
      <c r="X816" s="34"/>
      <c r="Y816" s="34"/>
      <c r="Z816" s="34"/>
      <c r="AA816" s="34"/>
    </row>
    <row r="817" spans="1:27" ht="13">
      <c r="A817" s="34"/>
      <c r="B817" s="52"/>
      <c r="C817" s="34"/>
      <c r="D817" s="34"/>
      <c r="E817" s="34"/>
      <c r="F817" s="34"/>
      <c r="G817" s="33"/>
      <c r="H817" s="34"/>
      <c r="I817" s="34"/>
      <c r="J817" s="33"/>
      <c r="K817" s="34"/>
      <c r="L817" s="34"/>
      <c r="M817" s="34"/>
      <c r="N817" s="34"/>
      <c r="O817" s="34"/>
      <c r="P817" s="34"/>
      <c r="Q817" s="34"/>
      <c r="R817" s="34"/>
      <c r="S817" s="34"/>
      <c r="T817" s="34"/>
      <c r="U817" s="34"/>
      <c r="V817" s="34"/>
      <c r="W817" s="34"/>
      <c r="X817" s="34"/>
      <c r="Y817" s="34"/>
      <c r="Z817" s="34"/>
      <c r="AA817" s="34"/>
    </row>
    <row r="818" spans="1:27" ht="13">
      <c r="A818" s="34"/>
      <c r="B818" s="52"/>
      <c r="C818" s="34"/>
      <c r="D818" s="34"/>
      <c r="E818" s="34"/>
      <c r="F818" s="34"/>
      <c r="G818" s="33"/>
      <c r="H818" s="34"/>
      <c r="I818" s="34"/>
      <c r="J818" s="33"/>
      <c r="K818" s="34"/>
      <c r="L818" s="34"/>
      <c r="M818" s="34"/>
      <c r="N818" s="34"/>
      <c r="O818" s="34"/>
      <c r="P818" s="34"/>
      <c r="Q818" s="34"/>
      <c r="R818" s="34"/>
      <c r="S818" s="34"/>
      <c r="T818" s="34"/>
      <c r="U818" s="34"/>
      <c r="V818" s="34"/>
      <c r="W818" s="34"/>
      <c r="X818" s="34"/>
      <c r="Y818" s="34"/>
      <c r="Z818" s="34"/>
      <c r="AA818" s="34"/>
    </row>
    <row r="819" spans="1:27" ht="13">
      <c r="A819" s="34"/>
      <c r="B819" s="52"/>
      <c r="C819" s="34"/>
      <c r="D819" s="34"/>
      <c r="E819" s="34"/>
      <c r="F819" s="34"/>
      <c r="G819" s="33"/>
      <c r="H819" s="34"/>
      <c r="I819" s="34"/>
      <c r="J819" s="33"/>
      <c r="K819" s="34"/>
      <c r="L819" s="34"/>
      <c r="M819" s="34"/>
      <c r="N819" s="34"/>
      <c r="O819" s="34"/>
      <c r="P819" s="34"/>
      <c r="Q819" s="34"/>
      <c r="R819" s="34"/>
      <c r="S819" s="34"/>
      <c r="T819" s="34"/>
      <c r="U819" s="34"/>
      <c r="V819" s="34"/>
      <c r="W819" s="34"/>
      <c r="X819" s="34"/>
      <c r="Y819" s="34"/>
      <c r="Z819" s="34"/>
      <c r="AA819" s="34"/>
    </row>
    <row r="820" spans="1:27" ht="13">
      <c r="A820" s="34"/>
      <c r="B820" s="52"/>
      <c r="C820" s="34"/>
      <c r="D820" s="34"/>
      <c r="E820" s="34"/>
      <c r="F820" s="34"/>
      <c r="G820" s="33"/>
      <c r="H820" s="34"/>
      <c r="I820" s="34"/>
      <c r="J820" s="33"/>
      <c r="K820" s="34"/>
      <c r="L820" s="34"/>
      <c r="M820" s="34"/>
      <c r="N820" s="34"/>
      <c r="O820" s="34"/>
      <c r="P820" s="34"/>
      <c r="Q820" s="34"/>
      <c r="R820" s="34"/>
      <c r="S820" s="34"/>
      <c r="T820" s="34"/>
      <c r="U820" s="34"/>
      <c r="V820" s="34"/>
      <c r="W820" s="34"/>
      <c r="X820" s="34"/>
      <c r="Y820" s="34"/>
      <c r="Z820" s="34"/>
      <c r="AA820" s="34"/>
    </row>
    <row r="821" spans="1:27" ht="13">
      <c r="A821" s="34"/>
      <c r="B821" s="52"/>
      <c r="C821" s="34"/>
      <c r="D821" s="34"/>
      <c r="E821" s="34"/>
      <c r="F821" s="34"/>
      <c r="G821" s="33"/>
      <c r="H821" s="34"/>
      <c r="I821" s="34"/>
      <c r="J821" s="33"/>
      <c r="K821" s="34"/>
      <c r="L821" s="34"/>
      <c r="M821" s="34"/>
      <c r="N821" s="34"/>
      <c r="O821" s="34"/>
      <c r="P821" s="34"/>
      <c r="Q821" s="34"/>
      <c r="R821" s="34"/>
      <c r="S821" s="34"/>
      <c r="T821" s="34"/>
      <c r="U821" s="34"/>
      <c r="V821" s="34"/>
      <c r="W821" s="34"/>
      <c r="X821" s="34"/>
      <c r="Y821" s="34"/>
      <c r="Z821" s="34"/>
      <c r="AA821" s="34"/>
    </row>
    <row r="822" spans="1:27" ht="13">
      <c r="A822" s="34"/>
      <c r="B822" s="52"/>
      <c r="C822" s="34"/>
      <c r="D822" s="34"/>
      <c r="E822" s="34"/>
      <c r="F822" s="34"/>
      <c r="G822" s="33"/>
      <c r="H822" s="34"/>
      <c r="I822" s="34"/>
      <c r="J822" s="33"/>
      <c r="K822" s="34"/>
      <c r="L822" s="34"/>
      <c r="M822" s="34"/>
      <c r="N822" s="34"/>
      <c r="O822" s="34"/>
      <c r="P822" s="34"/>
      <c r="Q822" s="34"/>
      <c r="R822" s="34"/>
      <c r="S822" s="34"/>
      <c r="T822" s="34"/>
      <c r="U822" s="34"/>
      <c r="V822" s="34"/>
      <c r="W822" s="34"/>
      <c r="X822" s="34"/>
      <c r="Y822" s="34"/>
      <c r="Z822" s="34"/>
      <c r="AA822" s="34"/>
    </row>
    <row r="823" spans="1:27" ht="13">
      <c r="A823" s="34"/>
      <c r="B823" s="52"/>
      <c r="C823" s="34"/>
      <c r="D823" s="34"/>
      <c r="E823" s="34"/>
      <c r="F823" s="34"/>
      <c r="G823" s="33"/>
      <c r="H823" s="34"/>
      <c r="I823" s="34"/>
      <c r="J823" s="33"/>
      <c r="K823" s="34"/>
      <c r="L823" s="34"/>
      <c r="M823" s="34"/>
      <c r="N823" s="34"/>
      <c r="O823" s="34"/>
      <c r="P823" s="34"/>
      <c r="Q823" s="34"/>
      <c r="R823" s="34"/>
      <c r="S823" s="34"/>
      <c r="T823" s="34"/>
      <c r="U823" s="34"/>
      <c r="V823" s="34"/>
      <c r="W823" s="34"/>
      <c r="X823" s="34"/>
      <c r="Y823" s="34"/>
      <c r="Z823" s="34"/>
      <c r="AA823" s="34"/>
    </row>
    <row r="824" spans="1:27" ht="13">
      <c r="A824" s="34"/>
      <c r="B824" s="52"/>
      <c r="C824" s="34"/>
      <c r="D824" s="34"/>
      <c r="E824" s="34"/>
      <c r="F824" s="34"/>
      <c r="G824" s="33"/>
      <c r="H824" s="34"/>
      <c r="I824" s="34"/>
      <c r="J824" s="33"/>
      <c r="K824" s="34"/>
      <c r="L824" s="34"/>
      <c r="M824" s="34"/>
      <c r="N824" s="34"/>
      <c r="O824" s="34"/>
      <c r="P824" s="34"/>
      <c r="Q824" s="34"/>
      <c r="R824" s="34"/>
      <c r="S824" s="34"/>
      <c r="T824" s="34"/>
      <c r="U824" s="34"/>
      <c r="V824" s="34"/>
      <c r="W824" s="34"/>
      <c r="X824" s="34"/>
      <c r="Y824" s="34"/>
      <c r="Z824" s="34"/>
      <c r="AA824" s="34"/>
    </row>
    <row r="825" spans="1:27" ht="13">
      <c r="A825" s="34"/>
      <c r="B825" s="52"/>
      <c r="C825" s="34"/>
      <c r="D825" s="34"/>
      <c r="E825" s="34"/>
      <c r="F825" s="34"/>
      <c r="G825" s="33"/>
      <c r="H825" s="34"/>
      <c r="I825" s="34"/>
      <c r="J825" s="33"/>
      <c r="K825" s="34"/>
      <c r="L825" s="34"/>
      <c r="M825" s="34"/>
      <c r="N825" s="34"/>
      <c r="O825" s="34"/>
      <c r="P825" s="34"/>
      <c r="Q825" s="34"/>
      <c r="R825" s="34"/>
      <c r="S825" s="34"/>
      <c r="T825" s="34"/>
      <c r="U825" s="34"/>
      <c r="V825" s="34"/>
      <c r="W825" s="34"/>
      <c r="X825" s="34"/>
      <c r="Y825" s="34"/>
      <c r="Z825" s="34"/>
      <c r="AA825" s="34"/>
    </row>
    <row r="826" spans="1:27" ht="13">
      <c r="A826" s="34"/>
      <c r="B826" s="52"/>
      <c r="C826" s="34"/>
      <c r="D826" s="34"/>
      <c r="E826" s="34"/>
      <c r="F826" s="34"/>
      <c r="G826" s="33"/>
      <c r="H826" s="34"/>
      <c r="I826" s="34"/>
      <c r="J826" s="33"/>
      <c r="K826" s="34"/>
      <c r="L826" s="34"/>
      <c r="M826" s="34"/>
      <c r="N826" s="34"/>
      <c r="O826" s="34"/>
      <c r="P826" s="34"/>
      <c r="Q826" s="34"/>
      <c r="R826" s="34"/>
      <c r="S826" s="34"/>
      <c r="T826" s="34"/>
      <c r="U826" s="34"/>
      <c r="V826" s="34"/>
      <c r="W826" s="34"/>
      <c r="X826" s="34"/>
      <c r="Y826" s="34"/>
      <c r="Z826" s="34"/>
      <c r="AA826" s="34"/>
    </row>
    <row r="827" spans="1:27" ht="13">
      <c r="A827" s="34"/>
      <c r="B827" s="52"/>
      <c r="C827" s="34"/>
      <c r="D827" s="34"/>
      <c r="E827" s="34"/>
      <c r="F827" s="34"/>
      <c r="G827" s="33"/>
      <c r="H827" s="34"/>
      <c r="I827" s="34"/>
      <c r="J827" s="33"/>
      <c r="K827" s="34"/>
      <c r="L827" s="34"/>
      <c r="M827" s="34"/>
      <c r="N827" s="34"/>
      <c r="O827" s="34"/>
      <c r="P827" s="34"/>
      <c r="Q827" s="34"/>
      <c r="R827" s="34"/>
      <c r="S827" s="34"/>
      <c r="T827" s="34"/>
      <c r="U827" s="34"/>
      <c r="V827" s="34"/>
      <c r="W827" s="34"/>
      <c r="X827" s="34"/>
      <c r="Y827" s="34"/>
      <c r="Z827" s="34"/>
      <c r="AA827" s="34"/>
    </row>
    <row r="828" spans="1:27" ht="13">
      <c r="A828" s="34"/>
      <c r="B828" s="52"/>
      <c r="C828" s="34"/>
      <c r="D828" s="34"/>
      <c r="E828" s="34"/>
      <c r="F828" s="34"/>
      <c r="G828" s="33"/>
      <c r="H828" s="34"/>
      <c r="I828" s="34"/>
      <c r="J828" s="33"/>
      <c r="K828" s="34"/>
      <c r="L828" s="34"/>
      <c r="M828" s="34"/>
      <c r="N828" s="34"/>
      <c r="O828" s="34"/>
      <c r="P828" s="34"/>
      <c r="Q828" s="34"/>
      <c r="R828" s="34"/>
      <c r="S828" s="34"/>
      <c r="T828" s="34"/>
      <c r="U828" s="34"/>
      <c r="V828" s="34"/>
      <c r="W828" s="34"/>
      <c r="X828" s="34"/>
      <c r="Y828" s="34"/>
      <c r="Z828" s="34"/>
      <c r="AA828" s="34"/>
    </row>
    <row r="829" spans="1:27" ht="13">
      <c r="A829" s="34"/>
      <c r="B829" s="52"/>
      <c r="C829" s="34"/>
      <c r="D829" s="34"/>
      <c r="E829" s="34"/>
      <c r="F829" s="34"/>
      <c r="G829" s="33"/>
      <c r="H829" s="34"/>
      <c r="I829" s="34"/>
      <c r="J829" s="33"/>
      <c r="K829" s="34"/>
      <c r="L829" s="34"/>
      <c r="M829" s="34"/>
      <c r="N829" s="34"/>
      <c r="O829" s="34"/>
      <c r="P829" s="34"/>
      <c r="Q829" s="34"/>
      <c r="R829" s="34"/>
      <c r="S829" s="34"/>
      <c r="T829" s="34"/>
      <c r="U829" s="34"/>
      <c r="V829" s="34"/>
      <c r="W829" s="34"/>
      <c r="X829" s="34"/>
      <c r="Y829" s="34"/>
      <c r="Z829" s="34"/>
      <c r="AA829" s="34"/>
    </row>
    <row r="830" spans="1:27" ht="13">
      <c r="A830" s="34"/>
      <c r="B830" s="52"/>
      <c r="C830" s="34"/>
      <c r="D830" s="34"/>
      <c r="E830" s="34"/>
      <c r="F830" s="34"/>
      <c r="G830" s="33"/>
      <c r="H830" s="34"/>
      <c r="I830" s="34"/>
      <c r="J830" s="33"/>
      <c r="K830" s="34"/>
      <c r="L830" s="34"/>
      <c r="M830" s="34"/>
      <c r="N830" s="34"/>
      <c r="O830" s="34"/>
      <c r="P830" s="34"/>
      <c r="Q830" s="34"/>
      <c r="R830" s="34"/>
      <c r="S830" s="34"/>
      <c r="T830" s="34"/>
      <c r="U830" s="34"/>
      <c r="V830" s="34"/>
      <c r="W830" s="34"/>
      <c r="X830" s="34"/>
      <c r="Y830" s="34"/>
      <c r="Z830" s="34"/>
      <c r="AA830" s="34"/>
    </row>
    <row r="831" spans="1:27" ht="13">
      <c r="A831" s="34"/>
      <c r="B831" s="52"/>
      <c r="C831" s="34"/>
      <c r="D831" s="34"/>
      <c r="E831" s="34"/>
      <c r="F831" s="34"/>
      <c r="G831" s="33"/>
      <c r="H831" s="34"/>
      <c r="I831" s="34"/>
      <c r="J831" s="33"/>
      <c r="K831" s="34"/>
      <c r="L831" s="34"/>
      <c r="M831" s="34"/>
      <c r="N831" s="34"/>
      <c r="O831" s="34"/>
      <c r="P831" s="34"/>
      <c r="Q831" s="34"/>
      <c r="R831" s="34"/>
      <c r="S831" s="34"/>
      <c r="T831" s="34"/>
      <c r="U831" s="34"/>
      <c r="V831" s="34"/>
      <c r="W831" s="34"/>
      <c r="X831" s="34"/>
      <c r="Y831" s="34"/>
      <c r="Z831" s="34"/>
      <c r="AA831" s="34"/>
    </row>
    <row r="832" spans="1:27" ht="13">
      <c r="A832" s="34"/>
      <c r="B832" s="52"/>
      <c r="C832" s="34"/>
      <c r="D832" s="34"/>
      <c r="E832" s="34"/>
      <c r="F832" s="34"/>
      <c r="G832" s="33"/>
      <c r="H832" s="34"/>
      <c r="I832" s="34"/>
      <c r="J832" s="33"/>
      <c r="K832" s="34"/>
      <c r="L832" s="34"/>
      <c r="M832" s="34"/>
      <c r="N832" s="34"/>
      <c r="O832" s="34"/>
      <c r="P832" s="34"/>
      <c r="Q832" s="34"/>
      <c r="R832" s="34"/>
      <c r="S832" s="34"/>
      <c r="T832" s="34"/>
      <c r="U832" s="34"/>
      <c r="V832" s="34"/>
      <c r="W832" s="34"/>
      <c r="X832" s="34"/>
      <c r="Y832" s="34"/>
      <c r="Z832" s="34"/>
      <c r="AA832" s="34"/>
    </row>
    <row r="833" spans="1:27" ht="13">
      <c r="A833" s="34"/>
      <c r="B833" s="52"/>
      <c r="C833" s="34"/>
      <c r="D833" s="34"/>
      <c r="E833" s="34"/>
      <c r="F833" s="34"/>
      <c r="G833" s="33"/>
      <c r="H833" s="34"/>
      <c r="I833" s="34"/>
      <c r="J833" s="33"/>
      <c r="K833" s="34"/>
      <c r="L833" s="34"/>
      <c r="M833" s="34"/>
      <c r="N833" s="34"/>
      <c r="O833" s="34"/>
      <c r="P833" s="34"/>
      <c r="Q833" s="34"/>
      <c r="R833" s="34"/>
      <c r="S833" s="34"/>
      <c r="T833" s="34"/>
      <c r="U833" s="34"/>
      <c r="V833" s="34"/>
      <c r="W833" s="34"/>
      <c r="X833" s="34"/>
      <c r="Y833" s="34"/>
      <c r="Z833" s="34"/>
      <c r="AA833" s="34"/>
    </row>
    <row r="834" spans="1:27" ht="13">
      <c r="A834" s="34"/>
      <c r="B834" s="52"/>
      <c r="C834" s="34"/>
      <c r="D834" s="34"/>
      <c r="E834" s="34"/>
      <c r="F834" s="34"/>
      <c r="G834" s="33"/>
      <c r="H834" s="34"/>
      <c r="I834" s="34"/>
      <c r="J834" s="33"/>
      <c r="K834" s="34"/>
      <c r="L834" s="34"/>
      <c r="M834" s="34"/>
      <c r="N834" s="34"/>
      <c r="O834" s="34"/>
      <c r="P834" s="34"/>
      <c r="Q834" s="34"/>
      <c r="R834" s="34"/>
      <c r="S834" s="34"/>
      <c r="T834" s="34"/>
      <c r="U834" s="34"/>
      <c r="V834" s="34"/>
      <c r="W834" s="34"/>
      <c r="X834" s="34"/>
      <c r="Y834" s="34"/>
      <c r="Z834" s="34"/>
      <c r="AA834" s="34"/>
    </row>
    <row r="835" spans="1:27" ht="13">
      <c r="A835" s="34"/>
      <c r="B835" s="52"/>
      <c r="C835" s="34"/>
      <c r="D835" s="34"/>
      <c r="E835" s="34"/>
      <c r="F835" s="34"/>
      <c r="G835" s="33"/>
      <c r="H835" s="34"/>
      <c r="I835" s="34"/>
      <c r="J835" s="33"/>
      <c r="K835" s="34"/>
      <c r="L835" s="34"/>
      <c r="M835" s="34"/>
      <c r="N835" s="34"/>
      <c r="O835" s="34"/>
      <c r="P835" s="34"/>
      <c r="Q835" s="34"/>
      <c r="R835" s="34"/>
      <c r="S835" s="34"/>
      <c r="T835" s="34"/>
      <c r="U835" s="34"/>
      <c r="V835" s="34"/>
      <c r="W835" s="34"/>
      <c r="X835" s="34"/>
      <c r="Y835" s="34"/>
      <c r="Z835" s="34"/>
      <c r="AA835" s="34"/>
    </row>
    <row r="836" spans="1:27" ht="13">
      <c r="A836" s="34"/>
      <c r="B836" s="52"/>
      <c r="C836" s="34"/>
      <c r="D836" s="34"/>
      <c r="E836" s="34"/>
      <c r="F836" s="34"/>
      <c r="G836" s="33"/>
      <c r="H836" s="34"/>
      <c r="I836" s="34"/>
      <c r="J836" s="33"/>
      <c r="K836" s="34"/>
      <c r="L836" s="34"/>
      <c r="M836" s="34"/>
      <c r="N836" s="34"/>
      <c r="O836" s="34"/>
      <c r="P836" s="34"/>
      <c r="Q836" s="34"/>
      <c r="R836" s="34"/>
      <c r="S836" s="34"/>
      <c r="T836" s="34"/>
      <c r="U836" s="34"/>
      <c r="V836" s="34"/>
      <c r="W836" s="34"/>
      <c r="X836" s="34"/>
      <c r="Y836" s="34"/>
      <c r="Z836" s="34"/>
      <c r="AA836" s="34"/>
    </row>
    <row r="837" spans="1:27" ht="13">
      <c r="A837" s="34"/>
      <c r="B837" s="52"/>
      <c r="C837" s="34"/>
      <c r="D837" s="34"/>
      <c r="E837" s="34"/>
      <c r="F837" s="34"/>
      <c r="G837" s="33"/>
      <c r="H837" s="34"/>
      <c r="I837" s="34"/>
      <c r="J837" s="33"/>
      <c r="K837" s="34"/>
      <c r="L837" s="34"/>
      <c r="M837" s="34"/>
      <c r="N837" s="34"/>
      <c r="O837" s="34"/>
      <c r="P837" s="34"/>
      <c r="Q837" s="34"/>
      <c r="R837" s="34"/>
      <c r="S837" s="34"/>
      <c r="T837" s="34"/>
      <c r="U837" s="34"/>
      <c r="V837" s="34"/>
      <c r="W837" s="34"/>
      <c r="X837" s="34"/>
      <c r="Y837" s="34"/>
      <c r="Z837" s="34"/>
      <c r="AA837" s="34"/>
    </row>
    <row r="838" spans="1:27" ht="13">
      <c r="A838" s="34"/>
      <c r="B838" s="52"/>
      <c r="C838" s="34"/>
      <c r="D838" s="34"/>
      <c r="E838" s="34"/>
      <c r="F838" s="34"/>
      <c r="G838" s="33"/>
      <c r="H838" s="34"/>
      <c r="I838" s="34"/>
      <c r="J838" s="33"/>
      <c r="K838" s="34"/>
      <c r="L838" s="34"/>
      <c r="M838" s="34"/>
      <c r="N838" s="34"/>
      <c r="O838" s="34"/>
      <c r="P838" s="34"/>
      <c r="Q838" s="34"/>
      <c r="R838" s="34"/>
      <c r="S838" s="34"/>
      <c r="T838" s="34"/>
      <c r="U838" s="34"/>
      <c r="V838" s="34"/>
      <c r="W838" s="34"/>
      <c r="X838" s="34"/>
      <c r="Y838" s="34"/>
      <c r="Z838" s="34"/>
      <c r="AA838" s="34"/>
    </row>
    <row r="839" spans="1:27" ht="13">
      <c r="A839" s="34"/>
      <c r="B839" s="52"/>
      <c r="C839" s="34"/>
      <c r="D839" s="34"/>
      <c r="E839" s="34"/>
      <c r="F839" s="34"/>
      <c r="G839" s="33"/>
      <c r="H839" s="34"/>
      <c r="I839" s="34"/>
      <c r="J839" s="33"/>
      <c r="K839" s="34"/>
      <c r="L839" s="34"/>
      <c r="M839" s="34"/>
      <c r="N839" s="34"/>
      <c r="O839" s="34"/>
      <c r="P839" s="34"/>
      <c r="Q839" s="34"/>
      <c r="R839" s="34"/>
      <c r="S839" s="34"/>
      <c r="T839" s="34"/>
      <c r="U839" s="34"/>
      <c r="V839" s="34"/>
      <c r="W839" s="34"/>
      <c r="X839" s="34"/>
      <c r="Y839" s="34"/>
      <c r="Z839" s="34"/>
      <c r="AA839" s="34"/>
    </row>
    <row r="840" spans="1:27" ht="13">
      <c r="A840" s="34"/>
      <c r="B840" s="52"/>
      <c r="C840" s="34"/>
      <c r="D840" s="34"/>
      <c r="E840" s="34"/>
      <c r="F840" s="34"/>
      <c r="G840" s="33"/>
      <c r="H840" s="34"/>
      <c r="I840" s="34"/>
      <c r="J840" s="33"/>
      <c r="K840" s="34"/>
      <c r="L840" s="34"/>
      <c r="M840" s="34"/>
      <c r="N840" s="34"/>
      <c r="O840" s="34"/>
      <c r="P840" s="34"/>
      <c r="Q840" s="34"/>
      <c r="R840" s="34"/>
      <c r="S840" s="34"/>
      <c r="T840" s="34"/>
      <c r="U840" s="34"/>
      <c r="V840" s="34"/>
      <c r="W840" s="34"/>
      <c r="X840" s="34"/>
      <c r="Y840" s="34"/>
      <c r="Z840" s="34"/>
      <c r="AA840" s="34"/>
    </row>
    <row r="841" spans="1:27" ht="13">
      <c r="A841" s="34"/>
      <c r="B841" s="52"/>
      <c r="C841" s="34"/>
      <c r="D841" s="34"/>
      <c r="E841" s="34"/>
      <c r="F841" s="34"/>
      <c r="G841" s="33"/>
      <c r="H841" s="34"/>
      <c r="I841" s="34"/>
      <c r="J841" s="33"/>
      <c r="K841" s="34"/>
      <c r="L841" s="34"/>
      <c r="M841" s="34"/>
      <c r="N841" s="34"/>
      <c r="O841" s="34"/>
      <c r="P841" s="34"/>
      <c r="Q841" s="34"/>
      <c r="R841" s="34"/>
      <c r="S841" s="34"/>
      <c r="T841" s="34"/>
      <c r="U841" s="34"/>
      <c r="V841" s="34"/>
      <c r="W841" s="34"/>
      <c r="X841" s="34"/>
      <c r="Y841" s="34"/>
      <c r="Z841" s="34"/>
      <c r="AA841" s="34"/>
    </row>
    <row r="842" spans="1:27" ht="13">
      <c r="A842" s="34"/>
      <c r="B842" s="52"/>
      <c r="C842" s="34"/>
      <c r="D842" s="34"/>
      <c r="E842" s="34"/>
      <c r="F842" s="34"/>
      <c r="G842" s="33"/>
      <c r="H842" s="34"/>
      <c r="I842" s="34"/>
      <c r="J842" s="33"/>
      <c r="K842" s="34"/>
      <c r="L842" s="34"/>
      <c r="M842" s="34"/>
      <c r="N842" s="34"/>
      <c r="O842" s="34"/>
      <c r="P842" s="34"/>
      <c r="Q842" s="34"/>
      <c r="R842" s="34"/>
      <c r="S842" s="34"/>
      <c r="T842" s="34"/>
      <c r="U842" s="34"/>
      <c r="V842" s="34"/>
      <c r="W842" s="34"/>
      <c r="X842" s="34"/>
      <c r="Y842" s="34"/>
      <c r="Z842" s="34"/>
      <c r="AA842" s="34"/>
    </row>
    <row r="843" spans="1:27" ht="13">
      <c r="A843" s="34"/>
      <c r="B843" s="52"/>
      <c r="C843" s="34"/>
      <c r="D843" s="34"/>
      <c r="E843" s="34"/>
      <c r="F843" s="34"/>
      <c r="G843" s="33"/>
      <c r="H843" s="34"/>
      <c r="I843" s="34"/>
      <c r="J843" s="33"/>
      <c r="K843" s="34"/>
      <c r="L843" s="34"/>
      <c r="M843" s="34"/>
      <c r="N843" s="34"/>
      <c r="O843" s="34"/>
      <c r="P843" s="34"/>
      <c r="Q843" s="34"/>
      <c r="R843" s="34"/>
      <c r="S843" s="34"/>
      <c r="T843" s="34"/>
      <c r="U843" s="34"/>
      <c r="V843" s="34"/>
      <c r="W843" s="34"/>
      <c r="X843" s="34"/>
      <c r="Y843" s="34"/>
      <c r="Z843" s="34"/>
      <c r="AA843" s="34"/>
    </row>
    <row r="844" spans="1:27" ht="13">
      <c r="A844" s="34"/>
      <c r="B844" s="52"/>
      <c r="C844" s="34"/>
      <c r="D844" s="34"/>
      <c r="E844" s="34"/>
      <c r="F844" s="34"/>
      <c r="G844" s="33"/>
      <c r="H844" s="34"/>
      <c r="I844" s="34"/>
      <c r="J844" s="33"/>
      <c r="K844" s="34"/>
      <c r="L844" s="34"/>
      <c r="M844" s="34"/>
      <c r="N844" s="34"/>
      <c r="O844" s="34"/>
      <c r="P844" s="34"/>
      <c r="Q844" s="34"/>
      <c r="R844" s="34"/>
      <c r="S844" s="34"/>
      <c r="T844" s="34"/>
      <c r="U844" s="34"/>
      <c r="V844" s="34"/>
      <c r="W844" s="34"/>
      <c r="X844" s="34"/>
      <c r="Y844" s="34"/>
      <c r="Z844" s="34"/>
      <c r="AA844" s="34"/>
    </row>
    <row r="845" spans="1:27" ht="13">
      <c r="A845" s="34"/>
      <c r="B845" s="52"/>
      <c r="C845" s="34"/>
      <c r="D845" s="34"/>
      <c r="E845" s="34"/>
      <c r="F845" s="34"/>
      <c r="G845" s="33"/>
      <c r="H845" s="34"/>
      <c r="I845" s="34"/>
      <c r="J845" s="33"/>
      <c r="K845" s="34"/>
      <c r="L845" s="34"/>
      <c r="M845" s="34"/>
      <c r="N845" s="34"/>
      <c r="O845" s="34"/>
      <c r="P845" s="34"/>
      <c r="Q845" s="34"/>
      <c r="R845" s="34"/>
      <c r="S845" s="34"/>
      <c r="T845" s="34"/>
      <c r="U845" s="34"/>
      <c r="V845" s="34"/>
      <c r="W845" s="34"/>
      <c r="X845" s="34"/>
      <c r="Y845" s="34"/>
      <c r="Z845" s="34"/>
      <c r="AA845" s="34"/>
    </row>
    <row r="846" spans="1:27" ht="13">
      <c r="A846" s="34"/>
      <c r="B846" s="52"/>
      <c r="C846" s="34"/>
      <c r="D846" s="34"/>
      <c r="E846" s="34"/>
      <c r="F846" s="34"/>
      <c r="G846" s="33"/>
      <c r="H846" s="34"/>
      <c r="I846" s="34"/>
      <c r="J846" s="33"/>
      <c r="K846" s="34"/>
      <c r="L846" s="34"/>
      <c r="M846" s="34"/>
      <c r="N846" s="34"/>
      <c r="O846" s="34"/>
      <c r="P846" s="34"/>
      <c r="Q846" s="34"/>
      <c r="R846" s="34"/>
      <c r="S846" s="34"/>
      <c r="T846" s="34"/>
      <c r="U846" s="34"/>
      <c r="V846" s="34"/>
      <c r="W846" s="34"/>
      <c r="X846" s="34"/>
      <c r="Y846" s="34"/>
      <c r="Z846" s="34"/>
      <c r="AA846" s="34"/>
    </row>
    <row r="847" spans="1:27" ht="13">
      <c r="A847" s="34"/>
      <c r="B847" s="52"/>
      <c r="C847" s="34"/>
      <c r="D847" s="34"/>
      <c r="E847" s="34"/>
      <c r="F847" s="34"/>
      <c r="G847" s="33"/>
      <c r="H847" s="34"/>
      <c r="I847" s="34"/>
      <c r="J847" s="33"/>
      <c r="K847" s="34"/>
      <c r="L847" s="34"/>
      <c r="M847" s="34"/>
      <c r="N847" s="34"/>
      <c r="O847" s="34"/>
      <c r="P847" s="34"/>
      <c r="Q847" s="34"/>
      <c r="R847" s="34"/>
      <c r="S847" s="34"/>
      <c r="T847" s="34"/>
      <c r="U847" s="34"/>
      <c r="V847" s="34"/>
      <c r="W847" s="34"/>
      <c r="X847" s="34"/>
      <c r="Y847" s="34"/>
      <c r="Z847" s="34"/>
      <c r="AA847" s="34"/>
    </row>
    <row r="848" spans="1:27" ht="13">
      <c r="A848" s="34"/>
      <c r="B848" s="52"/>
      <c r="C848" s="34"/>
      <c r="D848" s="34"/>
      <c r="E848" s="34"/>
      <c r="F848" s="34"/>
      <c r="G848" s="33"/>
      <c r="H848" s="34"/>
      <c r="I848" s="34"/>
      <c r="J848" s="33"/>
      <c r="K848" s="34"/>
      <c r="L848" s="34"/>
      <c r="M848" s="34"/>
      <c r="N848" s="34"/>
      <c r="O848" s="34"/>
      <c r="P848" s="34"/>
      <c r="Q848" s="34"/>
      <c r="R848" s="34"/>
      <c r="S848" s="34"/>
      <c r="T848" s="34"/>
      <c r="U848" s="34"/>
      <c r="V848" s="34"/>
      <c r="W848" s="34"/>
      <c r="X848" s="34"/>
      <c r="Y848" s="34"/>
      <c r="Z848" s="34"/>
      <c r="AA848" s="34"/>
    </row>
    <row r="849" spans="1:27" ht="13">
      <c r="A849" s="34"/>
      <c r="B849" s="52"/>
      <c r="C849" s="34"/>
      <c r="D849" s="34"/>
      <c r="E849" s="34"/>
      <c r="F849" s="34"/>
      <c r="G849" s="33"/>
      <c r="H849" s="34"/>
      <c r="I849" s="34"/>
      <c r="J849" s="33"/>
      <c r="K849" s="34"/>
      <c r="L849" s="34"/>
      <c r="M849" s="34"/>
      <c r="N849" s="34"/>
      <c r="O849" s="34"/>
      <c r="P849" s="34"/>
      <c r="Q849" s="34"/>
      <c r="R849" s="34"/>
      <c r="S849" s="34"/>
      <c r="T849" s="34"/>
      <c r="U849" s="34"/>
      <c r="V849" s="34"/>
      <c r="W849" s="34"/>
      <c r="X849" s="34"/>
      <c r="Y849" s="34"/>
      <c r="Z849" s="34"/>
      <c r="AA849" s="34"/>
    </row>
    <row r="850" spans="1:27" ht="13">
      <c r="A850" s="34"/>
      <c r="B850" s="52"/>
      <c r="C850" s="34"/>
      <c r="D850" s="34"/>
      <c r="E850" s="34"/>
      <c r="F850" s="34"/>
      <c r="G850" s="33"/>
      <c r="H850" s="34"/>
      <c r="I850" s="34"/>
      <c r="J850" s="33"/>
      <c r="K850" s="34"/>
      <c r="L850" s="34"/>
      <c r="M850" s="34"/>
      <c r="N850" s="34"/>
      <c r="O850" s="34"/>
      <c r="P850" s="34"/>
      <c r="Q850" s="34"/>
      <c r="R850" s="34"/>
      <c r="S850" s="34"/>
      <c r="T850" s="34"/>
      <c r="U850" s="34"/>
      <c r="V850" s="34"/>
      <c r="W850" s="34"/>
      <c r="X850" s="34"/>
      <c r="Y850" s="34"/>
      <c r="Z850" s="34"/>
      <c r="AA850" s="34"/>
    </row>
    <row r="851" spans="1:27" ht="13">
      <c r="A851" s="34"/>
      <c r="B851" s="52"/>
      <c r="C851" s="34"/>
      <c r="D851" s="34"/>
      <c r="E851" s="34"/>
      <c r="F851" s="34"/>
      <c r="G851" s="33"/>
      <c r="H851" s="34"/>
      <c r="I851" s="34"/>
      <c r="J851" s="33"/>
      <c r="K851" s="34"/>
      <c r="L851" s="34"/>
      <c r="M851" s="34"/>
      <c r="N851" s="34"/>
      <c r="O851" s="34"/>
      <c r="P851" s="34"/>
      <c r="Q851" s="34"/>
      <c r="R851" s="34"/>
      <c r="S851" s="34"/>
      <c r="T851" s="34"/>
      <c r="U851" s="34"/>
      <c r="V851" s="34"/>
      <c r="W851" s="34"/>
      <c r="X851" s="34"/>
      <c r="Y851" s="34"/>
      <c r="Z851" s="34"/>
      <c r="AA851" s="34"/>
    </row>
    <row r="852" spans="1:27" ht="13">
      <c r="A852" s="34"/>
      <c r="B852" s="52"/>
      <c r="C852" s="34"/>
      <c r="D852" s="34"/>
      <c r="E852" s="34"/>
      <c r="F852" s="34"/>
      <c r="G852" s="33"/>
      <c r="H852" s="34"/>
      <c r="I852" s="34"/>
      <c r="J852" s="33"/>
      <c r="K852" s="34"/>
      <c r="L852" s="34"/>
      <c r="M852" s="34"/>
      <c r="N852" s="34"/>
      <c r="O852" s="34"/>
      <c r="P852" s="34"/>
      <c r="Q852" s="34"/>
      <c r="R852" s="34"/>
      <c r="S852" s="34"/>
      <c r="T852" s="34"/>
      <c r="U852" s="34"/>
      <c r="V852" s="34"/>
      <c r="W852" s="34"/>
      <c r="X852" s="34"/>
      <c r="Y852" s="34"/>
      <c r="Z852" s="34"/>
      <c r="AA852" s="34"/>
    </row>
    <row r="853" spans="1:27" ht="13">
      <c r="A853" s="34"/>
      <c r="B853" s="52"/>
      <c r="C853" s="34"/>
      <c r="D853" s="34"/>
      <c r="E853" s="34"/>
      <c r="F853" s="34"/>
      <c r="G853" s="33"/>
      <c r="H853" s="34"/>
      <c r="I853" s="34"/>
      <c r="J853" s="33"/>
      <c r="K853" s="34"/>
      <c r="L853" s="34"/>
      <c r="M853" s="34"/>
      <c r="N853" s="34"/>
      <c r="O853" s="34"/>
      <c r="P853" s="34"/>
      <c r="Q853" s="34"/>
      <c r="R853" s="34"/>
      <c r="S853" s="34"/>
      <c r="T853" s="34"/>
      <c r="U853" s="34"/>
      <c r="V853" s="34"/>
      <c r="W853" s="34"/>
      <c r="X853" s="34"/>
      <c r="Y853" s="34"/>
      <c r="Z853" s="34"/>
      <c r="AA853" s="34"/>
    </row>
    <row r="854" spans="1:27" ht="13">
      <c r="A854" s="34"/>
      <c r="B854" s="52"/>
      <c r="C854" s="34"/>
      <c r="D854" s="34"/>
      <c r="E854" s="34"/>
      <c r="F854" s="34"/>
      <c r="G854" s="33"/>
      <c r="H854" s="34"/>
      <c r="I854" s="34"/>
      <c r="J854" s="33"/>
      <c r="K854" s="34"/>
      <c r="L854" s="34"/>
      <c r="M854" s="34"/>
      <c r="N854" s="34"/>
      <c r="O854" s="34"/>
      <c r="P854" s="34"/>
      <c r="Q854" s="34"/>
      <c r="R854" s="34"/>
      <c r="S854" s="34"/>
      <c r="T854" s="34"/>
      <c r="U854" s="34"/>
      <c r="V854" s="34"/>
      <c r="W854" s="34"/>
      <c r="X854" s="34"/>
      <c r="Y854" s="34"/>
      <c r="Z854" s="34"/>
      <c r="AA854" s="34"/>
    </row>
    <row r="855" spans="1:27" ht="13">
      <c r="A855" s="34"/>
      <c r="B855" s="52"/>
      <c r="C855" s="34"/>
      <c r="D855" s="34"/>
      <c r="E855" s="34"/>
      <c r="F855" s="34"/>
      <c r="G855" s="33"/>
      <c r="H855" s="34"/>
      <c r="I855" s="34"/>
      <c r="J855" s="33"/>
      <c r="K855" s="34"/>
      <c r="L855" s="34"/>
      <c r="M855" s="34"/>
      <c r="N855" s="34"/>
      <c r="O855" s="34"/>
      <c r="P855" s="34"/>
      <c r="Q855" s="34"/>
      <c r="R855" s="34"/>
      <c r="S855" s="34"/>
      <c r="T855" s="34"/>
      <c r="U855" s="34"/>
      <c r="V855" s="34"/>
      <c r="W855" s="34"/>
      <c r="X855" s="34"/>
      <c r="Y855" s="34"/>
      <c r="Z855" s="34"/>
      <c r="AA855" s="34"/>
    </row>
    <row r="856" spans="1:27" ht="13">
      <c r="A856" s="34"/>
      <c r="B856" s="52"/>
      <c r="C856" s="34"/>
      <c r="D856" s="34"/>
      <c r="E856" s="34"/>
      <c r="F856" s="34"/>
      <c r="G856" s="33"/>
      <c r="H856" s="34"/>
      <c r="I856" s="34"/>
      <c r="J856" s="33"/>
      <c r="K856" s="34"/>
      <c r="L856" s="34"/>
      <c r="M856" s="34"/>
      <c r="N856" s="34"/>
      <c r="O856" s="34"/>
      <c r="P856" s="34"/>
      <c r="Q856" s="34"/>
      <c r="R856" s="34"/>
      <c r="S856" s="34"/>
      <c r="T856" s="34"/>
      <c r="U856" s="34"/>
      <c r="V856" s="34"/>
      <c r="W856" s="34"/>
      <c r="X856" s="34"/>
      <c r="Y856" s="34"/>
      <c r="Z856" s="34"/>
      <c r="AA856" s="34"/>
    </row>
    <row r="857" spans="1:27" ht="13">
      <c r="A857" s="34"/>
      <c r="B857" s="52"/>
      <c r="C857" s="34"/>
      <c r="D857" s="34"/>
      <c r="E857" s="34"/>
      <c r="F857" s="34"/>
      <c r="G857" s="33"/>
      <c r="H857" s="34"/>
      <c r="I857" s="34"/>
      <c r="J857" s="33"/>
      <c r="K857" s="34"/>
      <c r="L857" s="34"/>
      <c r="M857" s="34"/>
      <c r="N857" s="34"/>
      <c r="O857" s="34"/>
      <c r="P857" s="34"/>
      <c r="Q857" s="34"/>
      <c r="R857" s="34"/>
      <c r="S857" s="34"/>
      <c r="T857" s="34"/>
      <c r="U857" s="34"/>
      <c r="V857" s="34"/>
      <c r="W857" s="34"/>
      <c r="X857" s="34"/>
      <c r="Y857" s="34"/>
      <c r="Z857" s="34"/>
      <c r="AA857" s="34"/>
    </row>
    <row r="858" spans="1:27" ht="13">
      <c r="A858" s="34"/>
      <c r="B858" s="52"/>
      <c r="C858" s="34"/>
      <c r="D858" s="34"/>
      <c r="E858" s="34"/>
      <c r="F858" s="34"/>
      <c r="G858" s="33"/>
      <c r="H858" s="34"/>
      <c r="I858" s="34"/>
      <c r="J858" s="33"/>
      <c r="K858" s="34"/>
      <c r="L858" s="34"/>
      <c r="M858" s="34"/>
      <c r="N858" s="34"/>
      <c r="O858" s="34"/>
      <c r="P858" s="34"/>
      <c r="Q858" s="34"/>
      <c r="R858" s="34"/>
      <c r="S858" s="34"/>
      <c r="T858" s="34"/>
      <c r="U858" s="34"/>
      <c r="V858" s="34"/>
      <c r="W858" s="34"/>
      <c r="X858" s="34"/>
      <c r="Y858" s="34"/>
      <c r="Z858" s="34"/>
      <c r="AA858" s="34"/>
    </row>
    <row r="859" spans="1:27" ht="13">
      <c r="A859" s="34"/>
      <c r="B859" s="52"/>
      <c r="C859" s="34"/>
      <c r="D859" s="34"/>
      <c r="E859" s="34"/>
      <c r="F859" s="34"/>
      <c r="G859" s="33"/>
      <c r="H859" s="34"/>
      <c r="I859" s="34"/>
      <c r="J859" s="33"/>
      <c r="K859" s="34"/>
      <c r="L859" s="34"/>
      <c r="M859" s="34"/>
      <c r="N859" s="34"/>
      <c r="O859" s="34"/>
      <c r="P859" s="34"/>
      <c r="Q859" s="34"/>
      <c r="R859" s="34"/>
      <c r="S859" s="34"/>
      <c r="T859" s="34"/>
      <c r="U859" s="34"/>
      <c r="V859" s="34"/>
      <c r="W859" s="34"/>
      <c r="X859" s="34"/>
      <c r="Y859" s="34"/>
      <c r="Z859" s="34"/>
      <c r="AA859" s="34"/>
    </row>
    <row r="860" spans="1:27" ht="13">
      <c r="A860" s="34"/>
      <c r="B860" s="52"/>
      <c r="C860" s="34"/>
      <c r="D860" s="34"/>
      <c r="E860" s="34"/>
      <c r="F860" s="34"/>
      <c r="G860" s="33"/>
      <c r="H860" s="34"/>
      <c r="I860" s="34"/>
      <c r="J860" s="33"/>
      <c r="K860" s="34"/>
      <c r="L860" s="34"/>
      <c r="M860" s="34"/>
      <c r="N860" s="34"/>
      <c r="O860" s="34"/>
      <c r="P860" s="34"/>
      <c r="Q860" s="34"/>
      <c r="R860" s="34"/>
      <c r="S860" s="34"/>
      <c r="T860" s="34"/>
      <c r="U860" s="34"/>
      <c r="V860" s="34"/>
      <c r="W860" s="34"/>
      <c r="X860" s="34"/>
      <c r="Y860" s="34"/>
      <c r="Z860" s="34"/>
      <c r="AA860" s="34"/>
    </row>
    <row r="861" spans="1:27" ht="13">
      <c r="A861" s="34"/>
      <c r="B861" s="52"/>
      <c r="C861" s="34"/>
      <c r="D861" s="34"/>
      <c r="E861" s="34"/>
      <c r="F861" s="34"/>
      <c r="G861" s="33"/>
      <c r="H861" s="34"/>
      <c r="I861" s="34"/>
      <c r="J861" s="33"/>
      <c r="K861" s="34"/>
      <c r="L861" s="34"/>
      <c r="M861" s="34"/>
      <c r="N861" s="34"/>
      <c r="O861" s="34"/>
      <c r="P861" s="34"/>
      <c r="Q861" s="34"/>
      <c r="R861" s="34"/>
      <c r="S861" s="34"/>
      <c r="T861" s="34"/>
      <c r="U861" s="34"/>
      <c r="V861" s="34"/>
      <c r="W861" s="34"/>
      <c r="X861" s="34"/>
      <c r="Y861" s="34"/>
      <c r="Z861" s="34"/>
      <c r="AA861" s="34"/>
    </row>
    <row r="862" spans="1:27" ht="13">
      <c r="A862" s="34"/>
      <c r="B862" s="52"/>
      <c r="C862" s="34"/>
      <c r="D862" s="34"/>
      <c r="E862" s="34"/>
      <c r="F862" s="34"/>
      <c r="G862" s="33"/>
      <c r="H862" s="34"/>
      <c r="I862" s="34"/>
      <c r="J862" s="33"/>
      <c r="K862" s="34"/>
      <c r="L862" s="34"/>
      <c r="M862" s="34"/>
      <c r="N862" s="34"/>
      <c r="O862" s="34"/>
      <c r="P862" s="34"/>
      <c r="Q862" s="34"/>
      <c r="R862" s="34"/>
      <c r="S862" s="34"/>
      <c r="T862" s="34"/>
      <c r="U862" s="34"/>
      <c r="V862" s="34"/>
      <c r="W862" s="34"/>
      <c r="X862" s="34"/>
      <c r="Y862" s="34"/>
      <c r="Z862" s="34"/>
      <c r="AA862" s="34"/>
    </row>
    <row r="863" spans="1:27" ht="13">
      <c r="A863" s="34"/>
      <c r="B863" s="52"/>
      <c r="C863" s="34"/>
      <c r="D863" s="34"/>
      <c r="E863" s="34"/>
      <c r="F863" s="34"/>
      <c r="G863" s="33"/>
      <c r="H863" s="34"/>
      <c r="I863" s="34"/>
      <c r="J863" s="33"/>
      <c r="K863" s="34"/>
      <c r="L863" s="34"/>
      <c r="M863" s="34"/>
      <c r="N863" s="34"/>
      <c r="O863" s="34"/>
      <c r="P863" s="34"/>
      <c r="Q863" s="34"/>
      <c r="R863" s="34"/>
      <c r="S863" s="34"/>
      <c r="T863" s="34"/>
      <c r="U863" s="34"/>
      <c r="V863" s="34"/>
      <c r="W863" s="34"/>
      <c r="X863" s="34"/>
      <c r="Y863" s="34"/>
      <c r="Z863" s="34"/>
      <c r="AA863" s="34"/>
    </row>
    <row r="864" spans="1:27" ht="13">
      <c r="A864" s="34"/>
      <c r="B864" s="52"/>
      <c r="C864" s="34"/>
      <c r="D864" s="34"/>
      <c r="E864" s="34"/>
      <c r="F864" s="34"/>
      <c r="G864" s="33"/>
      <c r="H864" s="34"/>
      <c r="I864" s="34"/>
      <c r="J864" s="33"/>
      <c r="K864" s="34"/>
      <c r="L864" s="34"/>
      <c r="M864" s="34"/>
      <c r="N864" s="34"/>
      <c r="O864" s="34"/>
      <c r="P864" s="34"/>
      <c r="Q864" s="34"/>
      <c r="R864" s="34"/>
      <c r="S864" s="34"/>
      <c r="T864" s="34"/>
      <c r="U864" s="34"/>
      <c r="V864" s="34"/>
      <c r="W864" s="34"/>
      <c r="X864" s="34"/>
      <c r="Y864" s="34"/>
      <c r="Z864" s="34"/>
      <c r="AA864" s="34"/>
    </row>
    <row r="865" spans="1:27" ht="13">
      <c r="A865" s="34"/>
      <c r="B865" s="52"/>
      <c r="C865" s="34"/>
      <c r="D865" s="34"/>
      <c r="E865" s="34"/>
      <c r="F865" s="34"/>
      <c r="G865" s="33"/>
      <c r="H865" s="34"/>
      <c r="I865" s="34"/>
      <c r="J865" s="33"/>
      <c r="K865" s="34"/>
      <c r="L865" s="34"/>
      <c r="M865" s="34"/>
      <c r="N865" s="34"/>
      <c r="O865" s="34"/>
      <c r="P865" s="34"/>
      <c r="Q865" s="34"/>
      <c r="R865" s="34"/>
      <c r="S865" s="34"/>
      <c r="T865" s="34"/>
      <c r="U865" s="34"/>
      <c r="V865" s="34"/>
      <c r="W865" s="34"/>
      <c r="X865" s="34"/>
      <c r="Y865" s="34"/>
      <c r="Z865" s="34"/>
      <c r="AA865" s="34"/>
    </row>
    <row r="866" spans="1:27" ht="13">
      <c r="A866" s="34"/>
      <c r="B866" s="52"/>
      <c r="C866" s="34"/>
      <c r="D866" s="34"/>
      <c r="E866" s="34"/>
      <c r="F866" s="34"/>
      <c r="G866" s="33"/>
      <c r="H866" s="34"/>
      <c r="I866" s="34"/>
      <c r="J866" s="33"/>
      <c r="K866" s="34"/>
      <c r="L866" s="34"/>
      <c r="M866" s="34"/>
      <c r="N866" s="34"/>
      <c r="O866" s="34"/>
      <c r="P866" s="34"/>
      <c r="Q866" s="34"/>
      <c r="R866" s="34"/>
      <c r="S866" s="34"/>
      <c r="T866" s="34"/>
      <c r="U866" s="34"/>
      <c r="V866" s="34"/>
      <c r="W866" s="34"/>
      <c r="X866" s="34"/>
      <c r="Y866" s="34"/>
      <c r="Z866" s="34"/>
      <c r="AA866" s="34"/>
    </row>
    <row r="867" spans="1:27" ht="13">
      <c r="A867" s="34"/>
      <c r="B867" s="52"/>
      <c r="C867" s="34"/>
      <c r="D867" s="34"/>
      <c r="E867" s="34"/>
      <c r="F867" s="34"/>
      <c r="G867" s="33"/>
      <c r="H867" s="34"/>
      <c r="I867" s="34"/>
      <c r="J867" s="33"/>
      <c r="K867" s="34"/>
      <c r="L867" s="34"/>
      <c r="M867" s="34"/>
      <c r="N867" s="34"/>
      <c r="O867" s="34"/>
      <c r="P867" s="34"/>
      <c r="Q867" s="34"/>
      <c r="R867" s="34"/>
      <c r="S867" s="34"/>
      <c r="T867" s="34"/>
      <c r="U867" s="34"/>
      <c r="V867" s="34"/>
      <c r="W867" s="34"/>
      <c r="X867" s="34"/>
      <c r="Y867" s="34"/>
      <c r="Z867" s="34"/>
      <c r="AA867" s="34"/>
    </row>
    <row r="868" spans="1:27" ht="13">
      <c r="A868" s="34"/>
      <c r="B868" s="52"/>
      <c r="C868" s="34"/>
      <c r="D868" s="34"/>
      <c r="E868" s="34"/>
      <c r="F868" s="34"/>
      <c r="G868" s="33"/>
      <c r="H868" s="34"/>
      <c r="I868" s="34"/>
      <c r="J868" s="33"/>
      <c r="K868" s="34"/>
      <c r="L868" s="34"/>
      <c r="M868" s="34"/>
      <c r="N868" s="34"/>
      <c r="O868" s="34"/>
      <c r="P868" s="34"/>
      <c r="Q868" s="34"/>
      <c r="R868" s="34"/>
      <c r="S868" s="34"/>
      <c r="T868" s="34"/>
      <c r="U868" s="34"/>
      <c r="V868" s="34"/>
      <c r="W868" s="34"/>
      <c r="X868" s="34"/>
      <c r="Y868" s="34"/>
      <c r="Z868" s="34"/>
      <c r="AA868" s="34"/>
    </row>
    <row r="869" spans="1:27" ht="13">
      <c r="A869" s="34"/>
      <c r="B869" s="52"/>
      <c r="C869" s="34"/>
      <c r="D869" s="34"/>
      <c r="E869" s="34"/>
      <c r="F869" s="34"/>
      <c r="G869" s="33"/>
      <c r="H869" s="34"/>
      <c r="I869" s="34"/>
      <c r="J869" s="33"/>
      <c r="K869" s="34"/>
      <c r="L869" s="34"/>
      <c r="M869" s="34"/>
      <c r="N869" s="34"/>
      <c r="O869" s="34"/>
      <c r="P869" s="34"/>
      <c r="Q869" s="34"/>
      <c r="R869" s="34"/>
      <c r="S869" s="34"/>
      <c r="T869" s="34"/>
      <c r="U869" s="34"/>
      <c r="V869" s="34"/>
      <c r="W869" s="34"/>
      <c r="X869" s="34"/>
      <c r="Y869" s="34"/>
      <c r="Z869" s="34"/>
      <c r="AA869" s="34"/>
    </row>
    <row r="870" spans="1:27" ht="13">
      <c r="A870" s="34"/>
      <c r="B870" s="52"/>
      <c r="C870" s="34"/>
      <c r="D870" s="34"/>
      <c r="E870" s="34"/>
      <c r="F870" s="34"/>
      <c r="G870" s="33"/>
      <c r="H870" s="34"/>
      <c r="I870" s="34"/>
      <c r="J870" s="33"/>
      <c r="K870" s="34"/>
      <c r="L870" s="34"/>
      <c r="M870" s="34"/>
      <c r="N870" s="34"/>
      <c r="O870" s="34"/>
      <c r="P870" s="34"/>
      <c r="Q870" s="34"/>
      <c r="R870" s="34"/>
      <c r="S870" s="34"/>
      <c r="T870" s="34"/>
      <c r="U870" s="34"/>
      <c r="V870" s="34"/>
      <c r="W870" s="34"/>
      <c r="X870" s="34"/>
      <c r="Y870" s="34"/>
      <c r="Z870" s="34"/>
      <c r="AA870" s="34"/>
    </row>
    <row r="871" spans="1:27" ht="13">
      <c r="A871" s="34"/>
      <c r="B871" s="52"/>
      <c r="C871" s="34"/>
      <c r="D871" s="34"/>
      <c r="E871" s="34"/>
      <c r="F871" s="34"/>
      <c r="G871" s="33"/>
      <c r="H871" s="34"/>
      <c r="I871" s="34"/>
      <c r="J871" s="33"/>
      <c r="K871" s="34"/>
      <c r="L871" s="34"/>
      <c r="M871" s="34"/>
      <c r="N871" s="34"/>
      <c r="O871" s="34"/>
      <c r="P871" s="34"/>
      <c r="Q871" s="34"/>
      <c r="R871" s="34"/>
      <c r="S871" s="34"/>
      <c r="T871" s="34"/>
      <c r="U871" s="34"/>
      <c r="V871" s="34"/>
      <c r="W871" s="34"/>
      <c r="X871" s="34"/>
      <c r="Y871" s="34"/>
      <c r="Z871" s="34"/>
      <c r="AA871" s="34"/>
    </row>
    <row r="872" spans="1:27" ht="13">
      <c r="A872" s="34"/>
      <c r="B872" s="52"/>
      <c r="C872" s="34"/>
      <c r="D872" s="34"/>
      <c r="E872" s="34"/>
      <c r="F872" s="34"/>
      <c r="G872" s="33"/>
      <c r="H872" s="34"/>
      <c r="I872" s="34"/>
      <c r="J872" s="33"/>
      <c r="K872" s="34"/>
      <c r="L872" s="34"/>
      <c r="M872" s="34"/>
      <c r="N872" s="34"/>
      <c r="O872" s="34"/>
      <c r="P872" s="34"/>
      <c r="Q872" s="34"/>
      <c r="R872" s="34"/>
      <c r="S872" s="34"/>
      <c r="T872" s="34"/>
      <c r="U872" s="34"/>
      <c r="V872" s="34"/>
      <c r="W872" s="34"/>
      <c r="X872" s="34"/>
      <c r="Y872" s="34"/>
      <c r="Z872" s="34"/>
      <c r="AA872" s="34"/>
    </row>
    <row r="873" spans="1:27" ht="13">
      <c r="A873" s="34"/>
      <c r="B873" s="52"/>
      <c r="C873" s="34"/>
      <c r="D873" s="34"/>
      <c r="E873" s="34"/>
      <c r="F873" s="34"/>
      <c r="G873" s="33"/>
      <c r="H873" s="34"/>
      <c r="I873" s="34"/>
      <c r="J873" s="33"/>
      <c r="K873" s="34"/>
      <c r="L873" s="34"/>
      <c r="M873" s="34"/>
      <c r="N873" s="34"/>
      <c r="O873" s="34"/>
      <c r="P873" s="34"/>
      <c r="Q873" s="34"/>
      <c r="R873" s="34"/>
      <c r="S873" s="34"/>
      <c r="T873" s="34"/>
      <c r="U873" s="34"/>
      <c r="V873" s="34"/>
      <c r="W873" s="34"/>
      <c r="X873" s="34"/>
      <c r="Y873" s="34"/>
      <c r="Z873" s="34"/>
      <c r="AA873" s="34"/>
    </row>
    <row r="874" spans="1:27" ht="13">
      <c r="A874" s="34"/>
      <c r="B874" s="52"/>
      <c r="C874" s="34"/>
      <c r="D874" s="34"/>
      <c r="E874" s="34"/>
      <c r="F874" s="34"/>
      <c r="G874" s="33"/>
      <c r="H874" s="34"/>
      <c r="I874" s="34"/>
      <c r="J874" s="33"/>
      <c r="K874" s="34"/>
      <c r="L874" s="34"/>
      <c r="M874" s="34"/>
      <c r="N874" s="34"/>
      <c r="O874" s="34"/>
      <c r="P874" s="34"/>
      <c r="Q874" s="34"/>
      <c r="R874" s="34"/>
      <c r="S874" s="34"/>
      <c r="T874" s="34"/>
      <c r="U874" s="34"/>
      <c r="V874" s="34"/>
      <c r="W874" s="34"/>
      <c r="X874" s="34"/>
      <c r="Y874" s="34"/>
      <c r="Z874" s="34"/>
      <c r="AA874" s="34"/>
    </row>
    <row r="875" spans="1:27" ht="13">
      <c r="A875" s="34"/>
      <c r="B875" s="52"/>
      <c r="C875" s="34"/>
      <c r="D875" s="34"/>
      <c r="E875" s="34"/>
      <c r="F875" s="34"/>
      <c r="G875" s="33"/>
      <c r="H875" s="34"/>
      <c r="I875" s="34"/>
      <c r="J875" s="33"/>
      <c r="K875" s="34"/>
      <c r="L875" s="34"/>
      <c r="M875" s="34"/>
      <c r="N875" s="34"/>
      <c r="O875" s="34"/>
      <c r="P875" s="34"/>
      <c r="Q875" s="34"/>
      <c r="R875" s="34"/>
      <c r="S875" s="34"/>
      <c r="T875" s="34"/>
      <c r="U875" s="34"/>
      <c r="V875" s="34"/>
      <c r="W875" s="34"/>
      <c r="X875" s="34"/>
      <c r="Y875" s="34"/>
      <c r="Z875" s="34"/>
      <c r="AA875" s="34"/>
    </row>
    <row r="876" spans="1:27" ht="13">
      <c r="A876" s="34"/>
      <c r="B876" s="52"/>
      <c r="C876" s="34"/>
      <c r="D876" s="34"/>
      <c r="E876" s="34"/>
      <c r="F876" s="34"/>
      <c r="G876" s="33"/>
      <c r="H876" s="34"/>
      <c r="I876" s="34"/>
      <c r="J876" s="33"/>
      <c r="K876" s="34"/>
      <c r="L876" s="34"/>
      <c r="M876" s="34"/>
      <c r="N876" s="34"/>
      <c r="O876" s="34"/>
      <c r="P876" s="34"/>
      <c r="Q876" s="34"/>
      <c r="R876" s="34"/>
      <c r="S876" s="34"/>
      <c r="T876" s="34"/>
      <c r="U876" s="34"/>
      <c r="V876" s="34"/>
      <c r="W876" s="34"/>
      <c r="X876" s="34"/>
      <c r="Y876" s="34"/>
      <c r="Z876" s="34"/>
      <c r="AA876" s="34"/>
    </row>
    <row r="877" spans="1:27" ht="13">
      <c r="A877" s="34"/>
      <c r="B877" s="52"/>
      <c r="C877" s="34"/>
      <c r="D877" s="34"/>
      <c r="E877" s="34"/>
      <c r="F877" s="34"/>
      <c r="G877" s="33"/>
      <c r="H877" s="34"/>
      <c r="I877" s="34"/>
      <c r="J877" s="33"/>
      <c r="K877" s="34"/>
      <c r="L877" s="34"/>
      <c r="M877" s="34"/>
      <c r="N877" s="34"/>
      <c r="O877" s="34"/>
      <c r="P877" s="34"/>
      <c r="Q877" s="34"/>
      <c r="R877" s="34"/>
      <c r="S877" s="34"/>
      <c r="T877" s="34"/>
      <c r="U877" s="34"/>
      <c r="V877" s="34"/>
      <c r="W877" s="34"/>
      <c r="X877" s="34"/>
      <c r="Y877" s="34"/>
      <c r="Z877" s="34"/>
      <c r="AA877" s="34"/>
    </row>
    <row r="878" spans="1:27" ht="13">
      <c r="A878" s="34"/>
      <c r="B878" s="52"/>
      <c r="C878" s="34"/>
      <c r="D878" s="34"/>
      <c r="E878" s="34"/>
      <c r="F878" s="34"/>
      <c r="G878" s="33"/>
      <c r="H878" s="34"/>
      <c r="I878" s="34"/>
      <c r="J878" s="33"/>
      <c r="K878" s="34"/>
      <c r="L878" s="34"/>
      <c r="M878" s="34"/>
      <c r="N878" s="34"/>
      <c r="O878" s="34"/>
      <c r="P878" s="34"/>
      <c r="Q878" s="34"/>
      <c r="R878" s="34"/>
      <c r="S878" s="34"/>
      <c r="T878" s="34"/>
      <c r="U878" s="34"/>
      <c r="V878" s="34"/>
      <c r="W878" s="34"/>
      <c r="X878" s="34"/>
      <c r="Y878" s="34"/>
      <c r="Z878" s="34"/>
      <c r="AA878" s="34"/>
    </row>
    <row r="879" spans="1:27" ht="13">
      <c r="A879" s="34"/>
      <c r="B879" s="52"/>
      <c r="C879" s="34"/>
      <c r="D879" s="34"/>
      <c r="E879" s="34"/>
      <c r="F879" s="34"/>
      <c r="G879" s="33"/>
      <c r="H879" s="34"/>
      <c r="I879" s="34"/>
      <c r="J879" s="33"/>
      <c r="K879" s="34"/>
      <c r="L879" s="34"/>
      <c r="M879" s="34"/>
      <c r="N879" s="34"/>
      <c r="O879" s="34"/>
      <c r="P879" s="34"/>
      <c r="Q879" s="34"/>
      <c r="R879" s="34"/>
      <c r="S879" s="34"/>
      <c r="T879" s="34"/>
      <c r="U879" s="34"/>
      <c r="V879" s="34"/>
      <c r="W879" s="34"/>
      <c r="X879" s="34"/>
      <c r="Y879" s="34"/>
      <c r="Z879" s="34"/>
      <c r="AA879" s="34"/>
    </row>
    <row r="880" spans="1:27" ht="13">
      <c r="A880" s="34"/>
      <c r="B880" s="52"/>
      <c r="C880" s="34"/>
      <c r="D880" s="34"/>
      <c r="E880" s="34"/>
      <c r="F880" s="34"/>
      <c r="G880" s="33"/>
      <c r="H880" s="34"/>
      <c r="I880" s="34"/>
      <c r="J880" s="33"/>
      <c r="K880" s="34"/>
      <c r="L880" s="34"/>
      <c r="M880" s="34"/>
      <c r="N880" s="34"/>
      <c r="O880" s="34"/>
      <c r="P880" s="34"/>
      <c r="Q880" s="34"/>
      <c r="R880" s="34"/>
      <c r="S880" s="34"/>
      <c r="T880" s="34"/>
      <c r="U880" s="34"/>
      <c r="V880" s="34"/>
      <c r="W880" s="34"/>
      <c r="X880" s="34"/>
      <c r="Y880" s="34"/>
      <c r="Z880" s="34"/>
      <c r="AA880" s="34"/>
    </row>
    <row r="881" spans="1:27" ht="13">
      <c r="A881" s="34"/>
      <c r="B881" s="52"/>
      <c r="C881" s="34"/>
      <c r="D881" s="34"/>
      <c r="E881" s="34"/>
      <c r="F881" s="34"/>
      <c r="G881" s="33"/>
      <c r="H881" s="34"/>
      <c r="I881" s="34"/>
      <c r="J881" s="33"/>
      <c r="K881" s="34"/>
      <c r="L881" s="34"/>
      <c r="M881" s="34"/>
      <c r="N881" s="34"/>
      <c r="O881" s="34"/>
      <c r="P881" s="34"/>
      <c r="Q881" s="34"/>
      <c r="R881" s="34"/>
      <c r="S881" s="34"/>
      <c r="T881" s="34"/>
      <c r="U881" s="34"/>
      <c r="V881" s="34"/>
      <c r="W881" s="34"/>
      <c r="X881" s="34"/>
      <c r="Y881" s="34"/>
      <c r="Z881" s="34"/>
      <c r="AA881" s="34"/>
    </row>
    <row r="882" spans="1:27" ht="13">
      <c r="A882" s="34"/>
      <c r="B882" s="52"/>
      <c r="C882" s="34"/>
      <c r="D882" s="34"/>
      <c r="E882" s="34"/>
      <c r="F882" s="34"/>
      <c r="G882" s="33"/>
      <c r="H882" s="34"/>
      <c r="I882" s="34"/>
      <c r="J882" s="33"/>
      <c r="K882" s="34"/>
      <c r="L882" s="34"/>
      <c r="M882" s="34"/>
      <c r="N882" s="34"/>
      <c r="O882" s="34"/>
      <c r="P882" s="34"/>
      <c r="Q882" s="34"/>
      <c r="R882" s="34"/>
      <c r="S882" s="34"/>
      <c r="T882" s="34"/>
      <c r="U882" s="34"/>
      <c r="V882" s="34"/>
      <c r="W882" s="34"/>
      <c r="X882" s="34"/>
      <c r="Y882" s="34"/>
      <c r="Z882" s="34"/>
      <c r="AA882" s="34"/>
    </row>
    <row r="883" spans="1:27" ht="13">
      <c r="A883" s="34"/>
      <c r="B883" s="52"/>
      <c r="C883" s="34"/>
      <c r="D883" s="34"/>
      <c r="E883" s="34"/>
      <c r="F883" s="34"/>
      <c r="G883" s="33"/>
      <c r="H883" s="34"/>
      <c r="I883" s="34"/>
      <c r="J883" s="33"/>
      <c r="K883" s="34"/>
      <c r="L883" s="34"/>
      <c r="M883" s="34"/>
      <c r="N883" s="34"/>
      <c r="O883" s="34"/>
      <c r="P883" s="34"/>
      <c r="Q883" s="34"/>
      <c r="R883" s="34"/>
      <c r="S883" s="34"/>
      <c r="T883" s="34"/>
      <c r="U883" s="34"/>
      <c r="V883" s="34"/>
      <c r="W883" s="34"/>
      <c r="X883" s="34"/>
      <c r="Y883" s="34"/>
      <c r="Z883" s="34"/>
      <c r="AA883" s="34"/>
    </row>
    <row r="884" spans="1:27" ht="13">
      <c r="A884" s="34"/>
      <c r="B884" s="52"/>
      <c r="C884" s="34"/>
      <c r="D884" s="34"/>
      <c r="E884" s="34"/>
      <c r="F884" s="34"/>
      <c r="G884" s="33"/>
      <c r="H884" s="34"/>
      <c r="I884" s="34"/>
      <c r="J884" s="33"/>
      <c r="K884" s="34"/>
      <c r="L884" s="34"/>
      <c r="M884" s="34"/>
      <c r="N884" s="34"/>
      <c r="O884" s="34"/>
      <c r="P884" s="34"/>
      <c r="Q884" s="34"/>
      <c r="R884" s="34"/>
      <c r="S884" s="34"/>
      <c r="T884" s="34"/>
      <c r="U884" s="34"/>
      <c r="V884" s="34"/>
      <c r="W884" s="34"/>
      <c r="X884" s="34"/>
      <c r="Y884" s="34"/>
      <c r="Z884" s="34"/>
      <c r="AA884" s="34"/>
    </row>
    <row r="885" spans="1:27" ht="13">
      <c r="A885" s="34"/>
      <c r="B885" s="52"/>
      <c r="C885" s="34"/>
      <c r="D885" s="34"/>
      <c r="E885" s="34"/>
      <c r="F885" s="34"/>
      <c r="G885" s="33"/>
      <c r="H885" s="34"/>
      <c r="I885" s="34"/>
      <c r="J885" s="33"/>
      <c r="K885" s="34"/>
      <c r="L885" s="34"/>
      <c r="M885" s="34"/>
      <c r="N885" s="34"/>
      <c r="O885" s="34"/>
      <c r="P885" s="34"/>
      <c r="Q885" s="34"/>
      <c r="R885" s="34"/>
      <c r="S885" s="34"/>
      <c r="T885" s="34"/>
      <c r="U885" s="34"/>
      <c r="V885" s="34"/>
      <c r="W885" s="34"/>
      <c r="X885" s="34"/>
      <c r="Y885" s="34"/>
      <c r="Z885" s="34"/>
      <c r="AA885" s="34"/>
    </row>
    <row r="886" spans="1:27" ht="13">
      <c r="A886" s="34"/>
      <c r="B886" s="52"/>
      <c r="C886" s="34"/>
      <c r="D886" s="34"/>
      <c r="E886" s="34"/>
      <c r="F886" s="34"/>
      <c r="G886" s="33"/>
      <c r="H886" s="34"/>
      <c r="I886" s="34"/>
      <c r="J886" s="33"/>
      <c r="K886" s="34"/>
      <c r="L886" s="34"/>
      <c r="M886" s="34"/>
      <c r="N886" s="34"/>
      <c r="O886" s="34"/>
      <c r="P886" s="34"/>
      <c r="Q886" s="34"/>
      <c r="R886" s="34"/>
      <c r="S886" s="34"/>
      <c r="T886" s="34"/>
      <c r="U886" s="34"/>
      <c r="V886" s="34"/>
      <c r="W886" s="34"/>
      <c r="X886" s="34"/>
      <c r="Y886" s="34"/>
      <c r="Z886" s="34"/>
      <c r="AA886" s="34"/>
    </row>
    <row r="887" spans="1:27" ht="13">
      <c r="A887" s="34"/>
      <c r="B887" s="52"/>
      <c r="C887" s="34"/>
      <c r="D887" s="34"/>
      <c r="E887" s="34"/>
      <c r="F887" s="34"/>
      <c r="G887" s="33"/>
      <c r="H887" s="34"/>
      <c r="I887" s="34"/>
      <c r="J887" s="33"/>
      <c r="K887" s="34"/>
      <c r="L887" s="34"/>
      <c r="M887" s="34"/>
      <c r="N887" s="34"/>
      <c r="O887" s="34"/>
      <c r="P887" s="34"/>
      <c r="Q887" s="34"/>
      <c r="R887" s="34"/>
      <c r="S887" s="34"/>
      <c r="T887" s="34"/>
      <c r="U887" s="34"/>
      <c r="V887" s="34"/>
      <c r="W887" s="34"/>
      <c r="X887" s="34"/>
      <c r="Y887" s="34"/>
      <c r="Z887" s="34"/>
      <c r="AA887" s="34"/>
    </row>
    <row r="888" spans="1:27" ht="13">
      <c r="A888" s="34"/>
      <c r="B888" s="52"/>
      <c r="C888" s="34"/>
      <c r="D888" s="34"/>
      <c r="E888" s="34"/>
      <c r="F888" s="34"/>
      <c r="G888" s="33"/>
      <c r="H888" s="34"/>
      <c r="I888" s="34"/>
      <c r="J888" s="33"/>
      <c r="K888" s="34"/>
      <c r="L888" s="34"/>
      <c r="M888" s="34"/>
      <c r="N888" s="34"/>
      <c r="O888" s="34"/>
      <c r="P888" s="34"/>
      <c r="Q888" s="34"/>
      <c r="R888" s="34"/>
      <c r="S888" s="34"/>
      <c r="T888" s="34"/>
      <c r="U888" s="34"/>
      <c r="V888" s="34"/>
      <c r="W888" s="34"/>
      <c r="X888" s="34"/>
      <c r="Y888" s="34"/>
      <c r="Z888" s="34"/>
      <c r="AA888" s="34"/>
    </row>
    <row r="889" spans="1:27" ht="13">
      <c r="A889" s="34"/>
      <c r="B889" s="52"/>
      <c r="C889" s="34"/>
      <c r="D889" s="34"/>
      <c r="E889" s="34"/>
      <c r="F889" s="34"/>
      <c r="G889" s="33"/>
      <c r="H889" s="34"/>
      <c r="I889" s="34"/>
      <c r="J889" s="33"/>
      <c r="K889" s="34"/>
      <c r="L889" s="34"/>
      <c r="M889" s="34"/>
      <c r="N889" s="34"/>
      <c r="O889" s="34"/>
      <c r="P889" s="34"/>
      <c r="Q889" s="34"/>
      <c r="R889" s="34"/>
      <c r="S889" s="34"/>
      <c r="T889" s="34"/>
      <c r="U889" s="34"/>
      <c r="V889" s="34"/>
      <c r="W889" s="34"/>
      <c r="X889" s="34"/>
      <c r="Y889" s="34"/>
      <c r="Z889" s="34"/>
      <c r="AA889" s="34"/>
    </row>
    <row r="890" spans="1:27" ht="13">
      <c r="A890" s="34"/>
      <c r="B890" s="52"/>
      <c r="C890" s="34"/>
      <c r="D890" s="34"/>
      <c r="E890" s="34"/>
      <c r="F890" s="34"/>
      <c r="G890" s="33"/>
      <c r="H890" s="34"/>
      <c r="I890" s="34"/>
      <c r="J890" s="33"/>
      <c r="K890" s="34"/>
      <c r="L890" s="34"/>
      <c r="M890" s="34"/>
      <c r="N890" s="34"/>
      <c r="O890" s="34"/>
      <c r="P890" s="34"/>
      <c r="Q890" s="34"/>
      <c r="R890" s="34"/>
      <c r="S890" s="34"/>
      <c r="T890" s="34"/>
      <c r="U890" s="34"/>
      <c r="V890" s="34"/>
      <c r="W890" s="34"/>
      <c r="X890" s="34"/>
      <c r="Y890" s="34"/>
      <c r="Z890" s="34"/>
      <c r="AA890" s="34"/>
    </row>
    <row r="891" spans="1:27" ht="13">
      <c r="A891" s="34"/>
      <c r="B891" s="52"/>
      <c r="C891" s="34"/>
      <c r="D891" s="34"/>
      <c r="E891" s="34"/>
      <c r="F891" s="34"/>
      <c r="G891" s="33"/>
      <c r="H891" s="34"/>
      <c r="I891" s="34"/>
      <c r="J891" s="33"/>
      <c r="K891" s="34"/>
      <c r="L891" s="34"/>
      <c r="M891" s="34"/>
      <c r="N891" s="34"/>
      <c r="O891" s="34"/>
      <c r="P891" s="34"/>
      <c r="Q891" s="34"/>
      <c r="R891" s="34"/>
      <c r="S891" s="34"/>
      <c r="T891" s="34"/>
      <c r="U891" s="34"/>
      <c r="V891" s="34"/>
      <c r="W891" s="34"/>
      <c r="X891" s="34"/>
      <c r="Y891" s="34"/>
      <c r="Z891" s="34"/>
      <c r="AA891" s="34"/>
    </row>
    <row r="892" spans="1:27" ht="13">
      <c r="A892" s="34"/>
      <c r="B892" s="52"/>
      <c r="C892" s="34"/>
      <c r="D892" s="34"/>
      <c r="E892" s="34"/>
      <c r="F892" s="34"/>
      <c r="G892" s="33"/>
      <c r="H892" s="34"/>
      <c r="I892" s="34"/>
      <c r="J892" s="33"/>
      <c r="K892" s="34"/>
      <c r="L892" s="34"/>
      <c r="M892" s="34"/>
      <c r="N892" s="34"/>
      <c r="O892" s="34"/>
      <c r="P892" s="34"/>
      <c r="Q892" s="34"/>
      <c r="R892" s="34"/>
      <c r="S892" s="34"/>
      <c r="T892" s="34"/>
      <c r="U892" s="34"/>
      <c r="V892" s="34"/>
      <c r="W892" s="34"/>
      <c r="X892" s="34"/>
      <c r="Y892" s="34"/>
      <c r="Z892" s="34"/>
      <c r="AA892" s="34"/>
    </row>
    <row r="893" spans="1:27" ht="13">
      <c r="A893" s="34"/>
      <c r="B893" s="52"/>
      <c r="C893" s="34"/>
      <c r="D893" s="34"/>
      <c r="E893" s="34"/>
      <c r="F893" s="34"/>
      <c r="G893" s="33"/>
      <c r="H893" s="34"/>
      <c r="I893" s="34"/>
      <c r="J893" s="33"/>
      <c r="K893" s="34"/>
      <c r="L893" s="34"/>
      <c r="M893" s="34"/>
      <c r="N893" s="34"/>
      <c r="O893" s="34"/>
      <c r="P893" s="34"/>
      <c r="Q893" s="34"/>
      <c r="R893" s="34"/>
      <c r="S893" s="34"/>
      <c r="T893" s="34"/>
      <c r="U893" s="34"/>
      <c r="V893" s="34"/>
      <c r="W893" s="34"/>
      <c r="X893" s="34"/>
      <c r="Y893" s="34"/>
      <c r="Z893" s="34"/>
      <c r="AA893" s="34"/>
    </row>
    <row r="894" spans="1:27" ht="13">
      <c r="A894" s="34"/>
      <c r="B894" s="52"/>
      <c r="C894" s="34"/>
      <c r="D894" s="34"/>
      <c r="E894" s="34"/>
      <c r="F894" s="34"/>
      <c r="G894" s="33"/>
      <c r="H894" s="34"/>
      <c r="I894" s="34"/>
      <c r="J894" s="33"/>
      <c r="K894" s="34"/>
      <c r="L894" s="34"/>
      <c r="M894" s="34"/>
      <c r="N894" s="34"/>
      <c r="O894" s="34"/>
      <c r="P894" s="34"/>
      <c r="Q894" s="34"/>
      <c r="R894" s="34"/>
      <c r="S894" s="34"/>
      <c r="T894" s="34"/>
      <c r="U894" s="34"/>
      <c r="V894" s="34"/>
      <c r="W894" s="34"/>
      <c r="X894" s="34"/>
      <c r="Y894" s="34"/>
      <c r="Z894" s="34"/>
      <c r="AA894" s="34"/>
    </row>
    <row r="895" spans="1:27" ht="13">
      <c r="A895" s="34"/>
      <c r="B895" s="52"/>
      <c r="C895" s="34"/>
      <c r="D895" s="34"/>
      <c r="E895" s="34"/>
      <c r="F895" s="34"/>
      <c r="G895" s="33"/>
      <c r="H895" s="34"/>
      <c r="I895" s="34"/>
      <c r="J895" s="33"/>
      <c r="K895" s="34"/>
      <c r="L895" s="34"/>
      <c r="M895" s="34"/>
      <c r="N895" s="34"/>
      <c r="O895" s="34"/>
      <c r="P895" s="34"/>
      <c r="Q895" s="34"/>
      <c r="R895" s="34"/>
      <c r="S895" s="34"/>
      <c r="T895" s="34"/>
      <c r="U895" s="34"/>
      <c r="V895" s="34"/>
      <c r="W895" s="34"/>
      <c r="X895" s="34"/>
      <c r="Y895" s="34"/>
      <c r="Z895" s="34"/>
      <c r="AA895" s="34"/>
    </row>
    <row r="896" spans="1:27" ht="13">
      <c r="A896" s="34"/>
      <c r="B896" s="52"/>
      <c r="C896" s="34"/>
      <c r="D896" s="34"/>
      <c r="E896" s="34"/>
      <c r="F896" s="34"/>
      <c r="G896" s="33"/>
      <c r="H896" s="34"/>
      <c r="I896" s="34"/>
      <c r="J896" s="33"/>
      <c r="K896" s="34"/>
      <c r="L896" s="34"/>
      <c r="M896" s="34"/>
      <c r="N896" s="34"/>
      <c r="O896" s="34"/>
      <c r="P896" s="34"/>
      <c r="Q896" s="34"/>
      <c r="R896" s="34"/>
      <c r="S896" s="34"/>
      <c r="T896" s="34"/>
      <c r="U896" s="34"/>
      <c r="V896" s="34"/>
      <c r="W896" s="34"/>
      <c r="X896" s="34"/>
      <c r="Y896" s="34"/>
      <c r="Z896" s="34"/>
      <c r="AA896" s="34"/>
    </row>
    <row r="897" spans="1:27" ht="13">
      <c r="A897" s="34"/>
      <c r="B897" s="52"/>
      <c r="C897" s="34"/>
      <c r="D897" s="34"/>
      <c r="E897" s="34"/>
      <c r="F897" s="34"/>
      <c r="G897" s="33"/>
      <c r="H897" s="34"/>
      <c r="I897" s="34"/>
      <c r="J897" s="33"/>
      <c r="K897" s="34"/>
      <c r="L897" s="34"/>
      <c r="M897" s="34"/>
      <c r="N897" s="34"/>
      <c r="O897" s="34"/>
      <c r="P897" s="34"/>
      <c r="Q897" s="34"/>
      <c r="R897" s="34"/>
      <c r="S897" s="34"/>
      <c r="T897" s="34"/>
      <c r="U897" s="34"/>
      <c r="V897" s="34"/>
      <c r="W897" s="34"/>
      <c r="X897" s="34"/>
      <c r="Y897" s="34"/>
      <c r="Z897" s="34"/>
      <c r="AA897" s="34"/>
    </row>
    <row r="898" spans="1:27" ht="13">
      <c r="A898" s="34"/>
      <c r="B898" s="52"/>
      <c r="C898" s="34"/>
      <c r="D898" s="34"/>
      <c r="E898" s="34"/>
      <c r="F898" s="34"/>
      <c r="G898" s="33"/>
      <c r="H898" s="34"/>
      <c r="I898" s="34"/>
      <c r="J898" s="33"/>
      <c r="K898" s="34"/>
      <c r="L898" s="34"/>
      <c r="M898" s="34"/>
      <c r="N898" s="34"/>
      <c r="O898" s="34"/>
      <c r="P898" s="34"/>
      <c r="Q898" s="34"/>
      <c r="R898" s="34"/>
      <c r="S898" s="34"/>
      <c r="T898" s="34"/>
      <c r="U898" s="34"/>
      <c r="V898" s="34"/>
      <c r="W898" s="34"/>
      <c r="X898" s="34"/>
      <c r="Y898" s="34"/>
      <c r="Z898" s="34"/>
      <c r="AA898" s="34"/>
    </row>
    <row r="899" spans="1:27" ht="13">
      <c r="A899" s="34"/>
      <c r="B899" s="52"/>
      <c r="C899" s="34"/>
      <c r="D899" s="34"/>
      <c r="E899" s="34"/>
      <c r="F899" s="34"/>
      <c r="G899" s="33"/>
      <c r="H899" s="34"/>
      <c r="I899" s="34"/>
      <c r="J899" s="33"/>
      <c r="K899" s="34"/>
      <c r="L899" s="34"/>
      <c r="M899" s="34"/>
      <c r="N899" s="34"/>
      <c r="O899" s="34"/>
      <c r="P899" s="34"/>
      <c r="Q899" s="34"/>
      <c r="R899" s="34"/>
      <c r="S899" s="34"/>
      <c r="T899" s="34"/>
      <c r="U899" s="34"/>
      <c r="V899" s="34"/>
      <c r="W899" s="34"/>
      <c r="X899" s="34"/>
      <c r="Y899" s="34"/>
      <c r="Z899" s="34"/>
      <c r="AA899" s="34"/>
    </row>
    <row r="900" spans="1:27" ht="13">
      <c r="A900" s="34"/>
      <c r="B900" s="52"/>
      <c r="C900" s="34"/>
      <c r="D900" s="34"/>
      <c r="E900" s="34"/>
      <c r="F900" s="34"/>
      <c r="G900" s="33"/>
      <c r="H900" s="34"/>
      <c r="I900" s="34"/>
      <c r="J900" s="33"/>
      <c r="K900" s="34"/>
      <c r="L900" s="34"/>
      <c r="M900" s="34"/>
      <c r="N900" s="34"/>
      <c r="O900" s="34"/>
      <c r="P900" s="34"/>
      <c r="Q900" s="34"/>
      <c r="R900" s="34"/>
      <c r="S900" s="34"/>
      <c r="T900" s="34"/>
      <c r="U900" s="34"/>
      <c r="V900" s="34"/>
      <c r="W900" s="34"/>
      <c r="X900" s="34"/>
      <c r="Y900" s="34"/>
      <c r="Z900" s="34"/>
      <c r="AA900" s="34"/>
    </row>
    <row r="901" spans="1:27" ht="13">
      <c r="A901" s="34"/>
      <c r="B901" s="52"/>
      <c r="C901" s="34"/>
      <c r="D901" s="34"/>
      <c r="E901" s="34"/>
      <c r="F901" s="34"/>
      <c r="G901" s="33"/>
      <c r="H901" s="34"/>
      <c r="I901" s="34"/>
      <c r="J901" s="33"/>
      <c r="K901" s="34"/>
      <c r="L901" s="34"/>
      <c r="M901" s="34"/>
      <c r="N901" s="34"/>
      <c r="O901" s="34"/>
      <c r="P901" s="34"/>
      <c r="Q901" s="34"/>
      <c r="R901" s="34"/>
      <c r="S901" s="34"/>
      <c r="T901" s="34"/>
      <c r="U901" s="34"/>
      <c r="V901" s="34"/>
      <c r="W901" s="34"/>
      <c r="X901" s="34"/>
      <c r="Y901" s="34"/>
      <c r="Z901" s="34"/>
      <c r="AA901" s="34"/>
    </row>
    <row r="902" spans="1:27" ht="13">
      <c r="A902" s="34"/>
      <c r="B902" s="52"/>
      <c r="C902" s="34"/>
      <c r="D902" s="34"/>
      <c r="E902" s="34"/>
      <c r="F902" s="34"/>
      <c r="G902" s="33"/>
      <c r="H902" s="34"/>
      <c r="I902" s="34"/>
      <c r="J902" s="33"/>
      <c r="K902" s="34"/>
      <c r="L902" s="34"/>
      <c r="M902" s="34"/>
      <c r="N902" s="34"/>
      <c r="O902" s="34"/>
      <c r="P902" s="34"/>
      <c r="Q902" s="34"/>
      <c r="R902" s="34"/>
      <c r="S902" s="34"/>
      <c r="T902" s="34"/>
      <c r="U902" s="34"/>
      <c r="V902" s="34"/>
      <c r="W902" s="34"/>
      <c r="X902" s="34"/>
      <c r="Y902" s="34"/>
      <c r="Z902" s="34"/>
      <c r="AA902" s="34"/>
    </row>
    <row r="903" spans="1:27" ht="13">
      <c r="A903" s="34"/>
      <c r="B903" s="52"/>
      <c r="C903" s="34"/>
      <c r="D903" s="34"/>
      <c r="E903" s="34"/>
      <c r="F903" s="34"/>
      <c r="G903" s="33"/>
      <c r="H903" s="34"/>
      <c r="I903" s="34"/>
      <c r="J903" s="33"/>
      <c r="K903" s="34"/>
      <c r="L903" s="34"/>
      <c r="M903" s="34"/>
      <c r="N903" s="34"/>
      <c r="O903" s="34"/>
      <c r="P903" s="34"/>
      <c r="Q903" s="34"/>
      <c r="R903" s="34"/>
      <c r="S903" s="34"/>
      <c r="T903" s="34"/>
      <c r="U903" s="34"/>
      <c r="V903" s="34"/>
      <c r="W903" s="34"/>
      <c r="X903" s="34"/>
      <c r="Y903" s="34"/>
      <c r="Z903" s="34"/>
      <c r="AA903" s="34"/>
    </row>
    <row r="904" spans="1:27" ht="13">
      <c r="A904" s="34"/>
      <c r="B904" s="52"/>
      <c r="C904" s="34"/>
      <c r="D904" s="34"/>
      <c r="E904" s="34"/>
      <c r="F904" s="34"/>
      <c r="G904" s="33"/>
      <c r="H904" s="34"/>
      <c r="I904" s="34"/>
      <c r="J904" s="33"/>
      <c r="K904" s="34"/>
      <c r="L904" s="34"/>
      <c r="M904" s="34"/>
      <c r="N904" s="34"/>
      <c r="O904" s="34"/>
      <c r="P904" s="34"/>
      <c r="Q904" s="34"/>
      <c r="R904" s="34"/>
      <c r="S904" s="34"/>
      <c r="T904" s="34"/>
      <c r="U904" s="34"/>
      <c r="V904" s="34"/>
      <c r="W904" s="34"/>
      <c r="X904" s="34"/>
      <c r="Y904" s="34"/>
      <c r="Z904" s="34"/>
      <c r="AA904" s="34"/>
    </row>
    <row r="905" spans="1:27" ht="13">
      <c r="A905" s="34"/>
      <c r="B905" s="52"/>
      <c r="C905" s="34"/>
      <c r="D905" s="34"/>
      <c r="E905" s="34"/>
      <c r="F905" s="34"/>
      <c r="G905" s="33"/>
      <c r="H905" s="34"/>
      <c r="I905" s="34"/>
      <c r="J905" s="33"/>
      <c r="K905" s="34"/>
      <c r="L905" s="34"/>
      <c r="M905" s="34"/>
      <c r="N905" s="34"/>
      <c r="O905" s="34"/>
      <c r="P905" s="34"/>
      <c r="Q905" s="34"/>
      <c r="R905" s="34"/>
      <c r="S905" s="34"/>
      <c r="T905" s="34"/>
      <c r="U905" s="34"/>
      <c r="V905" s="34"/>
      <c r="W905" s="34"/>
      <c r="X905" s="34"/>
      <c r="Y905" s="34"/>
      <c r="Z905" s="34"/>
      <c r="AA905" s="34"/>
    </row>
    <row r="906" spans="1:27" ht="13">
      <c r="A906" s="34"/>
      <c r="B906" s="52"/>
      <c r="C906" s="34"/>
      <c r="D906" s="34"/>
      <c r="E906" s="34"/>
      <c r="F906" s="34"/>
      <c r="G906" s="33"/>
      <c r="H906" s="34"/>
      <c r="I906" s="34"/>
      <c r="J906" s="33"/>
      <c r="K906" s="34"/>
      <c r="L906" s="34"/>
      <c r="M906" s="34"/>
      <c r="N906" s="34"/>
      <c r="O906" s="34"/>
      <c r="P906" s="34"/>
      <c r="Q906" s="34"/>
      <c r="R906" s="34"/>
      <c r="S906" s="34"/>
      <c r="T906" s="34"/>
      <c r="U906" s="34"/>
      <c r="V906" s="34"/>
      <c r="W906" s="34"/>
      <c r="X906" s="34"/>
      <c r="Y906" s="34"/>
      <c r="Z906" s="34"/>
      <c r="AA906" s="34"/>
    </row>
    <row r="907" spans="1:27" ht="13">
      <c r="A907" s="34"/>
      <c r="B907" s="52"/>
      <c r="C907" s="34"/>
      <c r="D907" s="34"/>
      <c r="E907" s="34"/>
      <c r="F907" s="34"/>
      <c r="G907" s="33"/>
      <c r="H907" s="34"/>
      <c r="I907" s="34"/>
      <c r="J907" s="33"/>
      <c r="K907" s="34"/>
      <c r="L907" s="34"/>
      <c r="M907" s="34"/>
      <c r="N907" s="34"/>
      <c r="O907" s="34"/>
      <c r="P907" s="34"/>
      <c r="Q907" s="34"/>
      <c r="R907" s="34"/>
      <c r="S907" s="34"/>
      <c r="T907" s="34"/>
      <c r="U907" s="34"/>
      <c r="V907" s="34"/>
      <c r="W907" s="34"/>
      <c r="X907" s="34"/>
      <c r="Y907" s="34"/>
      <c r="Z907" s="34"/>
      <c r="AA907" s="34"/>
    </row>
    <row r="908" spans="1:27" ht="13">
      <c r="A908" s="34"/>
      <c r="B908" s="52"/>
      <c r="C908" s="34"/>
      <c r="D908" s="34"/>
      <c r="E908" s="34"/>
      <c r="F908" s="34"/>
      <c r="G908" s="33"/>
      <c r="H908" s="34"/>
      <c r="I908" s="34"/>
      <c r="J908" s="33"/>
      <c r="K908" s="34"/>
      <c r="L908" s="34"/>
      <c r="M908" s="34"/>
      <c r="N908" s="34"/>
      <c r="O908" s="34"/>
      <c r="P908" s="34"/>
      <c r="Q908" s="34"/>
      <c r="R908" s="34"/>
      <c r="S908" s="34"/>
      <c r="T908" s="34"/>
      <c r="U908" s="34"/>
      <c r="V908" s="34"/>
      <c r="W908" s="34"/>
      <c r="X908" s="34"/>
      <c r="Y908" s="34"/>
      <c r="Z908" s="34"/>
      <c r="AA908" s="34"/>
    </row>
    <row r="909" spans="1:27" ht="13">
      <c r="A909" s="34"/>
      <c r="B909" s="52"/>
      <c r="C909" s="34"/>
      <c r="D909" s="34"/>
      <c r="E909" s="34"/>
      <c r="F909" s="34"/>
      <c r="G909" s="33"/>
      <c r="H909" s="34"/>
      <c r="I909" s="34"/>
      <c r="J909" s="33"/>
      <c r="K909" s="34"/>
      <c r="L909" s="34"/>
      <c r="M909" s="34"/>
      <c r="N909" s="34"/>
      <c r="O909" s="34"/>
      <c r="P909" s="34"/>
      <c r="Q909" s="34"/>
      <c r="R909" s="34"/>
      <c r="S909" s="34"/>
      <c r="T909" s="34"/>
      <c r="U909" s="34"/>
      <c r="V909" s="34"/>
      <c r="W909" s="34"/>
      <c r="X909" s="34"/>
      <c r="Y909" s="34"/>
      <c r="Z909" s="34"/>
      <c r="AA909" s="34"/>
    </row>
    <row r="910" spans="1:27" ht="13">
      <c r="A910" s="34"/>
      <c r="B910" s="52"/>
      <c r="C910" s="34"/>
      <c r="D910" s="34"/>
      <c r="E910" s="34"/>
      <c r="F910" s="34"/>
      <c r="G910" s="33"/>
      <c r="H910" s="34"/>
      <c r="I910" s="34"/>
      <c r="J910" s="33"/>
      <c r="K910" s="34"/>
      <c r="L910" s="34"/>
      <c r="M910" s="34"/>
      <c r="N910" s="34"/>
      <c r="O910" s="34"/>
      <c r="P910" s="34"/>
      <c r="Q910" s="34"/>
      <c r="R910" s="34"/>
      <c r="S910" s="34"/>
      <c r="T910" s="34"/>
      <c r="U910" s="34"/>
      <c r="V910" s="34"/>
      <c r="W910" s="34"/>
      <c r="X910" s="34"/>
      <c r="Y910" s="34"/>
      <c r="Z910" s="34"/>
      <c r="AA910" s="34"/>
    </row>
    <row r="911" spans="1:27" ht="13">
      <c r="A911" s="34"/>
      <c r="B911" s="52"/>
      <c r="C911" s="34"/>
      <c r="D911" s="34"/>
      <c r="E911" s="34"/>
      <c r="F911" s="34"/>
      <c r="G911" s="33"/>
      <c r="H911" s="34"/>
      <c r="I911" s="34"/>
      <c r="J911" s="33"/>
      <c r="K911" s="34"/>
      <c r="L911" s="34"/>
      <c r="M911" s="34"/>
      <c r="N911" s="34"/>
      <c r="O911" s="34"/>
      <c r="P911" s="34"/>
      <c r="Q911" s="34"/>
      <c r="R911" s="34"/>
      <c r="S911" s="34"/>
      <c r="T911" s="34"/>
      <c r="U911" s="34"/>
      <c r="V911" s="34"/>
      <c r="W911" s="34"/>
      <c r="X911" s="34"/>
      <c r="Y911" s="34"/>
      <c r="Z911" s="34"/>
      <c r="AA911" s="34"/>
    </row>
    <row r="912" spans="1:27" ht="13">
      <c r="A912" s="34"/>
      <c r="B912" s="52"/>
      <c r="C912" s="34"/>
      <c r="D912" s="34"/>
      <c r="E912" s="34"/>
      <c r="F912" s="34"/>
      <c r="G912" s="33"/>
      <c r="H912" s="34"/>
      <c r="I912" s="34"/>
      <c r="J912" s="33"/>
      <c r="K912" s="34"/>
      <c r="L912" s="34"/>
      <c r="M912" s="34"/>
      <c r="N912" s="34"/>
      <c r="O912" s="34"/>
      <c r="P912" s="34"/>
      <c r="Q912" s="34"/>
      <c r="R912" s="34"/>
      <c r="S912" s="34"/>
      <c r="T912" s="34"/>
      <c r="U912" s="34"/>
      <c r="V912" s="34"/>
      <c r="W912" s="34"/>
      <c r="X912" s="34"/>
      <c r="Y912" s="34"/>
      <c r="Z912" s="34"/>
      <c r="AA912" s="34"/>
    </row>
    <row r="913" spans="1:27" ht="13">
      <c r="A913" s="34"/>
      <c r="B913" s="52"/>
      <c r="C913" s="34"/>
      <c r="D913" s="34"/>
      <c r="E913" s="34"/>
      <c r="F913" s="34"/>
      <c r="G913" s="33"/>
      <c r="H913" s="34"/>
      <c r="I913" s="34"/>
      <c r="J913" s="33"/>
      <c r="K913" s="34"/>
      <c r="L913" s="34"/>
      <c r="M913" s="34"/>
      <c r="N913" s="34"/>
      <c r="O913" s="34"/>
      <c r="P913" s="34"/>
      <c r="Q913" s="34"/>
      <c r="R913" s="34"/>
      <c r="S913" s="34"/>
      <c r="T913" s="34"/>
      <c r="U913" s="34"/>
      <c r="V913" s="34"/>
      <c r="W913" s="34"/>
      <c r="X913" s="34"/>
      <c r="Y913" s="34"/>
      <c r="Z913" s="34"/>
      <c r="AA913" s="34"/>
    </row>
    <row r="914" spans="1:27" ht="13">
      <c r="A914" s="34"/>
      <c r="B914" s="52"/>
      <c r="C914" s="34"/>
      <c r="D914" s="34"/>
      <c r="E914" s="34"/>
      <c r="F914" s="34"/>
      <c r="G914" s="33"/>
      <c r="H914" s="34"/>
      <c r="I914" s="34"/>
      <c r="J914" s="33"/>
      <c r="K914" s="34"/>
      <c r="L914" s="34"/>
      <c r="M914" s="34"/>
      <c r="N914" s="34"/>
      <c r="O914" s="34"/>
      <c r="P914" s="34"/>
      <c r="Q914" s="34"/>
      <c r="R914" s="34"/>
      <c r="S914" s="34"/>
      <c r="T914" s="34"/>
      <c r="U914" s="34"/>
      <c r="V914" s="34"/>
      <c r="W914" s="34"/>
      <c r="X914" s="34"/>
      <c r="Y914" s="34"/>
      <c r="Z914" s="34"/>
      <c r="AA914" s="34"/>
    </row>
    <row r="915" spans="1:27" ht="13">
      <c r="A915" s="34"/>
      <c r="B915" s="52"/>
      <c r="C915" s="34"/>
      <c r="D915" s="34"/>
      <c r="E915" s="34"/>
      <c r="F915" s="34"/>
      <c r="G915" s="33"/>
      <c r="H915" s="34"/>
      <c r="I915" s="34"/>
      <c r="J915" s="33"/>
      <c r="K915" s="34"/>
      <c r="L915" s="34"/>
      <c r="M915" s="34"/>
      <c r="N915" s="34"/>
      <c r="O915" s="34"/>
      <c r="P915" s="34"/>
      <c r="Q915" s="34"/>
      <c r="R915" s="34"/>
      <c r="S915" s="34"/>
      <c r="T915" s="34"/>
      <c r="U915" s="34"/>
      <c r="V915" s="34"/>
      <c r="W915" s="34"/>
      <c r="X915" s="34"/>
      <c r="Y915" s="34"/>
      <c r="Z915" s="34"/>
      <c r="AA915" s="34"/>
    </row>
    <row r="916" spans="1:27" ht="13">
      <c r="A916" s="34"/>
      <c r="B916" s="52"/>
      <c r="C916" s="34"/>
      <c r="D916" s="34"/>
      <c r="E916" s="34"/>
      <c r="F916" s="34"/>
      <c r="G916" s="33"/>
      <c r="H916" s="34"/>
      <c r="I916" s="34"/>
      <c r="J916" s="33"/>
      <c r="K916" s="34"/>
      <c r="L916" s="34"/>
      <c r="M916" s="34"/>
      <c r="N916" s="34"/>
      <c r="O916" s="34"/>
      <c r="P916" s="34"/>
      <c r="Q916" s="34"/>
      <c r="R916" s="34"/>
      <c r="S916" s="34"/>
      <c r="T916" s="34"/>
      <c r="U916" s="34"/>
      <c r="V916" s="34"/>
      <c r="W916" s="34"/>
      <c r="X916" s="34"/>
      <c r="Y916" s="34"/>
      <c r="Z916" s="34"/>
      <c r="AA916" s="34"/>
    </row>
    <row r="917" spans="1:27" ht="13">
      <c r="A917" s="34"/>
      <c r="B917" s="52"/>
      <c r="C917" s="34"/>
      <c r="D917" s="34"/>
      <c r="E917" s="34"/>
      <c r="F917" s="34"/>
      <c r="G917" s="33"/>
      <c r="H917" s="34"/>
      <c r="I917" s="34"/>
      <c r="J917" s="33"/>
      <c r="K917" s="34"/>
      <c r="L917" s="34"/>
      <c r="M917" s="34"/>
      <c r="N917" s="34"/>
      <c r="O917" s="34"/>
      <c r="P917" s="34"/>
      <c r="Q917" s="34"/>
      <c r="R917" s="34"/>
      <c r="S917" s="34"/>
      <c r="T917" s="34"/>
      <c r="U917" s="34"/>
      <c r="V917" s="34"/>
      <c r="W917" s="34"/>
      <c r="X917" s="34"/>
      <c r="Y917" s="34"/>
      <c r="Z917" s="34"/>
      <c r="AA917" s="34"/>
    </row>
    <row r="918" spans="1:27" ht="13">
      <c r="A918" s="34"/>
      <c r="B918" s="52"/>
      <c r="C918" s="34"/>
      <c r="D918" s="34"/>
      <c r="E918" s="34"/>
      <c r="F918" s="34"/>
      <c r="G918" s="33"/>
      <c r="H918" s="34"/>
      <c r="I918" s="34"/>
      <c r="J918" s="33"/>
      <c r="K918" s="34"/>
      <c r="L918" s="34"/>
      <c r="M918" s="34"/>
      <c r="N918" s="34"/>
      <c r="O918" s="34"/>
      <c r="P918" s="34"/>
      <c r="Q918" s="34"/>
      <c r="R918" s="34"/>
      <c r="S918" s="34"/>
      <c r="T918" s="34"/>
      <c r="U918" s="34"/>
      <c r="V918" s="34"/>
      <c r="W918" s="34"/>
      <c r="X918" s="34"/>
      <c r="Y918" s="34"/>
      <c r="Z918" s="34"/>
      <c r="AA918" s="34"/>
    </row>
    <row r="919" spans="1:27" ht="13">
      <c r="A919" s="34"/>
      <c r="B919" s="52"/>
      <c r="C919" s="34"/>
      <c r="D919" s="34"/>
      <c r="E919" s="34"/>
      <c r="F919" s="34"/>
      <c r="G919" s="33"/>
      <c r="H919" s="34"/>
      <c r="I919" s="34"/>
      <c r="J919" s="33"/>
      <c r="K919" s="34"/>
      <c r="L919" s="34"/>
      <c r="M919" s="34"/>
      <c r="N919" s="34"/>
      <c r="O919" s="34"/>
      <c r="P919" s="34"/>
      <c r="Q919" s="34"/>
      <c r="R919" s="34"/>
      <c r="S919" s="34"/>
      <c r="T919" s="34"/>
      <c r="U919" s="34"/>
      <c r="V919" s="34"/>
      <c r="W919" s="34"/>
      <c r="X919" s="34"/>
      <c r="Y919" s="34"/>
      <c r="Z919" s="34"/>
      <c r="AA919" s="34"/>
    </row>
    <row r="920" spans="1:27" ht="13">
      <c r="A920" s="34"/>
      <c r="B920" s="52"/>
      <c r="C920" s="34"/>
      <c r="D920" s="34"/>
      <c r="E920" s="34"/>
      <c r="F920" s="34"/>
      <c r="G920" s="33"/>
      <c r="H920" s="34"/>
      <c r="I920" s="34"/>
      <c r="J920" s="33"/>
      <c r="K920" s="34"/>
      <c r="L920" s="34"/>
      <c r="M920" s="34"/>
      <c r="N920" s="34"/>
      <c r="O920" s="34"/>
      <c r="P920" s="34"/>
      <c r="Q920" s="34"/>
      <c r="R920" s="34"/>
      <c r="S920" s="34"/>
      <c r="T920" s="34"/>
      <c r="U920" s="34"/>
      <c r="V920" s="34"/>
      <c r="W920" s="34"/>
      <c r="X920" s="34"/>
      <c r="Y920" s="34"/>
      <c r="Z920" s="34"/>
      <c r="AA920" s="34"/>
    </row>
    <row r="921" spans="1:27" ht="13">
      <c r="A921" s="34"/>
      <c r="B921" s="52"/>
      <c r="C921" s="34"/>
      <c r="D921" s="34"/>
      <c r="E921" s="34"/>
      <c r="F921" s="34"/>
      <c r="G921" s="33"/>
      <c r="H921" s="34"/>
      <c r="I921" s="34"/>
      <c r="J921" s="33"/>
      <c r="K921" s="34"/>
      <c r="L921" s="34"/>
      <c r="M921" s="34"/>
      <c r="N921" s="34"/>
      <c r="O921" s="34"/>
      <c r="P921" s="34"/>
      <c r="Q921" s="34"/>
      <c r="R921" s="34"/>
      <c r="S921" s="34"/>
      <c r="T921" s="34"/>
      <c r="U921" s="34"/>
      <c r="V921" s="34"/>
      <c r="W921" s="34"/>
      <c r="X921" s="34"/>
      <c r="Y921" s="34"/>
      <c r="Z921" s="34"/>
      <c r="AA921" s="34"/>
    </row>
    <row r="922" spans="1:27" ht="13">
      <c r="A922" s="34"/>
      <c r="B922" s="52"/>
      <c r="C922" s="34"/>
      <c r="D922" s="34"/>
      <c r="E922" s="34"/>
      <c r="F922" s="34"/>
      <c r="G922" s="33"/>
      <c r="H922" s="34"/>
      <c r="I922" s="34"/>
      <c r="J922" s="33"/>
      <c r="K922" s="34"/>
      <c r="L922" s="34"/>
      <c r="M922" s="34"/>
      <c r="N922" s="34"/>
      <c r="O922" s="34"/>
      <c r="P922" s="34"/>
      <c r="Q922" s="34"/>
      <c r="R922" s="34"/>
      <c r="S922" s="34"/>
      <c r="T922" s="34"/>
      <c r="U922" s="34"/>
      <c r="V922" s="34"/>
      <c r="W922" s="34"/>
      <c r="X922" s="34"/>
      <c r="Y922" s="34"/>
      <c r="Z922" s="34"/>
      <c r="AA922" s="34"/>
    </row>
    <row r="923" spans="1:27" ht="13">
      <c r="A923" s="34"/>
      <c r="B923" s="52"/>
      <c r="C923" s="34"/>
      <c r="D923" s="34"/>
      <c r="E923" s="34"/>
      <c r="F923" s="34"/>
      <c r="G923" s="33"/>
      <c r="H923" s="34"/>
      <c r="I923" s="34"/>
      <c r="J923" s="33"/>
      <c r="K923" s="34"/>
      <c r="L923" s="34"/>
      <c r="M923" s="34"/>
      <c r="N923" s="34"/>
      <c r="O923" s="34"/>
      <c r="P923" s="34"/>
      <c r="Q923" s="34"/>
      <c r="R923" s="34"/>
      <c r="S923" s="34"/>
      <c r="T923" s="34"/>
      <c r="U923" s="34"/>
      <c r="V923" s="34"/>
      <c r="W923" s="34"/>
      <c r="X923" s="34"/>
      <c r="Y923" s="34"/>
      <c r="Z923" s="34"/>
      <c r="AA923" s="34"/>
    </row>
    <row r="924" spans="1:27" ht="13">
      <c r="A924" s="34"/>
      <c r="B924" s="52"/>
      <c r="C924" s="34"/>
      <c r="D924" s="34"/>
      <c r="E924" s="34"/>
      <c r="F924" s="34"/>
      <c r="G924" s="33"/>
      <c r="H924" s="34"/>
      <c r="I924" s="34"/>
      <c r="J924" s="33"/>
      <c r="K924" s="34"/>
      <c r="L924" s="34"/>
      <c r="M924" s="34"/>
      <c r="N924" s="34"/>
      <c r="O924" s="34"/>
      <c r="P924" s="34"/>
      <c r="Q924" s="34"/>
      <c r="R924" s="34"/>
      <c r="S924" s="34"/>
      <c r="T924" s="34"/>
      <c r="U924" s="34"/>
      <c r="V924" s="34"/>
      <c r="W924" s="34"/>
      <c r="X924" s="34"/>
      <c r="Y924" s="34"/>
      <c r="Z924" s="34"/>
      <c r="AA924" s="34"/>
    </row>
    <row r="925" spans="1:27" ht="13">
      <c r="A925" s="34"/>
      <c r="B925" s="52"/>
      <c r="C925" s="34"/>
      <c r="D925" s="34"/>
      <c r="E925" s="34"/>
      <c r="F925" s="34"/>
      <c r="G925" s="33"/>
      <c r="H925" s="34"/>
      <c r="I925" s="34"/>
      <c r="J925" s="33"/>
      <c r="K925" s="34"/>
      <c r="L925" s="34"/>
      <c r="M925" s="34"/>
      <c r="N925" s="34"/>
      <c r="O925" s="34"/>
      <c r="P925" s="34"/>
      <c r="Q925" s="34"/>
      <c r="R925" s="34"/>
      <c r="S925" s="34"/>
      <c r="T925" s="34"/>
      <c r="U925" s="34"/>
      <c r="V925" s="34"/>
      <c r="W925" s="34"/>
      <c r="X925" s="34"/>
      <c r="Y925" s="34"/>
      <c r="Z925" s="34"/>
      <c r="AA925" s="34"/>
    </row>
    <row r="926" spans="1:27" ht="13">
      <c r="A926" s="34"/>
      <c r="B926" s="52"/>
      <c r="C926" s="34"/>
      <c r="D926" s="34"/>
      <c r="E926" s="34"/>
      <c r="F926" s="34"/>
      <c r="G926" s="33"/>
      <c r="H926" s="34"/>
      <c r="I926" s="34"/>
      <c r="J926" s="33"/>
      <c r="K926" s="34"/>
      <c r="L926" s="34"/>
      <c r="M926" s="34"/>
      <c r="N926" s="34"/>
      <c r="O926" s="34"/>
      <c r="P926" s="34"/>
      <c r="Q926" s="34"/>
      <c r="R926" s="34"/>
      <c r="S926" s="34"/>
      <c r="T926" s="34"/>
      <c r="U926" s="34"/>
      <c r="V926" s="34"/>
      <c r="W926" s="34"/>
      <c r="X926" s="34"/>
      <c r="Y926" s="34"/>
      <c r="Z926" s="34"/>
      <c r="AA926" s="34"/>
    </row>
    <row r="927" spans="1:27" ht="13">
      <c r="A927" s="34"/>
      <c r="B927" s="52"/>
      <c r="C927" s="34"/>
      <c r="D927" s="34"/>
      <c r="E927" s="34"/>
      <c r="F927" s="34"/>
      <c r="G927" s="33"/>
      <c r="H927" s="34"/>
      <c r="I927" s="34"/>
      <c r="J927" s="33"/>
      <c r="K927" s="34"/>
      <c r="L927" s="34"/>
      <c r="M927" s="34"/>
      <c r="N927" s="34"/>
      <c r="O927" s="34"/>
      <c r="P927" s="34"/>
      <c r="Q927" s="34"/>
      <c r="R927" s="34"/>
      <c r="S927" s="34"/>
      <c r="T927" s="34"/>
      <c r="U927" s="34"/>
      <c r="V927" s="34"/>
      <c r="W927" s="34"/>
      <c r="X927" s="34"/>
      <c r="Y927" s="34"/>
      <c r="Z927" s="34"/>
      <c r="AA927" s="34"/>
    </row>
    <row r="928" spans="1:27" ht="13">
      <c r="A928" s="34"/>
      <c r="B928" s="52"/>
      <c r="C928" s="34"/>
      <c r="D928" s="34"/>
      <c r="E928" s="34"/>
      <c r="F928" s="34"/>
      <c r="G928" s="33"/>
      <c r="H928" s="34"/>
      <c r="I928" s="34"/>
      <c r="J928" s="33"/>
      <c r="K928" s="34"/>
      <c r="L928" s="34"/>
      <c r="M928" s="34"/>
      <c r="N928" s="34"/>
      <c r="O928" s="34"/>
      <c r="P928" s="34"/>
      <c r="Q928" s="34"/>
      <c r="R928" s="34"/>
      <c r="S928" s="34"/>
      <c r="T928" s="34"/>
      <c r="U928" s="34"/>
      <c r="V928" s="34"/>
      <c r="W928" s="34"/>
      <c r="X928" s="34"/>
      <c r="Y928" s="34"/>
      <c r="Z928" s="34"/>
      <c r="AA928" s="34"/>
    </row>
    <row r="929" spans="1:27" ht="13">
      <c r="A929" s="34"/>
      <c r="B929" s="52"/>
      <c r="C929" s="34"/>
      <c r="D929" s="34"/>
      <c r="E929" s="34"/>
      <c r="F929" s="34"/>
      <c r="G929" s="33"/>
      <c r="H929" s="34"/>
      <c r="I929" s="34"/>
      <c r="J929" s="33"/>
      <c r="K929" s="34"/>
      <c r="L929" s="34"/>
      <c r="M929" s="34"/>
      <c r="N929" s="34"/>
      <c r="O929" s="34"/>
      <c r="P929" s="34"/>
      <c r="Q929" s="34"/>
      <c r="R929" s="34"/>
      <c r="S929" s="34"/>
      <c r="T929" s="34"/>
      <c r="U929" s="34"/>
      <c r="V929" s="34"/>
      <c r="W929" s="34"/>
      <c r="X929" s="34"/>
      <c r="Y929" s="34"/>
      <c r="Z929" s="34"/>
      <c r="AA929" s="34"/>
    </row>
    <row r="930" spans="1:27" ht="13">
      <c r="A930" s="34"/>
      <c r="B930" s="52"/>
      <c r="C930" s="34"/>
      <c r="D930" s="34"/>
      <c r="E930" s="34"/>
      <c r="F930" s="34"/>
      <c r="G930" s="33"/>
      <c r="H930" s="34"/>
      <c r="I930" s="34"/>
      <c r="J930" s="33"/>
      <c r="K930" s="34"/>
      <c r="L930" s="34"/>
      <c r="M930" s="34"/>
      <c r="N930" s="34"/>
      <c r="O930" s="34"/>
      <c r="P930" s="34"/>
      <c r="Q930" s="34"/>
      <c r="R930" s="34"/>
      <c r="S930" s="34"/>
      <c r="T930" s="34"/>
      <c r="U930" s="34"/>
      <c r="V930" s="34"/>
      <c r="W930" s="34"/>
      <c r="X930" s="34"/>
      <c r="Y930" s="34"/>
      <c r="Z930" s="34"/>
      <c r="AA930" s="34"/>
    </row>
    <row r="931" spans="1:27" ht="13">
      <c r="A931" s="34"/>
      <c r="B931" s="52"/>
      <c r="C931" s="34"/>
      <c r="D931" s="34"/>
      <c r="E931" s="34"/>
      <c r="F931" s="34"/>
      <c r="G931" s="33"/>
      <c r="H931" s="34"/>
      <c r="I931" s="34"/>
      <c r="J931" s="33"/>
      <c r="K931" s="34"/>
      <c r="L931" s="34"/>
      <c r="M931" s="34"/>
      <c r="N931" s="34"/>
      <c r="O931" s="34"/>
      <c r="P931" s="34"/>
      <c r="Q931" s="34"/>
      <c r="R931" s="34"/>
      <c r="S931" s="34"/>
      <c r="T931" s="34"/>
      <c r="U931" s="34"/>
      <c r="V931" s="34"/>
      <c r="W931" s="34"/>
      <c r="X931" s="34"/>
      <c r="Y931" s="34"/>
      <c r="Z931" s="34"/>
      <c r="AA931" s="34"/>
    </row>
    <row r="932" spans="1:27" ht="13">
      <c r="A932" s="34"/>
      <c r="B932" s="52"/>
      <c r="C932" s="34"/>
      <c r="D932" s="34"/>
      <c r="E932" s="34"/>
      <c r="F932" s="34"/>
      <c r="G932" s="33"/>
      <c r="H932" s="34"/>
      <c r="I932" s="34"/>
      <c r="J932" s="33"/>
      <c r="K932" s="34"/>
      <c r="L932" s="34"/>
      <c r="M932" s="34"/>
      <c r="N932" s="34"/>
      <c r="O932" s="34"/>
      <c r="P932" s="34"/>
      <c r="Q932" s="34"/>
      <c r="R932" s="34"/>
      <c r="S932" s="34"/>
      <c r="T932" s="34"/>
      <c r="U932" s="34"/>
      <c r="V932" s="34"/>
      <c r="W932" s="34"/>
      <c r="X932" s="34"/>
      <c r="Y932" s="34"/>
      <c r="Z932" s="34"/>
      <c r="AA932" s="34"/>
    </row>
    <row r="933" spans="1:27" ht="13">
      <c r="A933" s="34"/>
      <c r="B933" s="52"/>
      <c r="C933" s="34"/>
      <c r="D933" s="34"/>
      <c r="E933" s="34"/>
      <c r="F933" s="34"/>
      <c r="G933" s="33"/>
      <c r="H933" s="34"/>
      <c r="I933" s="34"/>
      <c r="J933" s="33"/>
      <c r="K933" s="34"/>
      <c r="L933" s="34"/>
      <c r="M933" s="34"/>
      <c r="N933" s="34"/>
      <c r="O933" s="34"/>
      <c r="P933" s="34"/>
      <c r="Q933" s="34"/>
      <c r="R933" s="34"/>
      <c r="S933" s="34"/>
      <c r="T933" s="34"/>
      <c r="U933" s="34"/>
      <c r="V933" s="34"/>
      <c r="W933" s="34"/>
      <c r="X933" s="34"/>
      <c r="Y933" s="34"/>
      <c r="Z933" s="34"/>
      <c r="AA933" s="34"/>
    </row>
    <row r="934" spans="1:27" ht="13">
      <c r="A934" s="34"/>
      <c r="B934" s="52"/>
      <c r="C934" s="34"/>
      <c r="D934" s="34"/>
      <c r="E934" s="34"/>
      <c r="F934" s="34"/>
      <c r="G934" s="33"/>
      <c r="H934" s="34"/>
      <c r="I934" s="34"/>
      <c r="J934" s="33"/>
      <c r="K934" s="34"/>
      <c r="L934" s="34"/>
      <c r="M934" s="34"/>
      <c r="N934" s="34"/>
      <c r="O934" s="34"/>
      <c r="P934" s="34"/>
      <c r="Q934" s="34"/>
      <c r="R934" s="34"/>
      <c r="S934" s="34"/>
      <c r="T934" s="34"/>
      <c r="U934" s="34"/>
      <c r="V934" s="34"/>
      <c r="W934" s="34"/>
      <c r="X934" s="34"/>
      <c r="Y934" s="34"/>
      <c r="Z934" s="34"/>
      <c r="AA934" s="34"/>
    </row>
    <row r="935" spans="1:27" ht="13">
      <c r="A935" s="34"/>
      <c r="B935" s="52"/>
      <c r="C935" s="34"/>
      <c r="D935" s="34"/>
      <c r="E935" s="34"/>
      <c r="F935" s="34"/>
      <c r="G935" s="33"/>
      <c r="H935" s="34"/>
      <c r="I935" s="34"/>
      <c r="J935" s="33"/>
      <c r="K935" s="34"/>
      <c r="L935" s="34"/>
      <c r="M935" s="34"/>
      <c r="N935" s="34"/>
      <c r="O935" s="34"/>
      <c r="P935" s="34"/>
      <c r="Q935" s="34"/>
      <c r="R935" s="34"/>
      <c r="S935" s="34"/>
      <c r="T935" s="34"/>
      <c r="U935" s="34"/>
      <c r="V935" s="34"/>
      <c r="W935" s="34"/>
      <c r="X935" s="34"/>
      <c r="Y935" s="34"/>
      <c r="Z935" s="34"/>
      <c r="AA935" s="34"/>
    </row>
    <row r="936" spans="1:27" ht="13">
      <c r="A936" s="34"/>
      <c r="B936" s="52"/>
      <c r="C936" s="34"/>
      <c r="D936" s="34"/>
      <c r="E936" s="34"/>
      <c r="F936" s="34"/>
      <c r="G936" s="33"/>
      <c r="H936" s="34"/>
      <c r="I936" s="34"/>
      <c r="J936" s="33"/>
      <c r="K936" s="34"/>
      <c r="L936" s="34"/>
      <c r="M936" s="34"/>
      <c r="N936" s="34"/>
      <c r="O936" s="34"/>
      <c r="P936" s="34"/>
      <c r="Q936" s="34"/>
      <c r="R936" s="34"/>
      <c r="S936" s="34"/>
      <c r="T936" s="34"/>
      <c r="U936" s="34"/>
      <c r="V936" s="34"/>
      <c r="W936" s="34"/>
      <c r="X936" s="34"/>
      <c r="Y936" s="34"/>
      <c r="Z936" s="34"/>
      <c r="AA936" s="34"/>
    </row>
    <row r="937" spans="1:27" ht="13">
      <c r="A937" s="34"/>
      <c r="B937" s="52"/>
      <c r="C937" s="34"/>
      <c r="D937" s="34"/>
      <c r="E937" s="34"/>
      <c r="F937" s="34"/>
      <c r="G937" s="33"/>
      <c r="H937" s="34"/>
      <c r="I937" s="34"/>
      <c r="J937" s="33"/>
      <c r="K937" s="34"/>
      <c r="L937" s="34"/>
      <c r="M937" s="34"/>
      <c r="N937" s="34"/>
      <c r="O937" s="34"/>
      <c r="P937" s="34"/>
      <c r="Q937" s="34"/>
      <c r="R937" s="34"/>
      <c r="S937" s="34"/>
      <c r="T937" s="34"/>
      <c r="U937" s="34"/>
      <c r="V937" s="34"/>
      <c r="W937" s="34"/>
      <c r="X937" s="34"/>
      <c r="Y937" s="34"/>
      <c r="Z937" s="34"/>
      <c r="AA937" s="34"/>
    </row>
    <row r="938" spans="1:27" ht="13">
      <c r="A938" s="34"/>
      <c r="B938" s="52"/>
      <c r="C938" s="34"/>
      <c r="D938" s="34"/>
      <c r="E938" s="34"/>
      <c r="F938" s="34"/>
      <c r="G938" s="33"/>
      <c r="H938" s="34"/>
      <c r="I938" s="34"/>
      <c r="J938" s="33"/>
      <c r="K938" s="34"/>
      <c r="L938" s="34"/>
      <c r="M938" s="34"/>
      <c r="N938" s="34"/>
      <c r="O938" s="34"/>
      <c r="P938" s="34"/>
      <c r="Q938" s="34"/>
      <c r="R938" s="34"/>
      <c r="S938" s="34"/>
      <c r="T938" s="34"/>
      <c r="U938" s="34"/>
      <c r="V938" s="34"/>
      <c r="W938" s="34"/>
      <c r="X938" s="34"/>
      <c r="Y938" s="34"/>
      <c r="Z938" s="34"/>
      <c r="AA938" s="34"/>
    </row>
    <row r="939" spans="1:27" ht="13">
      <c r="A939" s="34"/>
      <c r="B939" s="52"/>
      <c r="C939" s="34"/>
      <c r="D939" s="34"/>
      <c r="E939" s="34"/>
      <c r="F939" s="34"/>
      <c r="G939" s="33"/>
      <c r="H939" s="34"/>
      <c r="I939" s="34"/>
      <c r="J939" s="33"/>
      <c r="K939" s="34"/>
      <c r="L939" s="34"/>
      <c r="M939" s="34"/>
      <c r="N939" s="34"/>
      <c r="O939" s="34"/>
      <c r="P939" s="34"/>
      <c r="Q939" s="34"/>
      <c r="R939" s="34"/>
      <c r="S939" s="34"/>
      <c r="T939" s="34"/>
      <c r="U939" s="34"/>
      <c r="V939" s="34"/>
      <c r="W939" s="34"/>
      <c r="X939" s="34"/>
      <c r="Y939" s="34"/>
      <c r="Z939" s="34"/>
      <c r="AA939" s="34"/>
    </row>
    <row r="940" spans="1:27" ht="13">
      <c r="A940" s="34"/>
      <c r="B940" s="52"/>
      <c r="C940" s="34"/>
      <c r="D940" s="34"/>
      <c r="E940" s="34"/>
      <c r="F940" s="34"/>
      <c r="G940" s="33"/>
      <c r="H940" s="34"/>
      <c r="I940" s="34"/>
      <c r="J940" s="33"/>
      <c r="K940" s="34"/>
      <c r="L940" s="34"/>
      <c r="M940" s="34"/>
      <c r="N940" s="34"/>
      <c r="O940" s="34"/>
      <c r="P940" s="34"/>
      <c r="Q940" s="34"/>
      <c r="R940" s="34"/>
      <c r="S940" s="34"/>
      <c r="T940" s="34"/>
      <c r="U940" s="34"/>
      <c r="V940" s="34"/>
      <c r="W940" s="34"/>
      <c r="X940" s="34"/>
      <c r="Y940" s="34"/>
      <c r="Z940" s="34"/>
      <c r="AA940" s="34"/>
    </row>
    <row r="941" spans="1:27" ht="13">
      <c r="A941" s="34"/>
      <c r="B941" s="52"/>
      <c r="C941" s="34"/>
      <c r="D941" s="34"/>
      <c r="E941" s="34"/>
      <c r="F941" s="34"/>
      <c r="G941" s="33"/>
      <c r="H941" s="34"/>
      <c r="I941" s="34"/>
      <c r="J941" s="33"/>
      <c r="K941" s="34"/>
      <c r="L941" s="34"/>
      <c r="M941" s="34"/>
      <c r="N941" s="34"/>
      <c r="O941" s="34"/>
      <c r="P941" s="34"/>
      <c r="Q941" s="34"/>
      <c r="R941" s="34"/>
      <c r="S941" s="34"/>
      <c r="T941" s="34"/>
      <c r="U941" s="34"/>
      <c r="V941" s="34"/>
      <c r="W941" s="34"/>
      <c r="X941" s="34"/>
      <c r="Y941" s="34"/>
      <c r="Z941" s="34"/>
      <c r="AA941" s="34"/>
    </row>
    <row r="942" spans="1:27" ht="13">
      <c r="A942" s="34"/>
      <c r="B942" s="52"/>
      <c r="C942" s="34"/>
      <c r="D942" s="34"/>
      <c r="E942" s="34"/>
      <c r="F942" s="34"/>
      <c r="G942" s="33"/>
      <c r="H942" s="34"/>
      <c r="I942" s="34"/>
      <c r="J942" s="33"/>
      <c r="K942" s="34"/>
      <c r="L942" s="34"/>
      <c r="M942" s="34"/>
      <c r="N942" s="34"/>
      <c r="O942" s="34"/>
      <c r="P942" s="34"/>
      <c r="Q942" s="34"/>
      <c r="R942" s="34"/>
      <c r="S942" s="34"/>
      <c r="T942" s="34"/>
      <c r="U942" s="34"/>
      <c r="V942" s="34"/>
      <c r="W942" s="34"/>
      <c r="X942" s="34"/>
      <c r="Y942" s="34"/>
      <c r="Z942" s="34"/>
      <c r="AA942" s="34"/>
    </row>
    <row r="943" spans="1:27" ht="13">
      <c r="A943" s="34"/>
      <c r="B943" s="52"/>
      <c r="C943" s="34"/>
      <c r="D943" s="34"/>
      <c r="E943" s="34"/>
      <c r="F943" s="34"/>
      <c r="G943" s="33"/>
      <c r="H943" s="34"/>
      <c r="I943" s="34"/>
      <c r="J943" s="33"/>
      <c r="K943" s="34"/>
      <c r="L943" s="34"/>
      <c r="M943" s="34"/>
      <c r="N943" s="34"/>
      <c r="O943" s="34"/>
      <c r="P943" s="34"/>
      <c r="Q943" s="34"/>
      <c r="R943" s="34"/>
      <c r="S943" s="34"/>
      <c r="T943" s="34"/>
      <c r="U943" s="34"/>
      <c r="V943" s="34"/>
      <c r="W943" s="34"/>
      <c r="X943" s="34"/>
      <c r="Y943" s="34"/>
      <c r="Z943" s="34"/>
      <c r="AA943" s="34"/>
    </row>
    <row r="944" spans="1:27" ht="13">
      <c r="A944" s="34"/>
      <c r="B944" s="52"/>
      <c r="C944" s="34"/>
      <c r="D944" s="34"/>
      <c r="E944" s="34"/>
      <c r="F944" s="34"/>
      <c r="G944" s="33"/>
      <c r="H944" s="34"/>
      <c r="I944" s="34"/>
      <c r="J944" s="33"/>
      <c r="K944" s="34"/>
      <c r="L944" s="34"/>
      <c r="M944" s="34"/>
      <c r="N944" s="34"/>
      <c r="O944" s="34"/>
      <c r="P944" s="34"/>
      <c r="Q944" s="34"/>
      <c r="R944" s="34"/>
      <c r="S944" s="34"/>
      <c r="T944" s="34"/>
      <c r="U944" s="34"/>
      <c r="V944" s="34"/>
      <c r="W944" s="34"/>
      <c r="X944" s="34"/>
      <c r="Y944" s="34"/>
      <c r="Z944" s="34"/>
      <c r="AA944" s="34"/>
    </row>
    <row r="945" spans="1:27" ht="13">
      <c r="A945" s="34"/>
      <c r="B945" s="52"/>
      <c r="C945" s="34"/>
      <c r="D945" s="34"/>
      <c r="E945" s="34"/>
      <c r="F945" s="34"/>
      <c r="G945" s="33"/>
      <c r="H945" s="34"/>
      <c r="I945" s="34"/>
      <c r="J945" s="33"/>
      <c r="K945" s="34"/>
      <c r="L945" s="34"/>
      <c r="M945" s="34"/>
      <c r="N945" s="34"/>
      <c r="O945" s="34"/>
      <c r="P945" s="34"/>
      <c r="Q945" s="34"/>
      <c r="R945" s="34"/>
      <c r="S945" s="34"/>
      <c r="T945" s="34"/>
      <c r="U945" s="34"/>
      <c r="V945" s="34"/>
      <c r="W945" s="34"/>
      <c r="X945" s="34"/>
      <c r="Y945" s="34"/>
      <c r="Z945" s="34"/>
      <c r="AA945" s="34"/>
    </row>
    <row r="946" spans="1:27" ht="13">
      <c r="A946" s="34"/>
      <c r="B946" s="52"/>
      <c r="C946" s="34"/>
      <c r="D946" s="34"/>
      <c r="E946" s="34"/>
      <c r="F946" s="34"/>
      <c r="G946" s="33"/>
      <c r="H946" s="34"/>
      <c r="I946" s="34"/>
      <c r="J946" s="33"/>
      <c r="K946" s="34"/>
      <c r="L946" s="34"/>
      <c r="M946" s="34"/>
      <c r="N946" s="34"/>
      <c r="O946" s="34"/>
      <c r="P946" s="34"/>
      <c r="Q946" s="34"/>
      <c r="R946" s="34"/>
      <c r="S946" s="34"/>
      <c r="T946" s="34"/>
      <c r="U946" s="34"/>
      <c r="V946" s="34"/>
      <c r="W946" s="34"/>
      <c r="X946" s="34"/>
      <c r="Y946" s="34"/>
      <c r="Z946" s="34"/>
      <c r="AA946" s="34"/>
    </row>
    <row r="947" spans="1:27" ht="13">
      <c r="A947" s="34"/>
      <c r="B947" s="52"/>
      <c r="C947" s="34"/>
      <c r="D947" s="34"/>
      <c r="E947" s="34"/>
      <c r="F947" s="34"/>
      <c r="G947" s="33"/>
      <c r="H947" s="34"/>
      <c r="I947" s="34"/>
      <c r="J947" s="33"/>
      <c r="K947" s="34"/>
      <c r="L947" s="34"/>
      <c r="M947" s="34"/>
      <c r="N947" s="34"/>
      <c r="O947" s="34"/>
      <c r="P947" s="34"/>
      <c r="Q947" s="34"/>
      <c r="R947" s="34"/>
      <c r="S947" s="34"/>
      <c r="T947" s="34"/>
      <c r="U947" s="34"/>
      <c r="V947" s="34"/>
      <c r="W947" s="34"/>
      <c r="X947" s="34"/>
      <c r="Y947" s="34"/>
      <c r="Z947" s="34"/>
      <c r="AA947" s="34"/>
    </row>
    <row r="948" spans="1:27" ht="13">
      <c r="A948" s="34"/>
      <c r="B948" s="52"/>
      <c r="C948" s="34"/>
      <c r="D948" s="34"/>
      <c r="E948" s="34"/>
      <c r="F948" s="34"/>
      <c r="G948" s="33"/>
      <c r="H948" s="34"/>
      <c r="I948" s="34"/>
      <c r="J948" s="33"/>
      <c r="K948" s="34"/>
      <c r="L948" s="34"/>
      <c r="M948" s="34"/>
      <c r="N948" s="34"/>
      <c r="O948" s="34"/>
      <c r="P948" s="34"/>
      <c r="Q948" s="34"/>
      <c r="R948" s="34"/>
      <c r="S948" s="34"/>
      <c r="T948" s="34"/>
      <c r="U948" s="34"/>
      <c r="V948" s="34"/>
      <c r="W948" s="34"/>
      <c r="X948" s="34"/>
      <c r="Y948" s="34"/>
      <c r="Z948" s="34"/>
      <c r="AA948" s="34"/>
    </row>
    <row r="949" spans="1:27" ht="13">
      <c r="A949" s="34"/>
      <c r="B949" s="52"/>
      <c r="C949" s="34"/>
      <c r="D949" s="34"/>
      <c r="E949" s="34"/>
      <c r="F949" s="34"/>
      <c r="G949" s="33"/>
      <c r="H949" s="34"/>
      <c r="I949" s="34"/>
      <c r="J949" s="33"/>
      <c r="K949" s="34"/>
      <c r="L949" s="34"/>
      <c r="M949" s="34"/>
      <c r="N949" s="34"/>
      <c r="O949" s="34"/>
      <c r="P949" s="34"/>
      <c r="Q949" s="34"/>
      <c r="R949" s="34"/>
      <c r="S949" s="34"/>
      <c r="T949" s="34"/>
      <c r="U949" s="34"/>
      <c r="V949" s="34"/>
      <c r="W949" s="34"/>
      <c r="X949" s="34"/>
      <c r="Y949" s="34"/>
      <c r="Z949" s="34"/>
      <c r="AA949" s="34"/>
    </row>
    <row r="950" spans="1:27" ht="13">
      <c r="A950" s="34"/>
      <c r="B950" s="52"/>
      <c r="C950" s="34"/>
      <c r="D950" s="34"/>
      <c r="E950" s="34"/>
      <c r="F950" s="34"/>
      <c r="G950" s="33"/>
      <c r="H950" s="34"/>
      <c r="I950" s="34"/>
      <c r="J950" s="33"/>
      <c r="K950" s="34"/>
      <c r="L950" s="34"/>
      <c r="M950" s="34"/>
      <c r="N950" s="34"/>
      <c r="O950" s="34"/>
      <c r="P950" s="34"/>
      <c r="Q950" s="34"/>
      <c r="R950" s="34"/>
      <c r="S950" s="34"/>
      <c r="T950" s="34"/>
      <c r="U950" s="34"/>
      <c r="V950" s="34"/>
      <c r="W950" s="34"/>
      <c r="X950" s="34"/>
      <c r="Y950" s="34"/>
      <c r="Z950" s="34"/>
      <c r="AA950" s="34"/>
    </row>
    <row r="951" spans="1:27" ht="13">
      <c r="A951" s="34"/>
      <c r="B951" s="52"/>
      <c r="C951" s="34"/>
      <c r="D951" s="34"/>
      <c r="E951" s="34"/>
      <c r="F951" s="34"/>
      <c r="G951" s="33"/>
      <c r="H951" s="34"/>
      <c r="I951" s="34"/>
      <c r="J951" s="33"/>
      <c r="K951" s="34"/>
      <c r="L951" s="34"/>
      <c r="M951" s="34"/>
      <c r="N951" s="34"/>
      <c r="O951" s="34"/>
      <c r="P951" s="34"/>
      <c r="Q951" s="34"/>
      <c r="R951" s="34"/>
      <c r="S951" s="34"/>
      <c r="T951" s="34"/>
      <c r="U951" s="34"/>
      <c r="V951" s="34"/>
      <c r="W951" s="34"/>
      <c r="X951" s="34"/>
      <c r="Y951" s="34"/>
      <c r="Z951" s="34"/>
      <c r="AA951" s="34"/>
    </row>
    <row r="952" spans="1:27" ht="13">
      <c r="A952" s="34"/>
      <c r="B952" s="52"/>
      <c r="C952" s="34"/>
      <c r="D952" s="34"/>
      <c r="E952" s="34"/>
      <c r="F952" s="34"/>
      <c r="G952" s="33"/>
      <c r="H952" s="34"/>
      <c r="I952" s="34"/>
      <c r="J952" s="33"/>
      <c r="K952" s="34"/>
      <c r="L952" s="34"/>
      <c r="M952" s="34"/>
      <c r="N952" s="34"/>
      <c r="O952" s="34"/>
      <c r="P952" s="34"/>
      <c r="Q952" s="34"/>
      <c r="R952" s="34"/>
      <c r="S952" s="34"/>
      <c r="T952" s="34"/>
      <c r="U952" s="34"/>
      <c r="V952" s="34"/>
      <c r="W952" s="34"/>
      <c r="X952" s="34"/>
      <c r="Y952" s="34"/>
      <c r="Z952" s="34"/>
      <c r="AA952" s="34"/>
    </row>
    <row r="953" spans="1:27" ht="13">
      <c r="A953" s="34"/>
      <c r="B953" s="52"/>
      <c r="C953" s="34"/>
      <c r="D953" s="34"/>
      <c r="E953" s="34"/>
      <c r="F953" s="34"/>
      <c r="G953" s="33"/>
      <c r="H953" s="34"/>
      <c r="I953" s="34"/>
      <c r="J953" s="33"/>
      <c r="K953" s="34"/>
      <c r="L953" s="34"/>
      <c r="M953" s="34"/>
      <c r="N953" s="34"/>
      <c r="O953" s="34"/>
      <c r="P953" s="34"/>
      <c r="Q953" s="34"/>
      <c r="R953" s="34"/>
      <c r="S953" s="34"/>
      <c r="T953" s="34"/>
      <c r="U953" s="34"/>
      <c r="V953" s="34"/>
      <c r="W953" s="34"/>
      <c r="X953" s="34"/>
      <c r="Y953" s="34"/>
      <c r="Z953" s="34"/>
      <c r="AA953" s="34"/>
    </row>
    <row r="954" spans="1:27" ht="13">
      <c r="A954" s="34"/>
      <c r="B954" s="52"/>
      <c r="C954" s="34"/>
      <c r="D954" s="34"/>
      <c r="E954" s="34"/>
      <c r="F954" s="34"/>
      <c r="G954" s="33"/>
      <c r="H954" s="34"/>
      <c r="I954" s="34"/>
      <c r="J954" s="33"/>
      <c r="K954" s="34"/>
      <c r="L954" s="34"/>
      <c r="M954" s="34"/>
      <c r="N954" s="34"/>
      <c r="O954" s="34"/>
      <c r="P954" s="34"/>
      <c r="Q954" s="34"/>
      <c r="R954" s="34"/>
      <c r="S954" s="34"/>
      <c r="T954" s="34"/>
      <c r="U954" s="34"/>
      <c r="V954" s="34"/>
      <c r="W954" s="34"/>
      <c r="X954" s="34"/>
      <c r="Y954" s="34"/>
      <c r="Z954" s="34"/>
      <c r="AA954" s="34"/>
    </row>
    <row r="955" spans="1:27" ht="13">
      <c r="A955" s="34"/>
      <c r="B955" s="52"/>
      <c r="C955" s="34"/>
      <c r="D955" s="34"/>
      <c r="E955" s="34"/>
      <c r="F955" s="34"/>
      <c r="G955" s="33"/>
      <c r="H955" s="34"/>
      <c r="I955" s="34"/>
      <c r="J955" s="33"/>
      <c r="K955" s="34"/>
      <c r="L955" s="34"/>
      <c r="M955" s="34"/>
      <c r="N955" s="34"/>
      <c r="O955" s="34"/>
      <c r="P955" s="34"/>
      <c r="Q955" s="34"/>
      <c r="R955" s="34"/>
      <c r="S955" s="34"/>
      <c r="T955" s="34"/>
      <c r="U955" s="34"/>
      <c r="V955" s="34"/>
      <c r="W955" s="34"/>
      <c r="X955" s="34"/>
      <c r="Y955" s="34"/>
      <c r="Z955" s="34"/>
      <c r="AA955" s="34"/>
    </row>
    <row r="956" spans="1:27" ht="13">
      <c r="A956" s="34"/>
      <c r="B956" s="52"/>
      <c r="C956" s="34"/>
      <c r="D956" s="34"/>
      <c r="E956" s="34"/>
      <c r="F956" s="34"/>
      <c r="G956" s="33"/>
      <c r="H956" s="34"/>
      <c r="I956" s="34"/>
      <c r="J956" s="33"/>
      <c r="K956" s="34"/>
      <c r="L956" s="34"/>
      <c r="M956" s="34"/>
      <c r="N956" s="34"/>
      <c r="O956" s="34"/>
      <c r="P956" s="34"/>
      <c r="Q956" s="34"/>
      <c r="R956" s="34"/>
      <c r="S956" s="34"/>
      <c r="T956" s="34"/>
      <c r="U956" s="34"/>
      <c r="V956" s="34"/>
      <c r="W956" s="34"/>
      <c r="X956" s="34"/>
      <c r="Y956" s="34"/>
      <c r="Z956" s="34"/>
      <c r="AA956" s="34"/>
    </row>
    <row r="957" spans="1:27" ht="13">
      <c r="A957" s="34"/>
      <c r="B957" s="52"/>
      <c r="C957" s="34"/>
      <c r="D957" s="34"/>
      <c r="E957" s="34"/>
      <c r="F957" s="34"/>
      <c r="G957" s="33"/>
      <c r="H957" s="34"/>
      <c r="I957" s="34"/>
      <c r="J957" s="33"/>
      <c r="K957" s="34"/>
      <c r="L957" s="34"/>
      <c r="M957" s="34"/>
      <c r="N957" s="34"/>
      <c r="O957" s="34"/>
      <c r="P957" s="34"/>
      <c r="Q957" s="34"/>
      <c r="R957" s="34"/>
      <c r="S957" s="34"/>
      <c r="T957" s="34"/>
      <c r="U957" s="34"/>
      <c r="V957" s="34"/>
      <c r="W957" s="34"/>
      <c r="X957" s="34"/>
      <c r="Y957" s="34"/>
      <c r="Z957" s="34"/>
      <c r="AA957" s="34"/>
    </row>
    <row r="958" spans="1:27" ht="13">
      <c r="A958" s="34"/>
      <c r="B958" s="52"/>
      <c r="C958" s="34"/>
      <c r="D958" s="34"/>
      <c r="E958" s="34"/>
      <c r="F958" s="34"/>
      <c r="G958" s="33"/>
      <c r="H958" s="34"/>
      <c r="I958" s="34"/>
      <c r="J958" s="33"/>
      <c r="K958" s="34"/>
      <c r="L958" s="34"/>
      <c r="M958" s="34"/>
      <c r="N958" s="34"/>
      <c r="O958" s="34"/>
      <c r="P958" s="34"/>
      <c r="Q958" s="34"/>
      <c r="R958" s="34"/>
      <c r="S958" s="34"/>
      <c r="T958" s="34"/>
      <c r="U958" s="34"/>
      <c r="V958" s="34"/>
      <c r="W958" s="34"/>
      <c r="X958" s="34"/>
      <c r="Y958" s="34"/>
      <c r="Z958" s="34"/>
      <c r="AA958" s="34"/>
    </row>
    <row r="959" spans="1:27" ht="13">
      <c r="A959" s="34"/>
      <c r="B959" s="52"/>
      <c r="C959" s="34"/>
      <c r="D959" s="34"/>
      <c r="E959" s="34"/>
      <c r="F959" s="34"/>
      <c r="G959" s="33"/>
      <c r="H959" s="34"/>
      <c r="I959" s="34"/>
      <c r="J959" s="33"/>
      <c r="K959" s="34"/>
      <c r="L959" s="34"/>
      <c r="M959" s="34"/>
      <c r="N959" s="34"/>
      <c r="O959" s="34"/>
      <c r="P959" s="34"/>
      <c r="Q959" s="34"/>
      <c r="R959" s="34"/>
      <c r="S959" s="34"/>
      <c r="T959" s="34"/>
      <c r="U959" s="34"/>
      <c r="V959" s="34"/>
      <c r="W959" s="34"/>
      <c r="X959" s="34"/>
      <c r="Y959" s="34"/>
      <c r="Z959" s="34"/>
      <c r="AA959" s="34"/>
    </row>
    <row r="960" spans="1:27" ht="13">
      <c r="A960" s="34"/>
      <c r="B960" s="52"/>
      <c r="C960" s="34"/>
      <c r="D960" s="34"/>
      <c r="E960" s="34"/>
      <c r="F960" s="34"/>
      <c r="G960" s="33"/>
      <c r="H960" s="34"/>
      <c r="I960" s="34"/>
      <c r="J960" s="33"/>
      <c r="K960" s="34"/>
      <c r="L960" s="34"/>
      <c r="M960" s="34"/>
      <c r="N960" s="34"/>
      <c r="O960" s="34"/>
      <c r="P960" s="34"/>
      <c r="Q960" s="34"/>
      <c r="R960" s="34"/>
      <c r="S960" s="34"/>
      <c r="T960" s="34"/>
      <c r="U960" s="34"/>
      <c r="V960" s="34"/>
      <c r="W960" s="34"/>
      <c r="X960" s="34"/>
      <c r="Y960" s="34"/>
      <c r="Z960" s="34"/>
      <c r="AA960" s="34"/>
    </row>
    <row r="961" spans="1:27" ht="13">
      <c r="A961" s="34"/>
      <c r="B961" s="52"/>
      <c r="C961" s="34"/>
      <c r="D961" s="34"/>
      <c r="E961" s="34"/>
      <c r="F961" s="34"/>
      <c r="G961" s="33"/>
      <c r="H961" s="34"/>
      <c r="I961" s="34"/>
      <c r="J961" s="33"/>
      <c r="K961" s="34"/>
      <c r="L961" s="34"/>
      <c r="M961" s="34"/>
      <c r="N961" s="34"/>
      <c r="O961" s="34"/>
      <c r="P961" s="34"/>
      <c r="Q961" s="34"/>
      <c r="R961" s="34"/>
      <c r="S961" s="34"/>
      <c r="T961" s="34"/>
      <c r="U961" s="34"/>
      <c r="V961" s="34"/>
      <c r="W961" s="34"/>
      <c r="X961" s="34"/>
      <c r="Y961" s="34"/>
      <c r="Z961" s="34"/>
      <c r="AA961" s="34"/>
    </row>
    <row r="962" spans="1:27" ht="13">
      <c r="A962" s="34"/>
      <c r="B962" s="52"/>
      <c r="C962" s="34"/>
      <c r="D962" s="34"/>
      <c r="E962" s="34"/>
      <c r="F962" s="34"/>
      <c r="G962" s="33"/>
      <c r="H962" s="34"/>
      <c r="I962" s="34"/>
      <c r="J962" s="33"/>
      <c r="K962" s="34"/>
      <c r="L962" s="34"/>
      <c r="M962" s="34"/>
      <c r="N962" s="34"/>
      <c r="O962" s="34"/>
      <c r="P962" s="34"/>
      <c r="Q962" s="34"/>
      <c r="R962" s="34"/>
      <c r="S962" s="34"/>
      <c r="T962" s="34"/>
      <c r="U962" s="34"/>
      <c r="V962" s="34"/>
      <c r="W962" s="34"/>
      <c r="X962" s="34"/>
      <c r="Y962" s="34"/>
      <c r="Z962" s="34"/>
      <c r="AA962" s="34"/>
    </row>
    <row r="963" spans="1:27" ht="13">
      <c r="A963" s="34"/>
      <c r="B963" s="52"/>
      <c r="C963" s="34"/>
      <c r="D963" s="34"/>
      <c r="E963" s="34"/>
      <c r="F963" s="34"/>
      <c r="G963" s="33"/>
      <c r="H963" s="34"/>
      <c r="I963" s="34"/>
      <c r="J963" s="33"/>
      <c r="K963" s="34"/>
      <c r="L963" s="34"/>
      <c r="M963" s="34"/>
      <c r="N963" s="34"/>
      <c r="O963" s="34"/>
      <c r="P963" s="34"/>
      <c r="Q963" s="34"/>
      <c r="R963" s="34"/>
      <c r="S963" s="34"/>
      <c r="T963" s="34"/>
      <c r="U963" s="34"/>
      <c r="V963" s="34"/>
      <c r="W963" s="34"/>
      <c r="X963" s="34"/>
      <c r="Y963" s="34"/>
      <c r="Z963" s="34"/>
      <c r="AA963" s="34"/>
    </row>
    <row r="964" spans="1:27" ht="13">
      <c r="A964" s="34"/>
      <c r="B964" s="52"/>
      <c r="C964" s="34"/>
      <c r="D964" s="34"/>
      <c r="E964" s="34"/>
      <c r="F964" s="34"/>
      <c r="G964" s="33"/>
      <c r="H964" s="34"/>
      <c r="I964" s="34"/>
      <c r="J964" s="33"/>
      <c r="K964" s="34"/>
      <c r="L964" s="34"/>
      <c r="M964" s="34"/>
      <c r="N964" s="34"/>
      <c r="O964" s="34"/>
      <c r="P964" s="34"/>
      <c r="Q964" s="34"/>
      <c r="R964" s="34"/>
      <c r="S964" s="34"/>
      <c r="T964" s="34"/>
      <c r="U964" s="34"/>
      <c r="V964" s="34"/>
      <c r="W964" s="34"/>
      <c r="X964" s="34"/>
      <c r="Y964" s="34"/>
      <c r="Z964" s="34"/>
      <c r="AA964" s="34"/>
    </row>
    <row r="965" spans="1:27" ht="13">
      <c r="A965" s="34"/>
      <c r="B965" s="52"/>
      <c r="C965" s="34"/>
      <c r="D965" s="34"/>
      <c r="E965" s="34"/>
      <c r="F965" s="34"/>
      <c r="G965" s="33"/>
      <c r="H965" s="34"/>
      <c r="I965" s="34"/>
      <c r="J965" s="33"/>
      <c r="K965" s="34"/>
      <c r="L965" s="34"/>
      <c r="M965" s="34"/>
      <c r="N965" s="34"/>
      <c r="O965" s="34"/>
      <c r="P965" s="34"/>
      <c r="Q965" s="34"/>
      <c r="R965" s="34"/>
      <c r="S965" s="34"/>
      <c r="T965" s="34"/>
      <c r="U965" s="34"/>
      <c r="V965" s="34"/>
      <c r="W965" s="34"/>
      <c r="X965" s="34"/>
      <c r="Y965" s="34"/>
      <c r="Z965" s="34"/>
      <c r="AA965" s="34"/>
    </row>
    <row r="966" spans="1:27" ht="13">
      <c r="A966" s="34"/>
      <c r="B966" s="52"/>
      <c r="C966" s="34"/>
      <c r="D966" s="34"/>
      <c r="E966" s="34"/>
      <c r="F966" s="34"/>
      <c r="G966" s="33"/>
      <c r="H966" s="34"/>
      <c r="I966" s="34"/>
      <c r="J966" s="33"/>
      <c r="K966" s="34"/>
      <c r="L966" s="34"/>
      <c r="M966" s="34"/>
      <c r="N966" s="34"/>
      <c r="O966" s="34"/>
      <c r="P966" s="34"/>
      <c r="Q966" s="34"/>
      <c r="R966" s="34"/>
      <c r="S966" s="34"/>
      <c r="T966" s="34"/>
      <c r="U966" s="34"/>
      <c r="V966" s="34"/>
      <c r="W966" s="34"/>
      <c r="X966" s="34"/>
      <c r="Y966" s="34"/>
      <c r="Z966" s="34"/>
      <c r="AA966" s="34"/>
    </row>
    <row r="967" spans="1:27" ht="13">
      <c r="A967" s="34"/>
      <c r="B967" s="52"/>
      <c r="C967" s="34"/>
      <c r="D967" s="34"/>
      <c r="E967" s="34"/>
      <c r="F967" s="34"/>
      <c r="G967" s="33"/>
      <c r="H967" s="34"/>
      <c r="I967" s="34"/>
      <c r="J967" s="33"/>
      <c r="K967" s="34"/>
      <c r="L967" s="34"/>
      <c r="M967" s="34"/>
      <c r="N967" s="34"/>
      <c r="O967" s="34"/>
      <c r="P967" s="34"/>
      <c r="Q967" s="34"/>
      <c r="R967" s="34"/>
      <c r="S967" s="34"/>
      <c r="T967" s="34"/>
      <c r="U967" s="34"/>
      <c r="V967" s="34"/>
      <c r="W967" s="34"/>
      <c r="X967" s="34"/>
      <c r="Y967" s="34"/>
      <c r="Z967" s="34"/>
      <c r="AA967" s="34"/>
    </row>
    <row r="968" spans="1:27" ht="13">
      <c r="A968" s="34"/>
      <c r="B968" s="52"/>
      <c r="C968" s="34"/>
      <c r="D968" s="34"/>
      <c r="E968" s="34"/>
      <c r="F968" s="34"/>
      <c r="G968" s="33"/>
      <c r="H968" s="34"/>
      <c r="I968" s="34"/>
      <c r="J968" s="33"/>
      <c r="K968" s="34"/>
      <c r="L968" s="34"/>
      <c r="M968" s="34"/>
      <c r="N968" s="34"/>
      <c r="O968" s="34"/>
      <c r="P968" s="34"/>
      <c r="Q968" s="34"/>
      <c r="R968" s="34"/>
      <c r="S968" s="34"/>
      <c r="T968" s="34"/>
      <c r="U968" s="34"/>
      <c r="V968" s="34"/>
      <c r="W968" s="34"/>
      <c r="X968" s="34"/>
      <c r="Y968" s="34"/>
      <c r="Z968" s="34"/>
      <c r="AA968" s="34"/>
    </row>
    <row r="969" spans="1:27" ht="13">
      <c r="A969" s="34"/>
      <c r="B969" s="52"/>
      <c r="C969" s="34"/>
      <c r="D969" s="34"/>
      <c r="E969" s="34"/>
      <c r="F969" s="34"/>
      <c r="G969" s="33"/>
      <c r="H969" s="34"/>
      <c r="I969" s="34"/>
      <c r="J969" s="33"/>
      <c r="K969" s="34"/>
      <c r="L969" s="34"/>
      <c r="M969" s="34"/>
      <c r="N969" s="34"/>
      <c r="O969" s="34"/>
      <c r="P969" s="34"/>
      <c r="Q969" s="34"/>
      <c r="R969" s="34"/>
      <c r="S969" s="34"/>
      <c r="T969" s="34"/>
      <c r="U969" s="34"/>
      <c r="V969" s="34"/>
      <c r="W969" s="34"/>
      <c r="X969" s="34"/>
      <c r="Y969" s="34"/>
      <c r="Z969" s="34"/>
      <c r="AA969" s="34"/>
    </row>
    <row r="970" spans="1:27" ht="13">
      <c r="A970" s="34"/>
      <c r="B970" s="52"/>
      <c r="C970" s="34"/>
      <c r="D970" s="34"/>
      <c r="E970" s="34"/>
      <c r="F970" s="34"/>
      <c r="G970" s="33"/>
      <c r="H970" s="34"/>
      <c r="I970" s="34"/>
      <c r="J970" s="33"/>
      <c r="K970" s="34"/>
      <c r="L970" s="34"/>
      <c r="M970" s="34"/>
      <c r="N970" s="34"/>
      <c r="O970" s="34"/>
      <c r="P970" s="34"/>
      <c r="Q970" s="34"/>
      <c r="R970" s="34"/>
      <c r="S970" s="34"/>
      <c r="T970" s="34"/>
      <c r="U970" s="34"/>
      <c r="V970" s="34"/>
      <c r="W970" s="34"/>
      <c r="X970" s="34"/>
      <c r="Y970" s="34"/>
      <c r="Z970" s="34"/>
      <c r="AA970" s="34"/>
    </row>
    <row r="971" spans="1:27" ht="13">
      <c r="A971" s="34"/>
      <c r="B971" s="52"/>
      <c r="C971" s="34"/>
      <c r="D971" s="34"/>
      <c r="E971" s="34"/>
      <c r="F971" s="34"/>
      <c r="G971" s="33"/>
      <c r="H971" s="34"/>
      <c r="I971" s="34"/>
      <c r="J971" s="33"/>
      <c r="K971" s="34"/>
      <c r="L971" s="34"/>
      <c r="M971" s="34"/>
      <c r="N971" s="34"/>
      <c r="O971" s="34"/>
      <c r="P971" s="34"/>
      <c r="Q971" s="34"/>
      <c r="R971" s="34"/>
      <c r="S971" s="34"/>
      <c r="T971" s="34"/>
      <c r="U971" s="34"/>
      <c r="V971" s="34"/>
      <c r="W971" s="34"/>
      <c r="X971" s="34"/>
      <c r="Y971" s="34"/>
      <c r="Z971" s="34"/>
      <c r="AA971" s="34"/>
    </row>
    <row r="972" spans="1:27" ht="13">
      <c r="A972" s="34"/>
      <c r="B972" s="52"/>
      <c r="C972" s="34"/>
      <c r="D972" s="34"/>
      <c r="E972" s="34"/>
      <c r="F972" s="34"/>
      <c r="G972" s="33"/>
      <c r="H972" s="34"/>
      <c r="I972" s="34"/>
      <c r="J972" s="33"/>
      <c r="K972" s="34"/>
      <c r="L972" s="34"/>
      <c r="M972" s="34"/>
      <c r="N972" s="34"/>
      <c r="O972" s="34"/>
      <c r="P972" s="34"/>
      <c r="Q972" s="34"/>
      <c r="R972" s="34"/>
      <c r="S972" s="34"/>
      <c r="T972" s="34"/>
      <c r="U972" s="34"/>
      <c r="V972" s="34"/>
      <c r="W972" s="34"/>
      <c r="X972" s="34"/>
      <c r="Y972" s="34"/>
      <c r="Z972" s="34"/>
      <c r="AA972" s="34"/>
    </row>
    <row r="973" spans="1:27" ht="13">
      <c r="A973" s="34"/>
      <c r="B973" s="52"/>
      <c r="C973" s="34"/>
      <c r="D973" s="34"/>
      <c r="E973" s="34"/>
      <c r="F973" s="34"/>
      <c r="G973" s="33"/>
      <c r="H973" s="34"/>
      <c r="I973" s="34"/>
      <c r="J973" s="33"/>
      <c r="K973" s="34"/>
      <c r="L973" s="34"/>
      <c r="M973" s="34"/>
      <c r="N973" s="34"/>
      <c r="O973" s="34"/>
      <c r="P973" s="34"/>
      <c r="Q973" s="34"/>
      <c r="R973" s="34"/>
      <c r="S973" s="34"/>
      <c r="T973" s="34"/>
      <c r="U973" s="34"/>
      <c r="V973" s="34"/>
      <c r="W973" s="34"/>
      <c r="X973" s="34"/>
      <c r="Y973" s="34"/>
      <c r="Z973" s="34"/>
      <c r="AA973" s="34"/>
    </row>
    <row r="974" spans="1:27" ht="13">
      <c r="A974" s="34"/>
      <c r="B974" s="52"/>
      <c r="C974" s="34"/>
      <c r="D974" s="34"/>
      <c r="E974" s="34"/>
      <c r="F974" s="34"/>
      <c r="G974" s="33"/>
      <c r="H974" s="34"/>
      <c r="I974" s="34"/>
      <c r="J974" s="33"/>
      <c r="K974" s="34"/>
      <c r="L974" s="34"/>
      <c r="M974" s="34"/>
      <c r="N974" s="34"/>
      <c r="O974" s="34"/>
      <c r="P974" s="34"/>
      <c r="Q974" s="34"/>
      <c r="R974" s="34"/>
      <c r="S974" s="34"/>
      <c r="T974" s="34"/>
      <c r="U974" s="34"/>
      <c r="V974" s="34"/>
      <c r="W974" s="34"/>
      <c r="X974" s="34"/>
      <c r="Y974" s="34"/>
      <c r="Z974" s="34"/>
      <c r="AA974" s="34"/>
    </row>
    <row r="975" spans="1:27" ht="13">
      <c r="A975" s="34"/>
      <c r="B975" s="52"/>
      <c r="C975" s="34"/>
      <c r="D975" s="34"/>
      <c r="E975" s="34"/>
      <c r="F975" s="34"/>
      <c r="G975" s="33"/>
      <c r="H975" s="34"/>
      <c r="I975" s="34"/>
      <c r="J975" s="33"/>
      <c r="K975" s="34"/>
      <c r="L975" s="34"/>
      <c r="M975" s="34"/>
      <c r="N975" s="34"/>
      <c r="O975" s="34"/>
      <c r="P975" s="34"/>
      <c r="Q975" s="34"/>
      <c r="R975" s="34"/>
      <c r="S975" s="34"/>
      <c r="T975" s="34"/>
      <c r="U975" s="34"/>
      <c r="V975" s="34"/>
      <c r="W975" s="34"/>
      <c r="X975" s="34"/>
      <c r="Y975" s="34"/>
      <c r="Z975" s="34"/>
      <c r="AA975" s="34"/>
    </row>
    <row r="976" spans="1:27" ht="13">
      <c r="A976" s="34"/>
      <c r="B976" s="52"/>
      <c r="C976" s="34"/>
      <c r="D976" s="34"/>
      <c r="E976" s="34"/>
      <c r="F976" s="34"/>
      <c r="G976" s="33"/>
      <c r="H976" s="34"/>
      <c r="I976" s="34"/>
      <c r="J976" s="33"/>
      <c r="K976" s="34"/>
      <c r="L976" s="34"/>
      <c r="M976" s="34"/>
      <c r="N976" s="34"/>
      <c r="O976" s="34"/>
      <c r="P976" s="34"/>
      <c r="Q976" s="34"/>
      <c r="R976" s="34"/>
      <c r="S976" s="34"/>
      <c r="T976" s="34"/>
      <c r="U976" s="34"/>
      <c r="V976" s="34"/>
      <c r="W976" s="34"/>
      <c r="X976" s="34"/>
      <c r="Y976" s="34"/>
      <c r="Z976" s="34"/>
      <c r="AA976" s="34"/>
    </row>
    <row r="977" spans="1:27" ht="13">
      <c r="A977" s="34"/>
      <c r="B977" s="52"/>
      <c r="C977" s="34"/>
      <c r="D977" s="34"/>
      <c r="E977" s="34"/>
      <c r="F977" s="34"/>
      <c r="G977" s="33"/>
      <c r="H977" s="34"/>
      <c r="I977" s="34"/>
      <c r="J977" s="33"/>
      <c r="K977" s="34"/>
      <c r="L977" s="34"/>
      <c r="M977" s="34"/>
      <c r="N977" s="34"/>
      <c r="O977" s="34"/>
      <c r="P977" s="34"/>
      <c r="Q977" s="34"/>
      <c r="R977" s="34"/>
      <c r="S977" s="34"/>
      <c r="T977" s="34"/>
      <c r="U977" s="34"/>
      <c r="V977" s="34"/>
      <c r="W977" s="34"/>
      <c r="X977" s="34"/>
      <c r="Y977" s="34"/>
      <c r="Z977" s="34"/>
      <c r="AA977" s="34"/>
    </row>
    <row r="978" spans="1:27" ht="13">
      <c r="A978" s="34"/>
      <c r="B978" s="52"/>
      <c r="C978" s="34"/>
      <c r="D978" s="34"/>
      <c r="E978" s="34"/>
      <c r="F978" s="34"/>
      <c r="G978" s="33"/>
      <c r="H978" s="34"/>
      <c r="I978" s="34"/>
      <c r="J978" s="33"/>
      <c r="K978" s="34"/>
      <c r="L978" s="34"/>
      <c r="M978" s="34"/>
      <c r="N978" s="34"/>
      <c r="O978" s="34"/>
      <c r="P978" s="34"/>
      <c r="Q978" s="34"/>
      <c r="R978" s="34"/>
      <c r="S978" s="34"/>
      <c r="T978" s="34"/>
      <c r="U978" s="34"/>
      <c r="V978" s="34"/>
      <c r="W978" s="34"/>
      <c r="X978" s="34"/>
      <c r="Y978" s="34"/>
      <c r="Z978" s="34"/>
      <c r="AA978" s="34"/>
    </row>
    <row r="979" spans="1:27" ht="13">
      <c r="A979" s="34"/>
      <c r="B979" s="52"/>
      <c r="C979" s="34"/>
      <c r="D979" s="34"/>
      <c r="E979" s="34"/>
      <c r="F979" s="34"/>
      <c r="G979" s="33"/>
      <c r="H979" s="34"/>
      <c r="I979" s="34"/>
      <c r="J979" s="33"/>
      <c r="K979" s="34"/>
      <c r="L979" s="34"/>
      <c r="M979" s="34"/>
      <c r="N979" s="34"/>
      <c r="O979" s="34"/>
      <c r="P979" s="34"/>
      <c r="Q979" s="34"/>
      <c r="R979" s="34"/>
      <c r="S979" s="34"/>
      <c r="T979" s="34"/>
      <c r="U979" s="34"/>
      <c r="V979" s="34"/>
      <c r="W979" s="34"/>
      <c r="X979" s="34"/>
      <c r="Y979" s="34"/>
      <c r="Z979" s="34"/>
      <c r="AA979" s="34"/>
    </row>
    <row r="980" spans="1:27" ht="13">
      <c r="A980" s="34"/>
      <c r="B980" s="52"/>
      <c r="C980" s="34"/>
      <c r="D980" s="34"/>
      <c r="E980" s="34"/>
      <c r="F980" s="34"/>
      <c r="G980" s="33"/>
      <c r="H980" s="34"/>
      <c r="I980" s="34"/>
      <c r="J980" s="33"/>
      <c r="K980" s="34"/>
      <c r="L980" s="34"/>
      <c r="M980" s="34"/>
      <c r="N980" s="34"/>
      <c r="O980" s="34"/>
      <c r="P980" s="34"/>
      <c r="Q980" s="34"/>
      <c r="R980" s="34"/>
      <c r="S980" s="34"/>
      <c r="T980" s="34"/>
      <c r="U980" s="34"/>
      <c r="V980" s="34"/>
      <c r="W980" s="34"/>
      <c r="X980" s="34"/>
      <c r="Y980" s="34"/>
      <c r="Z980" s="34"/>
      <c r="AA980" s="34"/>
    </row>
    <row r="981" spans="1:27" ht="13">
      <c r="A981" s="34"/>
      <c r="B981" s="52"/>
      <c r="C981" s="34"/>
      <c r="D981" s="34"/>
      <c r="E981" s="34"/>
      <c r="F981" s="34"/>
      <c r="G981" s="33"/>
      <c r="H981" s="34"/>
      <c r="I981" s="34"/>
      <c r="J981" s="33"/>
      <c r="K981" s="34"/>
      <c r="L981" s="34"/>
      <c r="M981" s="34"/>
      <c r="N981" s="34"/>
      <c r="O981" s="34"/>
      <c r="P981" s="34"/>
      <c r="Q981" s="34"/>
      <c r="R981" s="34"/>
      <c r="S981" s="34"/>
      <c r="T981" s="34"/>
      <c r="U981" s="34"/>
      <c r="V981" s="34"/>
      <c r="W981" s="34"/>
      <c r="X981" s="34"/>
      <c r="Y981" s="34"/>
      <c r="Z981" s="34"/>
      <c r="AA981" s="34"/>
    </row>
    <row r="982" spans="1:27" ht="13">
      <c r="A982" s="34"/>
      <c r="B982" s="52"/>
      <c r="C982" s="34"/>
      <c r="D982" s="34"/>
      <c r="E982" s="34"/>
      <c r="F982" s="34"/>
      <c r="G982" s="33"/>
      <c r="H982" s="34"/>
      <c r="I982" s="34"/>
      <c r="J982" s="33"/>
      <c r="K982" s="34"/>
      <c r="L982" s="34"/>
      <c r="M982" s="34"/>
      <c r="N982" s="34"/>
      <c r="O982" s="34"/>
      <c r="P982" s="34"/>
      <c r="Q982" s="34"/>
      <c r="R982" s="34"/>
      <c r="S982" s="34"/>
      <c r="T982" s="34"/>
      <c r="U982" s="34"/>
      <c r="V982" s="34"/>
      <c r="W982" s="34"/>
      <c r="X982" s="34"/>
      <c r="Y982" s="34"/>
      <c r="Z982" s="34"/>
      <c r="AA982" s="34"/>
    </row>
    <row r="983" spans="1:27" ht="13">
      <c r="A983" s="34"/>
      <c r="B983" s="52"/>
      <c r="C983" s="34"/>
      <c r="D983" s="34"/>
      <c r="E983" s="34"/>
      <c r="F983" s="34"/>
      <c r="G983" s="33"/>
      <c r="H983" s="34"/>
      <c r="I983" s="34"/>
      <c r="J983" s="33"/>
      <c r="K983" s="34"/>
      <c r="L983" s="34"/>
      <c r="M983" s="34"/>
      <c r="N983" s="34"/>
      <c r="O983" s="34"/>
      <c r="P983" s="34"/>
      <c r="Q983" s="34"/>
      <c r="R983" s="34"/>
      <c r="S983" s="34"/>
      <c r="T983" s="34"/>
      <c r="U983" s="34"/>
      <c r="V983" s="34"/>
      <c r="W983" s="34"/>
      <c r="X983" s="34"/>
      <c r="Y983" s="34"/>
      <c r="Z983" s="34"/>
      <c r="AA983" s="34"/>
    </row>
    <row r="984" spans="1:27" ht="13">
      <c r="A984" s="34"/>
      <c r="B984" s="52"/>
      <c r="C984" s="34"/>
      <c r="D984" s="34"/>
      <c r="E984" s="34"/>
      <c r="F984" s="34"/>
      <c r="G984" s="33"/>
      <c r="H984" s="34"/>
      <c r="I984" s="34"/>
      <c r="J984" s="33"/>
      <c r="K984" s="34"/>
      <c r="L984" s="34"/>
      <c r="M984" s="34"/>
      <c r="N984" s="34"/>
      <c r="O984" s="34"/>
      <c r="P984" s="34"/>
      <c r="Q984" s="34"/>
      <c r="R984" s="34"/>
      <c r="S984" s="34"/>
      <c r="T984" s="34"/>
      <c r="U984" s="34"/>
      <c r="V984" s="34"/>
      <c r="W984" s="34"/>
      <c r="X984" s="34"/>
      <c r="Y984" s="34"/>
      <c r="Z984" s="34"/>
      <c r="AA984" s="34"/>
    </row>
    <row r="985" spans="1:27" ht="13">
      <c r="A985" s="34"/>
      <c r="B985" s="52"/>
      <c r="C985" s="34"/>
      <c r="D985" s="34"/>
      <c r="E985" s="34"/>
      <c r="F985" s="34"/>
      <c r="G985" s="33"/>
      <c r="H985" s="34"/>
      <c r="I985" s="34"/>
      <c r="J985" s="33"/>
      <c r="K985" s="34"/>
      <c r="L985" s="34"/>
      <c r="M985" s="34"/>
      <c r="N985" s="34"/>
      <c r="O985" s="34"/>
      <c r="P985" s="34"/>
      <c r="Q985" s="34"/>
      <c r="R985" s="34"/>
      <c r="S985" s="34"/>
      <c r="T985" s="34"/>
      <c r="U985" s="34"/>
      <c r="V985" s="34"/>
      <c r="W985" s="34"/>
      <c r="X985" s="34"/>
      <c r="Y985" s="34"/>
      <c r="Z985" s="34"/>
      <c r="AA985" s="34"/>
    </row>
    <row r="986" spans="1:27" ht="13">
      <c r="A986" s="34"/>
      <c r="B986" s="52"/>
      <c r="C986" s="34"/>
      <c r="D986" s="34"/>
      <c r="E986" s="34"/>
      <c r="F986" s="34"/>
      <c r="G986" s="33"/>
      <c r="H986" s="34"/>
      <c r="I986" s="34"/>
      <c r="J986" s="33"/>
      <c r="K986" s="34"/>
      <c r="L986" s="34"/>
      <c r="M986" s="34"/>
      <c r="N986" s="34"/>
      <c r="O986" s="34"/>
      <c r="P986" s="34"/>
      <c r="Q986" s="34"/>
      <c r="R986" s="34"/>
      <c r="S986" s="34"/>
      <c r="T986" s="34"/>
      <c r="U986" s="34"/>
      <c r="V986" s="34"/>
      <c r="W986" s="34"/>
      <c r="X986" s="34"/>
      <c r="Y986" s="34"/>
      <c r="Z986" s="34"/>
      <c r="AA986" s="34"/>
    </row>
    <row r="987" spans="1:27" ht="13">
      <c r="A987" s="34"/>
      <c r="B987" s="52"/>
      <c r="C987" s="34"/>
      <c r="D987" s="34"/>
      <c r="E987" s="34"/>
      <c r="F987" s="34"/>
      <c r="G987" s="33"/>
      <c r="H987" s="34"/>
      <c r="I987" s="34"/>
      <c r="J987" s="33"/>
      <c r="K987" s="34"/>
      <c r="L987" s="34"/>
      <c r="M987" s="34"/>
      <c r="N987" s="34"/>
      <c r="O987" s="34"/>
      <c r="P987" s="34"/>
      <c r="Q987" s="34"/>
      <c r="R987" s="34"/>
      <c r="S987" s="34"/>
      <c r="T987" s="34"/>
      <c r="U987" s="34"/>
      <c r="V987" s="34"/>
      <c r="W987" s="34"/>
      <c r="X987" s="34"/>
      <c r="Y987" s="34"/>
      <c r="Z987" s="34"/>
      <c r="AA987" s="34"/>
    </row>
    <row r="988" spans="1:27" ht="13">
      <c r="A988" s="34"/>
      <c r="B988" s="52"/>
      <c r="C988" s="34"/>
      <c r="D988" s="34"/>
      <c r="E988" s="34"/>
      <c r="F988" s="34"/>
      <c r="G988" s="33"/>
      <c r="H988" s="34"/>
      <c r="I988" s="34"/>
      <c r="J988" s="33"/>
      <c r="K988" s="34"/>
      <c r="L988" s="34"/>
      <c r="M988" s="34"/>
      <c r="N988" s="34"/>
      <c r="O988" s="34"/>
      <c r="P988" s="34"/>
      <c r="Q988" s="34"/>
      <c r="R988" s="34"/>
      <c r="S988" s="34"/>
      <c r="T988" s="34"/>
      <c r="U988" s="34"/>
      <c r="V988" s="34"/>
      <c r="W988" s="34"/>
      <c r="X988" s="34"/>
      <c r="Y988" s="34"/>
      <c r="Z988" s="34"/>
      <c r="AA988" s="34"/>
    </row>
    <row r="989" spans="1:27" ht="13">
      <c r="A989" s="34"/>
      <c r="B989" s="52"/>
      <c r="C989" s="34"/>
      <c r="D989" s="34"/>
      <c r="E989" s="34"/>
      <c r="F989" s="34"/>
      <c r="G989" s="33"/>
      <c r="H989" s="34"/>
      <c r="I989" s="34"/>
      <c r="J989" s="33"/>
      <c r="K989" s="34"/>
      <c r="L989" s="34"/>
      <c r="M989" s="34"/>
      <c r="N989" s="34"/>
      <c r="O989" s="34"/>
      <c r="P989" s="34"/>
      <c r="Q989" s="34"/>
      <c r="R989" s="34"/>
      <c r="S989" s="34"/>
      <c r="T989" s="34"/>
      <c r="U989" s="34"/>
      <c r="V989" s="34"/>
      <c r="W989" s="34"/>
      <c r="X989" s="34"/>
      <c r="Y989" s="34"/>
      <c r="Z989" s="34"/>
      <c r="AA989" s="34"/>
    </row>
    <row r="990" spans="1:27" ht="13">
      <c r="A990" s="34"/>
      <c r="B990" s="52"/>
      <c r="C990" s="34"/>
      <c r="D990" s="34"/>
      <c r="E990" s="34"/>
      <c r="F990" s="34"/>
      <c r="G990" s="33"/>
      <c r="H990" s="34"/>
      <c r="I990" s="34"/>
      <c r="J990" s="33"/>
      <c r="K990" s="34"/>
      <c r="L990" s="34"/>
      <c r="M990" s="34"/>
      <c r="N990" s="34"/>
      <c r="O990" s="34"/>
      <c r="P990" s="34"/>
      <c r="Q990" s="34"/>
      <c r="R990" s="34"/>
      <c r="S990" s="34"/>
      <c r="T990" s="34"/>
      <c r="U990" s="34"/>
      <c r="V990" s="34"/>
      <c r="W990" s="34"/>
      <c r="X990" s="34"/>
      <c r="Y990" s="34"/>
      <c r="Z990" s="34"/>
      <c r="AA990" s="34"/>
    </row>
    <row r="991" spans="1:27" ht="13">
      <c r="A991" s="34"/>
      <c r="B991" s="52"/>
      <c r="C991" s="34"/>
      <c r="D991" s="34"/>
      <c r="E991" s="34"/>
      <c r="F991" s="34"/>
      <c r="G991" s="33"/>
      <c r="H991" s="34"/>
      <c r="I991" s="34"/>
      <c r="J991" s="33"/>
      <c r="K991" s="34"/>
      <c r="L991" s="34"/>
      <c r="M991" s="34"/>
      <c r="N991" s="34"/>
      <c r="O991" s="34"/>
      <c r="P991" s="34"/>
      <c r="Q991" s="34"/>
      <c r="R991" s="34"/>
      <c r="S991" s="34"/>
      <c r="T991" s="34"/>
      <c r="U991" s="34"/>
      <c r="V991" s="34"/>
      <c r="W991" s="34"/>
      <c r="X991" s="34"/>
      <c r="Y991" s="34"/>
      <c r="Z991" s="34"/>
      <c r="AA991" s="34"/>
    </row>
    <row r="992" spans="1:27" ht="13">
      <c r="A992" s="34"/>
      <c r="B992" s="52"/>
      <c r="C992" s="34"/>
      <c r="D992" s="34"/>
      <c r="E992" s="34"/>
      <c r="F992" s="34"/>
      <c r="G992" s="33"/>
      <c r="H992" s="34"/>
      <c r="I992" s="34"/>
      <c r="J992" s="33"/>
      <c r="K992" s="34"/>
      <c r="L992" s="34"/>
      <c r="M992" s="34"/>
      <c r="N992" s="34"/>
      <c r="O992" s="34"/>
      <c r="P992" s="34"/>
      <c r="Q992" s="34"/>
      <c r="R992" s="34"/>
      <c r="S992" s="34"/>
      <c r="T992" s="34"/>
      <c r="U992" s="34"/>
      <c r="V992" s="34"/>
      <c r="W992" s="34"/>
      <c r="X992" s="34"/>
      <c r="Y992" s="34"/>
      <c r="Z992" s="34"/>
      <c r="AA992" s="34"/>
    </row>
    <row r="993" spans="1:27" ht="13">
      <c r="A993" s="34"/>
      <c r="B993" s="52"/>
      <c r="C993" s="34"/>
      <c r="D993" s="34"/>
      <c r="E993" s="34"/>
      <c r="F993" s="34"/>
      <c r="G993" s="33"/>
      <c r="H993" s="34"/>
      <c r="I993" s="34"/>
      <c r="J993" s="33"/>
      <c r="K993" s="34"/>
      <c r="L993" s="34"/>
      <c r="M993" s="34"/>
      <c r="N993" s="34"/>
      <c r="O993" s="34"/>
      <c r="P993" s="34"/>
      <c r="Q993" s="34"/>
      <c r="R993" s="34"/>
      <c r="S993" s="34"/>
      <c r="T993" s="34"/>
      <c r="U993" s="34"/>
      <c r="V993" s="34"/>
      <c r="W993" s="34"/>
      <c r="X993" s="34"/>
      <c r="Y993" s="34"/>
      <c r="Z993" s="34"/>
      <c r="AA993" s="34"/>
    </row>
    <row r="994" spans="1:27" ht="13">
      <c r="A994" s="34"/>
      <c r="B994" s="52"/>
      <c r="C994" s="34"/>
      <c r="D994" s="34"/>
      <c r="E994" s="34"/>
      <c r="F994" s="34"/>
      <c r="G994" s="33"/>
      <c r="H994" s="34"/>
      <c r="I994" s="34"/>
      <c r="J994" s="33"/>
      <c r="K994" s="34"/>
      <c r="L994" s="34"/>
      <c r="M994" s="34"/>
      <c r="N994" s="34"/>
      <c r="O994" s="34"/>
      <c r="P994" s="34"/>
      <c r="Q994" s="34"/>
      <c r="R994" s="34"/>
      <c r="S994" s="34"/>
      <c r="T994" s="34"/>
      <c r="U994" s="34"/>
      <c r="V994" s="34"/>
      <c r="W994" s="34"/>
      <c r="X994" s="34"/>
      <c r="Y994" s="34"/>
      <c r="Z994" s="34"/>
      <c r="AA994" s="34"/>
    </row>
    <row r="995" spans="1:27" ht="13">
      <c r="A995" s="34"/>
      <c r="B995" s="52"/>
      <c r="C995" s="34"/>
      <c r="D995" s="34"/>
      <c r="E995" s="34"/>
      <c r="F995" s="34"/>
      <c r="G995" s="33"/>
      <c r="H995" s="34"/>
      <c r="I995" s="34"/>
      <c r="J995" s="33"/>
      <c r="K995" s="34"/>
      <c r="L995" s="34"/>
      <c r="M995" s="34"/>
      <c r="N995" s="34"/>
      <c r="O995" s="34"/>
      <c r="P995" s="34"/>
      <c r="Q995" s="34"/>
      <c r="R995" s="34"/>
      <c r="S995" s="34"/>
      <c r="T995" s="34"/>
      <c r="U995" s="34"/>
      <c r="V995" s="34"/>
      <c r="W995" s="34"/>
      <c r="X995" s="34"/>
      <c r="Y995" s="34"/>
      <c r="Z995" s="34"/>
      <c r="AA995" s="34"/>
    </row>
    <row r="996" spans="1:27" ht="13">
      <c r="A996" s="34"/>
      <c r="B996" s="52"/>
      <c r="C996" s="34"/>
      <c r="D996" s="34"/>
      <c r="E996" s="34"/>
      <c r="F996" s="34"/>
      <c r="G996" s="33"/>
      <c r="H996" s="34"/>
      <c r="I996" s="34"/>
      <c r="J996" s="33"/>
      <c r="K996" s="34"/>
      <c r="L996" s="34"/>
      <c r="M996" s="34"/>
      <c r="N996" s="34"/>
      <c r="O996" s="34"/>
      <c r="P996" s="34"/>
      <c r="Q996" s="34"/>
      <c r="R996" s="34"/>
      <c r="S996" s="34"/>
      <c r="T996" s="34"/>
      <c r="U996" s="34"/>
      <c r="V996" s="34"/>
      <c r="W996" s="34"/>
      <c r="X996" s="34"/>
      <c r="Y996" s="34"/>
      <c r="Z996" s="34"/>
      <c r="AA996" s="34"/>
    </row>
    <row r="997" spans="1:27" ht="13">
      <c r="A997" s="34"/>
      <c r="B997" s="52"/>
      <c r="C997" s="34"/>
      <c r="D997" s="34"/>
      <c r="E997" s="34"/>
      <c r="F997" s="34"/>
      <c r="G997" s="33"/>
      <c r="H997" s="34"/>
      <c r="I997" s="34"/>
      <c r="J997" s="33"/>
      <c r="K997" s="34"/>
      <c r="L997" s="34"/>
      <c r="M997" s="34"/>
      <c r="N997" s="34"/>
      <c r="O997" s="34"/>
      <c r="P997" s="34"/>
      <c r="Q997" s="34"/>
      <c r="R997" s="34"/>
      <c r="S997" s="34"/>
      <c r="T997" s="34"/>
      <c r="U997" s="34"/>
      <c r="V997" s="34"/>
      <c r="W997" s="34"/>
      <c r="X997" s="34"/>
      <c r="Y997" s="34"/>
      <c r="Z997" s="34"/>
      <c r="AA997" s="34"/>
    </row>
    <row r="998" spans="1:27" ht="13">
      <c r="A998" s="34"/>
      <c r="B998" s="52"/>
      <c r="C998" s="34"/>
      <c r="D998" s="34"/>
      <c r="E998" s="34"/>
      <c r="F998" s="34"/>
      <c r="G998" s="33"/>
      <c r="H998" s="34"/>
      <c r="I998" s="34"/>
      <c r="J998" s="33"/>
      <c r="K998" s="34"/>
      <c r="L998" s="34"/>
      <c r="M998" s="34"/>
      <c r="N998" s="34"/>
      <c r="O998" s="34"/>
      <c r="P998" s="34"/>
      <c r="Q998" s="34"/>
      <c r="R998" s="34"/>
      <c r="S998" s="34"/>
      <c r="T998" s="34"/>
      <c r="U998" s="34"/>
      <c r="V998" s="34"/>
      <c r="W998" s="34"/>
      <c r="X998" s="34"/>
      <c r="Y998" s="34"/>
      <c r="Z998" s="34"/>
      <c r="AA998" s="34"/>
    </row>
    <row r="999" spans="1:27" ht="13">
      <c r="A999" s="34"/>
      <c r="B999" s="52"/>
      <c r="C999" s="34"/>
      <c r="D999" s="34"/>
      <c r="E999" s="34"/>
      <c r="F999" s="34"/>
      <c r="G999" s="33"/>
      <c r="H999" s="34"/>
      <c r="I999" s="34"/>
      <c r="J999" s="33"/>
      <c r="K999" s="34"/>
      <c r="L999" s="34"/>
      <c r="M999" s="34"/>
      <c r="N999" s="34"/>
      <c r="O999" s="34"/>
      <c r="P999" s="34"/>
      <c r="Q999" s="34"/>
      <c r="R999" s="34"/>
      <c r="S999" s="34"/>
      <c r="T999" s="34"/>
      <c r="U999" s="34"/>
      <c r="V999" s="34"/>
      <c r="W999" s="34"/>
      <c r="X999" s="34"/>
      <c r="Y999" s="34"/>
      <c r="Z999" s="34"/>
      <c r="AA999" s="34"/>
    </row>
    <row r="1000" spans="1:27" ht="13">
      <c r="A1000" s="34"/>
      <c r="B1000" s="52"/>
      <c r="C1000" s="34"/>
      <c r="D1000" s="34"/>
      <c r="E1000" s="34"/>
      <c r="F1000" s="34"/>
      <c r="G1000" s="33"/>
      <c r="H1000" s="34"/>
      <c r="I1000" s="34"/>
      <c r="J1000" s="33"/>
      <c r="K1000" s="34"/>
      <c r="L1000" s="34"/>
      <c r="M1000" s="34"/>
      <c r="N1000" s="34"/>
      <c r="O1000" s="34"/>
      <c r="P1000" s="34"/>
      <c r="Q1000" s="34"/>
      <c r="R1000" s="34"/>
      <c r="S1000" s="34"/>
      <c r="T1000" s="34"/>
      <c r="U1000" s="34"/>
      <c r="V1000" s="34"/>
      <c r="W1000" s="34"/>
      <c r="X1000" s="34"/>
      <c r="Y1000" s="34"/>
      <c r="Z1000" s="34"/>
      <c r="AA1000" s="34"/>
    </row>
    <row r="1001" spans="1:27" ht="13">
      <c r="A1001" s="34"/>
      <c r="B1001" s="52"/>
      <c r="C1001" s="34"/>
      <c r="D1001" s="34"/>
      <c r="E1001" s="34"/>
      <c r="F1001" s="34"/>
      <c r="G1001" s="33"/>
      <c r="H1001" s="34"/>
      <c r="I1001" s="34"/>
      <c r="J1001" s="33"/>
      <c r="K1001" s="34"/>
      <c r="L1001" s="34"/>
      <c r="M1001" s="34"/>
      <c r="N1001" s="34"/>
      <c r="O1001" s="34"/>
      <c r="P1001" s="34"/>
      <c r="Q1001" s="34"/>
      <c r="R1001" s="34"/>
      <c r="S1001" s="34"/>
      <c r="T1001" s="34"/>
      <c r="U1001" s="34"/>
      <c r="V1001" s="34"/>
      <c r="W1001" s="34"/>
      <c r="X1001" s="34"/>
      <c r="Y1001" s="34"/>
      <c r="Z1001" s="34"/>
      <c r="AA1001" s="34"/>
    </row>
  </sheetData>
  <mergeCells count="1">
    <mergeCell ref="A1:E1"/>
  </mergeCells>
  <phoneticPr fontId="85" type="noConversion"/>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3984375" defaultRowHeight="15.75" customHeight="1"/>
  <cols>
    <col min="1" max="2" width="43" customWidth="1"/>
    <col min="3" max="3" width="49.296875" customWidth="1"/>
    <col min="4" max="6" width="43" customWidth="1"/>
    <col min="7" max="7" width="36.59765625" customWidth="1"/>
    <col min="13" max="13" width="33.09765625" customWidth="1"/>
    <col min="14" max="14" width="32.296875" customWidth="1"/>
  </cols>
  <sheetData>
    <row r="1" spans="1:26">
      <c r="A1" s="9" t="s">
        <v>2491</v>
      </c>
      <c r="B1" s="9" t="s">
        <v>2492</v>
      </c>
      <c r="C1" s="9" t="s">
        <v>2493</v>
      </c>
      <c r="D1" s="9" t="s">
        <v>2494</v>
      </c>
      <c r="E1" s="9" t="s">
        <v>2495</v>
      </c>
      <c r="F1" s="9" t="s">
        <v>2496</v>
      </c>
      <c r="G1" s="34"/>
      <c r="H1" s="34"/>
      <c r="I1" s="33"/>
      <c r="J1" s="34"/>
      <c r="K1" s="34"/>
      <c r="L1" s="34"/>
      <c r="M1" s="34"/>
      <c r="N1" s="34"/>
      <c r="O1" s="34"/>
      <c r="P1" s="34"/>
      <c r="Q1" s="34"/>
      <c r="R1" s="34"/>
      <c r="S1" s="34"/>
      <c r="T1" s="34"/>
      <c r="U1" s="34"/>
      <c r="V1" s="34"/>
      <c r="W1" s="34"/>
      <c r="X1" s="34"/>
      <c r="Y1" s="34"/>
      <c r="Z1" s="34"/>
    </row>
    <row r="2" spans="1:26" ht="15.75" customHeight="1">
      <c r="A2" s="183" t="s">
        <v>134</v>
      </c>
      <c r="B2" s="184" t="s">
        <v>385</v>
      </c>
      <c r="C2" s="184" t="s">
        <v>2567</v>
      </c>
      <c r="D2" s="185" t="s">
        <v>471</v>
      </c>
      <c r="E2" s="186" t="s">
        <v>166</v>
      </c>
      <c r="F2" s="184" t="s">
        <v>2568</v>
      </c>
      <c r="G2" s="34"/>
      <c r="H2" s="33"/>
      <c r="I2" s="33"/>
      <c r="J2" s="34"/>
      <c r="K2" s="34"/>
      <c r="L2" s="34"/>
      <c r="M2" s="171"/>
      <c r="N2" s="172"/>
      <c r="O2" s="34"/>
      <c r="P2" s="34"/>
      <c r="Q2" s="34"/>
      <c r="R2" s="34"/>
      <c r="S2" s="34"/>
      <c r="T2" s="34"/>
      <c r="U2" s="34"/>
      <c r="V2" s="34"/>
      <c r="W2" s="34"/>
      <c r="X2" s="34"/>
      <c r="Y2" s="34"/>
      <c r="Z2" s="34"/>
    </row>
    <row r="3" spans="1:26" ht="15.75" customHeight="1">
      <c r="A3" s="183" t="s">
        <v>141</v>
      </c>
      <c r="B3" s="184" t="s">
        <v>395</v>
      </c>
      <c r="C3" s="184" t="s">
        <v>2569</v>
      </c>
      <c r="D3" s="185" t="s">
        <v>479</v>
      </c>
      <c r="E3" s="186" t="s">
        <v>179</v>
      </c>
      <c r="F3" s="184" t="s">
        <v>2570</v>
      </c>
      <c r="G3" s="34"/>
      <c r="H3" s="33"/>
      <c r="I3" s="33"/>
      <c r="J3" s="34"/>
      <c r="K3" s="34"/>
      <c r="L3" s="34"/>
      <c r="M3" s="171"/>
      <c r="N3" s="172"/>
      <c r="O3" s="34"/>
      <c r="P3" s="34"/>
      <c r="Q3" s="34"/>
      <c r="R3" s="34"/>
      <c r="S3" s="34"/>
      <c r="T3" s="34"/>
      <c r="U3" s="34"/>
      <c r="V3" s="34"/>
      <c r="W3" s="34"/>
      <c r="X3" s="34"/>
      <c r="Y3" s="34"/>
      <c r="Z3" s="34"/>
    </row>
    <row r="4" spans="1:26" ht="15.75" customHeight="1">
      <c r="A4" s="187" t="s">
        <v>149</v>
      </c>
      <c r="B4" s="184" t="s">
        <v>2571</v>
      </c>
      <c r="C4" s="184" t="s">
        <v>2572</v>
      </c>
      <c r="D4" s="185" t="s">
        <v>483</v>
      </c>
      <c r="E4" s="188" t="s">
        <v>189</v>
      </c>
      <c r="F4" s="184" t="s">
        <v>2573</v>
      </c>
      <c r="H4" s="33"/>
      <c r="I4" s="33"/>
      <c r="J4" s="34"/>
      <c r="K4" s="34"/>
      <c r="L4" s="34"/>
      <c r="M4" s="171"/>
      <c r="N4" s="172"/>
      <c r="O4" s="34"/>
      <c r="P4" s="34"/>
      <c r="Q4" s="34"/>
      <c r="R4" s="34"/>
      <c r="S4" s="34"/>
      <c r="T4" s="34"/>
      <c r="U4" s="34"/>
      <c r="V4" s="34"/>
      <c r="W4" s="34"/>
      <c r="X4" s="34"/>
      <c r="Y4" s="34"/>
      <c r="Z4" s="34"/>
    </row>
    <row r="5" spans="1:26" ht="15.75" customHeight="1">
      <c r="A5" s="39" t="s">
        <v>158</v>
      </c>
      <c r="B5" s="184" t="s">
        <v>2574</v>
      </c>
      <c r="C5" s="184" t="s">
        <v>2575</v>
      </c>
      <c r="D5" s="185" t="s">
        <v>487</v>
      </c>
      <c r="E5" s="188" t="s">
        <v>200</v>
      </c>
      <c r="F5" s="184" t="s">
        <v>2576</v>
      </c>
      <c r="H5" s="33"/>
      <c r="I5" s="33"/>
      <c r="J5" s="34"/>
      <c r="K5" s="34"/>
      <c r="L5" s="34"/>
      <c r="M5" s="171"/>
      <c r="N5" s="172"/>
      <c r="O5" s="34"/>
      <c r="P5" s="34"/>
      <c r="Q5" s="34"/>
      <c r="R5" s="34"/>
      <c r="S5" s="34"/>
      <c r="T5" s="34"/>
      <c r="U5" s="34"/>
      <c r="V5" s="34"/>
      <c r="W5" s="34"/>
      <c r="X5" s="34"/>
      <c r="Y5" s="34"/>
      <c r="Z5" s="34"/>
    </row>
    <row r="6" spans="1:26" ht="15.75" customHeight="1">
      <c r="A6" s="38" t="s">
        <v>736</v>
      </c>
      <c r="B6" s="184" t="s">
        <v>2577</v>
      </c>
      <c r="C6" s="184" t="s">
        <v>2578</v>
      </c>
      <c r="D6" s="185" t="s">
        <v>492</v>
      </c>
      <c r="E6" s="188" t="s">
        <v>210</v>
      </c>
      <c r="F6" s="184" t="s">
        <v>2579</v>
      </c>
      <c r="H6" s="33"/>
      <c r="I6" s="33"/>
      <c r="J6" s="34"/>
      <c r="K6" s="34"/>
      <c r="L6" s="34"/>
      <c r="M6" s="171"/>
      <c r="N6" s="172"/>
      <c r="O6" s="34"/>
      <c r="P6" s="34"/>
      <c r="Q6" s="34"/>
      <c r="R6" s="34"/>
      <c r="S6" s="34"/>
      <c r="T6" s="34"/>
      <c r="U6" s="34"/>
      <c r="V6" s="34"/>
      <c r="W6" s="34"/>
      <c r="X6" s="34"/>
      <c r="Y6" s="34"/>
      <c r="Z6" s="34"/>
    </row>
    <row r="7" spans="1:26" ht="15.75" customHeight="1">
      <c r="A7" s="189" t="s">
        <v>75</v>
      </c>
      <c r="B7" s="184" t="s">
        <v>2580</v>
      </c>
      <c r="C7" s="190" t="s">
        <v>2581</v>
      </c>
      <c r="D7" s="191" t="s">
        <v>2304</v>
      </c>
      <c r="E7" s="192" t="s">
        <v>218</v>
      </c>
      <c r="F7" s="184" t="s">
        <v>2582</v>
      </c>
      <c r="H7" s="33"/>
      <c r="I7" s="33"/>
      <c r="J7" s="34"/>
      <c r="K7" s="34"/>
      <c r="L7" s="34"/>
      <c r="M7" s="171"/>
      <c r="N7" s="172"/>
      <c r="O7" s="34"/>
      <c r="P7" s="34"/>
      <c r="Q7" s="34"/>
      <c r="R7" s="34"/>
      <c r="S7" s="34"/>
      <c r="T7" s="34"/>
      <c r="U7" s="34"/>
      <c r="V7" s="34"/>
      <c r="W7" s="34"/>
      <c r="X7" s="34"/>
      <c r="Y7" s="34"/>
      <c r="Z7" s="34"/>
    </row>
    <row r="8" spans="1:26" ht="15.75" customHeight="1">
      <c r="A8" s="183" t="s">
        <v>92</v>
      </c>
      <c r="B8" s="193" t="s">
        <v>437</v>
      </c>
      <c r="C8" s="194" t="s">
        <v>2583</v>
      </c>
      <c r="D8" s="191" t="s">
        <v>498</v>
      </c>
      <c r="E8" s="192" t="s">
        <v>226</v>
      </c>
      <c r="F8" s="184" t="s">
        <v>2584</v>
      </c>
      <c r="H8" s="33"/>
      <c r="I8" s="33"/>
      <c r="J8" s="34"/>
      <c r="K8" s="34"/>
      <c r="L8" s="34"/>
      <c r="M8" s="171"/>
      <c r="N8" s="172"/>
      <c r="O8" s="34"/>
      <c r="P8" s="34"/>
      <c r="Q8" s="34"/>
      <c r="R8" s="34"/>
      <c r="S8" s="34"/>
      <c r="T8" s="34"/>
      <c r="U8" s="34"/>
      <c r="V8" s="34"/>
      <c r="W8" s="34"/>
      <c r="X8" s="34"/>
      <c r="Y8" s="34"/>
      <c r="Z8" s="34"/>
    </row>
    <row r="9" spans="1:26" ht="15.75" customHeight="1">
      <c r="A9" s="183" t="s">
        <v>104</v>
      </c>
      <c r="B9" s="184" t="s">
        <v>2509</v>
      </c>
      <c r="C9" s="190" t="s">
        <v>2585</v>
      </c>
      <c r="D9" s="191" t="s">
        <v>504</v>
      </c>
      <c r="E9" s="192" t="s">
        <v>234</v>
      </c>
      <c r="F9" s="184" t="s">
        <v>2586</v>
      </c>
      <c r="G9" s="34"/>
      <c r="H9" s="33"/>
      <c r="I9" s="33"/>
      <c r="J9" s="34"/>
      <c r="K9" s="34"/>
      <c r="L9" s="34"/>
      <c r="M9" s="171"/>
      <c r="N9" s="172"/>
      <c r="O9" s="34"/>
      <c r="P9" s="34"/>
      <c r="Q9" s="34"/>
      <c r="R9" s="34"/>
      <c r="S9" s="34"/>
      <c r="T9" s="34"/>
      <c r="U9" s="34"/>
      <c r="V9" s="34"/>
      <c r="W9" s="34"/>
      <c r="X9" s="34"/>
      <c r="Y9" s="34"/>
      <c r="Z9" s="34"/>
    </row>
    <row r="10" spans="1:26" ht="15.75" customHeight="1">
      <c r="A10" s="183" t="s">
        <v>115</v>
      </c>
      <c r="B10" s="184" t="s">
        <v>2511</v>
      </c>
      <c r="C10" s="194" t="s">
        <v>2587</v>
      </c>
      <c r="D10" s="191" t="s">
        <v>508</v>
      </c>
      <c r="E10" s="192" t="s">
        <v>245</v>
      </c>
      <c r="F10" s="184" t="s">
        <v>2588</v>
      </c>
      <c r="H10" s="33"/>
      <c r="I10" s="33"/>
      <c r="J10" s="34"/>
      <c r="K10" s="172"/>
      <c r="L10" s="34"/>
      <c r="M10" s="171"/>
      <c r="N10" s="172"/>
      <c r="O10" s="34"/>
      <c r="P10" s="34"/>
      <c r="Q10" s="34"/>
      <c r="R10" s="34"/>
      <c r="S10" s="34"/>
      <c r="T10" s="34"/>
      <c r="U10" s="34"/>
      <c r="V10" s="34"/>
      <c r="W10" s="34"/>
      <c r="X10" s="34"/>
      <c r="Y10" s="34"/>
      <c r="Z10" s="34"/>
    </row>
    <row r="11" spans="1:26" ht="15.75" customHeight="1">
      <c r="A11" s="183" t="s">
        <v>123</v>
      </c>
      <c r="B11" s="184" t="s">
        <v>2513</v>
      </c>
      <c r="C11" s="38" t="s">
        <v>2589</v>
      </c>
      <c r="D11" s="191" t="s">
        <v>512</v>
      </c>
      <c r="E11" s="192" t="s">
        <v>251</v>
      </c>
      <c r="F11" s="184" t="s">
        <v>2590</v>
      </c>
      <c r="G11" s="39"/>
      <c r="H11" s="33"/>
      <c r="I11" s="33"/>
      <c r="J11" s="34"/>
      <c r="K11" s="172"/>
      <c r="L11" s="34"/>
      <c r="M11" s="171"/>
      <c r="N11" s="172"/>
      <c r="O11" s="34"/>
      <c r="P11" s="34"/>
      <c r="Q11" s="34"/>
      <c r="R11" s="34"/>
      <c r="S11" s="34"/>
      <c r="T11" s="34"/>
      <c r="U11" s="34"/>
      <c r="V11" s="34"/>
      <c r="W11" s="34"/>
      <c r="X11" s="34"/>
      <c r="Y11" s="34"/>
      <c r="Z11" s="34"/>
    </row>
    <row r="12" spans="1:26" ht="15.75" customHeight="1">
      <c r="A12" s="39" t="s">
        <v>757</v>
      </c>
      <c r="B12" s="195" t="s">
        <v>961</v>
      </c>
      <c r="C12" s="38" t="s">
        <v>2591</v>
      </c>
      <c r="D12" s="191" t="s">
        <v>518</v>
      </c>
      <c r="E12" s="196" t="s">
        <v>679</v>
      </c>
      <c r="F12" s="184" t="s">
        <v>2592</v>
      </c>
      <c r="H12" s="33"/>
      <c r="I12" s="33"/>
      <c r="J12" s="34"/>
      <c r="K12" s="172"/>
      <c r="L12" s="34"/>
      <c r="M12" s="171"/>
      <c r="N12" s="172"/>
      <c r="O12" s="34"/>
      <c r="P12" s="34"/>
      <c r="Q12" s="34"/>
      <c r="R12" s="34"/>
      <c r="S12" s="34"/>
      <c r="T12" s="34"/>
      <c r="U12" s="34"/>
      <c r="V12" s="34"/>
      <c r="W12" s="34"/>
      <c r="X12" s="34"/>
      <c r="Y12" s="34"/>
      <c r="Z12" s="34"/>
    </row>
    <row r="13" spans="1:26" ht="15.75" customHeight="1">
      <c r="A13" s="39" t="s">
        <v>762</v>
      </c>
      <c r="B13" s="195" t="s">
        <v>966</v>
      </c>
      <c r="C13" s="38" t="s">
        <v>2593</v>
      </c>
      <c r="D13" s="150" t="s">
        <v>1335</v>
      </c>
      <c r="E13" s="196" t="s">
        <v>1602</v>
      </c>
      <c r="F13" s="184" t="s">
        <v>2594</v>
      </c>
      <c r="G13" s="34"/>
      <c r="H13" s="33"/>
      <c r="I13" s="33"/>
      <c r="J13" s="34"/>
      <c r="K13" s="172"/>
      <c r="L13" s="34"/>
      <c r="M13" s="171"/>
      <c r="N13" s="172"/>
      <c r="O13" s="34"/>
      <c r="P13" s="34"/>
      <c r="Q13" s="34"/>
      <c r="R13" s="34"/>
      <c r="S13" s="34"/>
      <c r="T13" s="34"/>
      <c r="U13" s="34"/>
      <c r="V13" s="34"/>
      <c r="W13" s="34"/>
      <c r="X13" s="34"/>
      <c r="Y13" s="34"/>
      <c r="Z13" s="34"/>
    </row>
    <row r="14" spans="1:26" ht="15.75" customHeight="1">
      <c r="A14" s="39" t="s">
        <v>767</v>
      </c>
      <c r="B14" s="195" t="s">
        <v>972</v>
      </c>
      <c r="C14" s="38" t="s">
        <v>2595</v>
      </c>
      <c r="D14" s="150" t="s">
        <v>1340</v>
      </c>
      <c r="E14" s="196" t="s">
        <v>1534</v>
      </c>
      <c r="F14" s="184" t="s">
        <v>2596</v>
      </c>
      <c r="H14" s="33"/>
      <c r="I14" s="33"/>
      <c r="J14" s="34"/>
      <c r="K14" s="172"/>
      <c r="L14" s="34"/>
      <c r="M14" s="171"/>
      <c r="N14" s="172"/>
      <c r="O14" s="34"/>
      <c r="P14" s="34"/>
      <c r="Q14" s="34"/>
      <c r="R14" s="34"/>
      <c r="S14" s="34"/>
      <c r="T14" s="34"/>
      <c r="U14" s="34"/>
      <c r="V14" s="34"/>
      <c r="W14" s="34"/>
      <c r="X14" s="34"/>
      <c r="Y14" s="34"/>
      <c r="Z14" s="34"/>
    </row>
    <row r="15" spans="1:26" ht="15.75" customHeight="1">
      <c r="A15" s="39" t="s">
        <v>773</v>
      </c>
      <c r="B15" s="184" t="s">
        <v>2519</v>
      </c>
      <c r="C15" s="38" t="s">
        <v>2597</v>
      </c>
      <c r="D15" s="150" t="s">
        <v>1398</v>
      </c>
      <c r="E15" s="196" t="s">
        <v>1520</v>
      </c>
      <c r="F15" s="184" t="s">
        <v>2598</v>
      </c>
      <c r="G15" s="34"/>
      <c r="H15" s="33"/>
      <c r="I15" s="33"/>
      <c r="J15" s="34"/>
      <c r="K15" s="172"/>
      <c r="L15" s="34"/>
      <c r="M15" s="171"/>
      <c r="N15" s="172"/>
      <c r="O15" s="34"/>
      <c r="P15" s="34"/>
      <c r="Q15" s="34"/>
      <c r="R15" s="34"/>
      <c r="S15" s="34"/>
      <c r="T15" s="34"/>
      <c r="U15" s="34"/>
      <c r="V15" s="34"/>
      <c r="W15" s="34"/>
      <c r="X15" s="34"/>
      <c r="Y15" s="34"/>
      <c r="Z15" s="34"/>
    </row>
    <row r="16" spans="1:26" ht="15.75" customHeight="1">
      <c r="A16" s="39" t="s">
        <v>780</v>
      </c>
      <c r="B16" s="184" t="s">
        <v>2521</v>
      </c>
      <c r="C16" s="38" t="s">
        <v>2599</v>
      </c>
      <c r="D16" s="150" t="s">
        <v>730</v>
      </c>
      <c r="E16" s="197" t="s">
        <v>1550</v>
      </c>
      <c r="F16" s="184" t="s">
        <v>2600</v>
      </c>
      <c r="G16" s="34"/>
      <c r="H16" s="33"/>
      <c r="I16" s="33"/>
      <c r="J16" s="34"/>
      <c r="K16" s="172"/>
      <c r="L16" s="34"/>
      <c r="M16" s="171"/>
      <c r="N16" s="172"/>
      <c r="O16" s="34"/>
      <c r="P16" s="34"/>
      <c r="Q16" s="34"/>
      <c r="R16" s="34"/>
      <c r="S16" s="34"/>
      <c r="T16" s="34"/>
      <c r="U16" s="34"/>
      <c r="V16" s="34"/>
      <c r="W16" s="34"/>
      <c r="X16" s="34"/>
      <c r="Y16" s="34"/>
      <c r="Z16" s="34"/>
    </row>
    <row r="17" spans="1:26" ht="15.75" customHeight="1">
      <c r="A17" s="39" t="s">
        <v>788</v>
      </c>
      <c r="B17" s="198" t="s">
        <v>2522</v>
      </c>
      <c r="C17" s="38" t="s">
        <v>2601</v>
      </c>
      <c r="D17" s="151" t="s">
        <v>2602</v>
      </c>
      <c r="E17" s="199" t="s">
        <v>1007</v>
      </c>
      <c r="F17" s="184" t="s">
        <v>2603</v>
      </c>
      <c r="G17" s="34"/>
      <c r="H17" s="33"/>
      <c r="I17" s="33"/>
      <c r="J17" s="34"/>
      <c r="K17" s="172"/>
      <c r="L17" s="34"/>
      <c r="M17" s="171"/>
      <c r="N17" s="172"/>
      <c r="O17" s="34"/>
      <c r="P17" s="34"/>
      <c r="Q17" s="34"/>
      <c r="R17" s="34"/>
      <c r="S17" s="34"/>
      <c r="T17" s="34"/>
      <c r="U17" s="34"/>
      <c r="V17" s="34"/>
      <c r="W17" s="34"/>
      <c r="X17" s="34"/>
      <c r="Y17" s="34"/>
      <c r="Z17" s="34"/>
    </row>
    <row r="18" spans="1:26" ht="15.75" customHeight="1">
      <c r="A18" s="39" t="s">
        <v>794</v>
      </c>
      <c r="B18" s="198" t="s">
        <v>2523</v>
      </c>
      <c r="C18" s="38" t="s">
        <v>2534</v>
      </c>
      <c r="D18" s="151" t="s">
        <v>2604</v>
      </c>
      <c r="E18" s="199" t="s">
        <v>1013</v>
      </c>
      <c r="F18" s="184" t="s">
        <v>2605</v>
      </c>
      <c r="G18" s="34"/>
      <c r="H18" s="33"/>
      <c r="I18" s="33"/>
      <c r="J18" s="34"/>
      <c r="K18" s="172"/>
      <c r="L18" s="34"/>
      <c r="M18" s="171"/>
      <c r="N18" s="172"/>
      <c r="O18" s="34"/>
      <c r="P18" s="34"/>
      <c r="Q18" s="34"/>
      <c r="R18" s="34"/>
      <c r="S18" s="34"/>
      <c r="T18" s="34"/>
      <c r="U18" s="34"/>
      <c r="V18" s="34"/>
      <c r="W18" s="34"/>
      <c r="X18" s="34"/>
      <c r="Y18" s="34"/>
      <c r="Z18" s="34"/>
    </row>
    <row r="19" spans="1:26" ht="15.75" customHeight="1">
      <c r="A19" s="187" t="s">
        <v>46</v>
      </c>
      <c r="B19" s="198" t="s">
        <v>2526</v>
      </c>
      <c r="C19" s="38" t="s">
        <v>2606</v>
      </c>
      <c r="D19" s="151" t="s">
        <v>2607</v>
      </c>
      <c r="E19" s="199" t="s">
        <v>1024</v>
      </c>
      <c r="F19" s="184" t="s">
        <v>2608</v>
      </c>
      <c r="G19" s="34"/>
      <c r="H19" s="33"/>
      <c r="I19" s="33"/>
      <c r="J19" s="34"/>
      <c r="K19" s="172"/>
      <c r="L19" s="34"/>
      <c r="M19" s="171"/>
      <c r="N19" s="172"/>
      <c r="O19" s="34"/>
      <c r="P19" s="34"/>
      <c r="Q19" s="34"/>
      <c r="R19" s="34"/>
      <c r="S19" s="34"/>
      <c r="T19" s="34"/>
      <c r="U19" s="34"/>
      <c r="V19" s="34"/>
      <c r="W19" s="34"/>
      <c r="X19" s="34"/>
      <c r="Y19" s="34"/>
      <c r="Z19" s="34"/>
    </row>
    <row r="20" spans="1:26" ht="15.75" customHeight="1">
      <c r="A20" s="150" t="s">
        <v>1540</v>
      </c>
      <c r="B20" s="198" t="s">
        <v>2529</v>
      </c>
      <c r="C20" s="200" t="s">
        <v>2609</v>
      </c>
      <c r="D20" s="151" t="s">
        <v>2610</v>
      </c>
      <c r="E20" s="201" t="s">
        <v>1687</v>
      </c>
      <c r="F20" s="184" t="s">
        <v>2611</v>
      </c>
      <c r="G20" s="34"/>
      <c r="H20" s="33"/>
      <c r="I20" s="33"/>
      <c r="J20" s="34"/>
      <c r="K20" s="172"/>
      <c r="L20" s="34"/>
      <c r="M20" s="171"/>
      <c r="N20" s="172"/>
      <c r="O20" s="34"/>
      <c r="P20" s="34"/>
      <c r="Q20" s="34"/>
      <c r="R20" s="34"/>
      <c r="S20" s="34"/>
      <c r="T20" s="34"/>
      <c r="U20" s="34"/>
      <c r="V20" s="34"/>
      <c r="W20" s="34"/>
      <c r="X20" s="34"/>
      <c r="Y20" s="34"/>
      <c r="Z20" s="34"/>
    </row>
    <row r="21" spans="1:26" ht="15.75" customHeight="1">
      <c r="A21" s="150" t="s">
        <v>1525</v>
      </c>
      <c r="B21" s="38" t="s">
        <v>2531</v>
      </c>
      <c r="C21" s="200" t="s">
        <v>2612</v>
      </c>
      <c r="D21" s="151" t="s">
        <v>2613</v>
      </c>
      <c r="E21" s="201" t="s">
        <v>742</v>
      </c>
      <c r="F21" s="184" t="s">
        <v>2614</v>
      </c>
      <c r="G21" s="34"/>
      <c r="H21" s="33"/>
      <c r="I21" s="33"/>
      <c r="J21" s="34"/>
      <c r="K21" s="172"/>
      <c r="L21" s="34"/>
      <c r="M21" s="171"/>
      <c r="N21" s="172"/>
      <c r="O21" s="34"/>
      <c r="P21" s="34"/>
      <c r="Q21" s="34"/>
      <c r="R21" s="34"/>
      <c r="S21" s="34"/>
      <c r="T21" s="34"/>
      <c r="U21" s="34"/>
      <c r="V21" s="34"/>
      <c r="W21" s="34"/>
      <c r="X21" s="34"/>
      <c r="Y21" s="34"/>
      <c r="Z21" s="34"/>
    </row>
    <row r="22" spans="1:26" ht="15.75" customHeight="1">
      <c r="A22" s="150" t="s">
        <v>1529</v>
      </c>
      <c r="B22" s="150" t="s">
        <v>1448</v>
      </c>
      <c r="C22" s="38" t="s">
        <v>2615</v>
      </c>
      <c r="D22" s="151" t="s">
        <v>1423</v>
      </c>
      <c r="E22" s="201" t="s">
        <v>747</v>
      </c>
      <c r="F22" s="184" t="s">
        <v>2616</v>
      </c>
      <c r="G22" s="34"/>
      <c r="H22" s="33"/>
      <c r="I22" s="33"/>
      <c r="J22" s="34"/>
      <c r="K22" s="172"/>
      <c r="L22" s="34"/>
      <c r="M22" s="171"/>
      <c r="N22" s="172"/>
      <c r="O22" s="34"/>
      <c r="P22" s="34"/>
      <c r="Q22" s="34"/>
      <c r="R22" s="34"/>
      <c r="S22" s="34"/>
      <c r="T22" s="34"/>
      <c r="U22" s="34"/>
      <c r="V22" s="34"/>
      <c r="W22" s="34"/>
      <c r="X22" s="34"/>
      <c r="Y22" s="34"/>
      <c r="Z22" s="34"/>
    </row>
    <row r="23" spans="1:26" ht="15.75" customHeight="1">
      <c r="A23" s="150" t="s">
        <v>1544</v>
      </c>
      <c r="B23" s="150" t="s">
        <v>1452</v>
      </c>
      <c r="C23" s="151" t="s">
        <v>2617</v>
      </c>
      <c r="D23" s="151" t="s">
        <v>2618</v>
      </c>
      <c r="E23" s="201" t="s">
        <v>752</v>
      </c>
      <c r="F23" s="184" t="s">
        <v>2619</v>
      </c>
      <c r="G23" s="34"/>
      <c r="H23" s="33"/>
      <c r="I23" s="33"/>
      <c r="J23" s="34"/>
      <c r="K23" s="172"/>
      <c r="L23" s="34"/>
      <c r="M23" s="171"/>
      <c r="N23" s="172"/>
      <c r="O23" s="34"/>
      <c r="P23" s="34"/>
      <c r="Q23" s="34"/>
      <c r="R23" s="34"/>
      <c r="S23" s="34"/>
      <c r="T23" s="34"/>
      <c r="U23" s="34"/>
      <c r="V23" s="34"/>
      <c r="W23" s="34"/>
      <c r="X23" s="34"/>
      <c r="Y23" s="34"/>
      <c r="Z23" s="34"/>
    </row>
    <row r="24" spans="1:26" ht="15.75" customHeight="1">
      <c r="A24" s="39"/>
      <c r="E24" s="39"/>
      <c r="F24" s="38"/>
      <c r="G24" s="34"/>
      <c r="H24" s="33"/>
      <c r="I24" s="33"/>
      <c r="J24" s="34"/>
      <c r="K24" s="172"/>
      <c r="L24" s="34"/>
      <c r="M24" s="171"/>
      <c r="N24" s="172"/>
      <c r="O24" s="34"/>
      <c r="P24" s="34"/>
      <c r="Q24" s="34"/>
      <c r="R24" s="34"/>
      <c r="S24" s="34"/>
      <c r="T24" s="34"/>
      <c r="U24" s="34"/>
      <c r="V24" s="34"/>
      <c r="W24" s="34"/>
      <c r="X24" s="34"/>
      <c r="Y24" s="34"/>
      <c r="Z24" s="34"/>
    </row>
    <row r="25" spans="1:26" ht="15.75" customHeight="1">
      <c r="A25" s="39"/>
      <c r="E25" s="39"/>
      <c r="F25" s="38"/>
      <c r="G25" s="34"/>
      <c r="H25" s="33"/>
      <c r="I25" s="33"/>
      <c r="J25" s="34"/>
      <c r="K25" s="172"/>
      <c r="L25" s="34"/>
      <c r="M25" s="171"/>
      <c r="N25" s="172"/>
      <c r="O25" s="34"/>
      <c r="P25" s="34"/>
      <c r="Q25" s="34"/>
      <c r="R25" s="34"/>
      <c r="S25" s="34"/>
      <c r="T25" s="34"/>
      <c r="U25" s="34"/>
      <c r="V25" s="34"/>
      <c r="W25" s="34"/>
      <c r="X25" s="34"/>
      <c r="Y25" s="34"/>
      <c r="Z25" s="34"/>
    </row>
    <row r="26" spans="1:26" ht="15.75" customHeight="1">
      <c r="A26" s="39"/>
      <c r="C26" s="39"/>
      <c r="E26" s="39"/>
      <c r="F26" s="38"/>
      <c r="G26" s="34"/>
      <c r="H26" s="33"/>
      <c r="I26" s="33"/>
      <c r="J26" s="34"/>
      <c r="K26" s="172"/>
      <c r="L26" s="34"/>
      <c r="M26" s="171"/>
      <c r="N26" s="172"/>
      <c r="O26" s="34"/>
      <c r="P26" s="34"/>
      <c r="Q26" s="34"/>
      <c r="R26" s="34"/>
      <c r="S26" s="34"/>
      <c r="T26" s="34"/>
      <c r="U26" s="34"/>
      <c r="V26" s="34"/>
      <c r="W26" s="34"/>
      <c r="X26" s="34"/>
      <c r="Y26" s="34"/>
      <c r="Z26" s="34"/>
    </row>
    <row r="27" spans="1:26" ht="13">
      <c r="A27" s="39"/>
      <c r="C27" s="39"/>
      <c r="E27" s="39"/>
      <c r="F27" s="38"/>
      <c r="G27" s="34"/>
      <c r="H27" s="33"/>
      <c r="I27" s="33"/>
      <c r="J27" s="34"/>
      <c r="K27" s="172"/>
      <c r="L27" s="34"/>
      <c r="M27" s="171"/>
      <c r="N27" s="172"/>
      <c r="O27" s="34"/>
      <c r="P27" s="34"/>
      <c r="Q27" s="34"/>
      <c r="R27" s="34"/>
      <c r="S27" s="34"/>
      <c r="T27" s="34"/>
      <c r="U27" s="34"/>
      <c r="V27" s="34"/>
      <c r="W27" s="34"/>
      <c r="X27" s="34"/>
      <c r="Y27" s="34"/>
      <c r="Z27" s="34"/>
    </row>
    <row r="28" spans="1:26" ht="13">
      <c r="A28" s="39"/>
      <c r="C28" s="38"/>
      <c r="E28" s="39"/>
      <c r="F28" s="38"/>
      <c r="G28" s="34"/>
      <c r="H28" s="33"/>
      <c r="I28" s="33"/>
      <c r="J28" s="34"/>
      <c r="K28" s="172"/>
      <c r="L28" s="34"/>
      <c r="M28" s="171"/>
      <c r="N28" s="172"/>
      <c r="O28" s="34"/>
      <c r="P28" s="34"/>
      <c r="Q28" s="34"/>
      <c r="R28" s="34"/>
      <c r="S28" s="34"/>
      <c r="T28" s="34"/>
      <c r="U28" s="34"/>
      <c r="V28" s="34"/>
      <c r="W28" s="34"/>
      <c r="X28" s="34"/>
      <c r="Y28" s="34"/>
      <c r="Z28" s="34"/>
    </row>
    <row r="29" spans="1:26" ht="13">
      <c r="A29" s="39"/>
      <c r="C29" s="38"/>
      <c r="E29" s="39"/>
      <c r="F29" s="38"/>
      <c r="G29" s="34"/>
      <c r="H29" s="33"/>
      <c r="I29" s="33"/>
      <c r="J29" s="34"/>
      <c r="K29" s="172"/>
      <c r="L29" s="34"/>
      <c r="M29" s="171"/>
      <c r="N29" s="172"/>
      <c r="O29" s="34"/>
      <c r="P29" s="34"/>
      <c r="Q29" s="34"/>
      <c r="R29" s="34"/>
      <c r="S29" s="34"/>
      <c r="T29" s="34"/>
      <c r="U29" s="34"/>
      <c r="V29" s="34"/>
      <c r="W29" s="34"/>
      <c r="X29" s="34"/>
      <c r="Y29" s="34"/>
      <c r="Z29" s="34"/>
    </row>
    <row r="30" spans="1:26" ht="13">
      <c r="A30" s="39"/>
      <c r="C30" s="39"/>
      <c r="E30" s="39"/>
      <c r="F30" s="38"/>
      <c r="G30" s="34"/>
      <c r="H30" s="33"/>
      <c r="I30" s="33"/>
      <c r="J30" s="34"/>
      <c r="K30" s="172"/>
      <c r="L30" s="34"/>
      <c r="M30" s="171"/>
      <c r="N30" s="172"/>
      <c r="O30" s="34"/>
      <c r="P30" s="34"/>
      <c r="Q30" s="34"/>
      <c r="R30" s="34"/>
      <c r="S30" s="34"/>
      <c r="T30" s="34"/>
      <c r="U30" s="34"/>
      <c r="V30" s="34"/>
      <c r="W30" s="34"/>
      <c r="X30" s="34"/>
      <c r="Y30" s="34"/>
      <c r="Z30" s="34"/>
    </row>
    <row r="31" spans="1:26" ht="13">
      <c r="A31" s="39"/>
      <c r="C31" s="39"/>
      <c r="E31" s="39"/>
      <c r="F31" s="38"/>
      <c r="G31" s="34"/>
      <c r="H31" s="33"/>
      <c r="I31" s="33"/>
      <c r="J31" s="34"/>
      <c r="K31" s="172"/>
      <c r="L31" s="34"/>
      <c r="M31" s="171"/>
      <c r="N31" s="172"/>
      <c r="O31" s="34"/>
      <c r="P31" s="34"/>
      <c r="Q31" s="34"/>
      <c r="R31" s="34"/>
      <c r="S31" s="34"/>
      <c r="T31" s="34"/>
      <c r="U31" s="34"/>
      <c r="V31" s="34"/>
      <c r="W31" s="34"/>
      <c r="X31" s="34"/>
      <c r="Y31" s="34"/>
      <c r="Z31" s="34"/>
    </row>
    <row r="32" spans="1:26" ht="13">
      <c r="A32" s="39"/>
      <c r="B32" s="39"/>
      <c r="C32" s="39"/>
      <c r="E32" s="39"/>
      <c r="F32" s="38"/>
      <c r="G32" s="34"/>
      <c r="H32" s="33"/>
      <c r="I32" s="33"/>
      <c r="J32" s="34"/>
      <c r="K32" s="172"/>
      <c r="L32" s="34"/>
      <c r="M32" s="171"/>
      <c r="N32" s="172"/>
      <c r="O32" s="34"/>
      <c r="P32" s="34"/>
      <c r="Q32" s="34"/>
      <c r="R32" s="34"/>
      <c r="S32" s="34"/>
      <c r="T32" s="34"/>
      <c r="U32" s="34"/>
      <c r="V32" s="34"/>
      <c r="W32" s="34"/>
      <c r="X32" s="34"/>
      <c r="Y32" s="34"/>
      <c r="Z32" s="34"/>
    </row>
    <row r="33" spans="1:26" ht="13">
      <c r="A33" s="39"/>
      <c r="B33" s="39"/>
      <c r="C33" s="39"/>
      <c r="E33" s="39"/>
      <c r="F33" s="38"/>
      <c r="G33" s="34"/>
      <c r="H33" s="33"/>
      <c r="I33" s="33"/>
      <c r="J33" s="34"/>
      <c r="K33" s="172"/>
      <c r="L33" s="34"/>
      <c r="M33" s="171"/>
      <c r="N33" s="172"/>
      <c r="O33" s="34"/>
      <c r="P33" s="34"/>
      <c r="Q33" s="34"/>
      <c r="R33" s="34"/>
      <c r="S33" s="34"/>
      <c r="T33" s="34"/>
      <c r="U33" s="34"/>
      <c r="V33" s="34"/>
      <c r="W33" s="34"/>
      <c r="X33" s="34"/>
      <c r="Y33" s="34"/>
      <c r="Z33" s="34"/>
    </row>
    <row r="34" spans="1:26" ht="13">
      <c r="A34" s="39"/>
      <c r="B34" s="39"/>
      <c r="C34" s="38"/>
      <c r="E34" s="39"/>
      <c r="F34" s="38"/>
      <c r="G34" s="34"/>
      <c r="H34" s="33"/>
      <c r="I34" s="181"/>
      <c r="J34" s="34"/>
      <c r="K34" s="172"/>
      <c r="L34" s="34"/>
      <c r="M34" s="171"/>
      <c r="N34" s="172"/>
      <c r="O34" s="34"/>
      <c r="P34" s="34"/>
      <c r="Q34" s="34"/>
      <c r="R34" s="34"/>
      <c r="S34" s="34"/>
      <c r="T34" s="34"/>
      <c r="U34" s="34"/>
      <c r="V34" s="34"/>
      <c r="W34" s="34"/>
      <c r="X34" s="34"/>
      <c r="Y34" s="34"/>
      <c r="Z34" s="34"/>
    </row>
    <row r="35" spans="1:26" ht="13">
      <c r="A35" s="39"/>
      <c r="B35" s="38"/>
      <c r="C35" s="39"/>
      <c r="E35" s="39"/>
      <c r="F35" s="38"/>
      <c r="G35" s="34"/>
      <c r="H35" s="33"/>
      <c r="I35" s="33"/>
      <c r="J35" s="34"/>
      <c r="K35" s="172"/>
      <c r="L35" s="34"/>
      <c r="M35" s="171"/>
      <c r="N35" s="172"/>
      <c r="O35" s="34"/>
      <c r="P35" s="34"/>
      <c r="Q35" s="34"/>
      <c r="R35" s="34"/>
      <c r="S35" s="34"/>
      <c r="T35" s="34"/>
      <c r="U35" s="34"/>
      <c r="V35" s="34"/>
      <c r="W35" s="34"/>
      <c r="X35" s="34"/>
      <c r="Y35" s="34"/>
      <c r="Z35" s="34"/>
    </row>
    <row r="36" spans="1:26" ht="13">
      <c r="A36" s="39"/>
      <c r="B36" s="38"/>
      <c r="C36" s="39"/>
      <c r="E36" s="39"/>
      <c r="F36" s="38"/>
      <c r="G36" s="34"/>
      <c r="H36" s="33"/>
      <c r="I36" s="33"/>
      <c r="J36" s="34"/>
      <c r="K36" s="172"/>
      <c r="L36" s="34"/>
      <c r="M36" s="171"/>
      <c r="N36" s="172"/>
      <c r="O36" s="34"/>
      <c r="P36" s="34"/>
      <c r="Q36" s="34"/>
      <c r="R36" s="34"/>
      <c r="S36" s="34"/>
      <c r="T36" s="34"/>
      <c r="U36" s="34"/>
      <c r="V36" s="34"/>
      <c r="W36" s="34"/>
      <c r="X36" s="34"/>
      <c r="Y36" s="34"/>
      <c r="Z36" s="34"/>
    </row>
    <row r="37" spans="1:26" ht="13">
      <c r="A37" s="39"/>
      <c r="B37" s="39"/>
      <c r="C37" s="39"/>
      <c r="E37" s="39"/>
      <c r="F37" s="38"/>
      <c r="G37" s="34"/>
      <c r="H37" s="33"/>
      <c r="I37" s="33"/>
      <c r="J37" s="34"/>
      <c r="K37" s="172"/>
      <c r="L37" s="34"/>
      <c r="M37" s="171"/>
      <c r="N37" s="172"/>
      <c r="O37" s="34"/>
      <c r="P37" s="34"/>
      <c r="Q37" s="34"/>
      <c r="R37" s="34"/>
      <c r="S37" s="34"/>
      <c r="T37" s="34"/>
      <c r="U37" s="34"/>
      <c r="V37" s="34"/>
      <c r="W37" s="34"/>
      <c r="X37" s="34"/>
      <c r="Y37" s="34"/>
      <c r="Z37" s="34"/>
    </row>
    <row r="38" spans="1:26" ht="13">
      <c r="A38" s="39"/>
      <c r="B38" s="39"/>
      <c r="C38" s="39"/>
      <c r="E38" s="39"/>
      <c r="F38" s="38"/>
      <c r="G38" s="34"/>
      <c r="H38" s="33"/>
      <c r="I38" s="33"/>
      <c r="J38" s="34"/>
      <c r="K38" s="172"/>
      <c r="L38" s="34"/>
      <c r="M38" s="171"/>
      <c r="N38" s="172"/>
      <c r="O38" s="34"/>
      <c r="P38" s="34"/>
      <c r="Q38" s="34"/>
      <c r="R38" s="34"/>
      <c r="S38" s="34"/>
      <c r="T38" s="34"/>
      <c r="U38" s="34"/>
      <c r="V38" s="34"/>
      <c r="W38" s="34"/>
      <c r="X38" s="34"/>
      <c r="Y38" s="34"/>
      <c r="Z38" s="34"/>
    </row>
    <row r="39" spans="1:26" ht="13">
      <c r="A39" s="39"/>
      <c r="B39" s="39"/>
      <c r="C39" s="38"/>
      <c r="E39" s="39"/>
      <c r="F39" s="38"/>
      <c r="G39" s="34"/>
      <c r="H39" s="33"/>
      <c r="I39" s="33"/>
      <c r="J39" s="34"/>
      <c r="K39" s="172"/>
      <c r="L39" s="34"/>
      <c r="M39" s="171"/>
      <c r="N39" s="172"/>
      <c r="O39" s="34"/>
      <c r="P39" s="34"/>
      <c r="Q39" s="34"/>
      <c r="R39" s="34"/>
      <c r="S39" s="34"/>
      <c r="T39" s="34"/>
      <c r="U39" s="34"/>
      <c r="V39" s="34"/>
      <c r="W39" s="34"/>
      <c r="X39" s="34"/>
      <c r="Y39" s="34"/>
      <c r="Z39" s="34"/>
    </row>
    <row r="40" spans="1:26" ht="13">
      <c r="A40" s="39"/>
      <c r="B40" s="38"/>
      <c r="C40" s="38"/>
      <c r="E40" s="39"/>
      <c r="F40" s="38"/>
      <c r="G40" s="34"/>
      <c r="H40" s="33"/>
      <c r="I40" s="33"/>
      <c r="J40" s="34"/>
      <c r="K40" s="172"/>
      <c r="L40" s="34"/>
      <c r="M40" s="171"/>
      <c r="N40" s="172"/>
      <c r="O40" s="34"/>
      <c r="P40" s="34"/>
      <c r="Q40" s="34"/>
      <c r="R40" s="34"/>
      <c r="S40" s="34"/>
      <c r="T40" s="34"/>
      <c r="U40" s="34"/>
      <c r="V40" s="34"/>
      <c r="W40" s="34"/>
      <c r="X40" s="34"/>
      <c r="Y40" s="34"/>
      <c r="Z40" s="34"/>
    </row>
    <row r="41" spans="1:26" ht="13">
      <c r="A41" s="39"/>
      <c r="B41" s="38"/>
      <c r="C41" s="38"/>
      <c r="E41" s="39"/>
      <c r="F41" s="38"/>
      <c r="G41" s="34"/>
      <c r="H41" s="33"/>
      <c r="I41" s="33"/>
      <c r="J41" s="34"/>
      <c r="K41" s="172"/>
      <c r="L41" s="34"/>
      <c r="M41" s="171"/>
      <c r="N41" s="172"/>
      <c r="O41" s="34"/>
      <c r="P41" s="34"/>
      <c r="Q41" s="34"/>
      <c r="R41" s="34"/>
      <c r="S41" s="34"/>
      <c r="T41" s="34"/>
      <c r="U41" s="34"/>
      <c r="V41" s="34"/>
      <c r="W41" s="34"/>
      <c r="X41" s="34"/>
      <c r="Y41" s="34"/>
      <c r="Z41" s="34"/>
    </row>
    <row r="42" spans="1:26" ht="13">
      <c r="A42" s="202"/>
      <c r="B42" s="39"/>
      <c r="C42" s="39"/>
      <c r="E42" s="39"/>
      <c r="F42" s="38"/>
      <c r="G42" s="34"/>
      <c r="H42" s="33"/>
      <c r="I42" s="33"/>
      <c r="J42" s="34"/>
      <c r="K42" s="172"/>
      <c r="L42" s="34"/>
      <c r="M42" s="171"/>
      <c r="N42" s="172"/>
      <c r="O42" s="34"/>
      <c r="P42" s="34"/>
      <c r="Q42" s="34"/>
      <c r="R42" s="34"/>
      <c r="S42" s="34"/>
      <c r="T42" s="34"/>
      <c r="U42" s="34"/>
      <c r="V42" s="34"/>
      <c r="W42" s="34"/>
      <c r="X42" s="34"/>
      <c r="Y42" s="34"/>
      <c r="Z42" s="34"/>
    </row>
    <row r="43" spans="1:26" ht="13">
      <c r="A43" s="202"/>
      <c r="B43" s="39"/>
      <c r="C43" s="39"/>
      <c r="E43" s="39"/>
      <c r="F43" s="38"/>
      <c r="G43" s="34"/>
      <c r="H43" s="33"/>
      <c r="I43" s="33"/>
      <c r="J43" s="34"/>
      <c r="K43" s="172"/>
      <c r="L43" s="34"/>
      <c r="M43" s="171"/>
      <c r="N43" s="172"/>
      <c r="O43" s="34"/>
      <c r="P43" s="34"/>
      <c r="Q43" s="34"/>
      <c r="R43" s="34"/>
      <c r="S43" s="34"/>
      <c r="T43" s="34"/>
      <c r="U43" s="34"/>
      <c r="V43" s="34"/>
      <c r="W43" s="34"/>
      <c r="X43" s="34"/>
      <c r="Y43" s="34"/>
      <c r="Z43" s="34"/>
    </row>
    <row r="44" spans="1:26" ht="13">
      <c r="A44" s="202"/>
      <c r="B44" s="39"/>
      <c r="C44" s="39"/>
      <c r="E44" s="39"/>
      <c r="F44" s="38"/>
      <c r="G44" s="34"/>
      <c r="H44" s="33"/>
      <c r="I44" s="33"/>
      <c r="J44" s="34"/>
      <c r="K44" s="172"/>
      <c r="L44" s="34"/>
      <c r="M44" s="171"/>
      <c r="N44" s="34"/>
      <c r="O44" s="34"/>
      <c r="P44" s="34"/>
      <c r="Q44" s="34"/>
      <c r="R44" s="34"/>
      <c r="S44" s="34"/>
      <c r="T44" s="34"/>
      <c r="U44" s="34"/>
      <c r="V44" s="34"/>
      <c r="W44" s="34"/>
      <c r="X44" s="34"/>
      <c r="Y44" s="34"/>
      <c r="Z44" s="34"/>
    </row>
    <row r="45" spans="1:26" ht="13">
      <c r="A45" s="202"/>
      <c r="B45" s="39"/>
      <c r="C45" s="39"/>
      <c r="E45" s="39"/>
      <c r="F45" s="38"/>
      <c r="G45" s="34"/>
      <c r="H45" s="34"/>
      <c r="I45" s="33"/>
      <c r="J45" s="34"/>
      <c r="K45" s="172"/>
      <c r="L45" s="34"/>
      <c r="M45" s="34"/>
      <c r="N45" s="34"/>
      <c r="O45" s="34"/>
      <c r="P45" s="34"/>
      <c r="Q45" s="34"/>
      <c r="R45" s="34"/>
      <c r="S45" s="34"/>
      <c r="T45" s="34"/>
      <c r="U45" s="34"/>
      <c r="V45" s="34"/>
      <c r="W45" s="34"/>
      <c r="X45" s="34"/>
      <c r="Y45" s="34"/>
      <c r="Z45" s="34"/>
    </row>
    <row r="46" spans="1:26" ht="13">
      <c r="A46" s="202"/>
      <c r="B46" s="39"/>
      <c r="C46" s="39"/>
      <c r="E46" s="39"/>
      <c r="F46" s="38"/>
      <c r="G46" s="34"/>
      <c r="H46" s="34"/>
      <c r="I46" s="33"/>
      <c r="J46" s="34"/>
      <c r="K46" s="172"/>
      <c r="L46" s="34"/>
      <c r="M46" s="34"/>
      <c r="N46" s="34"/>
      <c r="O46" s="34"/>
      <c r="P46" s="34"/>
      <c r="Q46" s="34"/>
      <c r="R46" s="34"/>
      <c r="S46" s="34"/>
      <c r="T46" s="34"/>
      <c r="U46" s="34"/>
      <c r="V46" s="34"/>
      <c r="W46" s="34"/>
      <c r="X46" s="34"/>
      <c r="Y46" s="34"/>
      <c r="Z46" s="34"/>
    </row>
    <row r="47" spans="1:26" ht="13">
      <c r="A47" s="202"/>
      <c r="B47" s="39"/>
      <c r="C47" s="39"/>
      <c r="E47" s="39"/>
      <c r="F47" s="38"/>
      <c r="G47" s="34"/>
      <c r="H47" s="34"/>
      <c r="I47" s="33"/>
      <c r="J47" s="34"/>
      <c r="K47" s="172"/>
      <c r="L47" s="34"/>
      <c r="M47" s="34"/>
      <c r="N47" s="34"/>
      <c r="O47" s="34"/>
      <c r="P47" s="34"/>
      <c r="Q47" s="34"/>
      <c r="R47" s="34"/>
      <c r="S47" s="34"/>
      <c r="T47" s="34"/>
      <c r="U47" s="34"/>
      <c r="V47" s="34"/>
      <c r="W47" s="34"/>
      <c r="X47" s="34"/>
      <c r="Y47" s="34"/>
      <c r="Z47" s="34"/>
    </row>
    <row r="48" spans="1:26" ht="13">
      <c r="A48" s="39"/>
      <c r="B48" s="39"/>
      <c r="C48" s="39"/>
      <c r="E48" s="39"/>
      <c r="F48" s="38"/>
      <c r="G48" s="34"/>
      <c r="H48" s="34"/>
      <c r="I48" s="33"/>
      <c r="J48" s="34"/>
      <c r="K48" s="172"/>
      <c r="L48" s="34"/>
      <c r="M48" s="34"/>
      <c r="N48" s="34"/>
      <c r="O48" s="34"/>
      <c r="P48" s="34"/>
      <c r="Q48" s="34"/>
      <c r="R48" s="34"/>
      <c r="S48" s="34"/>
      <c r="T48" s="34"/>
      <c r="U48" s="34"/>
      <c r="V48" s="34"/>
      <c r="W48" s="34"/>
      <c r="X48" s="34"/>
      <c r="Y48" s="34"/>
      <c r="Z48" s="34"/>
    </row>
    <row r="49" spans="1:26" ht="13">
      <c r="A49" s="39"/>
      <c r="B49" s="39"/>
      <c r="C49" s="39"/>
      <c r="D49" s="202"/>
      <c r="E49" s="39"/>
      <c r="F49" s="38"/>
      <c r="G49" s="34"/>
      <c r="H49" s="34"/>
      <c r="I49" s="33"/>
      <c r="J49" s="34"/>
      <c r="K49" s="172"/>
      <c r="L49" s="34"/>
      <c r="M49" s="34"/>
      <c r="N49" s="34"/>
      <c r="O49" s="34"/>
      <c r="P49" s="34"/>
      <c r="Q49" s="34"/>
      <c r="R49" s="34"/>
      <c r="S49" s="34"/>
      <c r="T49" s="34"/>
      <c r="U49" s="34"/>
      <c r="V49" s="34"/>
      <c r="W49" s="34"/>
      <c r="X49" s="34"/>
      <c r="Y49" s="34"/>
      <c r="Z49" s="34"/>
    </row>
    <row r="50" spans="1:26" ht="13">
      <c r="A50" s="39"/>
      <c r="B50" s="39"/>
      <c r="C50" s="39"/>
      <c r="D50" s="202"/>
      <c r="E50" s="39"/>
      <c r="F50" s="38"/>
      <c r="G50" s="34"/>
      <c r="H50" s="34"/>
      <c r="I50" s="33"/>
      <c r="J50" s="34"/>
      <c r="K50" s="172"/>
      <c r="L50" s="34"/>
      <c r="M50" s="34"/>
      <c r="N50" s="34"/>
      <c r="O50" s="34"/>
      <c r="P50" s="34"/>
      <c r="Q50" s="34"/>
      <c r="R50" s="34"/>
      <c r="S50" s="34"/>
      <c r="T50" s="34"/>
      <c r="U50" s="34"/>
      <c r="V50" s="34"/>
      <c r="W50" s="34"/>
      <c r="X50" s="34"/>
      <c r="Y50" s="34"/>
      <c r="Z50" s="34"/>
    </row>
    <row r="51" spans="1:26" ht="13">
      <c r="A51" s="39"/>
      <c r="B51" s="39"/>
      <c r="C51" s="39"/>
      <c r="D51" s="202"/>
      <c r="E51" s="39"/>
      <c r="F51" s="38"/>
      <c r="G51" s="34"/>
      <c r="H51" s="34"/>
      <c r="I51" s="33"/>
      <c r="J51" s="34"/>
      <c r="K51" s="172"/>
      <c r="L51" s="34"/>
      <c r="M51" s="34"/>
      <c r="N51" s="34"/>
      <c r="O51" s="34"/>
      <c r="P51" s="34"/>
      <c r="Q51" s="34"/>
      <c r="R51" s="34"/>
      <c r="S51" s="34"/>
      <c r="T51" s="34"/>
      <c r="U51" s="34"/>
      <c r="V51" s="34"/>
      <c r="W51" s="34"/>
      <c r="X51" s="34"/>
      <c r="Y51" s="34"/>
      <c r="Z51" s="34"/>
    </row>
    <row r="52" spans="1:26" ht="13">
      <c r="A52" s="39"/>
      <c r="B52" s="39"/>
      <c r="C52" s="39"/>
      <c r="D52" s="202"/>
      <c r="E52" s="39"/>
      <c r="F52" s="38"/>
      <c r="G52" s="34"/>
      <c r="H52" s="34"/>
      <c r="I52" s="33"/>
      <c r="J52" s="34"/>
      <c r="K52" s="34"/>
      <c r="L52" s="34"/>
      <c r="M52" s="34"/>
      <c r="N52" s="34"/>
      <c r="O52" s="34"/>
      <c r="P52" s="34"/>
      <c r="Q52" s="34"/>
      <c r="R52" s="34"/>
      <c r="S52" s="34"/>
      <c r="T52" s="34"/>
      <c r="U52" s="34"/>
      <c r="V52" s="34"/>
      <c r="W52" s="34"/>
      <c r="X52" s="34"/>
      <c r="Y52" s="34"/>
      <c r="Z52" s="34"/>
    </row>
    <row r="53" spans="1:26" ht="13">
      <c r="A53" s="34"/>
      <c r="B53" s="34"/>
      <c r="C53" s="34"/>
      <c r="E53" s="34"/>
      <c r="F53" s="33"/>
      <c r="G53" s="34"/>
      <c r="H53" s="34"/>
      <c r="I53" s="33"/>
      <c r="J53" s="34"/>
      <c r="K53" s="34"/>
      <c r="L53" s="34"/>
      <c r="M53" s="34"/>
      <c r="N53" s="34"/>
      <c r="O53" s="34"/>
      <c r="P53" s="34"/>
      <c r="Q53" s="34"/>
      <c r="R53" s="34"/>
      <c r="S53" s="34"/>
      <c r="T53" s="34"/>
      <c r="U53" s="34"/>
      <c r="V53" s="34"/>
      <c r="W53" s="34"/>
      <c r="X53" s="34"/>
      <c r="Y53" s="34"/>
      <c r="Z53" s="34"/>
    </row>
    <row r="54" spans="1:26" ht="13">
      <c r="A54" s="34"/>
      <c r="B54" s="34"/>
      <c r="C54" s="34"/>
      <c r="E54" s="34"/>
      <c r="F54" s="33"/>
      <c r="G54" s="34"/>
      <c r="H54" s="34"/>
      <c r="I54" s="33"/>
      <c r="J54" s="34"/>
      <c r="K54" s="34"/>
      <c r="L54" s="34"/>
      <c r="M54" s="34"/>
      <c r="N54" s="34"/>
      <c r="O54" s="34"/>
      <c r="P54" s="34"/>
      <c r="Q54" s="34"/>
      <c r="R54" s="34"/>
      <c r="S54" s="34"/>
      <c r="T54" s="34"/>
      <c r="U54" s="34"/>
      <c r="V54" s="34"/>
      <c r="W54" s="34"/>
      <c r="X54" s="34"/>
      <c r="Y54" s="34"/>
      <c r="Z54" s="34"/>
    </row>
    <row r="55" spans="1:26" ht="13">
      <c r="A55" s="34"/>
      <c r="B55" s="34"/>
      <c r="C55" s="34"/>
      <c r="E55" s="34"/>
      <c r="F55" s="33"/>
      <c r="G55" s="34"/>
      <c r="H55" s="34"/>
      <c r="I55" s="33"/>
      <c r="J55" s="34"/>
      <c r="K55" s="34"/>
      <c r="L55" s="34"/>
      <c r="M55" s="34"/>
      <c r="N55" s="34"/>
      <c r="O55" s="34"/>
      <c r="P55" s="34"/>
      <c r="Q55" s="34"/>
      <c r="R55" s="34"/>
      <c r="S55" s="34"/>
      <c r="T55" s="34"/>
      <c r="U55" s="34"/>
      <c r="V55" s="34"/>
      <c r="W55" s="34"/>
      <c r="X55" s="34"/>
      <c r="Y55" s="34"/>
      <c r="Z55" s="34"/>
    </row>
    <row r="56" spans="1:26" ht="13">
      <c r="A56" s="34"/>
      <c r="B56" s="34"/>
      <c r="C56" s="34"/>
      <c r="E56" s="34"/>
      <c r="F56" s="33"/>
      <c r="G56" s="34"/>
      <c r="H56" s="34"/>
      <c r="I56" s="33"/>
      <c r="J56" s="34"/>
      <c r="K56" s="34"/>
      <c r="L56" s="34"/>
      <c r="M56" s="34"/>
      <c r="N56" s="34"/>
      <c r="O56" s="34"/>
      <c r="P56" s="34"/>
      <c r="Q56" s="34"/>
      <c r="R56" s="34"/>
      <c r="S56" s="34"/>
      <c r="T56" s="34"/>
      <c r="U56" s="34"/>
      <c r="V56" s="34"/>
      <c r="W56" s="34"/>
      <c r="X56" s="34"/>
      <c r="Y56" s="34"/>
      <c r="Z56" s="34"/>
    </row>
    <row r="57" spans="1:26" ht="13">
      <c r="A57" s="34"/>
      <c r="B57" s="34"/>
      <c r="C57" s="34"/>
      <c r="E57" s="34"/>
      <c r="F57" s="33"/>
      <c r="G57" s="34"/>
      <c r="H57" s="34"/>
      <c r="I57" s="33"/>
      <c r="J57" s="34"/>
      <c r="K57" s="34"/>
      <c r="L57" s="34"/>
      <c r="M57" s="34"/>
      <c r="N57" s="34"/>
      <c r="O57" s="34"/>
      <c r="P57" s="34"/>
      <c r="Q57" s="34"/>
      <c r="R57" s="34"/>
      <c r="S57" s="34"/>
      <c r="T57" s="34"/>
      <c r="U57" s="34"/>
      <c r="V57" s="34"/>
      <c r="W57" s="34"/>
      <c r="X57" s="34"/>
      <c r="Y57" s="34"/>
      <c r="Z57" s="34"/>
    </row>
    <row r="58" spans="1:26" ht="13">
      <c r="A58" s="34"/>
      <c r="B58" s="34"/>
      <c r="C58" s="34"/>
      <c r="E58" s="34"/>
      <c r="F58" s="33"/>
      <c r="G58" s="34"/>
      <c r="H58" s="34"/>
      <c r="I58" s="33"/>
      <c r="J58" s="34"/>
      <c r="K58" s="34"/>
      <c r="L58" s="34"/>
      <c r="M58" s="34"/>
      <c r="N58" s="34"/>
      <c r="O58" s="34"/>
      <c r="P58" s="34"/>
      <c r="Q58" s="34"/>
      <c r="R58" s="34"/>
      <c r="S58" s="34"/>
      <c r="T58" s="34"/>
      <c r="U58" s="34"/>
      <c r="V58" s="34"/>
      <c r="W58" s="34"/>
      <c r="X58" s="34"/>
      <c r="Y58" s="34"/>
      <c r="Z58" s="34"/>
    </row>
    <row r="59" spans="1:26" ht="13">
      <c r="A59" s="34"/>
      <c r="B59" s="34"/>
      <c r="C59" s="34"/>
      <c r="E59" s="34"/>
      <c r="F59" s="33"/>
      <c r="G59" s="34"/>
      <c r="H59" s="34"/>
      <c r="I59" s="33"/>
      <c r="J59" s="34"/>
      <c r="K59" s="34"/>
      <c r="L59" s="34"/>
      <c r="M59" s="34"/>
      <c r="N59" s="34"/>
      <c r="O59" s="34"/>
      <c r="P59" s="34"/>
      <c r="Q59" s="34"/>
      <c r="R59" s="34"/>
      <c r="S59" s="34"/>
      <c r="T59" s="34"/>
      <c r="U59" s="34"/>
      <c r="V59" s="34"/>
      <c r="W59" s="34"/>
      <c r="X59" s="34"/>
      <c r="Y59" s="34"/>
      <c r="Z59" s="34"/>
    </row>
    <row r="60" spans="1:26" ht="13">
      <c r="A60" s="34"/>
      <c r="B60" s="34"/>
      <c r="C60" s="34"/>
      <c r="E60" s="34"/>
      <c r="F60" s="33"/>
      <c r="G60" s="34"/>
      <c r="H60" s="34"/>
      <c r="I60" s="33"/>
      <c r="J60" s="34"/>
      <c r="K60" s="34"/>
      <c r="L60" s="34"/>
      <c r="M60" s="34"/>
      <c r="N60" s="34"/>
      <c r="O60" s="34"/>
      <c r="P60" s="34"/>
      <c r="Q60" s="34"/>
      <c r="R60" s="34"/>
      <c r="S60" s="34"/>
      <c r="T60" s="34"/>
      <c r="U60" s="34"/>
      <c r="V60" s="34"/>
      <c r="W60" s="34"/>
      <c r="X60" s="34"/>
      <c r="Y60" s="34"/>
      <c r="Z60" s="34"/>
    </row>
    <row r="61" spans="1:26" ht="13">
      <c r="A61" s="34"/>
      <c r="B61" s="34"/>
      <c r="C61" s="34"/>
      <c r="E61" s="34"/>
      <c r="F61" s="33"/>
      <c r="G61" s="34"/>
      <c r="H61" s="34"/>
      <c r="I61" s="33"/>
      <c r="J61" s="34"/>
      <c r="K61" s="34"/>
      <c r="L61" s="34"/>
      <c r="M61" s="34"/>
      <c r="N61" s="34"/>
      <c r="O61" s="34"/>
      <c r="P61" s="34"/>
      <c r="Q61" s="34"/>
      <c r="R61" s="34"/>
      <c r="S61" s="34"/>
      <c r="T61" s="34"/>
      <c r="U61" s="34"/>
      <c r="V61" s="34"/>
      <c r="W61" s="34"/>
      <c r="X61" s="34"/>
      <c r="Y61" s="34"/>
      <c r="Z61" s="34"/>
    </row>
    <row r="62" spans="1:26" ht="13">
      <c r="A62" s="34"/>
      <c r="B62" s="34"/>
      <c r="C62" s="34"/>
      <c r="E62" s="34"/>
      <c r="F62" s="33"/>
      <c r="G62" s="34"/>
      <c r="H62" s="34"/>
      <c r="I62" s="33"/>
      <c r="J62" s="34"/>
      <c r="K62" s="34"/>
      <c r="L62" s="34"/>
      <c r="M62" s="34"/>
      <c r="N62" s="34"/>
      <c r="O62" s="34"/>
      <c r="P62" s="34"/>
      <c r="Q62" s="34"/>
      <c r="R62" s="34"/>
      <c r="S62" s="34"/>
      <c r="T62" s="34"/>
      <c r="U62" s="34"/>
      <c r="V62" s="34"/>
      <c r="W62" s="34"/>
      <c r="X62" s="34"/>
      <c r="Y62" s="34"/>
      <c r="Z62" s="34"/>
    </row>
    <row r="63" spans="1:26" ht="13">
      <c r="A63" s="34"/>
      <c r="B63" s="34"/>
      <c r="C63" s="34"/>
      <c r="E63" s="34"/>
      <c r="F63" s="33"/>
      <c r="G63" s="34"/>
      <c r="H63" s="34"/>
      <c r="I63" s="33"/>
      <c r="J63" s="34"/>
      <c r="K63" s="34"/>
      <c r="L63" s="34"/>
      <c r="M63" s="34"/>
      <c r="N63" s="34"/>
      <c r="O63" s="34"/>
      <c r="P63" s="34"/>
      <c r="Q63" s="34"/>
      <c r="R63" s="34"/>
      <c r="S63" s="34"/>
      <c r="T63" s="34"/>
      <c r="U63" s="34"/>
      <c r="V63" s="34"/>
      <c r="W63" s="34"/>
      <c r="X63" s="34"/>
      <c r="Y63" s="34"/>
      <c r="Z63" s="34"/>
    </row>
    <row r="64" spans="1:26" ht="13">
      <c r="A64" s="34"/>
      <c r="B64" s="34"/>
      <c r="C64" s="34"/>
      <c r="D64" s="34"/>
      <c r="E64" s="34"/>
      <c r="F64" s="33"/>
      <c r="G64" s="34"/>
      <c r="H64" s="34"/>
      <c r="I64" s="33"/>
      <c r="J64" s="34"/>
      <c r="K64" s="34"/>
      <c r="L64" s="34"/>
      <c r="M64" s="34"/>
      <c r="N64" s="34"/>
      <c r="O64" s="34"/>
      <c r="P64" s="34"/>
      <c r="Q64" s="34"/>
      <c r="R64" s="34"/>
      <c r="S64" s="34"/>
      <c r="T64" s="34"/>
      <c r="U64" s="34"/>
      <c r="V64" s="34"/>
      <c r="W64" s="34"/>
      <c r="X64" s="34"/>
      <c r="Y64" s="34"/>
      <c r="Z64" s="34"/>
    </row>
    <row r="65" spans="1:26" ht="13">
      <c r="A65" s="34"/>
      <c r="B65" s="34"/>
      <c r="C65" s="34"/>
      <c r="D65" s="34"/>
      <c r="E65" s="34"/>
      <c r="F65" s="33"/>
      <c r="G65" s="34"/>
      <c r="H65" s="34"/>
      <c r="I65" s="33"/>
      <c r="J65" s="34"/>
      <c r="K65" s="34"/>
      <c r="L65" s="34"/>
      <c r="M65" s="34"/>
      <c r="N65" s="34"/>
      <c r="O65" s="34"/>
      <c r="P65" s="34"/>
      <c r="Q65" s="34"/>
      <c r="R65" s="34"/>
      <c r="S65" s="34"/>
      <c r="T65" s="34"/>
      <c r="U65" s="34"/>
      <c r="V65" s="34"/>
      <c r="W65" s="34"/>
      <c r="X65" s="34"/>
      <c r="Y65" s="34"/>
      <c r="Z65" s="34"/>
    </row>
    <row r="66" spans="1:26" ht="13">
      <c r="A66" s="34"/>
      <c r="B66" s="34"/>
      <c r="C66" s="34"/>
      <c r="D66" s="34"/>
      <c r="E66" s="34"/>
      <c r="F66" s="33"/>
      <c r="G66" s="34"/>
      <c r="H66" s="34"/>
      <c r="I66" s="33"/>
      <c r="J66" s="34"/>
      <c r="K66" s="34"/>
      <c r="L66" s="34"/>
      <c r="M66" s="34"/>
      <c r="N66" s="34"/>
      <c r="O66" s="34"/>
      <c r="P66" s="34"/>
      <c r="Q66" s="34"/>
      <c r="R66" s="34"/>
      <c r="S66" s="34"/>
      <c r="T66" s="34"/>
      <c r="U66" s="34"/>
      <c r="V66" s="34"/>
      <c r="W66" s="34"/>
      <c r="X66" s="34"/>
      <c r="Y66" s="34"/>
      <c r="Z66" s="34"/>
    </row>
    <row r="67" spans="1:26" ht="13">
      <c r="A67" s="34"/>
      <c r="B67" s="34"/>
      <c r="C67" s="34"/>
      <c r="D67" s="34"/>
      <c r="E67" s="34"/>
      <c r="F67" s="33"/>
      <c r="G67" s="34"/>
      <c r="H67" s="34"/>
      <c r="I67" s="33"/>
      <c r="J67" s="34"/>
      <c r="K67" s="34"/>
      <c r="L67" s="34"/>
      <c r="M67" s="34"/>
      <c r="N67" s="34"/>
      <c r="O67" s="34"/>
      <c r="P67" s="34"/>
      <c r="Q67" s="34"/>
      <c r="R67" s="34"/>
      <c r="S67" s="34"/>
      <c r="T67" s="34"/>
      <c r="U67" s="34"/>
      <c r="V67" s="34"/>
      <c r="W67" s="34"/>
      <c r="X67" s="34"/>
      <c r="Y67" s="34"/>
      <c r="Z67" s="34"/>
    </row>
    <row r="68" spans="1:26" ht="13">
      <c r="A68" s="34"/>
      <c r="B68" s="34"/>
      <c r="C68" s="34"/>
      <c r="D68" s="34"/>
      <c r="E68" s="34"/>
      <c r="F68" s="33"/>
      <c r="G68" s="34"/>
      <c r="H68" s="34"/>
      <c r="I68" s="33"/>
      <c r="J68" s="34"/>
      <c r="K68" s="34"/>
      <c r="L68" s="34"/>
      <c r="M68" s="34"/>
      <c r="N68" s="34"/>
      <c r="O68" s="34"/>
      <c r="P68" s="34"/>
      <c r="Q68" s="34"/>
      <c r="R68" s="34"/>
      <c r="S68" s="34"/>
      <c r="T68" s="34"/>
      <c r="U68" s="34"/>
      <c r="V68" s="34"/>
      <c r="W68" s="34"/>
      <c r="X68" s="34"/>
      <c r="Y68" s="34"/>
      <c r="Z68" s="34"/>
    </row>
    <row r="69" spans="1:26" ht="13">
      <c r="A69" s="34"/>
      <c r="B69" s="34"/>
      <c r="C69" s="34"/>
      <c r="D69" s="34"/>
      <c r="E69" s="34"/>
      <c r="F69" s="33"/>
      <c r="G69" s="34"/>
      <c r="H69" s="34"/>
      <c r="I69" s="33"/>
      <c r="J69" s="34"/>
      <c r="K69" s="34"/>
      <c r="L69" s="34"/>
      <c r="M69" s="34"/>
      <c r="N69" s="34"/>
      <c r="O69" s="34"/>
      <c r="P69" s="34"/>
      <c r="Q69" s="34"/>
      <c r="R69" s="34"/>
      <c r="S69" s="34"/>
      <c r="T69" s="34"/>
      <c r="U69" s="34"/>
      <c r="V69" s="34"/>
      <c r="W69" s="34"/>
      <c r="X69" s="34"/>
      <c r="Y69" s="34"/>
      <c r="Z69" s="34"/>
    </row>
    <row r="70" spans="1:26" ht="13">
      <c r="A70" s="22" t="s">
        <v>2550</v>
      </c>
      <c r="F70" s="33"/>
      <c r="G70" s="34"/>
      <c r="H70" s="34"/>
      <c r="I70" s="33"/>
      <c r="J70" s="34"/>
      <c r="K70" s="34"/>
      <c r="L70" s="34"/>
      <c r="M70" s="34"/>
      <c r="N70" s="34"/>
      <c r="O70" s="34"/>
      <c r="P70" s="34"/>
      <c r="Q70" s="34"/>
      <c r="R70" s="34"/>
      <c r="S70" s="34"/>
      <c r="T70" s="34"/>
      <c r="U70" s="34"/>
      <c r="V70" s="34"/>
      <c r="W70" s="34"/>
      <c r="X70" s="34"/>
      <c r="Y70" s="34"/>
      <c r="Z70" s="34"/>
    </row>
    <row r="71" spans="1:26" ht="13">
      <c r="F71" s="33"/>
      <c r="G71" s="34"/>
      <c r="H71" s="34"/>
      <c r="I71" s="33"/>
      <c r="J71" s="34"/>
      <c r="K71" s="34"/>
      <c r="L71" s="34"/>
      <c r="M71" s="34"/>
      <c r="N71" s="34"/>
      <c r="O71" s="34"/>
      <c r="P71" s="34"/>
      <c r="Q71" s="34"/>
      <c r="R71" s="34"/>
      <c r="S71" s="34"/>
      <c r="T71" s="34"/>
      <c r="U71" s="34"/>
      <c r="V71" s="34"/>
      <c r="W71" s="34"/>
      <c r="X71" s="34"/>
      <c r="Y71" s="34"/>
      <c r="Z71" s="34"/>
    </row>
    <row r="72" spans="1:26" ht="13">
      <c r="A72" s="22" t="s">
        <v>2551</v>
      </c>
      <c r="F72" s="33"/>
      <c r="G72" s="34"/>
      <c r="H72" s="34"/>
      <c r="I72" s="33"/>
      <c r="J72" s="34"/>
      <c r="K72" s="34"/>
      <c r="L72" s="34"/>
      <c r="M72" s="34"/>
      <c r="N72" s="34"/>
      <c r="O72" s="34"/>
      <c r="P72" s="34"/>
      <c r="Q72" s="34"/>
      <c r="R72" s="34"/>
      <c r="S72" s="34"/>
      <c r="T72" s="34"/>
      <c r="U72" s="34"/>
      <c r="V72" s="34"/>
      <c r="W72" s="34"/>
      <c r="X72" s="34"/>
      <c r="Y72" s="34"/>
      <c r="Z72" s="34"/>
    </row>
    <row r="73" spans="1:26" ht="13">
      <c r="F73" s="33"/>
      <c r="G73" s="34"/>
      <c r="H73" s="34"/>
      <c r="I73" s="33"/>
      <c r="J73" s="34"/>
      <c r="K73" s="34"/>
      <c r="L73" s="34"/>
      <c r="M73" s="34"/>
      <c r="N73" s="34"/>
      <c r="O73" s="34"/>
      <c r="P73" s="34"/>
      <c r="Q73" s="34"/>
      <c r="R73" s="34"/>
      <c r="S73" s="34"/>
      <c r="T73" s="34"/>
      <c r="U73" s="34"/>
      <c r="V73" s="34"/>
      <c r="W73" s="34"/>
      <c r="X73" s="34"/>
      <c r="Y73" s="34"/>
      <c r="Z73" s="34"/>
    </row>
    <row r="74" spans="1:26" ht="13">
      <c r="A74" s="22" t="s">
        <v>2552</v>
      </c>
      <c r="B74" s="22"/>
      <c r="C74" s="22"/>
      <c r="F74" s="33"/>
      <c r="G74" s="34"/>
      <c r="H74" s="34"/>
      <c r="I74" s="33"/>
      <c r="J74" s="34"/>
      <c r="K74" s="34"/>
      <c r="L74" s="34"/>
      <c r="M74" s="34"/>
      <c r="N74" s="34"/>
      <c r="O74" s="34"/>
      <c r="P74" s="34"/>
      <c r="Q74" s="34"/>
      <c r="R74" s="34"/>
      <c r="S74" s="34"/>
      <c r="T74" s="34"/>
      <c r="U74" s="34"/>
      <c r="V74" s="34"/>
      <c r="W74" s="34"/>
      <c r="X74" s="34"/>
      <c r="Y74" s="34"/>
      <c r="Z74" s="34"/>
    </row>
    <row r="75" spans="1:26" ht="13">
      <c r="A75" s="22"/>
      <c r="B75" s="22"/>
      <c r="C75" s="22"/>
      <c r="F75" s="33"/>
      <c r="G75" s="34"/>
      <c r="H75" s="34"/>
      <c r="I75" s="33"/>
      <c r="J75" s="34"/>
      <c r="K75" s="34"/>
      <c r="L75" s="34"/>
      <c r="M75" s="34"/>
      <c r="N75" s="34"/>
      <c r="O75" s="34"/>
      <c r="P75" s="34"/>
      <c r="Q75" s="34"/>
      <c r="R75" s="34"/>
      <c r="S75" s="34"/>
      <c r="T75" s="34"/>
      <c r="U75" s="34"/>
      <c r="V75" s="34"/>
      <c r="W75" s="34"/>
      <c r="X75" s="34"/>
      <c r="Y75" s="34"/>
      <c r="Z75" s="34"/>
    </row>
    <row r="76" spans="1:26" ht="13">
      <c r="A76" s="22" t="s">
        <v>2553</v>
      </c>
      <c r="B76" s="22" t="s">
        <v>2554</v>
      </c>
      <c r="C76" s="22" t="s">
        <v>2555</v>
      </c>
      <c r="F76" s="33"/>
      <c r="G76" s="34"/>
      <c r="H76" s="34"/>
      <c r="I76" s="33"/>
      <c r="J76" s="34"/>
      <c r="K76" s="34"/>
      <c r="L76" s="34"/>
      <c r="M76" s="34"/>
      <c r="N76" s="34"/>
      <c r="O76" s="34"/>
      <c r="P76" s="34"/>
      <c r="Q76" s="34"/>
      <c r="R76" s="34"/>
      <c r="S76" s="34"/>
      <c r="T76" s="34"/>
      <c r="U76" s="34"/>
      <c r="V76" s="34"/>
      <c r="W76" s="34"/>
      <c r="X76" s="34"/>
      <c r="Y76" s="34"/>
      <c r="Z76" s="34"/>
    </row>
    <row r="77" spans="1:26" ht="13">
      <c r="C77" s="22" t="s">
        <v>2556</v>
      </c>
      <c r="F77" s="33"/>
      <c r="G77" s="34"/>
      <c r="H77" s="34"/>
      <c r="I77" s="33"/>
      <c r="J77" s="34"/>
      <c r="K77" s="34"/>
      <c r="L77" s="34"/>
      <c r="M77" s="34"/>
      <c r="N77" s="34"/>
      <c r="O77" s="34"/>
      <c r="P77" s="34"/>
      <c r="Q77" s="34"/>
      <c r="R77" s="34"/>
      <c r="S77" s="34"/>
      <c r="T77" s="34"/>
      <c r="U77" s="34"/>
      <c r="V77" s="34"/>
      <c r="W77" s="34"/>
      <c r="X77" s="34"/>
      <c r="Y77" s="34"/>
      <c r="Z77" s="34"/>
    </row>
    <row r="78" spans="1:26" ht="13">
      <c r="C78" s="22" t="s">
        <v>2557</v>
      </c>
      <c r="F78" s="33"/>
      <c r="G78" s="34"/>
      <c r="H78" s="34"/>
      <c r="I78" s="33"/>
      <c r="J78" s="34"/>
      <c r="K78" s="34"/>
      <c r="L78" s="34"/>
      <c r="M78" s="34"/>
      <c r="N78" s="34"/>
      <c r="O78" s="34"/>
      <c r="P78" s="34"/>
      <c r="Q78" s="34"/>
      <c r="R78" s="34"/>
      <c r="S78" s="34"/>
      <c r="T78" s="34"/>
      <c r="U78" s="34"/>
      <c r="V78" s="34"/>
      <c r="W78" s="34"/>
      <c r="X78" s="34"/>
      <c r="Y78" s="34"/>
      <c r="Z78" s="34"/>
    </row>
    <row r="79" spans="1:26" ht="13">
      <c r="C79" s="22" t="s">
        <v>2558</v>
      </c>
      <c r="F79" s="33"/>
      <c r="G79" s="34"/>
      <c r="H79" s="34"/>
      <c r="I79" s="33"/>
      <c r="J79" s="34"/>
      <c r="K79" s="34"/>
      <c r="L79" s="34"/>
      <c r="M79" s="34"/>
      <c r="N79" s="34"/>
      <c r="O79" s="34"/>
      <c r="P79" s="34"/>
      <c r="Q79" s="34"/>
      <c r="R79" s="34"/>
      <c r="S79" s="34"/>
      <c r="T79" s="34"/>
      <c r="U79" s="34"/>
      <c r="V79" s="34"/>
      <c r="W79" s="34"/>
      <c r="X79" s="34"/>
      <c r="Y79" s="34"/>
      <c r="Z79" s="34"/>
    </row>
    <row r="80" spans="1:26" ht="13">
      <c r="F80" s="33"/>
      <c r="G80" s="34"/>
      <c r="H80" s="34"/>
      <c r="I80" s="33"/>
      <c r="J80" s="34"/>
      <c r="K80" s="34"/>
      <c r="L80" s="34"/>
      <c r="M80" s="34"/>
      <c r="N80" s="34"/>
      <c r="O80" s="34"/>
      <c r="P80" s="34"/>
      <c r="Q80" s="34"/>
      <c r="R80" s="34"/>
      <c r="S80" s="34"/>
      <c r="T80" s="34"/>
      <c r="U80" s="34"/>
      <c r="V80" s="34"/>
      <c r="W80" s="34"/>
      <c r="X80" s="34"/>
      <c r="Y80" s="34"/>
      <c r="Z80" s="34"/>
    </row>
    <row r="81" spans="1:26" ht="13">
      <c r="B81" s="22" t="s">
        <v>2559</v>
      </c>
      <c r="C81" s="22" t="s">
        <v>2560</v>
      </c>
      <c r="F81" s="33"/>
      <c r="G81" s="34"/>
      <c r="H81" s="34"/>
      <c r="I81" s="33"/>
      <c r="J81" s="34"/>
      <c r="K81" s="34"/>
      <c r="L81" s="34"/>
      <c r="M81" s="34"/>
      <c r="N81" s="34"/>
      <c r="O81" s="34"/>
      <c r="P81" s="34"/>
      <c r="Q81" s="34"/>
      <c r="R81" s="34"/>
      <c r="S81" s="34"/>
      <c r="T81" s="34"/>
      <c r="U81" s="34"/>
      <c r="V81" s="34"/>
      <c r="W81" s="34"/>
      <c r="X81" s="34"/>
      <c r="Y81" s="34"/>
      <c r="Z81" s="34"/>
    </row>
    <row r="82" spans="1:26" ht="13">
      <c r="C82" s="22"/>
      <c r="F82" s="33"/>
      <c r="G82" s="34"/>
      <c r="H82" s="34"/>
      <c r="I82" s="33"/>
      <c r="J82" s="34"/>
      <c r="K82" s="34"/>
      <c r="L82" s="34"/>
      <c r="M82" s="34"/>
      <c r="N82" s="34"/>
      <c r="O82" s="34"/>
      <c r="P82" s="34"/>
      <c r="Q82" s="34"/>
      <c r="R82" s="34"/>
      <c r="S82" s="34"/>
      <c r="T82" s="34"/>
      <c r="U82" s="34"/>
      <c r="V82" s="34"/>
      <c r="W82" s="34"/>
      <c r="X82" s="34"/>
      <c r="Y82" s="34"/>
      <c r="Z82" s="34"/>
    </row>
    <row r="83" spans="1:26" ht="13">
      <c r="B83" s="22" t="s">
        <v>2561</v>
      </c>
      <c r="C83" s="22" t="s">
        <v>2562</v>
      </c>
      <c r="F83" s="33"/>
      <c r="G83" s="34"/>
      <c r="H83" s="34"/>
      <c r="I83" s="33"/>
      <c r="J83" s="34"/>
      <c r="K83" s="34"/>
      <c r="L83" s="34"/>
      <c r="M83" s="34"/>
      <c r="N83" s="34"/>
      <c r="O83" s="34"/>
      <c r="P83" s="34"/>
      <c r="Q83" s="34"/>
      <c r="R83" s="34"/>
      <c r="S83" s="34"/>
      <c r="T83" s="34"/>
      <c r="U83" s="34"/>
      <c r="V83" s="34"/>
      <c r="W83" s="34"/>
      <c r="X83" s="34"/>
      <c r="Y83" s="34"/>
      <c r="Z83" s="34"/>
    </row>
    <row r="84" spans="1:26" ht="13">
      <c r="C84" s="22" t="s">
        <v>2563</v>
      </c>
      <c r="F84" s="33"/>
      <c r="G84" s="34"/>
      <c r="H84" s="34"/>
      <c r="I84" s="33"/>
      <c r="J84" s="34"/>
      <c r="K84" s="34"/>
      <c r="L84" s="34"/>
      <c r="M84" s="34"/>
      <c r="N84" s="34"/>
      <c r="O84" s="34"/>
      <c r="P84" s="34"/>
      <c r="Q84" s="34"/>
      <c r="R84" s="34"/>
      <c r="S84" s="34"/>
      <c r="T84" s="34"/>
      <c r="U84" s="34"/>
      <c r="V84" s="34"/>
      <c r="W84" s="34"/>
      <c r="X84" s="34"/>
      <c r="Y84" s="34"/>
      <c r="Z84" s="34"/>
    </row>
    <row r="85" spans="1:26" ht="13">
      <c r="C85" s="22" t="s">
        <v>2564</v>
      </c>
      <c r="F85" s="33"/>
      <c r="G85" s="34"/>
      <c r="H85" s="34"/>
      <c r="I85" s="33"/>
      <c r="J85" s="34"/>
      <c r="K85" s="34"/>
      <c r="L85" s="34"/>
      <c r="M85" s="34"/>
      <c r="N85" s="34"/>
      <c r="O85" s="34"/>
      <c r="P85" s="34"/>
      <c r="Q85" s="34"/>
      <c r="R85" s="34"/>
      <c r="S85" s="34"/>
      <c r="T85" s="34"/>
      <c r="U85" s="34"/>
      <c r="V85" s="34"/>
      <c r="W85" s="34"/>
      <c r="X85" s="34"/>
      <c r="Y85" s="34"/>
      <c r="Z85" s="34"/>
    </row>
    <row r="86" spans="1:26" ht="13">
      <c r="F86" s="33"/>
      <c r="G86" s="34"/>
      <c r="H86" s="34"/>
      <c r="I86" s="33"/>
      <c r="J86" s="34"/>
      <c r="K86" s="34"/>
      <c r="L86" s="34"/>
      <c r="M86" s="34"/>
      <c r="N86" s="34"/>
      <c r="O86" s="34"/>
      <c r="P86" s="34"/>
      <c r="Q86" s="34"/>
      <c r="R86" s="34"/>
      <c r="S86" s="34"/>
      <c r="T86" s="34"/>
      <c r="U86" s="34"/>
      <c r="V86" s="34"/>
      <c r="W86" s="34"/>
      <c r="X86" s="34"/>
      <c r="Y86" s="34"/>
      <c r="Z86" s="34"/>
    </row>
    <row r="87" spans="1:26" ht="13">
      <c r="B87" s="22" t="s">
        <v>2565</v>
      </c>
      <c r="C87" s="22" t="s">
        <v>2566</v>
      </c>
      <c r="F87" s="33"/>
      <c r="G87" s="34"/>
      <c r="H87" s="34"/>
      <c r="I87" s="33"/>
      <c r="J87" s="34"/>
      <c r="K87" s="34"/>
      <c r="L87" s="34"/>
      <c r="M87" s="34"/>
      <c r="N87" s="34"/>
      <c r="O87" s="34"/>
      <c r="P87" s="34"/>
      <c r="Q87" s="34"/>
      <c r="R87" s="34"/>
      <c r="S87" s="34"/>
      <c r="T87" s="34"/>
      <c r="U87" s="34"/>
      <c r="V87" s="34"/>
      <c r="W87" s="34"/>
      <c r="X87" s="34"/>
      <c r="Y87" s="34"/>
      <c r="Z87" s="34"/>
    </row>
    <row r="88" spans="1:26" ht="13">
      <c r="A88" s="34"/>
      <c r="B88" s="34"/>
      <c r="C88" s="34"/>
      <c r="D88" s="34"/>
      <c r="E88" s="34"/>
      <c r="F88" s="33"/>
      <c r="G88" s="34"/>
      <c r="H88" s="34"/>
      <c r="I88" s="33"/>
      <c r="J88" s="34"/>
      <c r="K88" s="34"/>
      <c r="L88" s="34"/>
      <c r="M88" s="34"/>
      <c r="N88" s="34"/>
      <c r="O88" s="34"/>
      <c r="P88" s="34"/>
      <c r="Q88" s="34"/>
      <c r="R88" s="34"/>
      <c r="S88" s="34"/>
      <c r="T88" s="34"/>
      <c r="U88" s="34"/>
      <c r="V88" s="34"/>
      <c r="W88" s="34"/>
      <c r="X88" s="34"/>
      <c r="Y88" s="34"/>
      <c r="Z88" s="34"/>
    </row>
    <row r="89" spans="1:26" ht="13">
      <c r="A89" s="34"/>
      <c r="B89" s="34"/>
      <c r="C89" s="34"/>
      <c r="D89" s="34"/>
      <c r="E89" s="34"/>
      <c r="F89" s="33"/>
      <c r="G89" s="34"/>
      <c r="H89" s="34"/>
      <c r="I89" s="33"/>
      <c r="J89" s="34"/>
      <c r="K89" s="34"/>
      <c r="L89" s="34"/>
      <c r="M89" s="34"/>
      <c r="N89" s="34"/>
      <c r="O89" s="34"/>
      <c r="P89" s="34"/>
      <c r="Q89" s="34"/>
      <c r="R89" s="34"/>
      <c r="S89" s="34"/>
      <c r="T89" s="34"/>
      <c r="U89" s="34"/>
      <c r="V89" s="34"/>
      <c r="W89" s="34"/>
      <c r="X89" s="34"/>
      <c r="Y89" s="34"/>
      <c r="Z89" s="34"/>
    </row>
    <row r="90" spans="1:26" ht="13">
      <c r="A90" s="34"/>
      <c r="B90" s="34"/>
      <c r="C90" s="34"/>
      <c r="D90" s="34"/>
      <c r="E90" s="34"/>
      <c r="F90" s="33"/>
      <c r="G90" s="34"/>
      <c r="H90" s="34"/>
      <c r="I90" s="33"/>
      <c r="J90" s="34"/>
      <c r="K90" s="34"/>
      <c r="L90" s="34"/>
      <c r="M90" s="34"/>
      <c r="N90" s="34"/>
      <c r="O90" s="34"/>
      <c r="P90" s="34"/>
      <c r="Q90" s="34"/>
      <c r="R90" s="34"/>
      <c r="S90" s="34"/>
      <c r="T90" s="34"/>
      <c r="U90" s="34"/>
      <c r="V90" s="34"/>
      <c r="W90" s="34"/>
      <c r="X90" s="34"/>
      <c r="Y90" s="34"/>
      <c r="Z90" s="34"/>
    </row>
    <row r="91" spans="1:26" ht="13">
      <c r="A91" s="34"/>
      <c r="B91" s="34"/>
      <c r="C91" s="34"/>
      <c r="D91" s="34"/>
      <c r="E91" s="34"/>
      <c r="F91" s="33"/>
      <c r="G91" s="34"/>
      <c r="H91" s="34"/>
      <c r="I91" s="33"/>
      <c r="J91" s="34"/>
      <c r="K91" s="34"/>
      <c r="L91" s="34"/>
      <c r="M91" s="34"/>
      <c r="N91" s="34"/>
      <c r="O91" s="34"/>
      <c r="P91" s="34"/>
      <c r="Q91" s="34"/>
      <c r="R91" s="34"/>
      <c r="S91" s="34"/>
      <c r="T91" s="34"/>
      <c r="U91" s="34"/>
      <c r="V91" s="34"/>
      <c r="W91" s="34"/>
      <c r="X91" s="34"/>
      <c r="Y91" s="34"/>
      <c r="Z91" s="34"/>
    </row>
    <row r="92" spans="1:26" ht="13">
      <c r="A92" s="34"/>
      <c r="B92" s="34"/>
      <c r="C92" s="34"/>
      <c r="D92" s="34"/>
      <c r="E92" s="34"/>
      <c r="F92" s="33"/>
      <c r="G92" s="34"/>
      <c r="H92" s="34"/>
      <c r="I92" s="33"/>
      <c r="J92" s="34"/>
      <c r="K92" s="34"/>
      <c r="L92" s="34"/>
      <c r="M92" s="34"/>
      <c r="N92" s="34"/>
      <c r="O92" s="34"/>
      <c r="P92" s="34"/>
      <c r="Q92" s="34"/>
      <c r="R92" s="34"/>
      <c r="S92" s="34"/>
      <c r="T92" s="34"/>
      <c r="U92" s="34"/>
      <c r="V92" s="34"/>
      <c r="W92" s="34"/>
      <c r="X92" s="34"/>
      <c r="Y92" s="34"/>
      <c r="Z92" s="34"/>
    </row>
    <row r="93" spans="1:26" ht="13">
      <c r="A93" s="34"/>
      <c r="B93" s="34"/>
      <c r="C93" s="34"/>
      <c r="D93" s="34"/>
      <c r="E93" s="34"/>
      <c r="F93" s="33"/>
      <c r="G93" s="34"/>
      <c r="H93" s="34"/>
      <c r="I93" s="33"/>
      <c r="J93" s="34"/>
      <c r="K93" s="34"/>
      <c r="L93" s="34"/>
      <c r="M93" s="34"/>
      <c r="N93" s="34"/>
      <c r="O93" s="34"/>
      <c r="P93" s="34"/>
      <c r="Q93" s="34"/>
      <c r="R93" s="34"/>
      <c r="S93" s="34"/>
      <c r="T93" s="34"/>
      <c r="U93" s="34"/>
      <c r="V93" s="34"/>
      <c r="W93" s="34"/>
      <c r="X93" s="34"/>
      <c r="Y93" s="34"/>
      <c r="Z93" s="34"/>
    </row>
    <row r="94" spans="1:26" ht="13">
      <c r="A94" s="34"/>
      <c r="B94" s="34"/>
      <c r="C94" s="34"/>
      <c r="D94" s="34"/>
      <c r="E94" s="34"/>
      <c r="F94" s="33"/>
      <c r="G94" s="34"/>
      <c r="H94" s="34"/>
      <c r="I94" s="33"/>
      <c r="J94" s="34"/>
      <c r="K94" s="34"/>
      <c r="L94" s="34"/>
      <c r="M94" s="34"/>
      <c r="N94" s="34"/>
      <c r="O94" s="34"/>
      <c r="P94" s="34"/>
      <c r="Q94" s="34"/>
      <c r="R94" s="34"/>
      <c r="S94" s="34"/>
      <c r="T94" s="34"/>
      <c r="U94" s="34"/>
      <c r="V94" s="34"/>
      <c r="W94" s="34"/>
      <c r="X94" s="34"/>
      <c r="Y94" s="34"/>
      <c r="Z94" s="34"/>
    </row>
    <row r="95" spans="1:26" ht="13">
      <c r="A95" s="34"/>
      <c r="B95" s="34"/>
      <c r="C95" s="34"/>
      <c r="D95" s="34"/>
      <c r="E95" s="34"/>
      <c r="F95" s="33"/>
      <c r="G95" s="34"/>
      <c r="H95" s="34"/>
      <c r="I95" s="33"/>
      <c r="J95" s="34"/>
      <c r="K95" s="34"/>
      <c r="L95" s="34"/>
      <c r="M95" s="34"/>
      <c r="N95" s="34"/>
      <c r="O95" s="34"/>
      <c r="P95" s="34"/>
      <c r="Q95" s="34"/>
      <c r="R95" s="34"/>
      <c r="S95" s="34"/>
      <c r="T95" s="34"/>
      <c r="U95" s="34"/>
      <c r="V95" s="34"/>
      <c r="W95" s="34"/>
      <c r="X95" s="34"/>
      <c r="Y95" s="34"/>
      <c r="Z95" s="34"/>
    </row>
    <row r="96" spans="1:26" ht="13">
      <c r="A96" s="34"/>
      <c r="B96" s="34"/>
      <c r="C96" s="34"/>
      <c r="D96" s="34"/>
      <c r="E96" s="34"/>
      <c r="F96" s="33"/>
      <c r="G96" s="34"/>
      <c r="H96" s="34"/>
      <c r="I96" s="33"/>
      <c r="J96" s="34"/>
      <c r="K96" s="34"/>
      <c r="L96" s="34"/>
      <c r="M96" s="34"/>
      <c r="N96" s="34"/>
      <c r="O96" s="34"/>
      <c r="P96" s="34"/>
      <c r="Q96" s="34"/>
      <c r="R96" s="34"/>
      <c r="S96" s="34"/>
      <c r="T96" s="34"/>
      <c r="U96" s="34"/>
      <c r="V96" s="34"/>
      <c r="W96" s="34"/>
      <c r="X96" s="34"/>
      <c r="Y96" s="34"/>
      <c r="Z96" s="34"/>
    </row>
    <row r="97" spans="1:26" ht="13">
      <c r="A97" s="34"/>
      <c r="B97" s="34"/>
      <c r="C97" s="34"/>
      <c r="D97" s="34"/>
      <c r="E97" s="34"/>
      <c r="F97" s="33"/>
      <c r="G97" s="34"/>
      <c r="H97" s="34"/>
      <c r="I97" s="33"/>
      <c r="J97" s="34"/>
      <c r="K97" s="34"/>
      <c r="L97" s="34"/>
      <c r="M97" s="34"/>
      <c r="N97" s="34"/>
      <c r="O97" s="34"/>
      <c r="P97" s="34"/>
      <c r="Q97" s="34"/>
      <c r="R97" s="34"/>
      <c r="S97" s="34"/>
      <c r="T97" s="34"/>
      <c r="U97" s="34"/>
      <c r="V97" s="34"/>
      <c r="W97" s="34"/>
      <c r="X97" s="34"/>
      <c r="Y97" s="34"/>
      <c r="Z97" s="34"/>
    </row>
    <row r="98" spans="1:26" ht="13">
      <c r="A98" s="34"/>
      <c r="B98" s="34"/>
      <c r="C98" s="34"/>
      <c r="D98" s="34"/>
      <c r="E98" s="34"/>
      <c r="F98" s="33"/>
      <c r="G98" s="34"/>
      <c r="H98" s="34"/>
      <c r="I98" s="33"/>
      <c r="J98" s="34"/>
      <c r="K98" s="34"/>
      <c r="L98" s="34"/>
      <c r="M98" s="34"/>
      <c r="N98" s="34"/>
      <c r="O98" s="34"/>
      <c r="P98" s="34"/>
      <c r="Q98" s="34"/>
      <c r="R98" s="34"/>
      <c r="S98" s="34"/>
      <c r="T98" s="34"/>
      <c r="U98" s="34"/>
      <c r="V98" s="34"/>
      <c r="W98" s="34"/>
      <c r="X98" s="34"/>
      <c r="Y98" s="34"/>
      <c r="Z98" s="34"/>
    </row>
    <row r="99" spans="1:26" ht="13">
      <c r="A99" s="34"/>
      <c r="B99" s="34"/>
      <c r="C99" s="34"/>
      <c r="D99" s="34"/>
      <c r="E99" s="34"/>
      <c r="F99" s="33"/>
      <c r="G99" s="34"/>
      <c r="H99" s="34"/>
      <c r="I99" s="33"/>
      <c r="J99" s="34"/>
      <c r="K99" s="34"/>
      <c r="L99" s="34"/>
      <c r="M99" s="34"/>
      <c r="N99" s="34"/>
      <c r="O99" s="34"/>
      <c r="P99" s="34"/>
      <c r="Q99" s="34"/>
      <c r="R99" s="34"/>
      <c r="S99" s="34"/>
      <c r="T99" s="34"/>
      <c r="U99" s="34"/>
      <c r="V99" s="34"/>
      <c r="W99" s="34"/>
      <c r="X99" s="34"/>
      <c r="Y99" s="34"/>
      <c r="Z99" s="34"/>
    </row>
    <row r="100" spans="1:26" ht="13">
      <c r="A100" s="34"/>
      <c r="B100" s="34"/>
      <c r="C100" s="34"/>
      <c r="D100" s="34"/>
      <c r="E100" s="34"/>
      <c r="F100" s="33"/>
      <c r="G100" s="34"/>
      <c r="H100" s="34"/>
      <c r="I100" s="33"/>
      <c r="J100" s="34"/>
      <c r="K100" s="34"/>
      <c r="L100" s="34"/>
      <c r="M100" s="34"/>
      <c r="N100" s="34"/>
      <c r="O100" s="34"/>
      <c r="P100" s="34"/>
      <c r="Q100" s="34"/>
      <c r="R100" s="34"/>
      <c r="S100" s="34"/>
      <c r="T100" s="34"/>
      <c r="U100" s="34"/>
      <c r="V100" s="34"/>
      <c r="W100" s="34"/>
      <c r="X100" s="34"/>
      <c r="Y100" s="34"/>
      <c r="Z100" s="34"/>
    </row>
    <row r="101" spans="1:26" ht="13">
      <c r="A101" s="34"/>
      <c r="B101" s="34"/>
      <c r="C101" s="34"/>
      <c r="D101" s="34"/>
      <c r="E101" s="34"/>
      <c r="F101" s="33"/>
      <c r="G101" s="34"/>
      <c r="H101" s="34"/>
      <c r="I101" s="33"/>
      <c r="J101" s="34"/>
      <c r="K101" s="34"/>
      <c r="L101" s="34"/>
      <c r="M101" s="34"/>
      <c r="N101" s="34"/>
      <c r="O101" s="34"/>
      <c r="P101" s="34"/>
      <c r="Q101" s="34"/>
      <c r="R101" s="34"/>
      <c r="S101" s="34"/>
      <c r="T101" s="34"/>
      <c r="U101" s="34"/>
      <c r="V101" s="34"/>
      <c r="W101" s="34"/>
      <c r="X101" s="34"/>
      <c r="Y101" s="34"/>
      <c r="Z101" s="34"/>
    </row>
    <row r="102" spans="1:26" ht="13">
      <c r="A102" s="34"/>
      <c r="B102" s="34"/>
      <c r="C102" s="34"/>
      <c r="D102" s="34"/>
      <c r="E102" s="34"/>
      <c r="F102" s="33"/>
      <c r="G102" s="34"/>
      <c r="H102" s="34"/>
      <c r="I102" s="33"/>
      <c r="J102" s="34"/>
      <c r="K102" s="34"/>
      <c r="L102" s="34"/>
      <c r="M102" s="34"/>
      <c r="N102" s="34"/>
      <c r="O102" s="34"/>
      <c r="P102" s="34"/>
      <c r="Q102" s="34"/>
      <c r="R102" s="34"/>
      <c r="S102" s="34"/>
      <c r="T102" s="34"/>
      <c r="U102" s="34"/>
      <c r="V102" s="34"/>
      <c r="W102" s="34"/>
      <c r="X102" s="34"/>
      <c r="Y102" s="34"/>
      <c r="Z102" s="34"/>
    </row>
    <row r="103" spans="1:26" ht="13">
      <c r="A103" s="34"/>
      <c r="B103" s="34"/>
      <c r="C103" s="34"/>
      <c r="D103" s="34"/>
      <c r="E103" s="34"/>
      <c r="F103" s="33"/>
      <c r="G103" s="34"/>
      <c r="H103" s="34"/>
      <c r="I103" s="33"/>
      <c r="J103" s="34"/>
      <c r="K103" s="34"/>
      <c r="L103" s="34"/>
      <c r="M103" s="34"/>
      <c r="N103" s="34"/>
      <c r="O103" s="34"/>
      <c r="P103" s="34"/>
      <c r="Q103" s="34"/>
      <c r="R103" s="34"/>
      <c r="S103" s="34"/>
      <c r="T103" s="34"/>
      <c r="U103" s="34"/>
      <c r="V103" s="34"/>
      <c r="W103" s="34"/>
      <c r="X103" s="34"/>
      <c r="Y103" s="34"/>
      <c r="Z103" s="34"/>
    </row>
    <row r="104" spans="1:26" ht="13">
      <c r="A104" s="34"/>
      <c r="B104" s="34"/>
      <c r="C104" s="34"/>
      <c r="D104" s="34"/>
      <c r="E104" s="34"/>
      <c r="F104" s="33"/>
      <c r="G104" s="34"/>
      <c r="H104" s="34"/>
      <c r="I104" s="33"/>
      <c r="J104" s="34"/>
      <c r="K104" s="34"/>
      <c r="L104" s="34"/>
      <c r="M104" s="34"/>
      <c r="N104" s="34"/>
      <c r="O104" s="34"/>
      <c r="P104" s="34"/>
      <c r="Q104" s="34"/>
      <c r="R104" s="34"/>
      <c r="S104" s="34"/>
      <c r="T104" s="34"/>
      <c r="U104" s="34"/>
      <c r="V104" s="34"/>
      <c r="W104" s="34"/>
      <c r="X104" s="34"/>
      <c r="Y104" s="34"/>
      <c r="Z104" s="34"/>
    </row>
    <row r="105" spans="1:26" ht="13">
      <c r="A105" s="34"/>
      <c r="B105" s="34"/>
      <c r="C105" s="34"/>
      <c r="D105" s="34"/>
      <c r="E105" s="34"/>
      <c r="F105" s="33"/>
      <c r="G105" s="34"/>
      <c r="H105" s="34"/>
      <c r="I105" s="33"/>
      <c r="J105" s="34"/>
      <c r="K105" s="34"/>
      <c r="L105" s="34"/>
      <c r="M105" s="34"/>
      <c r="N105" s="34"/>
      <c r="O105" s="34"/>
      <c r="P105" s="34"/>
      <c r="Q105" s="34"/>
      <c r="R105" s="34"/>
      <c r="S105" s="34"/>
      <c r="T105" s="34"/>
      <c r="U105" s="34"/>
      <c r="V105" s="34"/>
      <c r="W105" s="34"/>
      <c r="X105" s="34"/>
      <c r="Y105" s="34"/>
      <c r="Z105" s="34"/>
    </row>
    <row r="106" spans="1:26" ht="13">
      <c r="A106" s="34"/>
      <c r="B106" s="34"/>
      <c r="C106" s="34"/>
      <c r="D106" s="34"/>
      <c r="E106" s="34"/>
      <c r="F106" s="33"/>
      <c r="G106" s="34"/>
      <c r="H106" s="34"/>
      <c r="I106" s="33"/>
      <c r="J106" s="34"/>
      <c r="K106" s="34"/>
      <c r="L106" s="34"/>
      <c r="M106" s="34"/>
      <c r="N106" s="34"/>
      <c r="O106" s="34"/>
      <c r="P106" s="34"/>
      <c r="Q106" s="34"/>
      <c r="R106" s="34"/>
      <c r="S106" s="34"/>
      <c r="T106" s="34"/>
      <c r="U106" s="34"/>
      <c r="V106" s="34"/>
      <c r="W106" s="34"/>
      <c r="X106" s="34"/>
      <c r="Y106" s="34"/>
      <c r="Z106" s="34"/>
    </row>
    <row r="107" spans="1:26" ht="13">
      <c r="A107" s="34"/>
      <c r="B107" s="34"/>
      <c r="C107" s="34"/>
      <c r="D107" s="34"/>
      <c r="E107" s="34"/>
      <c r="F107" s="33"/>
      <c r="G107" s="34"/>
      <c r="H107" s="34"/>
      <c r="I107" s="33"/>
      <c r="J107" s="34"/>
      <c r="K107" s="34"/>
      <c r="L107" s="34"/>
      <c r="M107" s="34"/>
      <c r="N107" s="34"/>
      <c r="O107" s="34"/>
      <c r="P107" s="34"/>
      <c r="Q107" s="34"/>
      <c r="R107" s="34"/>
      <c r="S107" s="34"/>
      <c r="T107" s="34"/>
      <c r="U107" s="34"/>
      <c r="V107" s="34"/>
      <c r="W107" s="34"/>
      <c r="X107" s="34"/>
      <c r="Y107" s="34"/>
      <c r="Z107" s="34"/>
    </row>
    <row r="108" spans="1:26" ht="13">
      <c r="A108" s="34"/>
      <c r="B108" s="34"/>
      <c r="C108" s="34"/>
      <c r="D108" s="34"/>
      <c r="E108" s="34"/>
      <c r="F108" s="33"/>
      <c r="G108" s="34"/>
      <c r="H108" s="34"/>
      <c r="I108" s="33"/>
      <c r="J108" s="34"/>
      <c r="K108" s="34"/>
      <c r="L108" s="34"/>
      <c r="M108" s="34"/>
      <c r="N108" s="34"/>
      <c r="O108" s="34"/>
      <c r="P108" s="34"/>
      <c r="Q108" s="34"/>
      <c r="R108" s="34"/>
      <c r="S108" s="34"/>
      <c r="T108" s="34"/>
      <c r="U108" s="34"/>
      <c r="V108" s="34"/>
      <c r="W108" s="34"/>
      <c r="X108" s="34"/>
      <c r="Y108" s="34"/>
      <c r="Z108" s="34"/>
    </row>
    <row r="109" spans="1:26" ht="13">
      <c r="A109" s="34"/>
      <c r="B109" s="34"/>
      <c r="C109" s="34"/>
      <c r="D109" s="34"/>
      <c r="E109" s="34"/>
      <c r="F109" s="33"/>
      <c r="G109" s="34"/>
      <c r="H109" s="34"/>
      <c r="I109" s="33"/>
      <c r="J109" s="34"/>
      <c r="K109" s="34"/>
      <c r="L109" s="34"/>
      <c r="M109" s="34"/>
      <c r="N109" s="34"/>
      <c r="O109" s="34"/>
      <c r="P109" s="34"/>
      <c r="Q109" s="34"/>
      <c r="R109" s="34"/>
      <c r="S109" s="34"/>
      <c r="T109" s="34"/>
      <c r="U109" s="34"/>
      <c r="V109" s="34"/>
      <c r="W109" s="34"/>
      <c r="X109" s="34"/>
      <c r="Y109" s="34"/>
      <c r="Z109" s="34"/>
    </row>
    <row r="110" spans="1:26" ht="13">
      <c r="A110" s="34"/>
      <c r="B110" s="34"/>
      <c r="C110" s="34"/>
      <c r="D110" s="34"/>
      <c r="E110" s="34"/>
      <c r="F110" s="33"/>
      <c r="G110" s="34"/>
      <c r="H110" s="34"/>
      <c r="I110" s="33"/>
      <c r="J110" s="34"/>
      <c r="K110" s="34"/>
      <c r="L110" s="34"/>
      <c r="M110" s="34"/>
      <c r="N110" s="34"/>
      <c r="O110" s="34"/>
      <c r="P110" s="34"/>
      <c r="Q110" s="34"/>
      <c r="R110" s="34"/>
      <c r="S110" s="34"/>
      <c r="T110" s="34"/>
      <c r="U110" s="34"/>
      <c r="V110" s="34"/>
      <c r="W110" s="34"/>
      <c r="X110" s="34"/>
      <c r="Y110" s="34"/>
      <c r="Z110" s="34"/>
    </row>
    <row r="111" spans="1:26" ht="13">
      <c r="A111" s="34"/>
      <c r="B111" s="34"/>
      <c r="C111" s="34"/>
      <c r="D111" s="34"/>
      <c r="E111" s="34"/>
      <c r="F111" s="33"/>
      <c r="G111" s="34"/>
      <c r="H111" s="34"/>
      <c r="I111" s="33"/>
      <c r="J111" s="34"/>
      <c r="K111" s="34"/>
      <c r="L111" s="34"/>
      <c r="M111" s="34"/>
      <c r="N111" s="34"/>
      <c r="O111" s="34"/>
      <c r="P111" s="34"/>
      <c r="Q111" s="34"/>
      <c r="R111" s="34"/>
      <c r="S111" s="34"/>
      <c r="T111" s="34"/>
      <c r="U111" s="34"/>
      <c r="V111" s="34"/>
      <c r="W111" s="34"/>
      <c r="X111" s="34"/>
      <c r="Y111" s="34"/>
      <c r="Z111" s="34"/>
    </row>
    <row r="112" spans="1:26" ht="13">
      <c r="A112" s="34"/>
      <c r="B112" s="34"/>
      <c r="C112" s="34"/>
      <c r="D112" s="34"/>
      <c r="E112" s="34"/>
      <c r="F112" s="33"/>
      <c r="G112" s="34"/>
      <c r="H112" s="34"/>
      <c r="I112" s="33"/>
      <c r="J112" s="34"/>
      <c r="K112" s="34"/>
      <c r="L112" s="34"/>
      <c r="M112" s="34"/>
      <c r="N112" s="34"/>
      <c r="O112" s="34"/>
      <c r="P112" s="34"/>
      <c r="Q112" s="34"/>
      <c r="R112" s="34"/>
      <c r="S112" s="34"/>
      <c r="T112" s="34"/>
      <c r="U112" s="34"/>
      <c r="V112" s="34"/>
      <c r="W112" s="34"/>
      <c r="X112" s="34"/>
      <c r="Y112" s="34"/>
      <c r="Z112" s="34"/>
    </row>
    <row r="113" spans="1:26" ht="13">
      <c r="A113" s="34"/>
      <c r="B113" s="34"/>
      <c r="C113" s="34"/>
      <c r="D113" s="34"/>
      <c r="E113" s="34"/>
      <c r="F113" s="33"/>
      <c r="G113" s="34"/>
      <c r="H113" s="34"/>
      <c r="I113" s="33"/>
      <c r="J113" s="34"/>
      <c r="K113" s="34"/>
      <c r="L113" s="34"/>
      <c r="M113" s="34"/>
      <c r="N113" s="34"/>
      <c r="O113" s="34"/>
      <c r="P113" s="34"/>
      <c r="Q113" s="34"/>
      <c r="R113" s="34"/>
      <c r="S113" s="34"/>
      <c r="T113" s="34"/>
      <c r="U113" s="34"/>
      <c r="V113" s="34"/>
      <c r="W113" s="34"/>
      <c r="X113" s="34"/>
      <c r="Y113" s="34"/>
      <c r="Z113" s="34"/>
    </row>
    <row r="114" spans="1:26" ht="13">
      <c r="A114" s="34"/>
      <c r="B114" s="34"/>
      <c r="C114" s="34"/>
      <c r="D114" s="34"/>
      <c r="E114" s="34"/>
      <c r="F114" s="33"/>
      <c r="G114" s="34"/>
      <c r="H114" s="34"/>
      <c r="I114" s="33"/>
      <c r="J114" s="34"/>
      <c r="K114" s="34"/>
      <c r="L114" s="34"/>
      <c r="M114" s="34"/>
      <c r="N114" s="34"/>
      <c r="O114" s="34"/>
      <c r="P114" s="34"/>
      <c r="Q114" s="34"/>
      <c r="R114" s="34"/>
      <c r="S114" s="34"/>
      <c r="T114" s="34"/>
      <c r="U114" s="34"/>
      <c r="V114" s="34"/>
      <c r="W114" s="34"/>
      <c r="X114" s="34"/>
      <c r="Y114" s="34"/>
      <c r="Z114" s="34"/>
    </row>
    <row r="115" spans="1:26" ht="13">
      <c r="A115" s="34"/>
      <c r="B115" s="34"/>
      <c r="C115" s="34"/>
      <c r="D115" s="34"/>
      <c r="E115" s="34"/>
      <c r="F115" s="33"/>
      <c r="G115" s="34"/>
      <c r="H115" s="34"/>
      <c r="I115" s="33"/>
      <c r="J115" s="34"/>
      <c r="K115" s="34"/>
      <c r="L115" s="34"/>
      <c r="M115" s="34"/>
      <c r="N115" s="34"/>
      <c r="O115" s="34"/>
      <c r="P115" s="34"/>
      <c r="Q115" s="34"/>
      <c r="R115" s="34"/>
      <c r="S115" s="34"/>
      <c r="T115" s="34"/>
      <c r="U115" s="34"/>
      <c r="V115" s="34"/>
      <c r="W115" s="34"/>
      <c r="X115" s="34"/>
      <c r="Y115" s="34"/>
      <c r="Z115" s="34"/>
    </row>
    <row r="116" spans="1:26" ht="13">
      <c r="A116" s="34"/>
      <c r="B116" s="34"/>
      <c r="C116" s="34"/>
      <c r="D116" s="34"/>
      <c r="E116" s="34"/>
      <c r="F116" s="33"/>
      <c r="G116" s="34"/>
      <c r="H116" s="34"/>
      <c r="I116" s="33"/>
      <c r="J116" s="34"/>
      <c r="K116" s="34"/>
      <c r="L116" s="34"/>
      <c r="M116" s="34"/>
      <c r="N116" s="34"/>
      <c r="O116" s="34"/>
      <c r="P116" s="34"/>
      <c r="Q116" s="34"/>
      <c r="R116" s="34"/>
      <c r="S116" s="34"/>
      <c r="T116" s="34"/>
      <c r="U116" s="34"/>
      <c r="V116" s="34"/>
      <c r="W116" s="34"/>
      <c r="X116" s="34"/>
      <c r="Y116" s="34"/>
      <c r="Z116" s="34"/>
    </row>
    <row r="117" spans="1:26" ht="13">
      <c r="A117" s="34"/>
      <c r="B117" s="34"/>
      <c r="C117" s="34"/>
      <c r="D117" s="34"/>
      <c r="E117" s="34"/>
      <c r="F117" s="33"/>
      <c r="G117" s="34"/>
      <c r="H117" s="34"/>
      <c r="I117" s="33"/>
      <c r="J117" s="34"/>
      <c r="K117" s="34"/>
      <c r="L117" s="34"/>
      <c r="M117" s="34"/>
      <c r="N117" s="34"/>
      <c r="O117" s="34"/>
      <c r="P117" s="34"/>
      <c r="Q117" s="34"/>
      <c r="R117" s="34"/>
      <c r="S117" s="34"/>
      <c r="T117" s="34"/>
      <c r="U117" s="34"/>
      <c r="V117" s="34"/>
      <c r="W117" s="34"/>
      <c r="X117" s="34"/>
      <c r="Y117" s="34"/>
      <c r="Z117" s="34"/>
    </row>
    <row r="118" spans="1:26" ht="13">
      <c r="A118" s="34"/>
      <c r="B118" s="34"/>
      <c r="C118" s="34"/>
      <c r="D118" s="34"/>
      <c r="E118" s="34"/>
      <c r="F118" s="33"/>
      <c r="G118" s="34"/>
      <c r="H118" s="34"/>
      <c r="I118" s="33"/>
      <c r="J118" s="34"/>
      <c r="K118" s="34"/>
      <c r="L118" s="34"/>
      <c r="M118" s="34"/>
      <c r="N118" s="34"/>
      <c r="O118" s="34"/>
      <c r="P118" s="34"/>
      <c r="Q118" s="34"/>
      <c r="R118" s="34"/>
      <c r="S118" s="34"/>
      <c r="T118" s="34"/>
      <c r="U118" s="34"/>
      <c r="V118" s="34"/>
      <c r="W118" s="34"/>
      <c r="X118" s="34"/>
      <c r="Y118" s="34"/>
      <c r="Z118" s="34"/>
    </row>
    <row r="119" spans="1:26" ht="13">
      <c r="A119" s="34"/>
      <c r="B119" s="34"/>
      <c r="C119" s="34"/>
      <c r="D119" s="34"/>
      <c r="E119" s="34"/>
      <c r="F119" s="33"/>
      <c r="G119" s="34"/>
      <c r="H119" s="34"/>
      <c r="I119" s="33"/>
      <c r="J119" s="34"/>
      <c r="K119" s="34"/>
      <c r="L119" s="34"/>
      <c r="M119" s="34"/>
      <c r="N119" s="34"/>
      <c r="O119" s="34"/>
      <c r="P119" s="34"/>
      <c r="Q119" s="34"/>
      <c r="R119" s="34"/>
      <c r="S119" s="34"/>
      <c r="T119" s="34"/>
      <c r="U119" s="34"/>
      <c r="V119" s="34"/>
      <c r="W119" s="34"/>
      <c r="X119" s="34"/>
      <c r="Y119" s="34"/>
      <c r="Z119" s="34"/>
    </row>
    <row r="120" spans="1:26" ht="13">
      <c r="A120" s="34"/>
      <c r="B120" s="34"/>
      <c r="C120" s="34"/>
      <c r="D120" s="34"/>
      <c r="E120" s="34"/>
      <c r="F120" s="33"/>
      <c r="G120" s="34"/>
      <c r="H120" s="34"/>
      <c r="I120" s="33"/>
      <c r="J120" s="34"/>
      <c r="K120" s="34"/>
      <c r="L120" s="34"/>
      <c r="M120" s="34"/>
      <c r="N120" s="34"/>
      <c r="O120" s="34"/>
      <c r="P120" s="34"/>
      <c r="Q120" s="34"/>
      <c r="R120" s="34"/>
      <c r="S120" s="34"/>
      <c r="T120" s="34"/>
      <c r="U120" s="34"/>
      <c r="V120" s="34"/>
      <c r="W120" s="34"/>
      <c r="X120" s="34"/>
      <c r="Y120" s="34"/>
      <c r="Z120" s="34"/>
    </row>
    <row r="121" spans="1:26" ht="13">
      <c r="A121" s="34"/>
      <c r="B121" s="34"/>
      <c r="C121" s="34"/>
      <c r="D121" s="34"/>
      <c r="E121" s="34"/>
      <c r="F121" s="33"/>
      <c r="G121" s="34"/>
      <c r="H121" s="34"/>
      <c r="I121" s="33"/>
      <c r="J121" s="34"/>
      <c r="K121" s="34"/>
      <c r="L121" s="34"/>
      <c r="M121" s="34"/>
      <c r="N121" s="34"/>
      <c r="O121" s="34"/>
      <c r="P121" s="34"/>
      <c r="Q121" s="34"/>
      <c r="R121" s="34"/>
      <c r="S121" s="34"/>
      <c r="T121" s="34"/>
      <c r="U121" s="34"/>
      <c r="V121" s="34"/>
      <c r="W121" s="34"/>
      <c r="X121" s="34"/>
      <c r="Y121" s="34"/>
      <c r="Z121" s="34"/>
    </row>
    <row r="122" spans="1:26" ht="13">
      <c r="A122" s="34"/>
      <c r="B122" s="34"/>
      <c r="C122" s="34"/>
      <c r="D122" s="34"/>
      <c r="E122" s="34"/>
      <c r="F122" s="33"/>
      <c r="G122" s="34"/>
      <c r="H122" s="34"/>
      <c r="I122" s="33"/>
      <c r="J122" s="34"/>
      <c r="K122" s="34"/>
      <c r="L122" s="34"/>
      <c r="M122" s="34"/>
      <c r="N122" s="34"/>
      <c r="O122" s="34"/>
      <c r="P122" s="34"/>
      <c r="Q122" s="34"/>
      <c r="R122" s="34"/>
      <c r="S122" s="34"/>
      <c r="T122" s="34"/>
      <c r="U122" s="34"/>
      <c r="V122" s="34"/>
      <c r="W122" s="34"/>
      <c r="X122" s="34"/>
      <c r="Y122" s="34"/>
      <c r="Z122" s="34"/>
    </row>
    <row r="123" spans="1:26" ht="13">
      <c r="A123" s="34"/>
      <c r="B123" s="34"/>
      <c r="C123" s="34"/>
      <c r="D123" s="34"/>
      <c r="E123" s="34"/>
      <c r="F123" s="33"/>
      <c r="G123" s="34"/>
      <c r="H123" s="34"/>
      <c r="I123" s="33"/>
      <c r="J123" s="34"/>
      <c r="K123" s="34"/>
      <c r="L123" s="34"/>
      <c r="M123" s="34"/>
      <c r="N123" s="34"/>
      <c r="O123" s="34"/>
      <c r="P123" s="34"/>
      <c r="Q123" s="34"/>
      <c r="R123" s="34"/>
      <c r="S123" s="34"/>
      <c r="T123" s="34"/>
      <c r="U123" s="34"/>
      <c r="V123" s="34"/>
      <c r="W123" s="34"/>
      <c r="X123" s="34"/>
      <c r="Y123" s="34"/>
      <c r="Z123" s="34"/>
    </row>
    <row r="124" spans="1:26" ht="13">
      <c r="A124" s="34"/>
      <c r="B124" s="34"/>
      <c r="C124" s="34"/>
      <c r="D124" s="34"/>
      <c r="E124" s="34"/>
      <c r="F124" s="33"/>
      <c r="G124" s="34"/>
      <c r="H124" s="34"/>
      <c r="I124" s="33"/>
      <c r="J124" s="34"/>
      <c r="K124" s="34"/>
      <c r="L124" s="34"/>
      <c r="M124" s="34"/>
      <c r="N124" s="34"/>
      <c r="O124" s="34"/>
      <c r="P124" s="34"/>
      <c r="Q124" s="34"/>
      <c r="R124" s="34"/>
      <c r="S124" s="34"/>
      <c r="T124" s="34"/>
      <c r="U124" s="34"/>
      <c r="V124" s="34"/>
      <c r="W124" s="34"/>
      <c r="X124" s="34"/>
      <c r="Y124" s="34"/>
      <c r="Z124" s="34"/>
    </row>
    <row r="125" spans="1:26" ht="13">
      <c r="A125" s="34"/>
      <c r="B125" s="34"/>
      <c r="C125" s="34"/>
      <c r="D125" s="34"/>
      <c r="E125" s="34"/>
      <c r="F125" s="33"/>
      <c r="G125" s="34"/>
      <c r="H125" s="34"/>
      <c r="I125" s="33"/>
      <c r="J125" s="34"/>
      <c r="K125" s="34"/>
      <c r="L125" s="34"/>
      <c r="M125" s="34"/>
      <c r="N125" s="34"/>
      <c r="O125" s="34"/>
      <c r="P125" s="34"/>
      <c r="Q125" s="34"/>
      <c r="R125" s="34"/>
      <c r="S125" s="34"/>
      <c r="T125" s="34"/>
      <c r="U125" s="34"/>
      <c r="V125" s="34"/>
      <c r="W125" s="34"/>
      <c r="X125" s="34"/>
      <c r="Y125" s="34"/>
      <c r="Z125" s="34"/>
    </row>
    <row r="126" spans="1:26" ht="13">
      <c r="A126" s="34"/>
      <c r="B126" s="34"/>
      <c r="C126" s="34"/>
      <c r="D126" s="34"/>
      <c r="E126" s="34"/>
      <c r="F126" s="33"/>
      <c r="G126" s="34"/>
      <c r="H126" s="34"/>
      <c r="I126" s="33"/>
      <c r="J126" s="34"/>
      <c r="K126" s="34"/>
      <c r="L126" s="34"/>
      <c r="M126" s="34"/>
      <c r="N126" s="34"/>
      <c r="O126" s="34"/>
      <c r="P126" s="34"/>
      <c r="Q126" s="34"/>
      <c r="R126" s="34"/>
      <c r="S126" s="34"/>
      <c r="T126" s="34"/>
      <c r="U126" s="34"/>
      <c r="V126" s="34"/>
      <c r="W126" s="34"/>
      <c r="X126" s="34"/>
      <c r="Y126" s="34"/>
      <c r="Z126" s="34"/>
    </row>
    <row r="127" spans="1:26" ht="13">
      <c r="A127" s="34"/>
      <c r="B127" s="34"/>
      <c r="C127" s="34"/>
      <c r="D127" s="34"/>
      <c r="E127" s="34"/>
      <c r="F127" s="33"/>
      <c r="G127" s="34"/>
      <c r="H127" s="34"/>
      <c r="I127" s="33"/>
      <c r="J127" s="34"/>
      <c r="K127" s="34"/>
      <c r="L127" s="34"/>
      <c r="M127" s="34"/>
      <c r="N127" s="34"/>
      <c r="O127" s="34"/>
      <c r="P127" s="34"/>
      <c r="Q127" s="34"/>
      <c r="R127" s="34"/>
      <c r="S127" s="34"/>
      <c r="T127" s="34"/>
      <c r="U127" s="34"/>
      <c r="V127" s="34"/>
      <c r="W127" s="34"/>
      <c r="X127" s="34"/>
      <c r="Y127" s="34"/>
      <c r="Z127" s="34"/>
    </row>
    <row r="128" spans="1:26" ht="13">
      <c r="A128" s="34"/>
      <c r="B128" s="34"/>
      <c r="C128" s="34"/>
      <c r="D128" s="34"/>
      <c r="E128" s="34"/>
      <c r="F128" s="33"/>
      <c r="G128" s="34"/>
      <c r="H128" s="34"/>
      <c r="I128" s="33"/>
      <c r="J128" s="34"/>
      <c r="K128" s="34"/>
      <c r="L128" s="34"/>
      <c r="M128" s="34"/>
      <c r="N128" s="34"/>
      <c r="O128" s="34"/>
      <c r="P128" s="34"/>
      <c r="Q128" s="34"/>
      <c r="R128" s="34"/>
      <c r="S128" s="34"/>
      <c r="T128" s="34"/>
      <c r="U128" s="34"/>
      <c r="V128" s="34"/>
      <c r="W128" s="34"/>
      <c r="X128" s="34"/>
      <c r="Y128" s="34"/>
      <c r="Z128" s="34"/>
    </row>
    <row r="129" spans="1:26" ht="13">
      <c r="A129" s="34"/>
      <c r="B129" s="34"/>
      <c r="C129" s="34"/>
      <c r="D129" s="34"/>
      <c r="E129" s="34"/>
      <c r="F129" s="33"/>
      <c r="G129" s="34"/>
      <c r="H129" s="34"/>
      <c r="I129" s="33"/>
      <c r="J129" s="34"/>
      <c r="K129" s="34"/>
      <c r="L129" s="34"/>
      <c r="M129" s="34"/>
      <c r="N129" s="34"/>
      <c r="O129" s="34"/>
      <c r="P129" s="34"/>
      <c r="Q129" s="34"/>
      <c r="R129" s="34"/>
      <c r="S129" s="34"/>
      <c r="T129" s="34"/>
      <c r="U129" s="34"/>
      <c r="V129" s="34"/>
      <c r="W129" s="34"/>
      <c r="X129" s="34"/>
      <c r="Y129" s="34"/>
      <c r="Z129" s="34"/>
    </row>
    <row r="130" spans="1:26" ht="13">
      <c r="A130" s="34"/>
      <c r="B130" s="34"/>
      <c r="C130" s="34"/>
      <c r="D130" s="34"/>
      <c r="E130" s="34"/>
      <c r="F130" s="33"/>
      <c r="G130" s="34"/>
      <c r="H130" s="34"/>
      <c r="I130" s="33"/>
      <c r="J130" s="34"/>
      <c r="K130" s="34"/>
      <c r="L130" s="34"/>
      <c r="M130" s="34"/>
      <c r="N130" s="34"/>
      <c r="O130" s="34"/>
      <c r="P130" s="34"/>
      <c r="Q130" s="34"/>
      <c r="R130" s="34"/>
      <c r="S130" s="34"/>
      <c r="T130" s="34"/>
      <c r="U130" s="34"/>
      <c r="V130" s="34"/>
      <c r="W130" s="34"/>
      <c r="X130" s="34"/>
      <c r="Y130" s="34"/>
      <c r="Z130" s="34"/>
    </row>
    <row r="131" spans="1:26" ht="13">
      <c r="A131" s="34"/>
      <c r="B131" s="34"/>
      <c r="C131" s="34"/>
      <c r="D131" s="34"/>
      <c r="E131" s="34"/>
      <c r="F131" s="33"/>
      <c r="G131" s="34"/>
      <c r="H131" s="34"/>
      <c r="I131" s="33"/>
      <c r="J131" s="34"/>
      <c r="K131" s="34"/>
      <c r="L131" s="34"/>
      <c r="M131" s="34"/>
      <c r="N131" s="34"/>
      <c r="O131" s="34"/>
      <c r="P131" s="34"/>
      <c r="Q131" s="34"/>
      <c r="R131" s="34"/>
      <c r="S131" s="34"/>
      <c r="T131" s="34"/>
      <c r="U131" s="34"/>
      <c r="V131" s="34"/>
      <c r="W131" s="34"/>
      <c r="X131" s="34"/>
      <c r="Y131" s="34"/>
      <c r="Z131" s="34"/>
    </row>
    <row r="132" spans="1:26" ht="13">
      <c r="A132" s="34"/>
      <c r="B132" s="34"/>
      <c r="C132" s="34"/>
      <c r="D132" s="34"/>
      <c r="E132" s="34"/>
      <c r="F132" s="33"/>
      <c r="G132" s="34"/>
      <c r="H132" s="34"/>
      <c r="I132" s="33"/>
      <c r="J132" s="34"/>
      <c r="K132" s="34"/>
      <c r="L132" s="34"/>
      <c r="M132" s="34"/>
      <c r="N132" s="34"/>
      <c r="O132" s="34"/>
      <c r="P132" s="34"/>
      <c r="Q132" s="34"/>
      <c r="R132" s="34"/>
      <c r="S132" s="34"/>
      <c r="T132" s="34"/>
      <c r="U132" s="34"/>
      <c r="V132" s="34"/>
      <c r="W132" s="34"/>
      <c r="X132" s="34"/>
      <c r="Y132" s="34"/>
      <c r="Z132" s="34"/>
    </row>
    <row r="133" spans="1:26" ht="13">
      <c r="A133" s="34"/>
      <c r="B133" s="34"/>
      <c r="C133" s="34"/>
      <c r="D133" s="34"/>
      <c r="E133" s="34"/>
      <c r="F133" s="33"/>
      <c r="G133" s="34"/>
      <c r="H133" s="34"/>
      <c r="I133" s="33"/>
      <c r="J133" s="34"/>
      <c r="K133" s="34"/>
      <c r="L133" s="34"/>
      <c r="M133" s="34"/>
      <c r="N133" s="34"/>
      <c r="O133" s="34"/>
      <c r="P133" s="34"/>
      <c r="Q133" s="34"/>
      <c r="R133" s="34"/>
      <c r="S133" s="34"/>
      <c r="T133" s="34"/>
      <c r="U133" s="34"/>
      <c r="V133" s="34"/>
      <c r="W133" s="34"/>
      <c r="X133" s="34"/>
      <c r="Y133" s="34"/>
      <c r="Z133" s="34"/>
    </row>
    <row r="134" spans="1:26" ht="13">
      <c r="A134" s="34"/>
      <c r="B134" s="34"/>
      <c r="C134" s="34"/>
      <c r="D134" s="34"/>
      <c r="E134" s="34"/>
      <c r="F134" s="33"/>
      <c r="G134" s="34"/>
      <c r="H134" s="34"/>
      <c r="I134" s="33"/>
      <c r="J134" s="34"/>
      <c r="K134" s="34"/>
      <c r="L134" s="34"/>
      <c r="M134" s="34"/>
      <c r="N134" s="34"/>
      <c r="O134" s="34"/>
      <c r="P134" s="34"/>
      <c r="Q134" s="34"/>
      <c r="R134" s="34"/>
      <c r="S134" s="34"/>
      <c r="T134" s="34"/>
      <c r="U134" s="34"/>
      <c r="V134" s="34"/>
      <c r="W134" s="34"/>
      <c r="X134" s="34"/>
      <c r="Y134" s="34"/>
      <c r="Z134" s="34"/>
    </row>
    <row r="135" spans="1:26" ht="13">
      <c r="A135" s="34"/>
      <c r="B135" s="34"/>
      <c r="C135" s="34"/>
      <c r="D135" s="34"/>
      <c r="E135" s="34"/>
      <c r="F135" s="33"/>
      <c r="G135" s="34"/>
      <c r="H135" s="34"/>
      <c r="I135" s="33"/>
      <c r="J135" s="34"/>
      <c r="K135" s="34"/>
      <c r="L135" s="34"/>
      <c r="M135" s="34"/>
      <c r="N135" s="34"/>
      <c r="O135" s="34"/>
      <c r="P135" s="34"/>
      <c r="Q135" s="34"/>
      <c r="R135" s="34"/>
      <c r="S135" s="34"/>
      <c r="T135" s="34"/>
      <c r="U135" s="34"/>
      <c r="V135" s="34"/>
      <c r="W135" s="34"/>
      <c r="X135" s="34"/>
      <c r="Y135" s="34"/>
      <c r="Z135" s="34"/>
    </row>
    <row r="136" spans="1:26" ht="13">
      <c r="A136" s="34"/>
      <c r="B136" s="34"/>
      <c r="C136" s="34"/>
      <c r="D136" s="34"/>
      <c r="E136" s="34"/>
      <c r="F136" s="33"/>
      <c r="G136" s="34"/>
      <c r="H136" s="34"/>
      <c r="I136" s="33"/>
      <c r="J136" s="34"/>
      <c r="K136" s="34"/>
      <c r="L136" s="34"/>
      <c r="M136" s="34"/>
      <c r="N136" s="34"/>
      <c r="O136" s="34"/>
      <c r="P136" s="34"/>
      <c r="Q136" s="34"/>
      <c r="R136" s="34"/>
      <c r="S136" s="34"/>
      <c r="T136" s="34"/>
      <c r="U136" s="34"/>
      <c r="V136" s="34"/>
      <c r="W136" s="34"/>
      <c r="X136" s="34"/>
      <c r="Y136" s="34"/>
      <c r="Z136" s="34"/>
    </row>
    <row r="137" spans="1:26" ht="13">
      <c r="A137" s="34"/>
      <c r="B137" s="34"/>
      <c r="C137" s="34"/>
      <c r="D137" s="34"/>
      <c r="E137" s="34"/>
      <c r="F137" s="33"/>
      <c r="G137" s="34"/>
      <c r="H137" s="34"/>
      <c r="I137" s="33"/>
      <c r="J137" s="34"/>
      <c r="K137" s="34"/>
      <c r="L137" s="34"/>
      <c r="M137" s="34"/>
      <c r="N137" s="34"/>
      <c r="O137" s="34"/>
      <c r="P137" s="34"/>
      <c r="Q137" s="34"/>
      <c r="R137" s="34"/>
      <c r="S137" s="34"/>
      <c r="T137" s="34"/>
      <c r="U137" s="34"/>
      <c r="V137" s="34"/>
      <c r="W137" s="34"/>
      <c r="X137" s="34"/>
      <c r="Y137" s="34"/>
      <c r="Z137" s="34"/>
    </row>
    <row r="138" spans="1:26" ht="13">
      <c r="A138" s="34"/>
      <c r="B138" s="34"/>
      <c r="C138" s="34"/>
      <c r="D138" s="34"/>
      <c r="E138" s="34"/>
      <c r="F138" s="33"/>
      <c r="G138" s="34"/>
      <c r="H138" s="34"/>
      <c r="I138" s="33"/>
      <c r="J138" s="34"/>
      <c r="K138" s="34"/>
      <c r="L138" s="34"/>
      <c r="M138" s="34"/>
      <c r="N138" s="34"/>
      <c r="O138" s="34"/>
      <c r="P138" s="34"/>
      <c r="Q138" s="34"/>
      <c r="R138" s="34"/>
      <c r="S138" s="34"/>
      <c r="T138" s="34"/>
      <c r="U138" s="34"/>
      <c r="V138" s="34"/>
      <c r="W138" s="34"/>
      <c r="X138" s="34"/>
      <c r="Y138" s="34"/>
      <c r="Z138" s="34"/>
    </row>
    <row r="139" spans="1:26" ht="13">
      <c r="A139" s="34"/>
      <c r="B139" s="34"/>
      <c r="C139" s="34"/>
      <c r="D139" s="34"/>
      <c r="E139" s="34"/>
      <c r="F139" s="33"/>
      <c r="G139" s="34"/>
      <c r="H139" s="34"/>
      <c r="I139" s="33"/>
      <c r="J139" s="34"/>
      <c r="K139" s="34"/>
      <c r="L139" s="34"/>
      <c r="M139" s="34"/>
      <c r="N139" s="34"/>
      <c r="O139" s="34"/>
      <c r="P139" s="34"/>
      <c r="Q139" s="34"/>
      <c r="R139" s="34"/>
      <c r="S139" s="34"/>
      <c r="T139" s="34"/>
      <c r="U139" s="34"/>
      <c r="V139" s="34"/>
      <c r="W139" s="34"/>
      <c r="X139" s="34"/>
      <c r="Y139" s="34"/>
      <c r="Z139" s="34"/>
    </row>
    <row r="140" spans="1:26" ht="13">
      <c r="A140" s="34"/>
      <c r="B140" s="34"/>
      <c r="C140" s="34"/>
      <c r="D140" s="34"/>
      <c r="E140" s="34"/>
      <c r="F140" s="33"/>
      <c r="G140" s="34"/>
      <c r="H140" s="34"/>
      <c r="I140" s="33"/>
      <c r="J140" s="34"/>
      <c r="K140" s="34"/>
      <c r="L140" s="34"/>
      <c r="M140" s="34"/>
      <c r="N140" s="34"/>
      <c r="O140" s="34"/>
      <c r="P140" s="34"/>
      <c r="Q140" s="34"/>
      <c r="R140" s="34"/>
      <c r="S140" s="34"/>
      <c r="T140" s="34"/>
      <c r="U140" s="34"/>
      <c r="V140" s="34"/>
      <c r="W140" s="34"/>
      <c r="X140" s="34"/>
      <c r="Y140" s="34"/>
      <c r="Z140" s="34"/>
    </row>
    <row r="141" spans="1:26" ht="13">
      <c r="A141" s="34"/>
      <c r="B141" s="34"/>
      <c r="C141" s="34"/>
      <c r="D141" s="34"/>
      <c r="E141" s="34"/>
      <c r="F141" s="33"/>
      <c r="G141" s="34"/>
      <c r="H141" s="34"/>
      <c r="I141" s="33"/>
      <c r="J141" s="34"/>
      <c r="K141" s="34"/>
      <c r="L141" s="34"/>
      <c r="M141" s="34"/>
      <c r="N141" s="34"/>
      <c r="O141" s="34"/>
      <c r="P141" s="34"/>
      <c r="Q141" s="34"/>
      <c r="R141" s="34"/>
      <c r="S141" s="34"/>
      <c r="T141" s="34"/>
      <c r="U141" s="34"/>
      <c r="V141" s="34"/>
      <c r="W141" s="34"/>
      <c r="X141" s="34"/>
      <c r="Y141" s="34"/>
      <c r="Z141" s="34"/>
    </row>
    <row r="142" spans="1:26" ht="13">
      <c r="A142" s="34"/>
      <c r="B142" s="34"/>
      <c r="C142" s="34"/>
      <c r="D142" s="34"/>
      <c r="E142" s="34"/>
      <c r="F142" s="33"/>
      <c r="G142" s="34"/>
      <c r="H142" s="34"/>
      <c r="I142" s="33"/>
      <c r="J142" s="34"/>
      <c r="K142" s="34"/>
      <c r="L142" s="34"/>
      <c r="M142" s="34"/>
      <c r="N142" s="34"/>
      <c r="O142" s="34"/>
      <c r="P142" s="34"/>
      <c r="Q142" s="34"/>
      <c r="R142" s="34"/>
      <c r="S142" s="34"/>
      <c r="T142" s="34"/>
      <c r="U142" s="34"/>
      <c r="V142" s="34"/>
      <c r="W142" s="34"/>
      <c r="X142" s="34"/>
      <c r="Y142" s="34"/>
      <c r="Z142" s="34"/>
    </row>
    <row r="143" spans="1:26" ht="13">
      <c r="A143" s="34"/>
      <c r="B143" s="34"/>
      <c r="C143" s="34"/>
      <c r="D143" s="34"/>
      <c r="E143" s="34"/>
      <c r="F143" s="33"/>
      <c r="G143" s="34"/>
      <c r="H143" s="34"/>
      <c r="I143" s="33"/>
      <c r="J143" s="34"/>
      <c r="K143" s="34"/>
      <c r="L143" s="34"/>
      <c r="M143" s="34"/>
      <c r="N143" s="34"/>
      <c r="O143" s="34"/>
      <c r="P143" s="34"/>
      <c r="Q143" s="34"/>
      <c r="R143" s="34"/>
      <c r="S143" s="34"/>
      <c r="T143" s="34"/>
      <c r="U143" s="34"/>
      <c r="V143" s="34"/>
      <c r="W143" s="34"/>
      <c r="X143" s="34"/>
      <c r="Y143" s="34"/>
      <c r="Z143" s="34"/>
    </row>
    <row r="144" spans="1:26" ht="13">
      <c r="A144" s="34"/>
      <c r="B144" s="34"/>
      <c r="C144" s="34"/>
      <c r="D144" s="34"/>
      <c r="E144" s="34"/>
      <c r="F144" s="33"/>
      <c r="G144" s="34"/>
      <c r="H144" s="34"/>
      <c r="I144" s="33"/>
      <c r="J144" s="34"/>
      <c r="K144" s="34"/>
      <c r="L144" s="34"/>
      <c r="M144" s="34"/>
      <c r="N144" s="34"/>
      <c r="O144" s="34"/>
      <c r="P144" s="34"/>
      <c r="Q144" s="34"/>
      <c r="R144" s="34"/>
      <c r="S144" s="34"/>
      <c r="T144" s="34"/>
      <c r="U144" s="34"/>
      <c r="V144" s="34"/>
      <c r="W144" s="34"/>
      <c r="X144" s="34"/>
      <c r="Y144" s="34"/>
      <c r="Z144" s="34"/>
    </row>
    <row r="145" spans="1:26" ht="13">
      <c r="A145" s="34"/>
      <c r="B145" s="34"/>
      <c r="C145" s="34"/>
      <c r="D145" s="34"/>
      <c r="E145" s="34"/>
      <c r="F145" s="33"/>
      <c r="G145" s="34"/>
      <c r="H145" s="34"/>
      <c r="I145" s="33"/>
      <c r="J145" s="34"/>
      <c r="K145" s="34"/>
      <c r="L145" s="34"/>
      <c r="M145" s="34"/>
      <c r="N145" s="34"/>
      <c r="O145" s="34"/>
      <c r="P145" s="34"/>
      <c r="Q145" s="34"/>
      <c r="R145" s="34"/>
      <c r="S145" s="34"/>
      <c r="T145" s="34"/>
      <c r="U145" s="34"/>
      <c r="V145" s="34"/>
      <c r="W145" s="34"/>
      <c r="X145" s="34"/>
      <c r="Y145" s="34"/>
      <c r="Z145" s="34"/>
    </row>
    <row r="146" spans="1:26" ht="13">
      <c r="A146" s="34"/>
      <c r="B146" s="34"/>
      <c r="C146" s="34"/>
      <c r="D146" s="34"/>
      <c r="E146" s="34"/>
      <c r="F146" s="33"/>
      <c r="G146" s="34"/>
      <c r="H146" s="34"/>
      <c r="I146" s="33"/>
      <c r="J146" s="34"/>
      <c r="K146" s="34"/>
      <c r="L146" s="34"/>
      <c r="M146" s="34"/>
      <c r="N146" s="34"/>
      <c r="O146" s="34"/>
      <c r="P146" s="34"/>
      <c r="Q146" s="34"/>
      <c r="R146" s="34"/>
      <c r="S146" s="34"/>
      <c r="T146" s="34"/>
      <c r="U146" s="34"/>
      <c r="V146" s="34"/>
      <c r="W146" s="34"/>
      <c r="X146" s="34"/>
      <c r="Y146" s="34"/>
      <c r="Z146" s="34"/>
    </row>
    <row r="147" spans="1:26" ht="13">
      <c r="A147" s="34"/>
      <c r="B147" s="34"/>
      <c r="C147" s="34"/>
      <c r="D147" s="34"/>
      <c r="E147" s="34"/>
      <c r="F147" s="33"/>
      <c r="G147" s="34"/>
      <c r="H147" s="34"/>
      <c r="I147" s="33"/>
      <c r="J147" s="34"/>
      <c r="K147" s="34"/>
      <c r="L147" s="34"/>
      <c r="M147" s="34"/>
      <c r="N147" s="34"/>
      <c r="O147" s="34"/>
      <c r="P147" s="34"/>
      <c r="Q147" s="34"/>
      <c r="R147" s="34"/>
      <c r="S147" s="34"/>
      <c r="T147" s="34"/>
      <c r="U147" s="34"/>
      <c r="V147" s="34"/>
      <c r="W147" s="34"/>
      <c r="X147" s="34"/>
      <c r="Y147" s="34"/>
      <c r="Z147" s="34"/>
    </row>
    <row r="148" spans="1:26" ht="13">
      <c r="A148" s="34"/>
      <c r="B148" s="34"/>
      <c r="C148" s="34"/>
      <c r="D148" s="34"/>
      <c r="E148" s="34"/>
      <c r="F148" s="33"/>
      <c r="G148" s="34"/>
      <c r="H148" s="34"/>
      <c r="I148" s="33"/>
      <c r="J148" s="34"/>
      <c r="K148" s="34"/>
      <c r="L148" s="34"/>
      <c r="M148" s="34"/>
      <c r="N148" s="34"/>
      <c r="O148" s="34"/>
      <c r="P148" s="34"/>
      <c r="Q148" s="34"/>
      <c r="R148" s="34"/>
      <c r="S148" s="34"/>
      <c r="T148" s="34"/>
      <c r="U148" s="34"/>
      <c r="V148" s="34"/>
      <c r="W148" s="34"/>
      <c r="X148" s="34"/>
      <c r="Y148" s="34"/>
      <c r="Z148" s="34"/>
    </row>
    <row r="149" spans="1:26" ht="13">
      <c r="A149" s="34"/>
      <c r="B149" s="34"/>
      <c r="C149" s="34"/>
      <c r="D149" s="34"/>
      <c r="E149" s="34"/>
      <c r="F149" s="33"/>
      <c r="G149" s="34"/>
      <c r="H149" s="34"/>
      <c r="I149" s="33"/>
      <c r="J149" s="34"/>
      <c r="K149" s="34"/>
      <c r="L149" s="34"/>
      <c r="M149" s="34"/>
      <c r="N149" s="34"/>
      <c r="O149" s="34"/>
      <c r="P149" s="34"/>
      <c r="Q149" s="34"/>
      <c r="R149" s="34"/>
      <c r="S149" s="34"/>
      <c r="T149" s="34"/>
      <c r="U149" s="34"/>
      <c r="V149" s="34"/>
      <c r="W149" s="34"/>
      <c r="X149" s="34"/>
      <c r="Y149" s="34"/>
      <c r="Z149" s="34"/>
    </row>
    <row r="150" spans="1:26" ht="13">
      <c r="A150" s="34"/>
      <c r="B150" s="34"/>
      <c r="C150" s="34"/>
      <c r="D150" s="34"/>
      <c r="E150" s="34"/>
      <c r="F150" s="33"/>
      <c r="G150" s="34"/>
      <c r="H150" s="34"/>
      <c r="I150" s="33"/>
      <c r="J150" s="34"/>
      <c r="K150" s="34"/>
      <c r="L150" s="34"/>
      <c r="M150" s="34"/>
      <c r="N150" s="34"/>
      <c r="O150" s="34"/>
      <c r="P150" s="34"/>
      <c r="Q150" s="34"/>
      <c r="R150" s="34"/>
      <c r="S150" s="34"/>
      <c r="T150" s="34"/>
      <c r="U150" s="34"/>
      <c r="V150" s="34"/>
      <c r="W150" s="34"/>
      <c r="X150" s="34"/>
      <c r="Y150" s="34"/>
      <c r="Z150" s="34"/>
    </row>
    <row r="151" spans="1:26" ht="13">
      <c r="A151" s="34"/>
      <c r="B151" s="34"/>
      <c r="C151" s="34"/>
      <c r="D151" s="34"/>
      <c r="E151" s="34"/>
      <c r="F151" s="33"/>
      <c r="G151" s="34"/>
      <c r="H151" s="34"/>
      <c r="I151" s="33"/>
      <c r="J151" s="34"/>
      <c r="K151" s="34"/>
      <c r="L151" s="34"/>
      <c r="M151" s="34"/>
      <c r="N151" s="34"/>
      <c r="O151" s="34"/>
      <c r="P151" s="34"/>
      <c r="Q151" s="34"/>
      <c r="R151" s="34"/>
      <c r="S151" s="34"/>
      <c r="T151" s="34"/>
      <c r="U151" s="34"/>
      <c r="V151" s="34"/>
      <c r="W151" s="34"/>
      <c r="X151" s="34"/>
      <c r="Y151" s="34"/>
      <c r="Z151" s="34"/>
    </row>
    <row r="152" spans="1:26" ht="13">
      <c r="A152" s="34"/>
      <c r="B152" s="34"/>
      <c r="C152" s="34"/>
      <c r="D152" s="34"/>
      <c r="E152" s="34"/>
      <c r="F152" s="33"/>
      <c r="G152" s="34"/>
      <c r="H152" s="34"/>
      <c r="I152" s="33"/>
      <c r="J152" s="34"/>
      <c r="K152" s="34"/>
      <c r="L152" s="34"/>
      <c r="M152" s="34"/>
      <c r="N152" s="34"/>
      <c r="O152" s="34"/>
      <c r="P152" s="34"/>
      <c r="Q152" s="34"/>
      <c r="R152" s="34"/>
      <c r="S152" s="34"/>
      <c r="T152" s="34"/>
      <c r="U152" s="34"/>
      <c r="V152" s="34"/>
      <c r="W152" s="34"/>
      <c r="X152" s="34"/>
      <c r="Y152" s="34"/>
      <c r="Z152" s="34"/>
    </row>
    <row r="153" spans="1:26" ht="13">
      <c r="A153" s="34"/>
      <c r="B153" s="34"/>
      <c r="C153" s="34"/>
      <c r="D153" s="34"/>
      <c r="E153" s="34"/>
      <c r="F153" s="33"/>
      <c r="G153" s="34"/>
      <c r="H153" s="34"/>
      <c r="I153" s="33"/>
      <c r="J153" s="34"/>
      <c r="K153" s="34"/>
      <c r="L153" s="34"/>
      <c r="M153" s="34"/>
      <c r="N153" s="34"/>
      <c r="O153" s="34"/>
      <c r="P153" s="34"/>
      <c r="Q153" s="34"/>
      <c r="R153" s="34"/>
      <c r="S153" s="34"/>
      <c r="T153" s="34"/>
      <c r="U153" s="34"/>
      <c r="V153" s="34"/>
      <c r="W153" s="34"/>
      <c r="X153" s="34"/>
      <c r="Y153" s="34"/>
      <c r="Z153" s="34"/>
    </row>
    <row r="154" spans="1:26" ht="13">
      <c r="A154" s="34"/>
      <c r="B154" s="34"/>
      <c r="C154" s="34"/>
      <c r="D154" s="34"/>
      <c r="E154" s="34"/>
      <c r="F154" s="33"/>
      <c r="G154" s="34"/>
      <c r="H154" s="34"/>
      <c r="I154" s="33"/>
      <c r="J154" s="34"/>
      <c r="K154" s="34"/>
      <c r="L154" s="34"/>
      <c r="M154" s="34"/>
      <c r="N154" s="34"/>
      <c r="O154" s="34"/>
      <c r="P154" s="34"/>
      <c r="Q154" s="34"/>
      <c r="R154" s="34"/>
      <c r="S154" s="34"/>
      <c r="T154" s="34"/>
      <c r="U154" s="34"/>
      <c r="V154" s="34"/>
      <c r="W154" s="34"/>
      <c r="X154" s="34"/>
      <c r="Y154" s="34"/>
      <c r="Z154" s="34"/>
    </row>
    <row r="155" spans="1:26" ht="13">
      <c r="A155" s="34"/>
      <c r="B155" s="34"/>
      <c r="C155" s="34"/>
      <c r="D155" s="34"/>
      <c r="E155" s="34"/>
      <c r="F155" s="33"/>
      <c r="G155" s="34"/>
      <c r="H155" s="34"/>
      <c r="I155" s="33"/>
      <c r="J155" s="34"/>
      <c r="K155" s="34"/>
      <c r="L155" s="34"/>
      <c r="M155" s="34"/>
      <c r="N155" s="34"/>
      <c r="O155" s="34"/>
      <c r="P155" s="34"/>
      <c r="Q155" s="34"/>
      <c r="R155" s="34"/>
      <c r="S155" s="34"/>
      <c r="T155" s="34"/>
      <c r="U155" s="34"/>
      <c r="V155" s="34"/>
      <c r="W155" s="34"/>
      <c r="X155" s="34"/>
      <c r="Y155" s="34"/>
      <c r="Z155" s="34"/>
    </row>
    <row r="156" spans="1:26" ht="13">
      <c r="A156" s="34"/>
      <c r="B156" s="34"/>
      <c r="C156" s="34"/>
      <c r="D156" s="34"/>
      <c r="E156" s="34"/>
      <c r="F156" s="33"/>
      <c r="G156" s="34"/>
      <c r="H156" s="34"/>
      <c r="I156" s="33"/>
      <c r="J156" s="34"/>
      <c r="K156" s="34"/>
      <c r="L156" s="34"/>
      <c r="M156" s="34"/>
      <c r="N156" s="34"/>
      <c r="O156" s="34"/>
      <c r="P156" s="34"/>
      <c r="Q156" s="34"/>
      <c r="R156" s="34"/>
      <c r="S156" s="34"/>
      <c r="T156" s="34"/>
      <c r="U156" s="34"/>
      <c r="V156" s="34"/>
      <c r="W156" s="34"/>
      <c r="X156" s="34"/>
      <c r="Y156" s="34"/>
      <c r="Z156" s="34"/>
    </row>
    <row r="157" spans="1:26" ht="13">
      <c r="A157" s="34"/>
      <c r="B157" s="34"/>
      <c r="C157" s="34"/>
      <c r="D157" s="34"/>
      <c r="E157" s="34"/>
      <c r="F157" s="33"/>
      <c r="G157" s="34"/>
      <c r="H157" s="34"/>
      <c r="I157" s="33"/>
      <c r="J157" s="34"/>
      <c r="K157" s="34"/>
      <c r="L157" s="34"/>
      <c r="M157" s="34"/>
      <c r="N157" s="34"/>
      <c r="O157" s="34"/>
      <c r="P157" s="34"/>
      <c r="Q157" s="34"/>
      <c r="R157" s="34"/>
      <c r="S157" s="34"/>
      <c r="T157" s="34"/>
      <c r="U157" s="34"/>
      <c r="V157" s="34"/>
      <c r="W157" s="34"/>
      <c r="X157" s="34"/>
      <c r="Y157" s="34"/>
      <c r="Z157" s="34"/>
    </row>
    <row r="158" spans="1:26" ht="13">
      <c r="A158" s="34"/>
      <c r="B158" s="34"/>
      <c r="C158" s="34"/>
      <c r="D158" s="34"/>
      <c r="E158" s="34"/>
      <c r="F158" s="33"/>
      <c r="G158" s="34"/>
      <c r="H158" s="34"/>
      <c r="I158" s="33"/>
      <c r="J158" s="34"/>
      <c r="K158" s="34"/>
      <c r="L158" s="34"/>
      <c r="M158" s="34"/>
      <c r="N158" s="34"/>
      <c r="O158" s="34"/>
      <c r="P158" s="34"/>
      <c r="Q158" s="34"/>
      <c r="R158" s="34"/>
      <c r="S158" s="34"/>
      <c r="T158" s="34"/>
      <c r="U158" s="34"/>
      <c r="V158" s="34"/>
      <c r="W158" s="34"/>
      <c r="X158" s="34"/>
      <c r="Y158" s="34"/>
      <c r="Z158" s="34"/>
    </row>
    <row r="159" spans="1:26" ht="13">
      <c r="A159" s="34"/>
      <c r="B159" s="34"/>
      <c r="C159" s="34"/>
      <c r="D159" s="34"/>
      <c r="E159" s="34"/>
      <c r="F159" s="33"/>
      <c r="G159" s="34"/>
      <c r="H159" s="34"/>
      <c r="I159" s="33"/>
      <c r="J159" s="34"/>
      <c r="K159" s="34"/>
      <c r="L159" s="34"/>
      <c r="M159" s="34"/>
      <c r="N159" s="34"/>
      <c r="O159" s="34"/>
      <c r="P159" s="34"/>
      <c r="Q159" s="34"/>
      <c r="R159" s="34"/>
      <c r="S159" s="34"/>
      <c r="T159" s="34"/>
      <c r="U159" s="34"/>
      <c r="V159" s="34"/>
      <c r="W159" s="34"/>
      <c r="X159" s="34"/>
      <c r="Y159" s="34"/>
      <c r="Z159" s="34"/>
    </row>
    <row r="160" spans="1:26" ht="13">
      <c r="A160" s="34"/>
      <c r="B160" s="34"/>
      <c r="C160" s="34"/>
      <c r="D160" s="34"/>
      <c r="E160" s="34"/>
      <c r="F160" s="33"/>
      <c r="G160" s="34"/>
      <c r="H160" s="34"/>
      <c r="I160" s="33"/>
      <c r="J160" s="34"/>
      <c r="K160" s="34"/>
      <c r="L160" s="34"/>
      <c r="M160" s="34"/>
      <c r="N160" s="34"/>
      <c r="O160" s="34"/>
      <c r="P160" s="34"/>
      <c r="Q160" s="34"/>
      <c r="R160" s="34"/>
      <c r="S160" s="34"/>
      <c r="T160" s="34"/>
      <c r="U160" s="34"/>
      <c r="V160" s="34"/>
      <c r="W160" s="34"/>
      <c r="X160" s="34"/>
      <c r="Y160" s="34"/>
      <c r="Z160" s="34"/>
    </row>
    <row r="161" spans="1:26" ht="13">
      <c r="A161" s="34"/>
      <c r="B161" s="34"/>
      <c r="C161" s="34"/>
      <c r="D161" s="34"/>
      <c r="E161" s="34"/>
      <c r="F161" s="33"/>
      <c r="G161" s="34"/>
      <c r="H161" s="34"/>
      <c r="I161" s="33"/>
      <c r="J161" s="34"/>
      <c r="K161" s="34"/>
      <c r="L161" s="34"/>
      <c r="M161" s="34"/>
      <c r="N161" s="34"/>
      <c r="O161" s="34"/>
      <c r="P161" s="34"/>
      <c r="Q161" s="34"/>
      <c r="R161" s="34"/>
      <c r="S161" s="34"/>
      <c r="T161" s="34"/>
      <c r="U161" s="34"/>
      <c r="V161" s="34"/>
      <c r="W161" s="34"/>
      <c r="X161" s="34"/>
      <c r="Y161" s="34"/>
      <c r="Z161" s="34"/>
    </row>
    <row r="162" spans="1:26" ht="13">
      <c r="A162" s="34"/>
      <c r="B162" s="34"/>
      <c r="C162" s="34"/>
      <c r="D162" s="34"/>
      <c r="E162" s="34"/>
      <c r="F162" s="33"/>
      <c r="G162" s="34"/>
      <c r="H162" s="34"/>
      <c r="I162" s="33"/>
      <c r="J162" s="34"/>
      <c r="K162" s="34"/>
      <c r="L162" s="34"/>
      <c r="M162" s="34"/>
      <c r="N162" s="34"/>
      <c r="O162" s="34"/>
      <c r="P162" s="34"/>
      <c r="Q162" s="34"/>
      <c r="R162" s="34"/>
      <c r="S162" s="34"/>
      <c r="T162" s="34"/>
      <c r="U162" s="34"/>
      <c r="V162" s="34"/>
      <c r="W162" s="34"/>
      <c r="X162" s="34"/>
      <c r="Y162" s="34"/>
      <c r="Z162" s="34"/>
    </row>
    <row r="163" spans="1:26" ht="13">
      <c r="A163" s="34"/>
      <c r="B163" s="34"/>
      <c r="C163" s="34"/>
      <c r="D163" s="34"/>
      <c r="E163" s="34"/>
      <c r="F163" s="33"/>
      <c r="G163" s="34"/>
      <c r="H163" s="34"/>
      <c r="I163" s="33"/>
      <c r="J163" s="34"/>
      <c r="K163" s="34"/>
      <c r="L163" s="34"/>
      <c r="M163" s="34"/>
      <c r="N163" s="34"/>
      <c r="O163" s="34"/>
      <c r="P163" s="34"/>
      <c r="Q163" s="34"/>
      <c r="R163" s="34"/>
      <c r="S163" s="34"/>
      <c r="T163" s="34"/>
      <c r="U163" s="34"/>
      <c r="V163" s="34"/>
      <c r="W163" s="34"/>
      <c r="X163" s="34"/>
      <c r="Y163" s="34"/>
      <c r="Z163" s="34"/>
    </row>
    <row r="164" spans="1:26" ht="13">
      <c r="A164" s="34"/>
      <c r="B164" s="34"/>
      <c r="C164" s="34"/>
      <c r="D164" s="34"/>
      <c r="E164" s="34"/>
      <c r="F164" s="33"/>
      <c r="G164" s="34"/>
      <c r="H164" s="34"/>
      <c r="I164" s="33"/>
      <c r="J164" s="34"/>
      <c r="K164" s="34"/>
      <c r="L164" s="34"/>
      <c r="M164" s="34"/>
      <c r="N164" s="34"/>
      <c r="O164" s="34"/>
      <c r="P164" s="34"/>
      <c r="Q164" s="34"/>
      <c r="R164" s="34"/>
      <c r="S164" s="34"/>
      <c r="T164" s="34"/>
      <c r="U164" s="34"/>
      <c r="V164" s="34"/>
      <c r="W164" s="34"/>
      <c r="X164" s="34"/>
      <c r="Y164" s="34"/>
      <c r="Z164" s="34"/>
    </row>
    <row r="165" spans="1:26" ht="13">
      <c r="A165" s="34"/>
      <c r="B165" s="34"/>
      <c r="C165" s="34"/>
      <c r="D165" s="34"/>
      <c r="E165" s="34"/>
      <c r="F165" s="33"/>
      <c r="G165" s="34"/>
      <c r="H165" s="34"/>
      <c r="I165" s="33"/>
      <c r="J165" s="34"/>
      <c r="K165" s="34"/>
      <c r="L165" s="34"/>
      <c r="M165" s="34"/>
      <c r="N165" s="34"/>
      <c r="O165" s="34"/>
      <c r="P165" s="34"/>
      <c r="Q165" s="34"/>
      <c r="R165" s="34"/>
      <c r="S165" s="34"/>
      <c r="T165" s="34"/>
      <c r="U165" s="34"/>
      <c r="V165" s="34"/>
      <c r="W165" s="34"/>
      <c r="X165" s="34"/>
      <c r="Y165" s="34"/>
      <c r="Z165" s="34"/>
    </row>
    <row r="166" spans="1:26" ht="13">
      <c r="A166" s="34"/>
      <c r="B166" s="34"/>
      <c r="C166" s="34"/>
      <c r="D166" s="34"/>
      <c r="E166" s="34"/>
      <c r="F166" s="33"/>
      <c r="G166" s="34"/>
      <c r="H166" s="34"/>
      <c r="I166" s="33"/>
      <c r="J166" s="34"/>
      <c r="K166" s="34"/>
      <c r="L166" s="34"/>
      <c r="M166" s="34"/>
      <c r="N166" s="34"/>
      <c r="O166" s="34"/>
      <c r="P166" s="34"/>
      <c r="Q166" s="34"/>
      <c r="R166" s="34"/>
      <c r="S166" s="34"/>
      <c r="T166" s="34"/>
      <c r="U166" s="34"/>
      <c r="V166" s="34"/>
      <c r="W166" s="34"/>
      <c r="X166" s="34"/>
      <c r="Y166" s="34"/>
      <c r="Z166" s="34"/>
    </row>
    <row r="167" spans="1:26" ht="13">
      <c r="A167" s="34"/>
      <c r="B167" s="34"/>
      <c r="C167" s="34"/>
      <c r="D167" s="34"/>
      <c r="E167" s="34"/>
      <c r="F167" s="33"/>
      <c r="G167" s="34"/>
      <c r="H167" s="34"/>
      <c r="I167" s="33"/>
      <c r="J167" s="34"/>
      <c r="K167" s="34"/>
      <c r="L167" s="34"/>
      <c r="M167" s="34"/>
      <c r="N167" s="34"/>
      <c r="O167" s="34"/>
      <c r="P167" s="34"/>
      <c r="Q167" s="34"/>
      <c r="R167" s="34"/>
      <c r="S167" s="34"/>
      <c r="T167" s="34"/>
      <c r="U167" s="34"/>
      <c r="V167" s="34"/>
      <c r="W167" s="34"/>
      <c r="X167" s="34"/>
      <c r="Y167" s="34"/>
      <c r="Z167" s="34"/>
    </row>
    <row r="168" spans="1:26" ht="13">
      <c r="A168" s="34"/>
      <c r="B168" s="34"/>
      <c r="C168" s="34"/>
      <c r="D168" s="34"/>
      <c r="E168" s="34"/>
      <c r="F168" s="33"/>
      <c r="G168" s="34"/>
      <c r="H168" s="34"/>
      <c r="I168" s="33"/>
      <c r="J168" s="34"/>
      <c r="K168" s="34"/>
      <c r="L168" s="34"/>
      <c r="M168" s="34"/>
      <c r="N168" s="34"/>
      <c r="O168" s="34"/>
      <c r="P168" s="34"/>
      <c r="Q168" s="34"/>
      <c r="R168" s="34"/>
      <c r="S168" s="34"/>
      <c r="T168" s="34"/>
      <c r="U168" s="34"/>
      <c r="V168" s="34"/>
      <c r="W168" s="34"/>
      <c r="X168" s="34"/>
      <c r="Y168" s="34"/>
      <c r="Z168" s="34"/>
    </row>
    <row r="169" spans="1:26" ht="13">
      <c r="A169" s="34"/>
      <c r="B169" s="34"/>
      <c r="C169" s="34"/>
      <c r="D169" s="34"/>
      <c r="E169" s="34"/>
      <c r="F169" s="33"/>
      <c r="G169" s="34"/>
      <c r="H169" s="34"/>
      <c r="I169" s="33"/>
      <c r="J169" s="34"/>
      <c r="K169" s="34"/>
      <c r="L169" s="34"/>
      <c r="M169" s="34"/>
      <c r="N169" s="34"/>
      <c r="O169" s="34"/>
      <c r="P169" s="34"/>
      <c r="Q169" s="34"/>
      <c r="R169" s="34"/>
      <c r="S169" s="34"/>
      <c r="T169" s="34"/>
      <c r="U169" s="34"/>
      <c r="V169" s="34"/>
      <c r="W169" s="34"/>
      <c r="X169" s="34"/>
      <c r="Y169" s="34"/>
      <c r="Z169" s="34"/>
    </row>
    <row r="170" spans="1:26" ht="13">
      <c r="A170" s="34"/>
      <c r="B170" s="34"/>
      <c r="C170" s="34"/>
      <c r="D170" s="34"/>
      <c r="E170" s="34"/>
      <c r="F170" s="33"/>
      <c r="G170" s="34"/>
      <c r="H170" s="34"/>
      <c r="I170" s="33"/>
      <c r="J170" s="34"/>
      <c r="K170" s="34"/>
      <c r="L170" s="34"/>
      <c r="M170" s="34"/>
      <c r="N170" s="34"/>
      <c r="O170" s="34"/>
      <c r="P170" s="34"/>
      <c r="Q170" s="34"/>
      <c r="R170" s="34"/>
      <c r="S170" s="34"/>
      <c r="T170" s="34"/>
      <c r="U170" s="34"/>
      <c r="V170" s="34"/>
      <c r="W170" s="34"/>
      <c r="X170" s="34"/>
      <c r="Y170" s="34"/>
      <c r="Z170" s="34"/>
    </row>
    <row r="171" spans="1:26" ht="13">
      <c r="A171" s="34"/>
      <c r="B171" s="34"/>
      <c r="C171" s="34"/>
      <c r="D171" s="34"/>
      <c r="E171" s="34"/>
      <c r="F171" s="33"/>
      <c r="G171" s="34"/>
      <c r="H171" s="34"/>
      <c r="I171" s="33"/>
      <c r="J171" s="34"/>
      <c r="K171" s="34"/>
      <c r="L171" s="34"/>
      <c r="M171" s="34"/>
      <c r="N171" s="34"/>
      <c r="O171" s="34"/>
      <c r="P171" s="34"/>
      <c r="Q171" s="34"/>
      <c r="R171" s="34"/>
      <c r="S171" s="34"/>
      <c r="T171" s="34"/>
      <c r="U171" s="34"/>
      <c r="V171" s="34"/>
      <c r="W171" s="34"/>
      <c r="X171" s="34"/>
      <c r="Y171" s="34"/>
      <c r="Z171" s="34"/>
    </row>
    <row r="172" spans="1:26" ht="13">
      <c r="A172" s="34"/>
      <c r="B172" s="34"/>
      <c r="C172" s="34"/>
      <c r="D172" s="34"/>
      <c r="E172" s="34"/>
      <c r="F172" s="33"/>
      <c r="G172" s="34"/>
      <c r="H172" s="34"/>
      <c r="I172" s="33"/>
      <c r="J172" s="34"/>
      <c r="K172" s="34"/>
      <c r="L172" s="34"/>
      <c r="M172" s="34"/>
      <c r="N172" s="34"/>
      <c r="O172" s="34"/>
      <c r="P172" s="34"/>
      <c r="Q172" s="34"/>
      <c r="R172" s="34"/>
      <c r="S172" s="34"/>
      <c r="T172" s="34"/>
      <c r="U172" s="34"/>
      <c r="V172" s="34"/>
      <c r="W172" s="34"/>
      <c r="X172" s="34"/>
      <c r="Y172" s="34"/>
      <c r="Z172" s="34"/>
    </row>
    <row r="173" spans="1:26" ht="13">
      <c r="A173" s="34"/>
      <c r="B173" s="34"/>
      <c r="C173" s="34"/>
      <c r="D173" s="34"/>
      <c r="E173" s="34"/>
      <c r="F173" s="33"/>
      <c r="G173" s="34"/>
      <c r="H173" s="34"/>
      <c r="I173" s="33"/>
      <c r="J173" s="34"/>
      <c r="K173" s="34"/>
      <c r="L173" s="34"/>
      <c r="M173" s="34"/>
      <c r="N173" s="34"/>
      <c r="O173" s="34"/>
      <c r="P173" s="34"/>
      <c r="Q173" s="34"/>
      <c r="R173" s="34"/>
      <c r="S173" s="34"/>
      <c r="T173" s="34"/>
      <c r="U173" s="34"/>
      <c r="V173" s="34"/>
      <c r="W173" s="34"/>
      <c r="X173" s="34"/>
      <c r="Y173" s="34"/>
      <c r="Z173" s="34"/>
    </row>
    <row r="174" spans="1:26" ht="13">
      <c r="A174" s="34"/>
      <c r="B174" s="34"/>
      <c r="C174" s="34"/>
      <c r="D174" s="34"/>
      <c r="E174" s="34"/>
      <c r="F174" s="33"/>
      <c r="G174" s="34"/>
      <c r="H174" s="34"/>
      <c r="I174" s="33"/>
      <c r="J174" s="34"/>
      <c r="K174" s="34"/>
      <c r="L174" s="34"/>
      <c r="M174" s="34"/>
      <c r="N174" s="34"/>
      <c r="O174" s="34"/>
      <c r="P174" s="34"/>
      <c r="Q174" s="34"/>
      <c r="R174" s="34"/>
      <c r="S174" s="34"/>
      <c r="T174" s="34"/>
      <c r="U174" s="34"/>
      <c r="V174" s="34"/>
      <c r="W174" s="34"/>
      <c r="X174" s="34"/>
      <c r="Y174" s="34"/>
      <c r="Z174" s="34"/>
    </row>
    <row r="175" spans="1:26" ht="13">
      <c r="A175" s="34"/>
      <c r="B175" s="34"/>
      <c r="C175" s="34"/>
      <c r="D175" s="34"/>
      <c r="E175" s="34"/>
      <c r="F175" s="33"/>
      <c r="G175" s="34"/>
      <c r="H175" s="34"/>
      <c r="I175" s="33"/>
      <c r="J175" s="34"/>
      <c r="K175" s="34"/>
      <c r="L175" s="34"/>
      <c r="M175" s="34"/>
      <c r="N175" s="34"/>
      <c r="O175" s="34"/>
      <c r="P175" s="34"/>
      <c r="Q175" s="34"/>
      <c r="R175" s="34"/>
      <c r="S175" s="34"/>
      <c r="T175" s="34"/>
      <c r="U175" s="34"/>
      <c r="V175" s="34"/>
      <c r="W175" s="34"/>
      <c r="X175" s="34"/>
      <c r="Y175" s="34"/>
      <c r="Z175" s="34"/>
    </row>
    <row r="176" spans="1:26" ht="13">
      <c r="A176" s="34"/>
      <c r="B176" s="34"/>
      <c r="C176" s="34"/>
      <c r="D176" s="34"/>
      <c r="E176" s="34"/>
      <c r="F176" s="33"/>
      <c r="G176" s="34"/>
      <c r="H176" s="34"/>
      <c r="I176" s="33"/>
      <c r="J176" s="34"/>
      <c r="K176" s="34"/>
      <c r="L176" s="34"/>
      <c r="M176" s="34"/>
      <c r="N176" s="34"/>
      <c r="O176" s="34"/>
      <c r="P176" s="34"/>
      <c r="Q176" s="34"/>
      <c r="R176" s="34"/>
      <c r="S176" s="34"/>
      <c r="T176" s="34"/>
      <c r="U176" s="34"/>
      <c r="V176" s="34"/>
      <c r="W176" s="34"/>
      <c r="X176" s="34"/>
      <c r="Y176" s="34"/>
      <c r="Z176" s="34"/>
    </row>
    <row r="177" spans="1:26" ht="13">
      <c r="A177" s="34"/>
      <c r="B177" s="34"/>
      <c r="C177" s="34"/>
      <c r="D177" s="34"/>
      <c r="E177" s="34"/>
      <c r="F177" s="33"/>
      <c r="G177" s="34"/>
      <c r="H177" s="34"/>
      <c r="I177" s="33"/>
      <c r="J177" s="34"/>
      <c r="K177" s="34"/>
      <c r="L177" s="34"/>
      <c r="M177" s="34"/>
      <c r="N177" s="34"/>
      <c r="O177" s="34"/>
      <c r="P177" s="34"/>
      <c r="Q177" s="34"/>
      <c r="R177" s="34"/>
      <c r="S177" s="34"/>
      <c r="T177" s="34"/>
      <c r="U177" s="34"/>
      <c r="V177" s="34"/>
      <c r="W177" s="34"/>
      <c r="X177" s="34"/>
      <c r="Y177" s="34"/>
      <c r="Z177" s="34"/>
    </row>
    <row r="178" spans="1:26" ht="13">
      <c r="A178" s="34"/>
      <c r="B178" s="34"/>
      <c r="C178" s="34"/>
      <c r="D178" s="34"/>
      <c r="E178" s="34"/>
      <c r="F178" s="33"/>
      <c r="G178" s="34"/>
      <c r="H178" s="34"/>
      <c r="I178" s="33"/>
      <c r="J178" s="34"/>
      <c r="K178" s="34"/>
      <c r="L178" s="34"/>
      <c r="M178" s="34"/>
      <c r="N178" s="34"/>
      <c r="O178" s="34"/>
      <c r="P178" s="34"/>
      <c r="Q178" s="34"/>
      <c r="R178" s="34"/>
      <c r="S178" s="34"/>
      <c r="T178" s="34"/>
      <c r="U178" s="34"/>
      <c r="V178" s="34"/>
      <c r="W178" s="34"/>
      <c r="X178" s="34"/>
      <c r="Y178" s="34"/>
      <c r="Z178" s="34"/>
    </row>
    <row r="179" spans="1:26" ht="13">
      <c r="A179" s="34"/>
      <c r="B179" s="34"/>
      <c r="C179" s="34"/>
      <c r="D179" s="34"/>
      <c r="E179" s="34"/>
      <c r="F179" s="33"/>
      <c r="G179" s="34"/>
      <c r="H179" s="34"/>
      <c r="I179" s="33"/>
      <c r="J179" s="34"/>
      <c r="K179" s="34"/>
      <c r="L179" s="34"/>
      <c r="M179" s="34"/>
      <c r="N179" s="34"/>
      <c r="O179" s="34"/>
      <c r="P179" s="34"/>
      <c r="Q179" s="34"/>
      <c r="R179" s="34"/>
      <c r="S179" s="34"/>
      <c r="T179" s="34"/>
      <c r="U179" s="34"/>
      <c r="V179" s="34"/>
      <c r="W179" s="34"/>
      <c r="X179" s="34"/>
      <c r="Y179" s="34"/>
      <c r="Z179" s="34"/>
    </row>
    <row r="180" spans="1:26" ht="13">
      <c r="A180" s="34"/>
      <c r="B180" s="34"/>
      <c r="C180" s="34"/>
      <c r="D180" s="34"/>
      <c r="E180" s="34"/>
      <c r="F180" s="33"/>
      <c r="G180" s="34"/>
      <c r="H180" s="34"/>
      <c r="I180" s="33"/>
      <c r="J180" s="34"/>
      <c r="K180" s="34"/>
      <c r="L180" s="34"/>
      <c r="M180" s="34"/>
      <c r="N180" s="34"/>
      <c r="O180" s="34"/>
      <c r="P180" s="34"/>
      <c r="Q180" s="34"/>
      <c r="R180" s="34"/>
      <c r="S180" s="34"/>
      <c r="T180" s="34"/>
      <c r="U180" s="34"/>
      <c r="V180" s="34"/>
      <c r="W180" s="34"/>
      <c r="X180" s="34"/>
      <c r="Y180" s="34"/>
      <c r="Z180" s="34"/>
    </row>
    <row r="181" spans="1:26" ht="13">
      <c r="A181" s="34"/>
      <c r="B181" s="34"/>
      <c r="C181" s="34"/>
      <c r="D181" s="34"/>
      <c r="E181" s="34"/>
      <c r="F181" s="33"/>
      <c r="G181" s="34"/>
      <c r="H181" s="34"/>
      <c r="I181" s="33"/>
      <c r="J181" s="34"/>
      <c r="K181" s="34"/>
      <c r="L181" s="34"/>
      <c r="M181" s="34"/>
      <c r="N181" s="34"/>
      <c r="O181" s="34"/>
      <c r="P181" s="34"/>
      <c r="Q181" s="34"/>
      <c r="R181" s="34"/>
      <c r="S181" s="34"/>
      <c r="T181" s="34"/>
      <c r="U181" s="34"/>
      <c r="V181" s="34"/>
      <c r="W181" s="34"/>
      <c r="X181" s="34"/>
      <c r="Y181" s="34"/>
      <c r="Z181" s="34"/>
    </row>
    <row r="182" spans="1:26" ht="13">
      <c r="A182" s="34"/>
      <c r="B182" s="34"/>
      <c r="C182" s="34"/>
      <c r="D182" s="34"/>
      <c r="E182" s="34"/>
      <c r="F182" s="33"/>
      <c r="G182" s="34"/>
      <c r="H182" s="34"/>
      <c r="I182" s="33"/>
      <c r="J182" s="34"/>
      <c r="K182" s="34"/>
      <c r="L182" s="34"/>
      <c r="M182" s="34"/>
      <c r="N182" s="34"/>
      <c r="O182" s="34"/>
      <c r="P182" s="34"/>
      <c r="Q182" s="34"/>
      <c r="R182" s="34"/>
      <c r="S182" s="34"/>
      <c r="T182" s="34"/>
      <c r="U182" s="34"/>
      <c r="V182" s="34"/>
      <c r="W182" s="34"/>
      <c r="X182" s="34"/>
      <c r="Y182" s="34"/>
      <c r="Z182" s="34"/>
    </row>
    <row r="183" spans="1:26" ht="13">
      <c r="A183" s="34"/>
      <c r="B183" s="34"/>
      <c r="C183" s="34"/>
      <c r="D183" s="34"/>
      <c r="E183" s="34"/>
      <c r="F183" s="33"/>
      <c r="G183" s="34"/>
      <c r="H183" s="34"/>
      <c r="I183" s="33"/>
      <c r="J183" s="34"/>
      <c r="K183" s="34"/>
      <c r="L183" s="34"/>
      <c r="M183" s="34"/>
      <c r="N183" s="34"/>
      <c r="O183" s="34"/>
      <c r="P183" s="34"/>
      <c r="Q183" s="34"/>
      <c r="R183" s="34"/>
      <c r="S183" s="34"/>
      <c r="T183" s="34"/>
      <c r="U183" s="34"/>
      <c r="V183" s="34"/>
      <c r="W183" s="34"/>
      <c r="X183" s="34"/>
      <c r="Y183" s="34"/>
      <c r="Z183" s="34"/>
    </row>
    <row r="184" spans="1:26" ht="13">
      <c r="A184" s="34"/>
      <c r="B184" s="34"/>
      <c r="C184" s="34"/>
      <c r="D184" s="34"/>
      <c r="E184" s="34"/>
      <c r="F184" s="33"/>
      <c r="G184" s="34"/>
      <c r="H184" s="34"/>
      <c r="I184" s="33"/>
      <c r="J184" s="34"/>
      <c r="K184" s="34"/>
      <c r="L184" s="34"/>
      <c r="M184" s="34"/>
      <c r="N184" s="34"/>
      <c r="O184" s="34"/>
      <c r="P184" s="34"/>
      <c r="Q184" s="34"/>
      <c r="R184" s="34"/>
      <c r="S184" s="34"/>
      <c r="T184" s="34"/>
      <c r="U184" s="34"/>
      <c r="V184" s="34"/>
      <c r="W184" s="34"/>
      <c r="X184" s="34"/>
      <c r="Y184" s="34"/>
      <c r="Z184" s="34"/>
    </row>
    <row r="185" spans="1:26" ht="13">
      <c r="A185" s="34"/>
      <c r="B185" s="34"/>
      <c r="C185" s="34"/>
      <c r="D185" s="34"/>
      <c r="E185" s="34"/>
      <c r="F185" s="33"/>
      <c r="G185" s="34"/>
      <c r="H185" s="34"/>
      <c r="I185" s="33"/>
      <c r="J185" s="34"/>
      <c r="K185" s="34"/>
      <c r="L185" s="34"/>
      <c r="M185" s="34"/>
      <c r="N185" s="34"/>
      <c r="O185" s="34"/>
      <c r="P185" s="34"/>
      <c r="Q185" s="34"/>
      <c r="R185" s="34"/>
      <c r="S185" s="34"/>
      <c r="T185" s="34"/>
      <c r="U185" s="34"/>
      <c r="V185" s="34"/>
      <c r="W185" s="34"/>
      <c r="X185" s="34"/>
      <c r="Y185" s="34"/>
      <c r="Z185" s="34"/>
    </row>
    <row r="186" spans="1:26" ht="13">
      <c r="A186" s="34"/>
      <c r="B186" s="34"/>
      <c r="C186" s="34"/>
      <c r="D186" s="34"/>
      <c r="E186" s="34"/>
      <c r="F186" s="33"/>
      <c r="G186" s="34"/>
      <c r="H186" s="34"/>
      <c r="I186" s="33"/>
      <c r="J186" s="34"/>
      <c r="K186" s="34"/>
      <c r="L186" s="34"/>
      <c r="M186" s="34"/>
      <c r="N186" s="34"/>
      <c r="O186" s="34"/>
      <c r="P186" s="34"/>
      <c r="Q186" s="34"/>
      <c r="R186" s="34"/>
      <c r="S186" s="34"/>
      <c r="T186" s="34"/>
      <c r="U186" s="34"/>
      <c r="V186" s="34"/>
      <c r="W186" s="34"/>
      <c r="X186" s="34"/>
      <c r="Y186" s="34"/>
      <c r="Z186" s="34"/>
    </row>
    <row r="187" spans="1:26" ht="13">
      <c r="A187" s="34"/>
      <c r="B187" s="34"/>
      <c r="C187" s="34"/>
      <c r="D187" s="34"/>
      <c r="E187" s="34"/>
      <c r="F187" s="33"/>
      <c r="G187" s="34"/>
      <c r="H187" s="34"/>
      <c r="I187" s="33"/>
      <c r="J187" s="34"/>
      <c r="K187" s="34"/>
      <c r="L187" s="34"/>
      <c r="M187" s="34"/>
      <c r="N187" s="34"/>
      <c r="O187" s="34"/>
      <c r="P187" s="34"/>
      <c r="Q187" s="34"/>
      <c r="R187" s="34"/>
      <c r="S187" s="34"/>
      <c r="T187" s="34"/>
      <c r="U187" s="34"/>
      <c r="V187" s="34"/>
      <c r="W187" s="34"/>
      <c r="X187" s="34"/>
      <c r="Y187" s="34"/>
      <c r="Z187" s="34"/>
    </row>
    <row r="188" spans="1:26" ht="13">
      <c r="A188" s="34"/>
      <c r="B188" s="34"/>
      <c r="C188" s="34"/>
      <c r="D188" s="34"/>
      <c r="E188" s="34"/>
      <c r="F188" s="33"/>
      <c r="G188" s="34"/>
      <c r="H188" s="34"/>
      <c r="I188" s="33"/>
      <c r="J188" s="34"/>
      <c r="K188" s="34"/>
      <c r="L188" s="34"/>
      <c r="M188" s="34"/>
      <c r="N188" s="34"/>
      <c r="O188" s="34"/>
      <c r="P188" s="34"/>
      <c r="Q188" s="34"/>
      <c r="R188" s="34"/>
      <c r="S188" s="34"/>
      <c r="T188" s="34"/>
      <c r="U188" s="34"/>
      <c r="V188" s="34"/>
      <c r="W188" s="34"/>
      <c r="X188" s="34"/>
      <c r="Y188" s="34"/>
      <c r="Z188" s="34"/>
    </row>
    <row r="189" spans="1:26" ht="13">
      <c r="A189" s="34"/>
      <c r="B189" s="34"/>
      <c r="C189" s="34"/>
      <c r="D189" s="34"/>
      <c r="E189" s="34"/>
      <c r="F189" s="33"/>
      <c r="G189" s="34"/>
      <c r="H189" s="34"/>
      <c r="I189" s="33"/>
      <c r="J189" s="34"/>
      <c r="K189" s="34"/>
      <c r="L189" s="34"/>
      <c r="M189" s="34"/>
      <c r="N189" s="34"/>
      <c r="O189" s="34"/>
      <c r="P189" s="34"/>
      <c r="Q189" s="34"/>
      <c r="R189" s="34"/>
      <c r="S189" s="34"/>
      <c r="T189" s="34"/>
      <c r="U189" s="34"/>
      <c r="V189" s="34"/>
      <c r="W189" s="34"/>
      <c r="X189" s="34"/>
      <c r="Y189" s="34"/>
      <c r="Z189" s="34"/>
    </row>
    <row r="190" spans="1:26" ht="13">
      <c r="A190" s="34"/>
      <c r="B190" s="34"/>
      <c r="C190" s="34"/>
      <c r="D190" s="34"/>
      <c r="E190" s="34"/>
      <c r="F190" s="33"/>
      <c r="G190" s="34"/>
      <c r="H190" s="34"/>
      <c r="I190" s="33"/>
      <c r="J190" s="34"/>
      <c r="K190" s="34"/>
      <c r="L190" s="34"/>
      <c r="M190" s="34"/>
      <c r="N190" s="34"/>
      <c r="O190" s="34"/>
      <c r="P190" s="34"/>
      <c r="Q190" s="34"/>
      <c r="R190" s="34"/>
      <c r="S190" s="34"/>
      <c r="T190" s="34"/>
      <c r="U190" s="34"/>
      <c r="V190" s="34"/>
      <c r="W190" s="34"/>
      <c r="X190" s="34"/>
      <c r="Y190" s="34"/>
      <c r="Z190" s="34"/>
    </row>
    <row r="191" spans="1:26" ht="13">
      <c r="A191" s="34"/>
      <c r="B191" s="34"/>
      <c r="C191" s="34"/>
      <c r="D191" s="34"/>
      <c r="E191" s="34"/>
      <c r="F191" s="33"/>
      <c r="G191" s="34"/>
      <c r="H191" s="34"/>
      <c r="I191" s="33"/>
      <c r="J191" s="34"/>
      <c r="K191" s="34"/>
      <c r="L191" s="34"/>
      <c r="M191" s="34"/>
      <c r="N191" s="34"/>
      <c r="O191" s="34"/>
      <c r="P191" s="34"/>
      <c r="Q191" s="34"/>
      <c r="R191" s="34"/>
      <c r="S191" s="34"/>
      <c r="T191" s="34"/>
      <c r="U191" s="34"/>
      <c r="V191" s="34"/>
      <c r="W191" s="34"/>
      <c r="X191" s="34"/>
      <c r="Y191" s="34"/>
      <c r="Z191" s="34"/>
    </row>
    <row r="192" spans="1:26" ht="13">
      <c r="A192" s="34"/>
      <c r="B192" s="34"/>
      <c r="C192" s="34"/>
      <c r="D192" s="34"/>
      <c r="E192" s="34"/>
      <c r="F192" s="33"/>
      <c r="G192" s="34"/>
      <c r="H192" s="34"/>
      <c r="I192" s="33"/>
      <c r="J192" s="34"/>
      <c r="K192" s="34"/>
      <c r="L192" s="34"/>
      <c r="M192" s="34"/>
      <c r="N192" s="34"/>
      <c r="O192" s="34"/>
      <c r="P192" s="34"/>
      <c r="Q192" s="34"/>
      <c r="R192" s="34"/>
      <c r="S192" s="34"/>
      <c r="T192" s="34"/>
      <c r="U192" s="34"/>
      <c r="V192" s="34"/>
      <c r="W192" s="34"/>
      <c r="X192" s="34"/>
      <c r="Y192" s="34"/>
      <c r="Z192" s="34"/>
    </row>
    <row r="193" spans="1:26" ht="13">
      <c r="A193" s="34"/>
      <c r="B193" s="34"/>
      <c r="C193" s="34"/>
      <c r="D193" s="34"/>
      <c r="E193" s="34"/>
      <c r="F193" s="33"/>
      <c r="G193" s="34"/>
      <c r="H193" s="34"/>
      <c r="I193" s="33"/>
      <c r="J193" s="34"/>
      <c r="K193" s="34"/>
      <c r="L193" s="34"/>
      <c r="M193" s="34"/>
      <c r="N193" s="34"/>
      <c r="O193" s="34"/>
      <c r="P193" s="34"/>
      <c r="Q193" s="34"/>
      <c r="R193" s="34"/>
      <c r="S193" s="34"/>
      <c r="T193" s="34"/>
      <c r="U193" s="34"/>
      <c r="V193" s="34"/>
      <c r="W193" s="34"/>
      <c r="X193" s="34"/>
      <c r="Y193" s="34"/>
      <c r="Z193" s="34"/>
    </row>
    <row r="194" spans="1:26" ht="13">
      <c r="A194" s="34"/>
      <c r="B194" s="34"/>
      <c r="C194" s="34"/>
      <c r="D194" s="34"/>
      <c r="E194" s="34"/>
      <c r="F194" s="33"/>
      <c r="G194" s="34"/>
      <c r="H194" s="34"/>
      <c r="I194" s="33"/>
      <c r="J194" s="34"/>
      <c r="K194" s="34"/>
      <c r="L194" s="34"/>
      <c r="M194" s="34"/>
      <c r="N194" s="34"/>
      <c r="O194" s="34"/>
      <c r="P194" s="34"/>
      <c r="Q194" s="34"/>
      <c r="R194" s="34"/>
      <c r="S194" s="34"/>
      <c r="T194" s="34"/>
      <c r="U194" s="34"/>
      <c r="V194" s="34"/>
      <c r="W194" s="34"/>
      <c r="X194" s="34"/>
      <c r="Y194" s="34"/>
      <c r="Z194" s="34"/>
    </row>
    <row r="195" spans="1:26" ht="13">
      <c r="A195" s="34"/>
      <c r="B195" s="34"/>
      <c r="C195" s="34"/>
      <c r="D195" s="34"/>
      <c r="E195" s="34"/>
      <c r="F195" s="33"/>
      <c r="G195" s="34"/>
      <c r="H195" s="34"/>
      <c r="I195" s="33"/>
      <c r="J195" s="34"/>
      <c r="K195" s="34"/>
      <c r="L195" s="34"/>
      <c r="M195" s="34"/>
      <c r="N195" s="34"/>
      <c r="O195" s="34"/>
      <c r="P195" s="34"/>
      <c r="Q195" s="34"/>
      <c r="R195" s="34"/>
      <c r="S195" s="34"/>
      <c r="T195" s="34"/>
      <c r="U195" s="34"/>
      <c r="V195" s="34"/>
      <c r="W195" s="34"/>
      <c r="X195" s="34"/>
      <c r="Y195" s="34"/>
      <c r="Z195" s="34"/>
    </row>
    <row r="196" spans="1:26" ht="13">
      <c r="A196" s="34"/>
      <c r="B196" s="34"/>
      <c r="C196" s="34"/>
      <c r="D196" s="34"/>
      <c r="E196" s="34"/>
      <c r="F196" s="33"/>
      <c r="G196" s="34"/>
      <c r="H196" s="34"/>
      <c r="I196" s="33"/>
      <c r="J196" s="34"/>
      <c r="K196" s="34"/>
      <c r="L196" s="34"/>
      <c r="M196" s="34"/>
      <c r="N196" s="34"/>
      <c r="O196" s="34"/>
      <c r="P196" s="34"/>
      <c r="Q196" s="34"/>
      <c r="R196" s="34"/>
      <c r="S196" s="34"/>
      <c r="T196" s="34"/>
      <c r="U196" s="34"/>
      <c r="V196" s="34"/>
      <c r="W196" s="34"/>
      <c r="X196" s="34"/>
      <c r="Y196" s="34"/>
      <c r="Z196" s="34"/>
    </row>
    <row r="197" spans="1:26" ht="13">
      <c r="A197" s="34"/>
      <c r="B197" s="34"/>
      <c r="C197" s="34"/>
      <c r="D197" s="34"/>
      <c r="E197" s="34"/>
      <c r="F197" s="33"/>
      <c r="G197" s="34"/>
      <c r="H197" s="34"/>
      <c r="I197" s="33"/>
      <c r="J197" s="34"/>
      <c r="K197" s="34"/>
      <c r="L197" s="34"/>
      <c r="M197" s="34"/>
      <c r="N197" s="34"/>
      <c r="O197" s="34"/>
      <c r="P197" s="34"/>
      <c r="Q197" s="34"/>
      <c r="R197" s="34"/>
      <c r="S197" s="34"/>
      <c r="T197" s="34"/>
      <c r="U197" s="34"/>
      <c r="V197" s="34"/>
      <c r="W197" s="34"/>
      <c r="X197" s="34"/>
      <c r="Y197" s="34"/>
      <c r="Z197" s="34"/>
    </row>
    <row r="198" spans="1:26" ht="13">
      <c r="A198" s="34"/>
      <c r="B198" s="34"/>
      <c r="C198" s="34"/>
      <c r="D198" s="34"/>
      <c r="E198" s="34"/>
      <c r="F198" s="33"/>
      <c r="G198" s="34"/>
      <c r="H198" s="34"/>
      <c r="I198" s="33"/>
      <c r="J198" s="34"/>
      <c r="K198" s="34"/>
      <c r="L198" s="34"/>
      <c r="M198" s="34"/>
      <c r="N198" s="34"/>
      <c r="O198" s="34"/>
      <c r="P198" s="34"/>
      <c r="Q198" s="34"/>
      <c r="R198" s="34"/>
      <c r="S198" s="34"/>
      <c r="T198" s="34"/>
      <c r="U198" s="34"/>
      <c r="V198" s="34"/>
      <c r="W198" s="34"/>
      <c r="X198" s="34"/>
      <c r="Y198" s="34"/>
      <c r="Z198" s="34"/>
    </row>
    <row r="199" spans="1:26" ht="13">
      <c r="A199" s="34"/>
      <c r="B199" s="34"/>
      <c r="C199" s="34"/>
      <c r="D199" s="34"/>
      <c r="E199" s="34"/>
      <c r="F199" s="33"/>
      <c r="G199" s="34"/>
      <c r="H199" s="34"/>
      <c r="I199" s="33"/>
      <c r="J199" s="34"/>
      <c r="K199" s="34"/>
      <c r="L199" s="34"/>
      <c r="M199" s="34"/>
      <c r="N199" s="34"/>
      <c r="O199" s="34"/>
      <c r="P199" s="34"/>
      <c r="Q199" s="34"/>
      <c r="R199" s="34"/>
      <c r="S199" s="34"/>
      <c r="T199" s="34"/>
      <c r="U199" s="34"/>
      <c r="V199" s="34"/>
      <c r="W199" s="34"/>
      <c r="X199" s="34"/>
      <c r="Y199" s="34"/>
      <c r="Z199" s="34"/>
    </row>
    <row r="200" spans="1:26" ht="13">
      <c r="A200" s="34"/>
      <c r="B200" s="34"/>
      <c r="C200" s="34"/>
      <c r="D200" s="34"/>
      <c r="E200" s="34"/>
      <c r="F200" s="33"/>
      <c r="G200" s="34"/>
      <c r="H200" s="34"/>
      <c r="I200" s="33"/>
      <c r="J200" s="34"/>
      <c r="K200" s="34"/>
      <c r="L200" s="34"/>
      <c r="M200" s="34"/>
      <c r="N200" s="34"/>
      <c r="O200" s="34"/>
      <c r="P200" s="34"/>
      <c r="Q200" s="34"/>
      <c r="R200" s="34"/>
      <c r="S200" s="34"/>
      <c r="T200" s="34"/>
      <c r="U200" s="34"/>
      <c r="V200" s="34"/>
      <c r="W200" s="34"/>
      <c r="X200" s="34"/>
      <c r="Y200" s="34"/>
      <c r="Z200" s="34"/>
    </row>
    <row r="201" spans="1:26" ht="13">
      <c r="A201" s="34"/>
      <c r="B201" s="34"/>
      <c r="C201" s="34"/>
      <c r="D201" s="34"/>
      <c r="E201" s="34"/>
      <c r="F201" s="33"/>
      <c r="G201" s="34"/>
      <c r="H201" s="34"/>
      <c r="I201" s="33"/>
      <c r="J201" s="34"/>
      <c r="K201" s="34"/>
      <c r="L201" s="34"/>
      <c r="M201" s="34"/>
      <c r="N201" s="34"/>
      <c r="O201" s="34"/>
      <c r="P201" s="34"/>
      <c r="Q201" s="34"/>
      <c r="R201" s="34"/>
      <c r="S201" s="34"/>
      <c r="T201" s="34"/>
      <c r="U201" s="34"/>
      <c r="V201" s="34"/>
      <c r="W201" s="34"/>
      <c r="X201" s="34"/>
      <c r="Y201" s="34"/>
      <c r="Z201" s="34"/>
    </row>
    <row r="202" spans="1:26" ht="13">
      <c r="A202" s="34"/>
      <c r="B202" s="34"/>
      <c r="C202" s="34"/>
      <c r="D202" s="34"/>
      <c r="E202" s="34"/>
      <c r="F202" s="33"/>
      <c r="G202" s="34"/>
      <c r="H202" s="34"/>
      <c r="I202" s="33"/>
      <c r="J202" s="34"/>
      <c r="K202" s="34"/>
      <c r="L202" s="34"/>
      <c r="M202" s="34"/>
      <c r="N202" s="34"/>
      <c r="O202" s="34"/>
      <c r="P202" s="34"/>
      <c r="Q202" s="34"/>
      <c r="R202" s="34"/>
      <c r="S202" s="34"/>
      <c r="T202" s="34"/>
      <c r="U202" s="34"/>
      <c r="V202" s="34"/>
      <c r="W202" s="34"/>
      <c r="X202" s="34"/>
      <c r="Y202" s="34"/>
      <c r="Z202" s="34"/>
    </row>
    <row r="203" spans="1:26" ht="13">
      <c r="A203" s="34"/>
      <c r="B203" s="34"/>
      <c r="C203" s="34"/>
      <c r="D203" s="34"/>
      <c r="E203" s="34"/>
      <c r="F203" s="33"/>
      <c r="G203" s="34"/>
      <c r="H203" s="34"/>
      <c r="I203" s="33"/>
      <c r="J203" s="34"/>
      <c r="K203" s="34"/>
      <c r="L203" s="34"/>
      <c r="M203" s="34"/>
      <c r="N203" s="34"/>
      <c r="O203" s="34"/>
      <c r="P203" s="34"/>
      <c r="Q203" s="34"/>
      <c r="R203" s="34"/>
      <c r="S203" s="34"/>
      <c r="T203" s="34"/>
      <c r="U203" s="34"/>
      <c r="V203" s="34"/>
      <c r="W203" s="34"/>
      <c r="X203" s="34"/>
      <c r="Y203" s="34"/>
      <c r="Z203" s="34"/>
    </row>
    <row r="204" spans="1:26" ht="13">
      <c r="A204" s="34"/>
      <c r="B204" s="34"/>
      <c r="C204" s="34"/>
      <c r="D204" s="34"/>
      <c r="E204" s="34"/>
      <c r="F204" s="33"/>
      <c r="G204" s="34"/>
      <c r="H204" s="34"/>
      <c r="I204" s="33"/>
      <c r="J204" s="34"/>
      <c r="K204" s="34"/>
      <c r="L204" s="34"/>
      <c r="M204" s="34"/>
      <c r="N204" s="34"/>
      <c r="O204" s="34"/>
      <c r="P204" s="34"/>
      <c r="Q204" s="34"/>
      <c r="R204" s="34"/>
      <c r="S204" s="34"/>
      <c r="T204" s="34"/>
      <c r="U204" s="34"/>
      <c r="V204" s="34"/>
      <c r="W204" s="34"/>
      <c r="X204" s="34"/>
      <c r="Y204" s="34"/>
      <c r="Z204" s="34"/>
    </row>
    <row r="205" spans="1:26" ht="13">
      <c r="A205" s="34"/>
      <c r="B205" s="34"/>
      <c r="C205" s="34"/>
      <c r="D205" s="34"/>
      <c r="E205" s="34"/>
      <c r="F205" s="33"/>
      <c r="G205" s="34"/>
      <c r="H205" s="34"/>
      <c r="I205" s="33"/>
      <c r="J205" s="34"/>
      <c r="K205" s="34"/>
      <c r="L205" s="34"/>
      <c r="M205" s="34"/>
      <c r="N205" s="34"/>
      <c r="O205" s="34"/>
      <c r="P205" s="34"/>
      <c r="Q205" s="34"/>
      <c r="R205" s="34"/>
      <c r="S205" s="34"/>
      <c r="T205" s="34"/>
      <c r="U205" s="34"/>
      <c r="V205" s="34"/>
      <c r="W205" s="34"/>
      <c r="X205" s="34"/>
      <c r="Y205" s="34"/>
      <c r="Z205" s="34"/>
    </row>
    <row r="206" spans="1:26" ht="13">
      <c r="A206" s="34"/>
      <c r="B206" s="34"/>
      <c r="C206" s="34"/>
      <c r="D206" s="34"/>
      <c r="E206" s="34"/>
      <c r="F206" s="33"/>
      <c r="G206" s="34"/>
      <c r="H206" s="34"/>
      <c r="I206" s="33"/>
      <c r="J206" s="34"/>
      <c r="K206" s="34"/>
      <c r="L206" s="34"/>
      <c r="M206" s="34"/>
      <c r="N206" s="34"/>
      <c r="O206" s="34"/>
      <c r="P206" s="34"/>
      <c r="Q206" s="34"/>
      <c r="R206" s="34"/>
      <c r="S206" s="34"/>
      <c r="T206" s="34"/>
      <c r="U206" s="34"/>
      <c r="V206" s="34"/>
      <c r="W206" s="34"/>
      <c r="X206" s="34"/>
      <c r="Y206" s="34"/>
      <c r="Z206" s="34"/>
    </row>
    <row r="207" spans="1:26" ht="13">
      <c r="A207" s="34"/>
      <c r="B207" s="34"/>
      <c r="C207" s="34"/>
      <c r="D207" s="34"/>
      <c r="E207" s="34"/>
      <c r="F207" s="33"/>
      <c r="G207" s="34"/>
      <c r="H207" s="34"/>
      <c r="I207" s="33"/>
      <c r="J207" s="34"/>
      <c r="K207" s="34"/>
      <c r="L207" s="34"/>
      <c r="M207" s="34"/>
      <c r="N207" s="34"/>
      <c r="O207" s="34"/>
      <c r="P207" s="34"/>
      <c r="Q207" s="34"/>
      <c r="R207" s="34"/>
      <c r="S207" s="34"/>
      <c r="T207" s="34"/>
      <c r="U207" s="34"/>
      <c r="V207" s="34"/>
      <c r="W207" s="34"/>
      <c r="X207" s="34"/>
      <c r="Y207" s="34"/>
      <c r="Z207" s="34"/>
    </row>
    <row r="208" spans="1:26" ht="13">
      <c r="A208" s="34"/>
      <c r="B208" s="34"/>
      <c r="C208" s="34"/>
      <c r="D208" s="34"/>
      <c r="E208" s="34"/>
      <c r="F208" s="33"/>
      <c r="G208" s="34"/>
      <c r="H208" s="34"/>
      <c r="I208" s="33"/>
      <c r="J208" s="34"/>
      <c r="K208" s="34"/>
      <c r="L208" s="34"/>
      <c r="M208" s="34"/>
      <c r="N208" s="34"/>
      <c r="O208" s="34"/>
      <c r="P208" s="34"/>
      <c r="Q208" s="34"/>
      <c r="R208" s="34"/>
      <c r="S208" s="34"/>
      <c r="T208" s="34"/>
      <c r="U208" s="34"/>
      <c r="V208" s="34"/>
      <c r="W208" s="34"/>
      <c r="X208" s="34"/>
      <c r="Y208" s="34"/>
      <c r="Z208" s="34"/>
    </row>
    <row r="209" spans="1:26" ht="13">
      <c r="A209" s="34"/>
      <c r="B209" s="34"/>
      <c r="C209" s="34"/>
      <c r="D209" s="34"/>
      <c r="E209" s="34"/>
      <c r="F209" s="33"/>
      <c r="G209" s="34"/>
      <c r="H209" s="34"/>
      <c r="I209" s="33"/>
      <c r="J209" s="34"/>
      <c r="K209" s="34"/>
      <c r="L209" s="34"/>
      <c r="M209" s="34"/>
      <c r="N209" s="34"/>
      <c r="O209" s="34"/>
      <c r="P209" s="34"/>
      <c r="Q209" s="34"/>
      <c r="R209" s="34"/>
      <c r="S209" s="34"/>
      <c r="T209" s="34"/>
      <c r="U209" s="34"/>
      <c r="V209" s="34"/>
      <c r="W209" s="34"/>
      <c r="X209" s="34"/>
      <c r="Y209" s="34"/>
      <c r="Z209" s="34"/>
    </row>
    <row r="210" spans="1:26" ht="13">
      <c r="A210" s="34"/>
      <c r="B210" s="34"/>
      <c r="C210" s="34"/>
      <c r="D210" s="34"/>
      <c r="E210" s="34"/>
      <c r="F210" s="33"/>
      <c r="G210" s="34"/>
      <c r="H210" s="34"/>
      <c r="I210" s="33"/>
      <c r="J210" s="34"/>
      <c r="K210" s="34"/>
      <c r="L210" s="34"/>
      <c r="M210" s="34"/>
      <c r="N210" s="34"/>
      <c r="O210" s="34"/>
      <c r="P210" s="34"/>
      <c r="Q210" s="34"/>
      <c r="R210" s="34"/>
      <c r="S210" s="34"/>
      <c r="T210" s="34"/>
      <c r="U210" s="34"/>
      <c r="V210" s="34"/>
      <c r="W210" s="34"/>
      <c r="X210" s="34"/>
      <c r="Y210" s="34"/>
      <c r="Z210" s="34"/>
    </row>
    <row r="211" spans="1:26" ht="13">
      <c r="A211" s="34"/>
      <c r="B211" s="34"/>
      <c r="C211" s="34"/>
      <c r="D211" s="34"/>
      <c r="E211" s="34"/>
      <c r="F211" s="33"/>
      <c r="G211" s="34"/>
      <c r="H211" s="34"/>
      <c r="I211" s="33"/>
      <c r="J211" s="34"/>
      <c r="K211" s="34"/>
      <c r="L211" s="34"/>
      <c r="M211" s="34"/>
      <c r="N211" s="34"/>
      <c r="O211" s="34"/>
      <c r="P211" s="34"/>
      <c r="Q211" s="34"/>
      <c r="R211" s="34"/>
      <c r="S211" s="34"/>
      <c r="T211" s="34"/>
      <c r="U211" s="34"/>
      <c r="V211" s="34"/>
      <c r="W211" s="34"/>
      <c r="X211" s="34"/>
      <c r="Y211" s="34"/>
      <c r="Z211" s="34"/>
    </row>
    <row r="212" spans="1:26" ht="13">
      <c r="A212" s="34"/>
      <c r="B212" s="34"/>
      <c r="C212" s="34"/>
      <c r="D212" s="34"/>
      <c r="E212" s="34"/>
      <c r="F212" s="33"/>
      <c r="G212" s="34"/>
      <c r="H212" s="34"/>
      <c r="I212" s="33"/>
      <c r="J212" s="34"/>
      <c r="K212" s="34"/>
      <c r="L212" s="34"/>
      <c r="M212" s="34"/>
      <c r="N212" s="34"/>
      <c r="O212" s="34"/>
      <c r="P212" s="34"/>
      <c r="Q212" s="34"/>
      <c r="R212" s="34"/>
      <c r="S212" s="34"/>
      <c r="T212" s="34"/>
      <c r="U212" s="34"/>
      <c r="V212" s="34"/>
      <c r="W212" s="34"/>
      <c r="X212" s="34"/>
      <c r="Y212" s="34"/>
      <c r="Z212" s="34"/>
    </row>
    <row r="213" spans="1:26" ht="13">
      <c r="A213" s="34"/>
      <c r="B213" s="34"/>
      <c r="C213" s="34"/>
      <c r="D213" s="34"/>
      <c r="E213" s="34"/>
      <c r="F213" s="33"/>
      <c r="G213" s="34"/>
      <c r="H213" s="34"/>
      <c r="I213" s="33"/>
      <c r="J213" s="34"/>
      <c r="K213" s="34"/>
      <c r="L213" s="34"/>
      <c r="M213" s="34"/>
      <c r="N213" s="34"/>
      <c r="O213" s="34"/>
      <c r="P213" s="34"/>
      <c r="Q213" s="34"/>
      <c r="R213" s="34"/>
      <c r="S213" s="34"/>
      <c r="T213" s="34"/>
      <c r="U213" s="34"/>
      <c r="V213" s="34"/>
      <c r="W213" s="34"/>
      <c r="X213" s="34"/>
      <c r="Y213" s="34"/>
      <c r="Z213" s="34"/>
    </row>
    <row r="214" spans="1:26" ht="13">
      <c r="A214" s="34"/>
      <c r="B214" s="34"/>
      <c r="C214" s="34"/>
      <c r="D214" s="34"/>
      <c r="E214" s="34"/>
      <c r="F214" s="33"/>
      <c r="G214" s="34"/>
      <c r="H214" s="34"/>
      <c r="I214" s="33"/>
      <c r="J214" s="34"/>
      <c r="K214" s="34"/>
      <c r="L214" s="34"/>
      <c r="M214" s="34"/>
      <c r="N214" s="34"/>
      <c r="O214" s="34"/>
      <c r="P214" s="34"/>
      <c r="Q214" s="34"/>
      <c r="R214" s="34"/>
      <c r="S214" s="34"/>
      <c r="T214" s="34"/>
      <c r="U214" s="34"/>
      <c r="V214" s="34"/>
      <c r="W214" s="34"/>
      <c r="X214" s="34"/>
      <c r="Y214" s="34"/>
      <c r="Z214" s="34"/>
    </row>
    <row r="215" spans="1:26" ht="13">
      <c r="A215" s="34"/>
      <c r="B215" s="34"/>
      <c r="C215" s="34"/>
      <c r="D215" s="34"/>
      <c r="E215" s="34"/>
      <c r="F215" s="33"/>
      <c r="G215" s="34"/>
      <c r="H215" s="34"/>
      <c r="I215" s="33"/>
      <c r="J215" s="34"/>
      <c r="K215" s="34"/>
      <c r="L215" s="34"/>
      <c r="M215" s="34"/>
      <c r="N215" s="34"/>
      <c r="O215" s="34"/>
      <c r="P215" s="34"/>
      <c r="Q215" s="34"/>
      <c r="R215" s="34"/>
      <c r="S215" s="34"/>
      <c r="T215" s="34"/>
      <c r="U215" s="34"/>
      <c r="V215" s="34"/>
      <c r="W215" s="34"/>
      <c r="X215" s="34"/>
      <c r="Y215" s="34"/>
      <c r="Z215" s="34"/>
    </row>
    <row r="216" spans="1:26" ht="13">
      <c r="A216" s="34"/>
      <c r="B216" s="34"/>
      <c r="C216" s="34"/>
      <c r="D216" s="34"/>
      <c r="E216" s="34"/>
      <c r="F216" s="33"/>
      <c r="G216" s="34"/>
      <c r="H216" s="34"/>
      <c r="I216" s="33"/>
      <c r="J216" s="34"/>
      <c r="K216" s="34"/>
      <c r="L216" s="34"/>
      <c r="M216" s="34"/>
      <c r="N216" s="34"/>
      <c r="O216" s="34"/>
      <c r="P216" s="34"/>
      <c r="Q216" s="34"/>
      <c r="R216" s="34"/>
      <c r="S216" s="34"/>
      <c r="T216" s="34"/>
      <c r="U216" s="34"/>
      <c r="V216" s="34"/>
      <c r="W216" s="34"/>
      <c r="X216" s="34"/>
      <c r="Y216" s="34"/>
      <c r="Z216" s="34"/>
    </row>
    <row r="217" spans="1:26" ht="13">
      <c r="A217" s="34"/>
      <c r="B217" s="34"/>
      <c r="C217" s="34"/>
      <c r="D217" s="34"/>
      <c r="E217" s="34"/>
      <c r="F217" s="33"/>
      <c r="G217" s="34"/>
      <c r="H217" s="34"/>
      <c r="I217" s="33"/>
      <c r="J217" s="34"/>
      <c r="K217" s="34"/>
      <c r="L217" s="34"/>
      <c r="M217" s="34"/>
      <c r="N217" s="34"/>
      <c r="O217" s="34"/>
      <c r="P217" s="34"/>
      <c r="Q217" s="34"/>
      <c r="R217" s="34"/>
      <c r="S217" s="34"/>
      <c r="T217" s="34"/>
      <c r="U217" s="34"/>
      <c r="V217" s="34"/>
      <c r="W217" s="34"/>
      <c r="X217" s="34"/>
      <c r="Y217" s="34"/>
      <c r="Z217" s="34"/>
    </row>
    <row r="218" spans="1:26" ht="13">
      <c r="A218" s="34"/>
      <c r="B218" s="34"/>
      <c r="C218" s="34"/>
      <c r="D218" s="34"/>
      <c r="E218" s="34"/>
      <c r="F218" s="33"/>
      <c r="G218" s="34"/>
      <c r="H218" s="34"/>
      <c r="I218" s="33"/>
      <c r="J218" s="34"/>
      <c r="K218" s="34"/>
      <c r="L218" s="34"/>
      <c r="M218" s="34"/>
      <c r="N218" s="34"/>
      <c r="O218" s="34"/>
      <c r="P218" s="34"/>
      <c r="Q218" s="34"/>
      <c r="R218" s="34"/>
      <c r="S218" s="34"/>
      <c r="T218" s="34"/>
      <c r="U218" s="34"/>
      <c r="V218" s="34"/>
      <c r="W218" s="34"/>
      <c r="X218" s="34"/>
      <c r="Y218" s="34"/>
      <c r="Z218" s="34"/>
    </row>
    <row r="219" spans="1:26" ht="13">
      <c r="A219" s="34"/>
      <c r="B219" s="34"/>
      <c r="C219" s="34"/>
      <c r="D219" s="34"/>
      <c r="E219" s="34"/>
      <c r="F219" s="33"/>
      <c r="G219" s="34"/>
      <c r="H219" s="34"/>
      <c r="I219" s="33"/>
      <c r="J219" s="34"/>
      <c r="K219" s="34"/>
      <c r="L219" s="34"/>
      <c r="M219" s="34"/>
      <c r="N219" s="34"/>
      <c r="O219" s="34"/>
      <c r="P219" s="34"/>
      <c r="Q219" s="34"/>
      <c r="R219" s="34"/>
      <c r="S219" s="34"/>
      <c r="T219" s="34"/>
      <c r="U219" s="34"/>
      <c r="V219" s="34"/>
      <c r="W219" s="34"/>
      <c r="X219" s="34"/>
      <c r="Y219" s="34"/>
      <c r="Z219" s="34"/>
    </row>
    <row r="220" spans="1:26" ht="13">
      <c r="A220" s="34"/>
      <c r="B220" s="34"/>
      <c r="C220" s="34"/>
      <c r="D220" s="34"/>
      <c r="E220" s="34"/>
      <c r="F220" s="33"/>
      <c r="G220" s="34"/>
      <c r="H220" s="34"/>
      <c r="I220" s="33"/>
      <c r="J220" s="34"/>
      <c r="K220" s="34"/>
      <c r="L220" s="34"/>
      <c r="M220" s="34"/>
      <c r="N220" s="34"/>
      <c r="O220" s="34"/>
      <c r="P220" s="34"/>
      <c r="Q220" s="34"/>
      <c r="R220" s="34"/>
      <c r="S220" s="34"/>
      <c r="T220" s="34"/>
      <c r="U220" s="34"/>
      <c r="V220" s="34"/>
      <c r="W220" s="34"/>
      <c r="X220" s="34"/>
      <c r="Y220" s="34"/>
      <c r="Z220" s="34"/>
    </row>
    <row r="221" spans="1:26" ht="13">
      <c r="A221" s="34"/>
      <c r="B221" s="34"/>
      <c r="C221" s="34"/>
      <c r="D221" s="34"/>
      <c r="E221" s="34"/>
      <c r="F221" s="33"/>
      <c r="G221" s="34"/>
      <c r="H221" s="34"/>
      <c r="I221" s="33"/>
      <c r="J221" s="34"/>
      <c r="K221" s="34"/>
      <c r="L221" s="34"/>
      <c r="M221" s="34"/>
      <c r="N221" s="34"/>
      <c r="O221" s="34"/>
      <c r="P221" s="34"/>
      <c r="Q221" s="34"/>
      <c r="R221" s="34"/>
      <c r="S221" s="34"/>
      <c r="T221" s="34"/>
      <c r="U221" s="34"/>
      <c r="V221" s="34"/>
      <c r="W221" s="34"/>
      <c r="X221" s="34"/>
      <c r="Y221" s="34"/>
      <c r="Z221" s="34"/>
    </row>
    <row r="222" spans="1:26" ht="13">
      <c r="A222" s="34"/>
      <c r="B222" s="34"/>
      <c r="C222" s="34"/>
      <c r="D222" s="34"/>
      <c r="E222" s="34"/>
      <c r="F222" s="33"/>
      <c r="G222" s="34"/>
      <c r="H222" s="34"/>
      <c r="I222" s="33"/>
      <c r="J222" s="34"/>
      <c r="K222" s="34"/>
      <c r="L222" s="34"/>
      <c r="M222" s="34"/>
      <c r="N222" s="34"/>
      <c r="O222" s="34"/>
      <c r="P222" s="34"/>
      <c r="Q222" s="34"/>
      <c r="R222" s="34"/>
      <c r="S222" s="34"/>
      <c r="T222" s="34"/>
      <c r="U222" s="34"/>
      <c r="V222" s="34"/>
      <c r="W222" s="34"/>
      <c r="X222" s="34"/>
      <c r="Y222" s="34"/>
      <c r="Z222" s="34"/>
    </row>
    <row r="223" spans="1:26" ht="13">
      <c r="A223" s="34"/>
      <c r="B223" s="34"/>
      <c r="C223" s="34"/>
      <c r="D223" s="34"/>
      <c r="E223" s="34"/>
      <c r="F223" s="33"/>
      <c r="G223" s="34"/>
      <c r="H223" s="34"/>
      <c r="I223" s="33"/>
      <c r="J223" s="34"/>
      <c r="K223" s="34"/>
      <c r="L223" s="34"/>
      <c r="M223" s="34"/>
      <c r="N223" s="34"/>
      <c r="O223" s="34"/>
      <c r="P223" s="34"/>
      <c r="Q223" s="34"/>
      <c r="R223" s="34"/>
      <c r="S223" s="34"/>
      <c r="T223" s="34"/>
      <c r="U223" s="34"/>
      <c r="V223" s="34"/>
      <c r="W223" s="34"/>
      <c r="X223" s="34"/>
      <c r="Y223" s="34"/>
      <c r="Z223" s="34"/>
    </row>
    <row r="224" spans="1:26" ht="13">
      <c r="A224" s="34"/>
      <c r="B224" s="34"/>
      <c r="C224" s="34"/>
      <c r="D224" s="34"/>
      <c r="E224" s="34"/>
      <c r="F224" s="33"/>
      <c r="G224" s="34"/>
      <c r="H224" s="34"/>
      <c r="I224" s="33"/>
      <c r="J224" s="34"/>
      <c r="K224" s="34"/>
      <c r="L224" s="34"/>
      <c r="M224" s="34"/>
      <c r="N224" s="34"/>
      <c r="O224" s="34"/>
      <c r="P224" s="34"/>
      <c r="Q224" s="34"/>
      <c r="R224" s="34"/>
      <c r="S224" s="34"/>
      <c r="T224" s="34"/>
      <c r="U224" s="34"/>
      <c r="V224" s="34"/>
      <c r="W224" s="34"/>
      <c r="X224" s="34"/>
      <c r="Y224" s="34"/>
      <c r="Z224" s="34"/>
    </row>
    <row r="225" spans="1:26" ht="13">
      <c r="A225" s="34"/>
      <c r="B225" s="34"/>
      <c r="C225" s="34"/>
      <c r="D225" s="34"/>
      <c r="E225" s="34"/>
      <c r="F225" s="33"/>
      <c r="G225" s="34"/>
      <c r="H225" s="34"/>
      <c r="I225" s="33"/>
      <c r="J225" s="34"/>
      <c r="K225" s="34"/>
      <c r="L225" s="34"/>
      <c r="M225" s="34"/>
      <c r="N225" s="34"/>
      <c r="O225" s="34"/>
      <c r="P225" s="34"/>
      <c r="Q225" s="34"/>
      <c r="R225" s="34"/>
      <c r="S225" s="34"/>
      <c r="T225" s="34"/>
      <c r="U225" s="34"/>
      <c r="V225" s="34"/>
      <c r="W225" s="34"/>
      <c r="X225" s="34"/>
      <c r="Y225" s="34"/>
      <c r="Z225" s="34"/>
    </row>
    <row r="226" spans="1:26" ht="13">
      <c r="A226" s="34"/>
      <c r="B226" s="34"/>
      <c r="C226" s="34"/>
      <c r="D226" s="34"/>
      <c r="E226" s="34"/>
      <c r="F226" s="33"/>
      <c r="G226" s="34"/>
      <c r="H226" s="34"/>
      <c r="I226" s="33"/>
      <c r="J226" s="34"/>
      <c r="K226" s="34"/>
      <c r="L226" s="34"/>
      <c r="M226" s="34"/>
      <c r="N226" s="34"/>
      <c r="O226" s="34"/>
      <c r="P226" s="34"/>
      <c r="Q226" s="34"/>
      <c r="R226" s="34"/>
      <c r="S226" s="34"/>
      <c r="T226" s="34"/>
      <c r="U226" s="34"/>
      <c r="V226" s="34"/>
      <c r="W226" s="34"/>
      <c r="X226" s="34"/>
      <c r="Y226" s="34"/>
      <c r="Z226" s="34"/>
    </row>
    <row r="227" spans="1:26" ht="13">
      <c r="A227" s="34"/>
      <c r="B227" s="34"/>
      <c r="C227" s="34"/>
      <c r="D227" s="34"/>
      <c r="E227" s="34"/>
      <c r="F227" s="33"/>
      <c r="G227" s="34"/>
      <c r="H227" s="34"/>
      <c r="I227" s="33"/>
      <c r="J227" s="34"/>
      <c r="K227" s="34"/>
      <c r="L227" s="34"/>
      <c r="M227" s="34"/>
      <c r="N227" s="34"/>
      <c r="O227" s="34"/>
      <c r="P227" s="34"/>
      <c r="Q227" s="34"/>
      <c r="R227" s="34"/>
      <c r="S227" s="34"/>
      <c r="T227" s="34"/>
      <c r="U227" s="34"/>
      <c r="V227" s="34"/>
      <c r="W227" s="34"/>
      <c r="X227" s="34"/>
      <c r="Y227" s="34"/>
      <c r="Z227" s="34"/>
    </row>
    <row r="228" spans="1:26" ht="13">
      <c r="A228" s="34"/>
      <c r="B228" s="34"/>
      <c r="C228" s="34"/>
      <c r="D228" s="34"/>
      <c r="E228" s="34"/>
      <c r="F228" s="33"/>
      <c r="G228" s="34"/>
      <c r="H228" s="34"/>
      <c r="I228" s="33"/>
      <c r="J228" s="34"/>
      <c r="K228" s="34"/>
      <c r="L228" s="34"/>
      <c r="M228" s="34"/>
      <c r="N228" s="34"/>
      <c r="O228" s="34"/>
      <c r="P228" s="34"/>
      <c r="Q228" s="34"/>
      <c r="R228" s="34"/>
      <c r="S228" s="34"/>
      <c r="T228" s="34"/>
      <c r="U228" s="34"/>
      <c r="V228" s="34"/>
      <c r="W228" s="34"/>
      <c r="X228" s="34"/>
      <c r="Y228" s="34"/>
      <c r="Z228" s="34"/>
    </row>
    <row r="229" spans="1:26" ht="13">
      <c r="A229" s="34"/>
      <c r="B229" s="34"/>
      <c r="C229" s="34"/>
      <c r="D229" s="34"/>
      <c r="E229" s="34"/>
      <c r="F229" s="33"/>
      <c r="G229" s="34"/>
      <c r="H229" s="34"/>
      <c r="I229" s="33"/>
      <c r="J229" s="34"/>
      <c r="K229" s="34"/>
      <c r="L229" s="34"/>
      <c r="M229" s="34"/>
      <c r="N229" s="34"/>
      <c r="O229" s="34"/>
      <c r="P229" s="34"/>
      <c r="Q229" s="34"/>
      <c r="R229" s="34"/>
      <c r="S229" s="34"/>
      <c r="T229" s="34"/>
      <c r="U229" s="34"/>
      <c r="V229" s="34"/>
      <c r="W229" s="34"/>
      <c r="X229" s="34"/>
      <c r="Y229" s="34"/>
      <c r="Z229" s="34"/>
    </row>
    <row r="230" spans="1:26" ht="13">
      <c r="A230" s="34"/>
      <c r="B230" s="34"/>
      <c r="C230" s="34"/>
      <c r="D230" s="34"/>
      <c r="E230" s="34"/>
      <c r="F230" s="33"/>
      <c r="G230" s="34"/>
      <c r="H230" s="34"/>
      <c r="I230" s="33"/>
      <c r="J230" s="34"/>
      <c r="K230" s="34"/>
      <c r="L230" s="34"/>
      <c r="M230" s="34"/>
      <c r="N230" s="34"/>
      <c r="O230" s="34"/>
      <c r="P230" s="34"/>
      <c r="Q230" s="34"/>
      <c r="R230" s="34"/>
      <c r="S230" s="34"/>
      <c r="T230" s="34"/>
      <c r="U230" s="34"/>
      <c r="V230" s="34"/>
      <c r="W230" s="34"/>
      <c r="X230" s="34"/>
      <c r="Y230" s="34"/>
      <c r="Z230" s="34"/>
    </row>
    <row r="231" spans="1:26" ht="13">
      <c r="A231" s="34"/>
      <c r="B231" s="34"/>
      <c r="C231" s="34"/>
      <c r="D231" s="34"/>
      <c r="E231" s="34"/>
      <c r="F231" s="33"/>
      <c r="G231" s="34"/>
      <c r="H231" s="34"/>
      <c r="I231" s="33"/>
      <c r="J231" s="34"/>
      <c r="K231" s="34"/>
      <c r="L231" s="34"/>
      <c r="M231" s="34"/>
      <c r="N231" s="34"/>
      <c r="O231" s="34"/>
      <c r="P231" s="34"/>
      <c r="Q231" s="34"/>
      <c r="R231" s="34"/>
      <c r="S231" s="34"/>
      <c r="T231" s="34"/>
      <c r="U231" s="34"/>
      <c r="V231" s="34"/>
      <c r="W231" s="34"/>
      <c r="X231" s="34"/>
      <c r="Y231" s="34"/>
      <c r="Z231" s="34"/>
    </row>
    <row r="232" spans="1:26" ht="13">
      <c r="A232" s="34"/>
      <c r="B232" s="34"/>
      <c r="C232" s="34"/>
      <c r="D232" s="34"/>
      <c r="E232" s="34"/>
      <c r="F232" s="33"/>
      <c r="G232" s="34"/>
      <c r="H232" s="34"/>
      <c r="I232" s="33"/>
      <c r="J232" s="34"/>
      <c r="K232" s="34"/>
      <c r="L232" s="34"/>
      <c r="M232" s="34"/>
      <c r="N232" s="34"/>
      <c r="O232" s="34"/>
      <c r="P232" s="34"/>
      <c r="Q232" s="34"/>
      <c r="R232" s="34"/>
      <c r="S232" s="34"/>
      <c r="T232" s="34"/>
      <c r="U232" s="34"/>
      <c r="V232" s="34"/>
      <c r="W232" s="34"/>
      <c r="X232" s="34"/>
      <c r="Y232" s="34"/>
      <c r="Z232" s="34"/>
    </row>
    <row r="233" spans="1:26" ht="13">
      <c r="A233" s="34"/>
      <c r="B233" s="34"/>
      <c r="C233" s="34"/>
      <c r="D233" s="34"/>
      <c r="E233" s="34"/>
      <c r="F233" s="33"/>
      <c r="G233" s="34"/>
      <c r="H233" s="34"/>
      <c r="I233" s="33"/>
      <c r="J233" s="34"/>
      <c r="K233" s="34"/>
      <c r="L233" s="34"/>
      <c r="M233" s="34"/>
      <c r="N233" s="34"/>
      <c r="O233" s="34"/>
      <c r="P233" s="34"/>
      <c r="Q233" s="34"/>
      <c r="R233" s="34"/>
      <c r="S233" s="34"/>
      <c r="T233" s="34"/>
      <c r="U233" s="34"/>
      <c r="V233" s="34"/>
      <c r="W233" s="34"/>
      <c r="X233" s="34"/>
      <c r="Y233" s="34"/>
      <c r="Z233" s="34"/>
    </row>
    <row r="234" spans="1:26" ht="13">
      <c r="A234" s="34"/>
      <c r="B234" s="34"/>
      <c r="C234" s="34"/>
      <c r="D234" s="34"/>
      <c r="E234" s="34"/>
      <c r="F234" s="33"/>
      <c r="G234" s="34"/>
      <c r="H234" s="34"/>
      <c r="I234" s="33"/>
      <c r="J234" s="34"/>
      <c r="K234" s="34"/>
      <c r="L234" s="34"/>
      <c r="M234" s="34"/>
      <c r="N234" s="34"/>
      <c r="O234" s="34"/>
      <c r="P234" s="34"/>
      <c r="Q234" s="34"/>
      <c r="R234" s="34"/>
      <c r="S234" s="34"/>
      <c r="T234" s="34"/>
      <c r="U234" s="34"/>
      <c r="V234" s="34"/>
      <c r="W234" s="34"/>
      <c r="X234" s="34"/>
      <c r="Y234" s="34"/>
      <c r="Z234" s="34"/>
    </row>
    <row r="235" spans="1:26" ht="13">
      <c r="A235" s="34"/>
      <c r="B235" s="34"/>
      <c r="C235" s="34"/>
      <c r="D235" s="34"/>
      <c r="E235" s="34"/>
      <c r="F235" s="33"/>
      <c r="G235" s="34"/>
      <c r="H235" s="34"/>
      <c r="I235" s="33"/>
      <c r="J235" s="34"/>
      <c r="K235" s="34"/>
      <c r="L235" s="34"/>
      <c r="M235" s="34"/>
      <c r="N235" s="34"/>
      <c r="O235" s="34"/>
      <c r="P235" s="34"/>
      <c r="Q235" s="34"/>
      <c r="R235" s="34"/>
      <c r="S235" s="34"/>
      <c r="T235" s="34"/>
      <c r="U235" s="34"/>
      <c r="V235" s="34"/>
      <c r="W235" s="34"/>
      <c r="X235" s="34"/>
      <c r="Y235" s="34"/>
      <c r="Z235" s="34"/>
    </row>
    <row r="236" spans="1:26" ht="13">
      <c r="A236" s="34"/>
      <c r="B236" s="34"/>
      <c r="C236" s="34"/>
      <c r="D236" s="34"/>
      <c r="E236" s="34"/>
      <c r="F236" s="33"/>
      <c r="G236" s="34"/>
      <c r="H236" s="34"/>
      <c r="I236" s="33"/>
      <c r="J236" s="34"/>
      <c r="K236" s="34"/>
      <c r="L236" s="34"/>
      <c r="M236" s="34"/>
      <c r="N236" s="34"/>
      <c r="O236" s="34"/>
      <c r="P236" s="34"/>
      <c r="Q236" s="34"/>
      <c r="R236" s="34"/>
      <c r="S236" s="34"/>
      <c r="T236" s="34"/>
      <c r="U236" s="34"/>
      <c r="V236" s="34"/>
      <c r="W236" s="34"/>
      <c r="X236" s="34"/>
      <c r="Y236" s="34"/>
      <c r="Z236" s="34"/>
    </row>
    <row r="237" spans="1:26" ht="13">
      <c r="A237" s="34"/>
      <c r="B237" s="34"/>
      <c r="C237" s="34"/>
      <c r="D237" s="34"/>
      <c r="E237" s="34"/>
      <c r="F237" s="33"/>
      <c r="G237" s="34"/>
      <c r="H237" s="34"/>
      <c r="I237" s="33"/>
      <c r="J237" s="34"/>
      <c r="K237" s="34"/>
      <c r="L237" s="34"/>
      <c r="M237" s="34"/>
      <c r="N237" s="34"/>
      <c r="O237" s="34"/>
      <c r="P237" s="34"/>
      <c r="Q237" s="34"/>
      <c r="R237" s="34"/>
      <c r="S237" s="34"/>
      <c r="T237" s="34"/>
      <c r="U237" s="34"/>
      <c r="V237" s="34"/>
      <c r="W237" s="34"/>
      <c r="X237" s="34"/>
      <c r="Y237" s="34"/>
      <c r="Z237" s="34"/>
    </row>
    <row r="238" spans="1:26" ht="13">
      <c r="A238" s="34"/>
      <c r="B238" s="34"/>
      <c r="C238" s="34"/>
      <c r="D238" s="34"/>
      <c r="E238" s="34"/>
      <c r="F238" s="33"/>
      <c r="G238" s="34"/>
      <c r="H238" s="34"/>
      <c r="I238" s="33"/>
      <c r="J238" s="34"/>
      <c r="K238" s="34"/>
      <c r="L238" s="34"/>
      <c r="M238" s="34"/>
      <c r="N238" s="34"/>
      <c r="O238" s="34"/>
      <c r="P238" s="34"/>
      <c r="Q238" s="34"/>
      <c r="R238" s="34"/>
      <c r="S238" s="34"/>
      <c r="T238" s="34"/>
      <c r="U238" s="34"/>
      <c r="V238" s="34"/>
      <c r="W238" s="34"/>
      <c r="X238" s="34"/>
      <c r="Y238" s="34"/>
      <c r="Z238" s="34"/>
    </row>
    <row r="239" spans="1:26" ht="13">
      <c r="A239" s="34"/>
      <c r="B239" s="34"/>
      <c r="C239" s="34"/>
      <c r="D239" s="34"/>
      <c r="E239" s="34"/>
      <c r="F239" s="33"/>
      <c r="G239" s="34"/>
      <c r="H239" s="34"/>
      <c r="I239" s="33"/>
      <c r="J239" s="34"/>
      <c r="K239" s="34"/>
      <c r="L239" s="34"/>
      <c r="M239" s="34"/>
      <c r="N239" s="34"/>
      <c r="O239" s="34"/>
      <c r="P239" s="34"/>
      <c r="Q239" s="34"/>
      <c r="R239" s="34"/>
      <c r="S239" s="34"/>
      <c r="T239" s="34"/>
      <c r="U239" s="34"/>
      <c r="V239" s="34"/>
      <c r="W239" s="34"/>
      <c r="X239" s="34"/>
      <c r="Y239" s="34"/>
      <c r="Z239" s="34"/>
    </row>
    <row r="240" spans="1:26" ht="13">
      <c r="A240" s="34"/>
      <c r="B240" s="34"/>
      <c r="C240" s="34"/>
      <c r="D240" s="34"/>
      <c r="E240" s="34"/>
      <c r="F240" s="33"/>
      <c r="G240" s="34"/>
      <c r="H240" s="34"/>
      <c r="I240" s="33"/>
      <c r="J240" s="34"/>
      <c r="K240" s="34"/>
      <c r="L240" s="34"/>
      <c r="M240" s="34"/>
      <c r="N240" s="34"/>
      <c r="O240" s="34"/>
      <c r="P240" s="34"/>
      <c r="Q240" s="34"/>
      <c r="R240" s="34"/>
      <c r="S240" s="34"/>
      <c r="T240" s="34"/>
      <c r="U240" s="34"/>
      <c r="V240" s="34"/>
      <c r="W240" s="34"/>
      <c r="X240" s="34"/>
      <c r="Y240" s="34"/>
      <c r="Z240" s="34"/>
    </row>
    <row r="241" spans="1:26" ht="13">
      <c r="A241" s="34"/>
      <c r="B241" s="34"/>
      <c r="C241" s="34"/>
      <c r="D241" s="34"/>
      <c r="E241" s="34"/>
      <c r="F241" s="33"/>
      <c r="G241" s="34"/>
      <c r="H241" s="34"/>
      <c r="I241" s="33"/>
      <c r="J241" s="34"/>
      <c r="K241" s="34"/>
      <c r="L241" s="34"/>
      <c r="M241" s="34"/>
      <c r="N241" s="34"/>
      <c r="O241" s="34"/>
      <c r="P241" s="34"/>
      <c r="Q241" s="34"/>
      <c r="R241" s="34"/>
      <c r="S241" s="34"/>
      <c r="T241" s="34"/>
      <c r="U241" s="34"/>
      <c r="V241" s="34"/>
      <c r="W241" s="34"/>
      <c r="X241" s="34"/>
      <c r="Y241" s="34"/>
      <c r="Z241" s="34"/>
    </row>
    <row r="242" spans="1:26" ht="13">
      <c r="A242" s="34"/>
      <c r="B242" s="34"/>
      <c r="C242" s="34"/>
      <c r="D242" s="34"/>
      <c r="E242" s="34"/>
      <c r="F242" s="33"/>
      <c r="G242" s="34"/>
      <c r="H242" s="34"/>
      <c r="I242" s="33"/>
      <c r="J242" s="34"/>
      <c r="K242" s="34"/>
      <c r="L242" s="34"/>
      <c r="M242" s="34"/>
      <c r="N242" s="34"/>
      <c r="O242" s="34"/>
      <c r="P242" s="34"/>
      <c r="Q242" s="34"/>
      <c r="R242" s="34"/>
      <c r="S242" s="34"/>
      <c r="T242" s="34"/>
      <c r="U242" s="34"/>
      <c r="V242" s="34"/>
      <c r="W242" s="34"/>
      <c r="X242" s="34"/>
      <c r="Y242" s="34"/>
      <c r="Z242" s="34"/>
    </row>
    <row r="243" spans="1:26" ht="13">
      <c r="A243" s="34"/>
      <c r="B243" s="34"/>
      <c r="C243" s="34"/>
      <c r="D243" s="34"/>
      <c r="E243" s="34"/>
      <c r="F243" s="33"/>
      <c r="G243" s="34"/>
      <c r="H243" s="34"/>
      <c r="I243" s="33"/>
      <c r="J243" s="34"/>
      <c r="K243" s="34"/>
      <c r="L243" s="34"/>
      <c r="M243" s="34"/>
      <c r="N243" s="34"/>
      <c r="O243" s="34"/>
      <c r="P243" s="34"/>
      <c r="Q243" s="34"/>
      <c r="R243" s="34"/>
      <c r="S243" s="34"/>
      <c r="T243" s="34"/>
      <c r="U243" s="34"/>
      <c r="V243" s="34"/>
      <c r="W243" s="34"/>
      <c r="X243" s="34"/>
      <c r="Y243" s="34"/>
      <c r="Z243" s="34"/>
    </row>
    <row r="244" spans="1:26" ht="13">
      <c r="A244" s="34"/>
      <c r="B244" s="34"/>
      <c r="C244" s="34"/>
      <c r="D244" s="34"/>
      <c r="E244" s="34"/>
      <c r="F244" s="33"/>
      <c r="G244" s="34"/>
      <c r="H244" s="34"/>
      <c r="I244" s="33"/>
      <c r="J244" s="34"/>
      <c r="K244" s="34"/>
      <c r="L244" s="34"/>
      <c r="M244" s="34"/>
      <c r="N244" s="34"/>
      <c r="O244" s="34"/>
      <c r="P244" s="34"/>
      <c r="Q244" s="34"/>
      <c r="R244" s="34"/>
      <c r="S244" s="34"/>
      <c r="T244" s="34"/>
      <c r="U244" s="34"/>
      <c r="V244" s="34"/>
      <c r="W244" s="34"/>
      <c r="X244" s="34"/>
      <c r="Y244" s="34"/>
      <c r="Z244" s="34"/>
    </row>
    <row r="245" spans="1:26" ht="13">
      <c r="A245" s="34"/>
      <c r="B245" s="34"/>
      <c r="C245" s="34"/>
      <c r="D245" s="34"/>
      <c r="E245" s="34"/>
      <c r="F245" s="33"/>
      <c r="G245" s="34"/>
      <c r="H245" s="34"/>
      <c r="I245" s="33"/>
      <c r="J245" s="34"/>
      <c r="K245" s="34"/>
      <c r="L245" s="34"/>
      <c r="M245" s="34"/>
      <c r="N245" s="34"/>
      <c r="O245" s="34"/>
      <c r="P245" s="34"/>
      <c r="Q245" s="34"/>
      <c r="R245" s="34"/>
      <c r="S245" s="34"/>
      <c r="T245" s="34"/>
      <c r="U245" s="34"/>
      <c r="V245" s="34"/>
      <c r="W245" s="34"/>
      <c r="X245" s="34"/>
      <c r="Y245" s="34"/>
      <c r="Z245" s="34"/>
    </row>
    <row r="246" spans="1:26" ht="13">
      <c r="A246" s="34"/>
      <c r="B246" s="34"/>
      <c r="C246" s="34"/>
      <c r="D246" s="34"/>
      <c r="E246" s="34"/>
      <c r="F246" s="33"/>
      <c r="G246" s="34"/>
      <c r="H246" s="34"/>
      <c r="I246" s="33"/>
      <c r="J246" s="34"/>
      <c r="K246" s="34"/>
      <c r="L246" s="34"/>
      <c r="M246" s="34"/>
      <c r="N246" s="34"/>
      <c r="O246" s="34"/>
      <c r="P246" s="34"/>
      <c r="Q246" s="34"/>
      <c r="R246" s="34"/>
      <c r="S246" s="34"/>
      <c r="T246" s="34"/>
      <c r="U246" s="34"/>
      <c r="V246" s="34"/>
      <c r="W246" s="34"/>
      <c r="X246" s="34"/>
      <c r="Y246" s="34"/>
      <c r="Z246" s="34"/>
    </row>
    <row r="247" spans="1:26" ht="13">
      <c r="A247" s="34"/>
      <c r="B247" s="34"/>
      <c r="C247" s="34"/>
      <c r="D247" s="34"/>
      <c r="E247" s="34"/>
      <c r="F247" s="33"/>
      <c r="G247" s="34"/>
      <c r="H247" s="34"/>
      <c r="I247" s="33"/>
      <c r="J247" s="34"/>
      <c r="K247" s="34"/>
      <c r="L247" s="34"/>
      <c r="M247" s="34"/>
      <c r="N247" s="34"/>
      <c r="O247" s="34"/>
      <c r="P247" s="34"/>
      <c r="Q247" s="34"/>
      <c r="R247" s="34"/>
      <c r="S247" s="34"/>
      <c r="T247" s="34"/>
      <c r="U247" s="34"/>
      <c r="V247" s="34"/>
      <c r="W247" s="34"/>
      <c r="X247" s="34"/>
      <c r="Y247" s="34"/>
      <c r="Z247" s="34"/>
    </row>
    <row r="248" spans="1:26" ht="13">
      <c r="A248" s="34"/>
      <c r="B248" s="34"/>
      <c r="C248" s="34"/>
      <c r="D248" s="34"/>
      <c r="E248" s="34"/>
      <c r="F248" s="33"/>
      <c r="G248" s="34"/>
      <c r="H248" s="34"/>
      <c r="I248" s="33"/>
      <c r="J248" s="34"/>
      <c r="K248" s="34"/>
      <c r="L248" s="34"/>
      <c r="M248" s="34"/>
      <c r="N248" s="34"/>
      <c r="O248" s="34"/>
      <c r="P248" s="34"/>
      <c r="Q248" s="34"/>
      <c r="R248" s="34"/>
      <c r="S248" s="34"/>
      <c r="T248" s="34"/>
      <c r="U248" s="34"/>
      <c r="V248" s="34"/>
      <c r="W248" s="34"/>
      <c r="X248" s="34"/>
      <c r="Y248" s="34"/>
      <c r="Z248" s="34"/>
    </row>
    <row r="249" spans="1:26" ht="13">
      <c r="A249" s="34"/>
      <c r="B249" s="34"/>
      <c r="C249" s="34"/>
      <c r="D249" s="34"/>
      <c r="E249" s="34"/>
      <c r="F249" s="33"/>
      <c r="G249" s="34"/>
      <c r="H249" s="34"/>
      <c r="I249" s="33"/>
      <c r="J249" s="34"/>
      <c r="K249" s="34"/>
      <c r="L249" s="34"/>
      <c r="M249" s="34"/>
      <c r="N249" s="34"/>
      <c r="O249" s="34"/>
      <c r="P249" s="34"/>
      <c r="Q249" s="34"/>
      <c r="R249" s="34"/>
      <c r="S249" s="34"/>
      <c r="T249" s="34"/>
      <c r="U249" s="34"/>
      <c r="V249" s="34"/>
      <c r="W249" s="34"/>
      <c r="X249" s="34"/>
      <c r="Y249" s="34"/>
      <c r="Z249" s="34"/>
    </row>
    <row r="250" spans="1:26" ht="13">
      <c r="A250" s="34"/>
      <c r="B250" s="34"/>
      <c r="C250" s="34"/>
      <c r="D250" s="34"/>
      <c r="E250" s="34"/>
      <c r="F250" s="33"/>
      <c r="G250" s="34"/>
      <c r="H250" s="34"/>
      <c r="I250" s="33"/>
      <c r="J250" s="34"/>
      <c r="K250" s="34"/>
      <c r="L250" s="34"/>
      <c r="M250" s="34"/>
      <c r="N250" s="34"/>
      <c r="O250" s="34"/>
      <c r="P250" s="34"/>
      <c r="Q250" s="34"/>
      <c r="R250" s="34"/>
      <c r="S250" s="34"/>
      <c r="T250" s="34"/>
      <c r="U250" s="34"/>
      <c r="V250" s="34"/>
      <c r="W250" s="34"/>
      <c r="X250" s="34"/>
      <c r="Y250" s="34"/>
      <c r="Z250" s="34"/>
    </row>
    <row r="251" spans="1:26" ht="13">
      <c r="A251" s="34"/>
      <c r="B251" s="34"/>
      <c r="C251" s="34"/>
      <c r="D251" s="34"/>
      <c r="E251" s="34"/>
      <c r="F251" s="33"/>
      <c r="G251" s="34"/>
      <c r="H251" s="34"/>
      <c r="I251" s="33"/>
      <c r="J251" s="34"/>
      <c r="K251" s="34"/>
      <c r="L251" s="34"/>
      <c r="M251" s="34"/>
      <c r="N251" s="34"/>
      <c r="O251" s="34"/>
      <c r="P251" s="34"/>
      <c r="Q251" s="34"/>
      <c r="R251" s="34"/>
      <c r="S251" s="34"/>
      <c r="T251" s="34"/>
      <c r="U251" s="34"/>
      <c r="V251" s="34"/>
      <c r="W251" s="34"/>
      <c r="X251" s="34"/>
      <c r="Y251" s="34"/>
      <c r="Z251" s="34"/>
    </row>
    <row r="252" spans="1:26" ht="13">
      <c r="A252" s="34"/>
      <c r="B252" s="34"/>
      <c r="C252" s="34"/>
      <c r="D252" s="34"/>
      <c r="E252" s="34"/>
      <c r="F252" s="33"/>
      <c r="G252" s="34"/>
      <c r="H252" s="34"/>
      <c r="I252" s="33"/>
      <c r="J252" s="34"/>
      <c r="K252" s="34"/>
      <c r="L252" s="34"/>
      <c r="M252" s="34"/>
      <c r="N252" s="34"/>
      <c r="O252" s="34"/>
      <c r="P252" s="34"/>
      <c r="Q252" s="34"/>
      <c r="R252" s="34"/>
      <c r="S252" s="34"/>
      <c r="T252" s="34"/>
      <c r="U252" s="34"/>
      <c r="V252" s="34"/>
      <c r="W252" s="34"/>
      <c r="X252" s="34"/>
      <c r="Y252" s="34"/>
      <c r="Z252" s="34"/>
    </row>
    <row r="253" spans="1:26" ht="13">
      <c r="A253" s="34"/>
      <c r="B253" s="34"/>
      <c r="C253" s="34"/>
      <c r="D253" s="34"/>
      <c r="E253" s="34"/>
      <c r="F253" s="33"/>
      <c r="G253" s="34"/>
      <c r="H253" s="34"/>
      <c r="I253" s="33"/>
      <c r="J253" s="34"/>
      <c r="K253" s="34"/>
      <c r="L253" s="34"/>
      <c r="M253" s="34"/>
      <c r="N253" s="34"/>
      <c r="O253" s="34"/>
      <c r="P253" s="34"/>
      <c r="Q253" s="34"/>
      <c r="R253" s="34"/>
      <c r="S253" s="34"/>
      <c r="T253" s="34"/>
      <c r="U253" s="34"/>
      <c r="V253" s="34"/>
      <c r="W253" s="34"/>
      <c r="X253" s="34"/>
      <c r="Y253" s="34"/>
      <c r="Z253" s="34"/>
    </row>
    <row r="254" spans="1:26" ht="13">
      <c r="A254" s="34"/>
      <c r="B254" s="34"/>
      <c r="C254" s="34"/>
      <c r="D254" s="34"/>
      <c r="E254" s="34"/>
      <c r="F254" s="33"/>
      <c r="G254" s="34"/>
      <c r="H254" s="34"/>
      <c r="I254" s="33"/>
      <c r="J254" s="34"/>
      <c r="K254" s="34"/>
      <c r="L254" s="34"/>
      <c r="M254" s="34"/>
      <c r="N254" s="34"/>
      <c r="O254" s="34"/>
      <c r="P254" s="34"/>
      <c r="Q254" s="34"/>
      <c r="R254" s="34"/>
      <c r="S254" s="34"/>
      <c r="T254" s="34"/>
      <c r="U254" s="34"/>
      <c r="V254" s="34"/>
      <c r="W254" s="34"/>
      <c r="X254" s="34"/>
      <c r="Y254" s="34"/>
      <c r="Z254" s="34"/>
    </row>
    <row r="255" spans="1:26" ht="13">
      <c r="A255" s="34"/>
      <c r="B255" s="34"/>
      <c r="C255" s="34"/>
      <c r="D255" s="34"/>
      <c r="E255" s="34"/>
      <c r="F255" s="33"/>
      <c r="G255" s="34"/>
      <c r="H255" s="34"/>
      <c r="I255" s="33"/>
      <c r="J255" s="34"/>
      <c r="K255" s="34"/>
      <c r="L255" s="34"/>
      <c r="M255" s="34"/>
      <c r="N255" s="34"/>
      <c r="O255" s="34"/>
      <c r="P255" s="34"/>
      <c r="Q255" s="34"/>
      <c r="R255" s="34"/>
      <c r="S255" s="34"/>
      <c r="T255" s="34"/>
      <c r="U255" s="34"/>
      <c r="V255" s="34"/>
      <c r="W255" s="34"/>
      <c r="X255" s="34"/>
      <c r="Y255" s="34"/>
      <c r="Z255" s="34"/>
    </row>
    <row r="256" spans="1:26" ht="13">
      <c r="A256" s="34"/>
      <c r="B256" s="34"/>
      <c r="C256" s="34"/>
      <c r="D256" s="34"/>
      <c r="E256" s="34"/>
      <c r="F256" s="33"/>
      <c r="G256" s="34"/>
      <c r="H256" s="34"/>
      <c r="I256" s="33"/>
      <c r="J256" s="34"/>
      <c r="K256" s="34"/>
      <c r="L256" s="34"/>
      <c r="M256" s="34"/>
      <c r="N256" s="34"/>
      <c r="O256" s="34"/>
      <c r="P256" s="34"/>
      <c r="Q256" s="34"/>
      <c r="R256" s="34"/>
      <c r="S256" s="34"/>
      <c r="T256" s="34"/>
      <c r="U256" s="34"/>
      <c r="V256" s="34"/>
      <c r="W256" s="34"/>
      <c r="X256" s="34"/>
      <c r="Y256" s="34"/>
      <c r="Z256" s="34"/>
    </row>
    <row r="257" spans="1:26" ht="13">
      <c r="A257" s="34"/>
      <c r="B257" s="34"/>
      <c r="C257" s="34"/>
      <c r="D257" s="34"/>
      <c r="E257" s="34"/>
      <c r="F257" s="33"/>
      <c r="G257" s="34"/>
      <c r="H257" s="34"/>
      <c r="I257" s="33"/>
      <c r="J257" s="34"/>
      <c r="K257" s="34"/>
      <c r="L257" s="34"/>
      <c r="M257" s="34"/>
      <c r="N257" s="34"/>
      <c r="O257" s="34"/>
      <c r="P257" s="34"/>
      <c r="Q257" s="34"/>
      <c r="R257" s="34"/>
      <c r="S257" s="34"/>
      <c r="T257" s="34"/>
      <c r="U257" s="34"/>
      <c r="V257" s="34"/>
      <c r="W257" s="34"/>
      <c r="X257" s="34"/>
      <c r="Y257" s="34"/>
      <c r="Z257" s="34"/>
    </row>
    <row r="258" spans="1:26" ht="13">
      <c r="A258" s="34"/>
      <c r="B258" s="34"/>
      <c r="C258" s="34"/>
      <c r="D258" s="34"/>
      <c r="E258" s="34"/>
      <c r="F258" s="33"/>
      <c r="G258" s="34"/>
      <c r="H258" s="34"/>
      <c r="I258" s="33"/>
      <c r="J258" s="34"/>
      <c r="K258" s="34"/>
      <c r="L258" s="34"/>
      <c r="M258" s="34"/>
      <c r="N258" s="34"/>
      <c r="O258" s="34"/>
      <c r="P258" s="34"/>
      <c r="Q258" s="34"/>
      <c r="R258" s="34"/>
      <c r="S258" s="34"/>
      <c r="T258" s="34"/>
      <c r="U258" s="34"/>
      <c r="V258" s="34"/>
      <c r="W258" s="34"/>
      <c r="X258" s="34"/>
      <c r="Y258" s="34"/>
      <c r="Z258" s="34"/>
    </row>
    <row r="259" spans="1:26" ht="13">
      <c r="A259" s="34"/>
      <c r="B259" s="34"/>
      <c r="C259" s="34"/>
      <c r="D259" s="34"/>
      <c r="E259" s="34"/>
      <c r="F259" s="33"/>
      <c r="G259" s="34"/>
      <c r="H259" s="34"/>
      <c r="I259" s="33"/>
      <c r="J259" s="34"/>
      <c r="K259" s="34"/>
      <c r="L259" s="34"/>
      <c r="M259" s="34"/>
      <c r="N259" s="34"/>
      <c r="O259" s="34"/>
      <c r="P259" s="34"/>
      <c r="Q259" s="34"/>
      <c r="R259" s="34"/>
      <c r="S259" s="34"/>
      <c r="T259" s="34"/>
      <c r="U259" s="34"/>
      <c r="V259" s="34"/>
      <c r="W259" s="34"/>
      <c r="X259" s="34"/>
      <c r="Y259" s="34"/>
      <c r="Z259" s="34"/>
    </row>
    <row r="260" spans="1:26" ht="13">
      <c r="A260" s="34"/>
      <c r="B260" s="34"/>
      <c r="C260" s="34"/>
      <c r="D260" s="34"/>
      <c r="E260" s="34"/>
      <c r="F260" s="33"/>
      <c r="G260" s="34"/>
      <c r="H260" s="34"/>
      <c r="I260" s="33"/>
      <c r="J260" s="34"/>
      <c r="K260" s="34"/>
      <c r="L260" s="34"/>
      <c r="M260" s="34"/>
      <c r="N260" s="34"/>
      <c r="O260" s="34"/>
      <c r="P260" s="34"/>
      <c r="Q260" s="34"/>
      <c r="R260" s="34"/>
      <c r="S260" s="34"/>
      <c r="T260" s="34"/>
      <c r="U260" s="34"/>
      <c r="V260" s="34"/>
      <c r="W260" s="34"/>
      <c r="X260" s="34"/>
      <c r="Y260" s="34"/>
      <c r="Z260" s="34"/>
    </row>
    <row r="261" spans="1:26" ht="13">
      <c r="A261" s="34"/>
      <c r="B261" s="34"/>
      <c r="C261" s="34"/>
      <c r="D261" s="34"/>
      <c r="E261" s="34"/>
      <c r="F261" s="33"/>
      <c r="G261" s="34"/>
      <c r="H261" s="34"/>
      <c r="I261" s="33"/>
      <c r="J261" s="34"/>
      <c r="K261" s="34"/>
      <c r="L261" s="34"/>
      <c r="M261" s="34"/>
      <c r="N261" s="34"/>
      <c r="O261" s="34"/>
      <c r="P261" s="34"/>
      <c r="Q261" s="34"/>
      <c r="R261" s="34"/>
      <c r="S261" s="34"/>
      <c r="T261" s="34"/>
      <c r="U261" s="34"/>
      <c r="V261" s="34"/>
      <c r="W261" s="34"/>
      <c r="X261" s="34"/>
      <c r="Y261" s="34"/>
      <c r="Z261" s="34"/>
    </row>
    <row r="262" spans="1:26" ht="13">
      <c r="A262" s="34"/>
      <c r="B262" s="34"/>
      <c r="C262" s="34"/>
      <c r="D262" s="34"/>
      <c r="E262" s="34"/>
      <c r="F262" s="33"/>
      <c r="G262" s="34"/>
      <c r="H262" s="34"/>
      <c r="I262" s="33"/>
      <c r="J262" s="34"/>
      <c r="K262" s="34"/>
      <c r="L262" s="34"/>
      <c r="M262" s="34"/>
      <c r="N262" s="34"/>
      <c r="O262" s="34"/>
      <c r="P262" s="34"/>
      <c r="Q262" s="34"/>
      <c r="R262" s="34"/>
      <c r="S262" s="34"/>
      <c r="T262" s="34"/>
      <c r="U262" s="34"/>
      <c r="V262" s="34"/>
      <c r="W262" s="34"/>
      <c r="X262" s="34"/>
      <c r="Y262" s="34"/>
      <c r="Z262" s="34"/>
    </row>
    <row r="263" spans="1:26" ht="13">
      <c r="A263" s="34"/>
      <c r="B263" s="34"/>
      <c r="C263" s="34"/>
      <c r="D263" s="34"/>
      <c r="E263" s="34"/>
      <c r="F263" s="33"/>
      <c r="G263" s="34"/>
      <c r="H263" s="34"/>
      <c r="I263" s="33"/>
      <c r="J263" s="34"/>
      <c r="K263" s="34"/>
      <c r="L263" s="34"/>
      <c r="M263" s="34"/>
      <c r="N263" s="34"/>
      <c r="O263" s="34"/>
      <c r="P263" s="34"/>
      <c r="Q263" s="34"/>
      <c r="R263" s="34"/>
      <c r="S263" s="34"/>
      <c r="T263" s="34"/>
      <c r="U263" s="34"/>
      <c r="V263" s="34"/>
      <c r="W263" s="34"/>
      <c r="X263" s="34"/>
      <c r="Y263" s="34"/>
      <c r="Z263" s="34"/>
    </row>
    <row r="264" spans="1:26" ht="13">
      <c r="A264" s="34"/>
      <c r="B264" s="34"/>
      <c r="C264" s="34"/>
      <c r="D264" s="34"/>
      <c r="E264" s="34"/>
      <c r="F264" s="33"/>
      <c r="G264" s="34"/>
      <c r="H264" s="34"/>
      <c r="I264" s="33"/>
      <c r="J264" s="34"/>
      <c r="K264" s="34"/>
      <c r="L264" s="34"/>
      <c r="M264" s="34"/>
      <c r="N264" s="34"/>
      <c r="O264" s="34"/>
      <c r="P264" s="34"/>
      <c r="Q264" s="34"/>
      <c r="R264" s="34"/>
      <c r="S264" s="34"/>
      <c r="T264" s="34"/>
      <c r="U264" s="34"/>
      <c r="V264" s="34"/>
      <c r="W264" s="34"/>
      <c r="X264" s="34"/>
      <c r="Y264" s="34"/>
      <c r="Z264" s="34"/>
    </row>
    <row r="265" spans="1:26" ht="13">
      <c r="A265" s="34"/>
      <c r="B265" s="34"/>
      <c r="C265" s="34"/>
      <c r="D265" s="34"/>
      <c r="E265" s="34"/>
      <c r="F265" s="33"/>
      <c r="G265" s="34"/>
      <c r="H265" s="34"/>
      <c r="I265" s="33"/>
      <c r="J265" s="34"/>
      <c r="K265" s="34"/>
      <c r="L265" s="34"/>
      <c r="M265" s="34"/>
      <c r="N265" s="34"/>
      <c r="O265" s="34"/>
      <c r="P265" s="34"/>
      <c r="Q265" s="34"/>
      <c r="R265" s="34"/>
      <c r="S265" s="34"/>
      <c r="T265" s="34"/>
      <c r="U265" s="34"/>
      <c r="V265" s="34"/>
      <c r="W265" s="34"/>
      <c r="X265" s="34"/>
      <c r="Y265" s="34"/>
      <c r="Z265" s="34"/>
    </row>
    <row r="266" spans="1:26" ht="13">
      <c r="A266" s="34"/>
      <c r="B266" s="34"/>
      <c r="C266" s="34"/>
      <c r="D266" s="34"/>
      <c r="E266" s="34"/>
      <c r="F266" s="33"/>
      <c r="G266" s="34"/>
      <c r="H266" s="34"/>
      <c r="I266" s="33"/>
      <c r="J266" s="34"/>
      <c r="K266" s="34"/>
      <c r="L266" s="34"/>
      <c r="M266" s="34"/>
      <c r="N266" s="34"/>
      <c r="O266" s="34"/>
      <c r="P266" s="34"/>
      <c r="Q266" s="34"/>
      <c r="R266" s="34"/>
      <c r="S266" s="34"/>
      <c r="T266" s="34"/>
      <c r="U266" s="34"/>
      <c r="V266" s="34"/>
      <c r="W266" s="34"/>
      <c r="X266" s="34"/>
      <c r="Y266" s="34"/>
      <c r="Z266" s="34"/>
    </row>
    <row r="267" spans="1:26" ht="13">
      <c r="A267" s="34"/>
      <c r="B267" s="34"/>
      <c r="C267" s="34"/>
      <c r="D267" s="34"/>
      <c r="E267" s="34"/>
      <c r="F267" s="33"/>
      <c r="G267" s="34"/>
      <c r="H267" s="34"/>
      <c r="I267" s="33"/>
      <c r="J267" s="34"/>
      <c r="K267" s="34"/>
      <c r="L267" s="34"/>
      <c r="M267" s="34"/>
      <c r="N267" s="34"/>
      <c r="O267" s="34"/>
      <c r="P267" s="34"/>
      <c r="Q267" s="34"/>
      <c r="R267" s="34"/>
      <c r="S267" s="34"/>
      <c r="T267" s="34"/>
      <c r="U267" s="34"/>
      <c r="V267" s="34"/>
      <c r="W267" s="34"/>
      <c r="X267" s="34"/>
      <c r="Y267" s="34"/>
      <c r="Z267" s="34"/>
    </row>
    <row r="268" spans="1:26" ht="13">
      <c r="A268" s="34"/>
      <c r="B268" s="34"/>
      <c r="C268" s="34"/>
      <c r="D268" s="34"/>
      <c r="E268" s="34"/>
      <c r="F268" s="33"/>
      <c r="G268" s="34"/>
      <c r="H268" s="34"/>
      <c r="I268" s="33"/>
      <c r="J268" s="34"/>
      <c r="K268" s="34"/>
      <c r="L268" s="34"/>
      <c r="M268" s="34"/>
      <c r="N268" s="34"/>
      <c r="O268" s="34"/>
      <c r="P268" s="34"/>
      <c r="Q268" s="34"/>
      <c r="R268" s="34"/>
      <c r="S268" s="34"/>
      <c r="T268" s="34"/>
      <c r="U268" s="34"/>
      <c r="V268" s="34"/>
      <c r="W268" s="34"/>
      <c r="X268" s="34"/>
      <c r="Y268" s="34"/>
      <c r="Z268" s="34"/>
    </row>
    <row r="269" spans="1:26" ht="13">
      <c r="A269" s="34"/>
      <c r="B269" s="34"/>
      <c r="C269" s="34"/>
      <c r="D269" s="34"/>
      <c r="E269" s="34"/>
      <c r="F269" s="33"/>
      <c r="G269" s="34"/>
      <c r="H269" s="34"/>
      <c r="I269" s="33"/>
      <c r="J269" s="34"/>
      <c r="K269" s="34"/>
      <c r="L269" s="34"/>
      <c r="M269" s="34"/>
      <c r="N269" s="34"/>
      <c r="O269" s="34"/>
      <c r="P269" s="34"/>
      <c r="Q269" s="34"/>
      <c r="R269" s="34"/>
      <c r="S269" s="34"/>
      <c r="T269" s="34"/>
      <c r="U269" s="34"/>
      <c r="V269" s="34"/>
      <c r="W269" s="34"/>
      <c r="X269" s="34"/>
      <c r="Y269" s="34"/>
      <c r="Z269" s="34"/>
    </row>
    <row r="270" spans="1:26" ht="13">
      <c r="A270" s="34"/>
      <c r="B270" s="34"/>
      <c r="C270" s="34"/>
      <c r="D270" s="34"/>
      <c r="E270" s="34"/>
      <c r="F270" s="33"/>
      <c r="G270" s="34"/>
      <c r="H270" s="34"/>
      <c r="I270" s="33"/>
      <c r="J270" s="34"/>
      <c r="K270" s="34"/>
      <c r="L270" s="34"/>
      <c r="M270" s="34"/>
      <c r="N270" s="34"/>
      <c r="O270" s="34"/>
      <c r="P270" s="34"/>
      <c r="Q270" s="34"/>
      <c r="R270" s="34"/>
      <c r="S270" s="34"/>
      <c r="T270" s="34"/>
      <c r="U270" s="34"/>
      <c r="V270" s="34"/>
      <c r="W270" s="34"/>
      <c r="X270" s="34"/>
      <c r="Y270" s="34"/>
      <c r="Z270" s="34"/>
    </row>
    <row r="271" spans="1:26" ht="13">
      <c r="A271" s="34"/>
      <c r="B271" s="34"/>
      <c r="C271" s="34"/>
      <c r="D271" s="34"/>
      <c r="E271" s="34"/>
      <c r="F271" s="33"/>
      <c r="G271" s="34"/>
      <c r="H271" s="34"/>
      <c r="I271" s="33"/>
      <c r="J271" s="34"/>
      <c r="K271" s="34"/>
      <c r="L271" s="34"/>
      <c r="M271" s="34"/>
      <c r="N271" s="34"/>
      <c r="O271" s="34"/>
      <c r="P271" s="34"/>
      <c r="Q271" s="34"/>
      <c r="R271" s="34"/>
      <c r="S271" s="34"/>
      <c r="T271" s="34"/>
      <c r="U271" s="34"/>
      <c r="V271" s="34"/>
      <c r="W271" s="34"/>
      <c r="X271" s="34"/>
      <c r="Y271" s="34"/>
      <c r="Z271" s="34"/>
    </row>
    <row r="272" spans="1:26" ht="13">
      <c r="A272" s="34"/>
      <c r="B272" s="34"/>
      <c r="C272" s="34"/>
      <c r="D272" s="34"/>
      <c r="E272" s="34"/>
      <c r="F272" s="33"/>
      <c r="G272" s="34"/>
      <c r="H272" s="34"/>
      <c r="I272" s="33"/>
      <c r="J272" s="34"/>
      <c r="K272" s="34"/>
      <c r="L272" s="34"/>
      <c r="M272" s="34"/>
      <c r="N272" s="34"/>
      <c r="O272" s="34"/>
      <c r="P272" s="34"/>
      <c r="Q272" s="34"/>
      <c r="R272" s="34"/>
      <c r="S272" s="34"/>
      <c r="T272" s="34"/>
      <c r="U272" s="34"/>
      <c r="V272" s="34"/>
      <c r="W272" s="34"/>
      <c r="X272" s="34"/>
      <c r="Y272" s="34"/>
      <c r="Z272" s="34"/>
    </row>
    <row r="273" spans="1:26" ht="13">
      <c r="A273" s="34"/>
      <c r="B273" s="34"/>
      <c r="C273" s="34"/>
      <c r="D273" s="34"/>
      <c r="E273" s="34"/>
      <c r="F273" s="33"/>
      <c r="G273" s="34"/>
      <c r="H273" s="34"/>
      <c r="I273" s="33"/>
      <c r="J273" s="34"/>
      <c r="K273" s="34"/>
      <c r="L273" s="34"/>
      <c r="M273" s="34"/>
      <c r="N273" s="34"/>
      <c r="O273" s="34"/>
      <c r="P273" s="34"/>
      <c r="Q273" s="34"/>
      <c r="R273" s="34"/>
      <c r="S273" s="34"/>
      <c r="T273" s="34"/>
      <c r="U273" s="34"/>
      <c r="V273" s="34"/>
      <c r="W273" s="34"/>
      <c r="X273" s="34"/>
      <c r="Y273" s="34"/>
      <c r="Z273" s="34"/>
    </row>
    <row r="274" spans="1:26" ht="13">
      <c r="A274" s="34"/>
      <c r="B274" s="34"/>
      <c r="C274" s="34"/>
      <c r="D274" s="34"/>
      <c r="E274" s="34"/>
      <c r="F274" s="33"/>
      <c r="G274" s="34"/>
      <c r="H274" s="34"/>
      <c r="I274" s="33"/>
      <c r="J274" s="34"/>
      <c r="K274" s="34"/>
      <c r="L274" s="34"/>
      <c r="M274" s="34"/>
      <c r="N274" s="34"/>
      <c r="O274" s="34"/>
      <c r="P274" s="34"/>
      <c r="Q274" s="34"/>
      <c r="R274" s="34"/>
      <c r="S274" s="34"/>
      <c r="T274" s="34"/>
      <c r="U274" s="34"/>
      <c r="V274" s="34"/>
      <c r="W274" s="34"/>
      <c r="X274" s="34"/>
      <c r="Y274" s="34"/>
      <c r="Z274" s="34"/>
    </row>
    <row r="275" spans="1:26" ht="13">
      <c r="A275" s="34"/>
      <c r="B275" s="34"/>
      <c r="C275" s="34"/>
      <c r="D275" s="34"/>
      <c r="E275" s="34"/>
      <c r="F275" s="33"/>
      <c r="G275" s="34"/>
      <c r="H275" s="34"/>
      <c r="I275" s="33"/>
      <c r="J275" s="34"/>
      <c r="K275" s="34"/>
      <c r="L275" s="34"/>
      <c r="M275" s="34"/>
      <c r="N275" s="34"/>
      <c r="O275" s="34"/>
      <c r="P275" s="34"/>
      <c r="Q275" s="34"/>
      <c r="R275" s="34"/>
      <c r="S275" s="34"/>
      <c r="T275" s="34"/>
      <c r="U275" s="34"/>
      <c r="V275" s="34"/>
      <c r="W275" s="34"/>
      <c r="X275" s="34"/>
      <c r="Y275" s="34"/>
      <c r="Z275" s="34"/>
    </row>
    <row r="276" spans="1:26" ht="13">
      <c r="A276" s="34"/>
      <c r="B276" s="34"/>
      <c r="C276" s="34"/>
      <c r="D276" s="34"/>
      <c r="E276" s="34"/>
      <c r="F276" s="33"/>
      <c r="G276" s="34"/>
      <c r="H276" s="34"/>
      <c r="I276" s="33"/>
      <c r="J276" s="34"/>
      <c r="K276" s="34"/>
      <c r="L276" s="34"/>
      <c r="M276" s="34"/>
      <c r="N276" s="34"/>
      <c r="O276" s="34"/>
      <c r="P276" s="34"/>
      <c r="Q276" s="34"/>
      <c r="R276" s="34"/>
      <c r="S276" s="34"/>
      <c r="T276" s="34"/>
      <c r="U276" s="34"/>
      <c r="V276" s="34"/>
      <c r="W276" s="34"/>
      <c r="X276" s="34"/>
      <c r="Y276" s="34"/>
      <c r="Z276" s="34"/>
    </row>
    <row r="277" spans="1:26" ht="13">
      <c r="A277" s="34"/>
      <c r="B277" s="34"/>
      <c r="C277" s="34"/>
      <c r="D277" s="34"/>
      <c r="E277" s="34"/>
      <c r="F277" s="33"/>
      <c r="G277" s="34"/>
      <c r="H277" s="34"/>
      <c r="I277" s="33"/>
      <c r="J277" s="34"/>
      <c r="K277" s="34"/>
      <c r="L277" s="34"/>
      <c r="M277" s="34"/>
      <c r="N277" s="34"/>
      <c r="O277" s="34"/>
      <c r="P277" s="34"/>
      <c r="Q277" s="34"/>
      <c r="R277" s="34"/>
      <c r="S277" s="34"/>
      <c r="T277" s="34"/>
      <c r="U277" s="34"/>
      <c r="V277" s="34"/>
      <c r="W277" s="34"/>
      <c r="X277" s="34"/>
      <c r="Y277" s="34"/>
      <c r="Z277" s="34"/>
    </row>
    <row r="278" spans="1:26" ht="13">
      <c r="A278" s="34"/>
      <c r="B278" s="34"/>
      <c r="C278" s="34"/>
      <c r="D278" s="34"/>
      <c r="E278" s="34"/>
      <c r="F278" s="33"/>
      <c r="G278" s="34"/>
      <c r="H278" s="34"/>
      <c r="I278" s="33"/>
      <c r="J278" s="34"/>
      <c r="K278" s="34"/>
      <c r="L278" s="34"/>
      <c r="M278" s="34"/>
      <c r="N278" s="34"/>
      <c r="O278" s="34"/>
      <c r="P278" s="34"/>
      <c r="Q278" s="34"/>
      <c r="R278" s="34"/>
      <c r="S278" s="34"/>
      <c r="T278" s="34"/>
      <c r="U278" s="34"/>
      <c r="V278" s="34"/>
      <c r="W278" s="34"/>
      <c r="X278" s="34"/>
      <c r="Y278" s="34"/>
      <c r="Z278" s="34"/>
    </row>
    <row r="279" spans="1:26" ht="13">
      <c r="A279" s="34"/>
      <c r="B279" s="34"/>
      <c r="C279" s="34"/>
      <c r="D279" s="34"/>
      <c r="E279" s="34"/>
      <c r="F279" s="33"/>
      <c r="G279" s="34"/>
      <c r="H279" s="34"/>
      <c r="I279" s="33"/>
      <c r="J279" s="34"/>
      <c r="K279" s="34"/>
      <c r="L279" s="34"/>
      <c r="M279" s="34"/>
      <c r="N279" s="34"/>
      <c r="O279" s="34"/>
      <c r="P279" s="34"/>
      <c r="Q279" s="34"/>
      <c r="R279" s="34"/>
      <c r="S279" s="34"/>
      <c r="T279" s="34"/>
      <c r="U279" s="34"/>
      <c r="V279" s="34"/>
      <c r="W279" s="34"/>
      <c r="X279" s="34"/>
      <c r="Y279" s="34"/>
      <c r="Z279" s="34"/>
    </row>
    <row r="280" spans="1:26" ht="13">
      <c r="A280" s="34"/>
      <c r="B280" s="34"/>
      <c r="C280" s="34"/>
      <c r="D280" s="34"/>
      <c r="E280" s="34"/>
      <c r="F280" s="33"/>
      <c r="G280" s="34"/>
      <c r="H280" s="34"/>
      <c r="I280" s="33"/>
      <c r="J280" s="34"/>
      <c r="K280" s="34"/>
      <c r="L280" s="34"/>
      <c r="M280" s="34"/>
      <c r="N280" s="34"/>
      <c r="O280" s="34"/>
      <c r="P280" s="34"/>
      <c r="Q280" s="34"/>
      <c r="R280" s="34"/>
      <c r="S280" s="34"/>
      <c r="T280" s="34"/>
      <c r="U280" s="34"/>
      <c r="V280" s="34"/>
      <c r="W280" s="34"/>
      <c r="X280" s="34"/>
      <c r="Y280" s="34"/>
      <c r="Z280" s="34"/>
    </row>
    <row r="281" spans="1:26" ht="13">
      <c r="A281" s="34"/>
      <c r="B281" s="34"/>
      <c r="C281" s="34"/>
      <c r="D281" s="34"/>
      <c r="E281" s="34"/>
      <c r="F281" s="33"/>
      <c r="G281" s="34"/>
      <c r="H281" s="34"/>
      <c r="I281" s="33"/>
      <c r="J281" s="34"/>
      <c r="K281" s="34"/>
      <c r="L281" s="34"/>
      <c r="M281" s="34"/>
      <c r="N281" s="34"/>
      <c r="O281" s="34"/>
      <c r="P281" s="34"/>
      <c r="Q281" s="34"/>
      <c r="R281" s="34"/>
      <c r="S281" s="34"/>
      <c r="T281" s="34"/>
      <c r="U281" s="34"/>
      <c r="V281" s="34"/>
      <c r="W281" s="34"/>
      <c r="X281" s="34"/>
      <c r="Y281" s="34"/>
      <c r="Z281" s="34"/>
    </row>
    <row r="282" spans="1:26" ht="13">
      <c r="A282" s="34"/>
      <c r="B282" s="34"/>
      <c r="C282" s="34"/>
      <c r="D282" s="34"/>
      <c r="E282" s="34"/>
      <c r="F282" s="33"/>
      <c r="G282" s="34"/>
      <c r="H282" s="34"/>
      <c r="I282" s="33"/>
      <c r="J282" s="34"/>
      <c r="K282" s="34"/>
      <c r="L282" s="34"/>
      <c r="M282" s="34"/>
      <c r="N282" s="34"/>
      <c r="O282" s="34"/>
      <c r="P282" s="34"/>
      <c r="Q282" s="34"/>
      <c r="R282" s="34"/>
      <c r="S282" s="34"/>
      <c r="T282" s="34"/>
      <c r="U282" s="34"/>
      <c r="V282" s="34"/>
      <c r="W282" s="34"/>
      <c r="X282" s="34"/>
      <c r="Y282" s="34"/>
      <c r="Z282" s="34"/>
    </row>
    <row r="283" spans="1:26" ht="13">
      <c r="A283" s="34"/>
      <c r="B283" s="34"/>
      <c r="C283" s="34"/>
      <c r="D283" s="34"/>
      <c r="E283" s="34"/>
      <c r="F283" s="33"/>
      <c r="G283" s="34"/>
      <c r="H283" s="34"/>
      <c r="I283" s="33"/>
      <c r="J283" s="34"/>
      <c r="K283" s="34"/>
      <c r="L283" s="34"/>
      <c r="M283" s="34"/>
      <c r="N283" s="34"/>
      <c r="O283" s="34"/>
      <c r="P283" s="34"/>
      <c r="Q283" s="34"/>
      <c r="R283" s="34"/>
      <c r="S283" s="34"/>
      <c r="T283" s="34"/>
      <c r="U283" s="34"/>
      <c r="V283" s="34"/>
      <c r="W283" s="34"/>
      <c r="X283" s="34"/>
      <c r="Y283" s="34"/>
      <c r="Z283" s="34"/>
    </row>
    <row r="284" spans="1:26" ht="13">
      <c r="A284" s="34"/>
      <c r="B284" s="34"/>
      <c r="C284" s="34"/>
      <c r="D284" s="34"/>
      <c r="E284" s="34"/>
      <c r="F284" s="33"/>
      <c r="G284" s="34"/>
      <c r="H284" s="34"/>
      <c r="I284" s="33"/>
      <c r="J284" s="34"/>
      <c r="K284" s="34"/>
      <c r="L284" s="34"/>
      <c r="M284" s="34"/>
      <c r="N284" s="34"/>
      <c r="O284" s="34"/>
      <c r="P284" s="34"/>
      <c r="Q284" s="34"/>
      <c r="R284" s="34"/>
      <c r="S284" s="34"/>
      <c r="T284" s="34"/>
      <c r="U284" s="34"/>
      <c r="V284" s="34"/>
      <c r="W284" s="34"/>
      <c r="X284" s="34"/>
      <c r="Y284" s="34"/>
      <c r="Z284" s="34"/>
    </row>
    <row r="285" spans="1:26" ht="13">
      <c r="A285" s="34"/>
      <c r="B285" s="34"/>
      <c r="C285" s="34"/>
      <c r="D285" s="34"/>
      <c r="E285" s="34"/>
      <c r="F285" s="33"/>
      <c r="G285" s="34"/>
      <c r="H285" s="34"/>
      <c r="I285" s="33"/>
      <c r="J285" s="34"/>
      <c r="K285" s="34"/>
      <c r="L285" s="34"/>
      <c r="M285" s="34"/>
      <c r="N285" s="34"/>
      <c r="O285" s="34"/>
      <c r="P285" s="34"/>
      <c r="Q285" s="34"/>
      <c r="R285" s="34"/>
      <c r="S285" s="34"/>
      <c r="T285" s="34"/>
      <c r="U285" s="34"/>
      <c r="V285" s="34"/>
      <c r="W285" s="34"/>
      <c r="X285" s="34"/>
      <c r="Y285" s="34"/>
      <c r="Z285" s="34"/>
    </row>
    <row r="286" spans="1:26" ht="13">
      <c r="A286" s="34"/>
      <c r="B286" s="34"/>
      <c r="C286" s="34"/>
      <c r="D286" s="34"/>
      <c r="E286" s="34"/>
      <c r="F286" s="33"/>
      <c r="G286" s="34"/>
      <c r="H286" s="34"/>
      <c r="I286" s="33"/>
      <c r="J286" s="34"/>
      <c r="K286" s="34"/>
      <c r="L286" s="34"/>
      <c r="M286" s="34"/>
      <c r="N286" s="34"/>
      <c r="O286" s="34"/>
      <c r="P286" s="34"/>
      <c r="Q286" s="34"/>
      <c r="R286" s="34"/>
      <c r="S286" s="34"/>
      <c r="T286" s="34"/>
      <c r="U286" s="34"/>
      <c r="V286" s="34"/>
      <c r="W286" s="34"/>
      <c r="X286" s="34"/>
      <c r="Y286" s="34"/>
      <c r="Z286" s="34"/>
    </row>
    <row r="287" spans="1:26" ht="13">
      <c r="A287" s="34"/>
      <c r="B287" s="34"/>
      <c r="C287" s="34"/>
      <c r="D287" s="34"/>
      <c r="E287" s="34"/>
      <c r="F287" s="33"/>
      <c r="G287" s="34"/>
      <c r="H287" s="34"/>
      <c r="I287" s="33"/>
      <c r="J287" s="34"/>
      <c r="K287" s="34"/>
      <c r="L287" s="34"/>
      <c r="M287" s="34"/>
      <c r="N287" s="34"/>
      <c r="O287" s="34"/>
      <c r="P287" s="34"/>
      <c r="Q287" s="34"/>
      <c r="R287" s="34"/>
      <c r="S287" s="34"/>
      <c r="T287" s="34"/>
      <c r="U287" s="34"/>
      <c r="V287" s="34"/>
      <c r="W287" s="34"/>
      <c r="X287" s="34"/>
      <c r="Y287" s="34"/>
      <c r="Z287" s="34"/>
    </row>
    <row r="288" spans="1:26" ht="13">
      <c r="A288" s="34"/>
      <c r="B288" s="34"/>
      <c r="C288" s="34"/>
      <c r="D288" s="34"/>
      <c r="E288" s="34"/>
      <c r="F288" s="33"/>
      <c r="G288" s="34"/>
      <c r="H288" s="34"/>
      <c r="I288" s="33"/>
      <c r="J288" s="34"/>
      <c r="K288" s="34"/>
      <c r="L288" s="34"/>
      <c r="M288" s="34"/>
      <c r="N288" s="34"/>
      <c r="O288" s="34"/>
      <c r="P288" s="34"/>
      <c r="Q288" s="34"/>
      <c r="R288" s="34"/>
      <c r="S288" s="34"/>
      <c r="T288" s="34"/>
      <c r="U288" s="34"/>
      <c r="V288" s="34"/>
      <c r="W288" s="34"/>
      <c r="X288" s="34"/>
      <c r="Y288" s="34"/>
      <c r="Z288" s="34"/>
    </row>
    <row r="289" spans="1:26" ht="13">
      <c r="A289" s="34"/>
      <c r="B289" s="34"/>
      <c r="C289" s="34"/>
      <c r="D289" s="34"/>
      <c r="E289" s="34"/>
      <c r="F289" s="33"/>
      <c r="G289" s="34"/>
      <c r="H289" s="34"/>
      <c r="I289" s="33"/>
      <c r="J289" s="34"/>
      <c r="K289" s="34"/>
      <c r="L289" s="34"/>
      <c r="M289" s="34"/>
      <c r="N289" s="34"/>
      <c r="O289" s="34"/>
      <c r="P289" s="34"/>
      <c r="Q289" s="34"/>
      <c r="R289" s="34"/>
      <c r="S289" s="34"/>
      <c r="T289" s="34"/>
      <c r="U289" s="34"/>
      <c r="V289" s="34"/>
      <c r="W289" s="34"/>
      <c r="X289" s="34"/>
      <c r="Y289" s="34"/>
      <c r="Z289" s="34"/>
    </row>
    <row r="290" spans="1:26" ht="13">
      <c r="A290" s="34"/>
      <c r="B290" s="34"/>
      <c r="C290" s="34"/>
      <c r="D290" s="34"/>
      <c r="E290" s="34"/>
      <c r="F290" s="33"/>
      <c r="G290" s="34"/>
      <c r="H290" s="34"/>
      <c r="I290" s="33"/>
      <c r="J290" s="34"/>
      <c r="K290" s="34"/>
      <c r="L290" s="34"/>
      <c r="M290" s="34"/>
      <c r="N290" s="34"/>
      <c r="O290" s="34"/>
      <c r="P290" s="34"/>
      <c r="Q290" s="34"/>
      <c r="R290" s="34"/>
      <c r="S290" s="34"/>
      <c r="T290" s="34"/>
      <c r="U290" s="34"/>
      <c r="V290" s="34"/>
      <c r="W290" s="34"/>
      <c r="X290" s="34"/>
      <c r="Y290" s="34"/>
      <c r="Z290" s="34"/>
    </row>
    <row r="291" spans="1:26" ht="13">
      <c r="A291" s="34"/>
      <c r="B291" s="34"/>
      <c r="C291" s="34"/>
      <c r="D291" s="34"/>
      <c r="E291" s="34"/>
      <c r="F291" s="33"/>
      <c r="G291" s="34"/>
      <c r="H291" s="34"/>
      <c r="I291" s="33"/>
      <c r="J291" s="34"/>
      <c r="K291" s="34"/>
      <c r="L291" s="34"/>
      <c r="M291" s="34"/>
      <c r="N291" s="34"/>
      <c r="O291" s="34"/>
      <c r="P291" s="34"/>
      <c r="Q291" s="34"/>
      <c r="R291" s="34"/>
      <c r="S291" s="34"/>
      <c r="T291" s="34"/>
      <c r="U291" s="34"/>
      <c r="V291" s="34"/>
      <c r="W291" s="34"/>
      <c r="X291" s="34"/>
      <c r="Y291" s="34"/>
      <c r="Z291" s="34"/>
    </row>
    <row r="292" spans="1:26" ht="13">
      <c r="A292" s="34"/>
      <c r="B292" s="34"/>
      <c r="C292" s="34"/>
      <c r="D292" s="34"/>
      <c r="E292" s="34"/>
      <c r="F292" s="33"/>
      <c r="G292" s="34"/>
      <c r="H292" s="34"/>
      <c r="I292" s="33"/>
      <c r="J292" s="34"/>
      <c r="K292" s="34"/>
      <c r="L292" s="34"/>
      <c r="M292" s="34"/>
      <c r="N292" s="34"/>
      <c r="O292" s="34"/>
      <c r="P292" s="34"/>
      <c r="Q292" s="34"/>
      <c r="R292" s="34"/>
      <c r="S292" s="34"/>
      <c r="T292" s="34"/>
      <c r="U292" s="34"/>
      <c r="V292" s="34"/>
      <c r="W292" s="34"/>
      <c r="X292" s="34"/>
      <c r="Y292" s="34"/>
      <c r="Z292" s="34"/>
    </row>
    <row r="293" spans="1:26" ht="13">
      <c r="A293" s="34"/>
      <c r="B293" s="34"/>
      <c r="C293" s="34"/>
      <c r="D293" s="34"/>
      <c r="E293" s="34"/>
      <c r="F293" s="33"/>
      <c r="G293" s="34"/>
      <c r="H293" s="34"/>
      <c r="I293" s="33"/>
      <c r="J293" s="34"/>
      <c r="K293" s="34"/>
      <c r="L293" s="34"/>
      <c r="M293" s="34"/>
      <c r="N293" s="34"/>
      <c r="O293" s="34"/>
      <c r="P293" s="34"/>
      <c r="Q293" s="34"/>
      <c r="R293" s="34"/>
      <c r="S293" s="34"/>
      <c r="T293" s="34"/>
      <c r="U293" s="34"/>
      <c r="V293" s="34"/>
      <c r="W293" s="34"/>
      <c r="X293" s="34"/>
      <c r="Y293" s="34"/>
      <c r="Z293" s="34"/>
    </row>
    <row r="294" spans="1:26" ht="13">
      <c r="A294" s="34"/>
      <c r="B294" s="34"/>
      <c r="C294" s="34"/>
      <c r="D294" s="34"/>
      <c r="E294" s="34"/>
      <c r="F294" s="33"/>
      <c r="G294" s="34"/>
      <c r="H294" s="34"/>
      <c r="I294" s="33"/>
      <c r="J294" s="34"/>
      <c r="K294" s="34"/>
      <c r="L294" s="34"/>
      <c r="M294" s="34"/>
      <c r="N294" s="34"/>
      <c r="O294" s="34"/>
      <c r="P294" s="34"/>
      <c r="Q294" s="34"/>
      <c r="R294" s="34"/>
      <c r="S294" s="34"/>
      <c r="T294" s="34"/>
      <c r="U294" s="34"/>
      <c r="V294" s="34"/>
      <c r="W294" s="34"/>
      <c r="X294" s="34"/>
      <c r="Y294" s="34"/>
      <c r="Z294" s="34"/>
    </row>
    <row r="295" spans="1:26" ht="13">
      <c r="A295" s="34"/>
      <c r="B295" s="34"/>
      <c r="C295" s="34"/>
      <c r="D295" s="34"/>
      <c r="E295" s="34"/>
      <c r="F295" s="33"/>
      <c r="G295" s="34"/>
      <c r="H295" s="34"/>
      <c r="I295" s="33"/>
      <c r="J295" s="34"/>
      <c r="K295" s="34"/>
      <c r="L295" s="34"/>
      <c r="M295" s="34"/>
      <c r="N295" s="34"/>
      <c r="O295" s="34"/>
      <c r="P295" s="34"/>
      <c r="Q295" s="34"/>
      <c r="R295" s="34"/>
      <c r="S295" s="34"/>
      <c r="T295" s="34"/>
      <c r="U295" s="34"/>
      <c r="V295" s="34"/>
      <c r="W295" s="34"/>
      <c r="X295" s="34"/>
      <c r="Y295" s="34"/>
      <c r="Z295" s="34"/>
    </row>
    <row r="296" spans="1:26" ht="13">
      <c r="A296" s="34"/>
      <c r="B296" s="34"/>
      <c r="C296" s="34"/>
      <c r="D296" s="34"/>
      <c r="E296" s="34"/>
      <c r="F296" s="33"/>
      <c r="G296" s="34"/>
      <c r="H296" s="34"/>
      <c r="I296" s="33"/>
      <c r="J296" s="34"/>
      <c r="K296" s="34"/>
      <c r="L296" s="34"/>
      <c r="M296" s="34"/>
      <c r="N296" s="34"/>
      <c r="O296" s="34"/>
      <c r="P296" s="34"/>
      <c r="Q296" s="34"/>
      <c r="R296" s="34"/>
      <c r="S296" s="34"/>
      <c r="T296" s="34"/>
      <c r="U296" s="34"/>
      <c r="V296" s="34"/>
      <c r="W296" s="34"/>
      <c r="X296" s="34"/>
      <c r="Y296" s="34"/>
      <c r="Z296" s="34"/>
    </row>
    <row r="297" spans="1:26" ht="13">
      <c r="A297" s="34"/>
      <c r="B297" s="34"/>
      <c r="C297" s="34"/>
      <c r="D297" s="34"/>
      <c r="E297" s="34"/>
      <c r="F297" s="33"/>
      <c r="G297" s="34"/>
      <c r="H297" s="34"/>
      <c r="I297" s="33"/>
      <c r="J297" s="34"/>
      <c r="K297" s="34"/>
      <c r="L297" s="34"/>
      <c r="M297" s="34"/>
      <c r="N297" s="34"/>
      <c r="O297" s="34"/>
      <c r="P297" s="34"/>
      <c r="Q297" s="34"/>
      <c r="R297" s="34"/>
      <c r="S297" s="34"/>
      <c r="T297" s="34"/>
      <c r="U297" s="34"/>
      <c r="V297" s="34"/>
      <c r="W297" s="34"/>
      <c r="X297" s="34"/>
      <c r="Y297" s="34"/>
      <c r="Z297" s="34"/>
    </row>
    <row r="298" spans="1:26" ht="13">
      <c r="A298" s="34"/>
      <c r="B298" s="34"/>
      <c r="C298" s="34"/>
      <c r="D298" s="34"/>
      <c r="E298" s="34"/>
      <c r="F298" s="33"/>
      <c r="G298" s="34"/>
      <c r="H298" s="34"/>
      <c r="I298" s="33"/>
      <c r="J298" s="34"/>
      <c r="K298" s="34"/>
      <c r="L298" s="34"/>
      <c r="M298" s="34"/>
      <c r="N298" s="34"/>
      <c r="O298" s="34"/>
      <c r="P298" s="34"/>
      <c r="Q298" s="34"/>
      <c r="R298" s="34"/>
      <c r="S298" s="34"/>
      <c r="T298" s="34"/>
      <c r="U298" s="34"/>
      <c r="V298" s="34"/>
      <c r="W298" s="34"/>
      <c r="X298" s="34"/>
      <c r="Y298" s="34"/>
      <c r="Z298" s="34"/>
    </row>
    <row r="299" spans="1:26" ht="13">
      <c r="A299" s="34"/>
      <c r="B299" s="34"/>
      <c r="C299" s="34"/>
      <c r="D299" s="34"/>
      <c r="E299" s="34"/>
      <c r="F299" s="33"/>
      <c r="G299" s="34"/>
      <c r="H299" s="34"/>
      <c r="I299" s="33"/>
      <c r="J299" s="34"/>
      <c r="K299" s="34"/>
      <c r="L299" s="34"/>
      <c r="M299" s="34"/>
      <c r="N299" s="34"/>
      <c r="O299" s="34"/>
      <c r="P299" s="34"/>
      <c r="Q299" s="34"/>
      <c r="R299" s="34"/>
      <c r="S299" s="34"/>
      <c r="T299" s="34"/>
      <c r="U299" s="34"/>
      <c r="V299" s="34"/>
      <c r="W299" s="34"/>
      <c r="X299" s="34"/>
      <c r="Y299" s="34"/>
      <c r="Z299" s="34"/>
    </row>
    <row r="300" spans="1:26" ht="13">
      <c r="A300" s="34"/>
      <c r="B300" s="34"/>
      <c r="C300" s="34"/>
      <c r="D300" s="34"/>
      <c r="E300" s="34"/>
      <c r="F300" s="33"/>
      <c r="G300" s="34"/>
      <c r="H300" s="34"/>
      <c r="I300" s="33"/>
      <c r="J300" s="34"/>
      <c r="K300" s="34"/>
      <c r="L300" s="34"/>
      <c r="M300" s="34"/>
      <c r="N300" s="34"/>
      <c r="O300" s="34"/>
      <c r="P300" s="34"/>
      <c r="Q300" s="34"/>
      <c r="R300" s="34"/>
      <c r="S300" s="34"/>
      <c r="T300" s="34"/>
      <c r="U300" s="34"/>
      <c r="V300" s="34"/>
      <c r="W300" s="34"/>
      <c r="X300" s="34"/>
      <c r="Y300" s="34"/>
      <c r="Z300" s="34"/>
    </row>
    <row r="301" spans="1:26" ht="13">
      <c r="A301" s="34"/>
      <c r="B301" s="34"/>
      <c r="C301" s="34"/>
      <c r="D301" s="34"/>
      <c r="E301" s="34"/>
      <c r="F301" s="33"/>
      <c r="G301" s="34"/>
      <c r="H301" s="34"/>
      <c r="I301" s="33"/>
      <c r="J301" s="34"/>
      <c r="K301" s="34"/>
      <c r="L301" s="34"/>
      <c r="M301" s="34"/>
      <c r="N301" s="34"/>
      <c r="O301" s="34"/>
      <c r="P301" s="34"/>
      <c r="Q301" s="34"/>
      <c r="R301" s="34"/>
      <c r="S301" s="34"/>
      <c r="T301" s="34"/>
      <c r="U301" s="34"/>
      <c r="V301" s="34"/>
      <c r="W301" s="34"/>
      <c r="X301" s="34"/>
      <c r="Y301" s="34"/>
      <c r="Z301" s="34"/>
    </row>
    <row r="302" spans="1:26" ht="13">
      <c r="A302" s="34"/>
      <c r="B302" s="34"/>
      <c r="C302" s="34"/>
      <c r="D302" s="34"/>
      <c r="E302" s="34"/>
      <c r="F302" s="33"/>
      <c r="G302" s="34"/>
      <c r="H302" s="34"/>
      <c r="I302" s="33"/>
      <c r="J302" s="34"/>
      <c r="K302" s="34"/>
      <c r="L302" s="34"/>
      <c r="M302" s="34"/>
      <c r="N302" s="34"/>
      <c r="O302" s="34"/>
      <c r="P302" s="34"/>
      <c r="Q302" s="34"/>
      <c r="R302" s="34"/>
      <c r="S302" s="34"/>
      <c r="T302" s="34"/>
      <c r="U302" s="34"/>
      <c r="V302" s="34"/>
      <c r="W302" s="34"/>
      <c r="X302" s="34"/>
      <c r="Y302" s="34"/>
      <c r="Z302" s="34"/>
    </row>
    <row r="303" spans="1:26" ht="13">
      <c r="A303" s="34"/>
      <c r="B303" s="34"/>
      <c r="C303" s="34"/>
      <c r="D303" s="34"/>
      <c r="E303" s="34"/>
      <c r="F303" s="33"/>
      <c r="G303" s="34"/>
      <c r="H303" s="34"/>
      <c r="I303" s="33"/>
      <c r="J303" s="34"/>
      <c r="K303" s="34"/>
      <c r="L303" s="34"/>
      <c r="M303" s="34"/>
      <c r="N303" s="34"/>
      <c r="O303" s="34"/>
      <c r="P303" s="34"/>
      <c r="Q303" s="34"/>
      <c r="R303" s="34"/>
      <c r="S303" s="34"/>
      <c r="T303" s="34"/>
      <c r="U303" s="34"/>
      <c r="V303" s="34"/>
      <c r="W303" s="34"/>
      <c r="X303" s="34"/>
      <c r="Y303" s="34"/>
      <c r="Z303" s="34"/>
    </row>
    <row r="304" spans="1:26" ht="13">
      <c r="A304" s="34"/>
      <c r="B304" s="34"/>
      <c r="C304" s="34"/>
      <c r="D304" s="34"/>
      <c r="E304" s="34"/>
      <c r="F304" s="33"/>
      <c r="G304" s="34"/>
      <c r="H304" s="34"/>
      <c r="I304" s="33"/>
      <c r="J304" s="34"/>
      <c r="K304" s="34"/>
      <c r="L304" s="34"/>
      <c r="M304" s="34"/>
      <c r="N304" s="34"/>
      <c r="O304" s="34"/>
      <c r="P304" s="34"/>
      <c r="Q304" s="34"/>
      <c r="R304" s="34"/>
      <c r="S304" s="34"/>
      <c r="T304" s="34"/>
      <c r="U304" s="34"/>
      <c r="V304" s="34"/>
      <c r="W304" s="34"/>
      <c r="X304" s="34"/>
      <c r="Y304" s="34"/>
      <c r="Z304" s="34"/>
    </row>
    <row r="305" spans="1:26" ht="13">
      <c r="A305" s="34"/>
      <c r="B305" s="34"/>
      <c r="C305" s="34"/>
      <c r="D305" s="34"/>
      <c r="E305" s="34"/>
      <c r="F305" s="33"/>
      <c r="G305" s="34"/>
      <c r="H305" s="34"/>
      <c r="I305" s="33"/>
      <c r="J305" s="34"/>
      <c r="K305" s="34"/>
      <c r="L305" s="34"/>
      <c r="M305" s="34"/>
      <c r="N305" s="34"/>
      <c r="O305" s="34"/>
      <c r="P305" s="34"/>
      <c r="Q305" s="34"/>
      <c r="R305" s="34"/>
      <c r="S305" s="34"/>
      <c r="T305" s="34"/>
      <c r="U305" s="34"/>
      <c r="V305" s="34"/>
      <c r="W305" s="34"/>
      <c r="X305" s="34"/>
      <c r="Y305" s="34"/>
      <c r="Z305" s="34"/>
    </row>
    <row r="306" spans="1:26" ht="13">
      <c r="A306" s="34"/>
      <c r="B306" s="34"/>
      <c r="C306" s="34"/>
      <c r="D306" s="34"/>
      <c r="E306" s="34"/>
      <c r="F306" s="33"/>
      <c r="G306" s="34"/>
      <c r="H306" s="34"/>
      <c r="I306" s="33"/>
      <c r="J306" s="34"/>
      <c r="K306" s="34"/>
      <c r="L306" s="34"/>
      <c r="M306" s="34"/>
      <c r="N306" s="34"/>
      <c r="O306" s="34"/>
      <c r="P306" s="34"/>
      <c r="Q306" s="34"/>
      <c r="R306" s="34"/>
      <c r="S306" s="34"/>
      <c r="T306" s="34"/>
      <c r="U306" s="34"/>
      <c r="V306" s="34"/>
      <c r="W306" s="34"/>
      <c r="X306" s="34"/>
      <c r="Y306" s="34"/>
      <c r="Z306" s="34"/>
    </row>
    <row r="307" spans="1:26" ht="13">
      <c r="A307" s="34"/>
      <c r="B307" s="34"/>
      <c r="C307" s="34"/>
      <c r="D307" s="34"/>
      <c r="E307" s="34"/>
      <c r="F307" s="33"/>
      <c r="G307" s="34"/>
      <c r="H307" s="34"/>
      <c r="I307" s="33"/>
      <c r="J307" s="34"/>
      <c r="K307" s="34"/>
      <c r="L307" s="34"/>
      <c r="M307" s="34"/>
      <c r="N307" s="34"/>
      <c r="O307" s="34"/>
      <c r="P307" s="34"/>
      <c r="Q307" s="34"/>
      <c r="R307" s="34"/>
      <c r="S307" s="34"/>
      <c r="T307" s="34"/>
      <c r="U307" s="34"/>
      <c r="V307" s="34"/>
      <c r="W307" s="34"/>
      <c r="X307" s="34"/>
      <c r="Y307" s="34"/>
      <c r="Z307" s="34"/>
    </row>
    <row r="308" spans="1:26" ht="13">
      <c r="A308" s="34"/>
      <c r="B308" s="34"/>
      <c r="C308" s="34"/>
      <c r="D308" s="34"/>
      <c r="E308" s="34"/>
      <c r="F308" s="33"/>
      <c r="G308" s="34"/>
      <c r="H308" s="34"/>
      <c r="I308" s="33"/>
      <c r="J308" s="34"/>
      <c r="K308" s="34"/>
      <c r="L308" s="34"/>
      <c r="M308" s="34"/>
      <c r="N308" s="34"/>
      <c r="O308" s="34"/>
      <c r="P308" s="34"/>
      <c r="Q308" s="34"/>
      <c r="R308" s="34"/>
      <c r="S308" s="34"/>
      <c r="T308" s="34"/>
      <c r="U308" s="34"/>
      <c r="V308" s="34"/>
      <c r="W308" s="34"/>
      <c r="X308" s="34"/>
      <c r="Y308" s="34"/>
      <c r="Z308" s="34"/>
    </row>
    <row r="309" spans="1:26" ht="13">
      <c r="A309" s="34"/>
      <c r="B309" s="34"/>
      <c r="C309" s="34"/>
      <c r="D309" s="34"/>
      <c r="E309" s="34"/>
      <c r="F309" s="33"/>
      <c r="G309" s="34"/>
      <c r="H309" s="34"/>
      <c r="I309" s="33"/>
      <c r="J309" s="34"/>
      <c r="K309" s="34"/>
      <c r="L309" s="34"/>
      <c r="M309" s="34"/>
      <c r="N309" s="34"/>
      <c r="O309" s="34"/>
      <c r="P309" s="34"/>
      <c r="Q309" s="34"/>
      <c r="R309" s="34"/>
      <c r="S309" s="34"/>
      <c r="T309" s="34"/>
      <c r="U309" s="34"/>
      <c r="V309" s="34"/>
      <c r="W309" s="34"/>
      <c r="X309" s="34"/>
      <c r="Y309" s="34"/>
      <c r="Z309" s="34"/>
    </row>
    <row r="310" spans="1:26" ht="13">
      <c r="A310" s="34"/>
      <c r="B310" s="34"/>
      <c r="C310" s="34"/>
      <c r="D310" s="34"/>
      <c r="E310" s="34"/>
      <c r="F310" s="33"/>
      <c r="G310" s="34"/>
      <c r="H310" s="34"/>
      <c r="I310" s="33"/>
      <c r="J310" s="34"/>
      <c r="K310" s="34"/>
      <c r="L310" s="34"/>
      <c r="M310" s="34"/>
      <c r="N310" s="34"/>
      <c r="O310" s="34"/>
      <c r="P310" s="34"/>
      <c r="Q310" s="34"/>
      <c r="R310" s="34"/>
      <c r="S310" s="34"/>
      <c r="T310" s="34"/>
      <c r="U310" s="34"/>
      <c r="V310" s="34"/>
      <c r="W310" s="34"/>
      <c r="X310" s="34"/>
      <c r="Y310" s="34"/>
      <c r="Z310" s="34"/>
    </row>
    <row r="311" spans="1:26" ht="13">
      <c r="A311" s="34"/>
      <c r="B311" s="34"/>
      <c r="C311" s="34"/>
      <c r="D311" s="34"/>
      <c r="E311" s="34"/>
      <c r="F311" s="33"/>
      <c r="G311" s="34"/>
      <c r="H311" s="34"/>
      <c r="I311" s="33"/>
      <c r="J311" s="34"/>
      <c r="K311" s="34"/>
      <c r="L311" s="34"/>
      <c r="M311" s="34"/>
      <c r="N311" s="34"/>
      <c r="O311" s="34"/>
      <c r="P311" s="34"/>
      <c r="Q311" s="34"/>
      <c r="R311" s="34"/>
      <c r="S311" s="34"/>
      <c r="T311" s="34"/>
      <c r="U311" s="34"/>
      <c r="V311" s="34"/>
      <c r="W311" s="34"/>
      <c r="X311" s="34"/>
      <c r="Y311" s="34"/>
      <c r="Z311" s="34"/>
    </row>
    <row r="312" spans="1:26" ht="13">
      <c r="A312" s="34"/>
      <c r="B312" s="34"/>
      <c r="C312" s="34"/>
      <c r="D312" s="34"/>
      <c r="E312" s="34"/>
      <c r="F312" s="33"/>
      <c r="G312" s="34"/>
      <c r="H312" s="34"/>
      <c r="I312" s="33"/>
      <c r="J312" s="34"/>
      <c r="K312" s="34"/>
      <c r="L312" s="34"/>
      <c r="M312" s="34"/>
      <c r="N312" s="34"/>
      <c r="O312" s="34"/>
      <c r="P312" s="34"/>
      <c r="Q312" s="34"/>
      <c r="R312" s="34"/>
      <c r="S312" s="34"/>
      <c r="T312" s="34"/>
      <c r="U312" s="34"/>
      <c r="V312" s="34"/>
      <c r="W312" s="34"/>
      <c r="X312" s="34"/>
      <c r="Y312" s="34"/>
      <c r="Z312" s="34"/>
    </row>
    <row r="313" spans="1:26" ht="13">
      <c r="A313" s="34"/>
      <c r="B313" s="34"/>
      <c r="C313" s="34"/>
      <c r="D313" s="34"/>
      <c r="E313" s="34"/>
      <c r="F313" s="33"/>
      <c r="G313" s="34"/>
      <c r="H313" s="34"/>
      <c r="I313" s="33"/>
      <c r="J313" s="34"/>
      <c r="K313" s="34"/>
      <c r="L313" s="34"/>
      <c r="M313" s="34"/>
      <c r="N313" s="34"/>
      <c r="O313" s="34"/>
      <c r="P313" s="34"/>
      <c r="Q313" s="34"/>
      <c r="R313" s="34"/>
      <c r="S313" s="34"/>
      <c r="T313" s="34"/>
      <c r="U313" s="34"/>
      <c r="V313" s="34"/>
      <c r="W313" s="34"/>
      <c r="X313" s="34"/>
      <c r="Y313" s="34"/>
      <c r="Z313" s="34"/>
    </row>
    <row r="314" spans="1:26" ht="13">
      <c r="A314" s="34"/>
      <c r="B314" s="34"/>
      <c r="C314" s="34"/>
      <c r="D314" s="34"/>
      <c r="E314" s="34"/>
      <c r="F314" s="33"/>
      <c r="G314" s="34"/>
      <c r="H314" s="34"/>
      <c r="I314" s="33"/>
      <c r="J314" s="34"/>
      <c r="K314" s="34"/>
      <c r="L314" s="34"/>
      <c r="M314" s="34"/>
      <c r="N314" s="34"/>
      <c r="O314" s="34"/>
      <c r="P314" s="34"/>
      <c r="Q314" s="34"/>
      <c r="R314" s="34"/>
      <c r="S314" s="34"/>
      <c r="T314" s="34"/>
      <c r="U314" s="34"/>
      <c r="V314" s="34"/>
      <c r="W314" s="34"/>
      <c r="X314" s="34"/>
      <c r="Y314" s="34"/>
      <c r="Z314" s="34"/>
    </row>
    <row r="315" spans="1:26" ht="13">
      <c r="A315" s="34"/>
      <c r="B315" s="34"/>
      <c r="C315" s="34"/>
      <c r="D315" s="34"/>
      <c r="E315" s="34"/>
      <c r="F315" s="33"/>
      <c r="G315" s="34"/>
      <c r="H315" s="34"/>
      <c r="I315" s="33"/>
      <c r="J315" s="34"/>
      <c r="K315" s="34"/>
      <c r="L315" s="34"/>
      <c r="M315" s="34"/>
      <c r="N315" s="34"/>
      <c r="O315" s="34"/>
      <c r="P315" s="34"/>
      <c r="Q315" s="34"/>
      <c r="R315" s="34"/>
      <c r="S315" s="34"/>
      <c r="T315" s="34"/>
      <c r="U315" s="34"/>
      <c r="V315" s="34"/>
      <c r="W315" s="34"/>
      <c r="X315" s="34"/>
      <c r="Y315" s="34"/>
      <c r="Z315" s="34"/>
    </row>
    <row r="316" spans="1:26" ht="13">
      <c r="A316" s="34"/>
      <c r="B316" s="34"/>
      <c r="C316" s="34"/>
      <c r="D316" s="34"/>
      <c r="E316" s="34"/>
      <c r="F316" s="33"/>
      <c r="G316" s="34"/>
      <c r="H316" s="34"/>
      <c r="I316" s="33"/>
      <c r="J316" s="34"/>
      <c r="K316" s="34"/>
      <c r="L316" s="34"/>
      <c r="M316" s="34"/>
      <c r="N316" s="34"/>
      <c r="O316" s="34"/>
      <c r="P316" s="34"/>
      <c r="Q316" s="34"/>
      <c r="R316" s="34"/>
      <c r="S316" s="34"/>
      <c r="T316" s="34"/>
      <c r="U316" s="34"/>
      <c r="V316" s="34"/>
      <c r="W316" s="34"/>
      <c r="X316" s="34"/>
      <c r="Y316" s="34"/>
      <c r="Z316" s="34"/>
    </row>
    <row r="317" spans="1:26" ht="13">
      <c r="A317" s="34"/>
      <c r="B317" s="34"/>
      <c r="C317" s="34"/>
      <c r="D317" s="34"/>
      <c r="E317" s="34"/>
      <c r="F317" s="33"/>
      <c r="G317" s="34"/>
      <c r="H317" s="34"/>
      <c r="I317" s="33"/>
      <c r="J317" s="34"/>
      <c r="K317" s="34"/>
      <c r="L317" s="34"/>
      <c r="M317" s="34"/>
      <c r="N317" s="34"/>
      <c r="O317" s="34"/>
      <c r="P317" s="34"/>
      <c r="Q317" s="34"/>
      <c r="R317" s="34"/>
      <c r="S317" s="34"/>
      <c r="T317" s="34"/>
      <c r="U317" s="34"/>
      <c r="V317" s="34"/>
      <c r="W317" s="34"/>
      <c r="X317" s="34"/>
      <c r="Y317" s="34"/>
      <c r="Z317" s="34"/>
    </row>
    <row r="318" spans="1:26" ht="13">
      <c r="A318" s="34"/>
      <c r="B318" s="34"/>
      <c r="C318" s="34"/>
      <c r="D318" s="34"/>
      <c r="E318" s="34"/>
      <c r="F318" s="33"/>
      <c r="G318" s="34"/>
      <c r="H318" s="34"/>
      <c r="I318" s="33"/>
      <c r="J318" s="34"/>
      <c r="K318" s="34"/>
      <c r="L318" s="34"/>
      <c r="M318" s="34"/>
      <c r="N318" s="34"/>
      <c r="O318" s="34"/>
      <c r="P318" s="34"/>
      <c r="Q318" s="34"/>
      <c r="R318" s="34"/>
      <c r="S318" s="34"/>
      <c r="T318" s="34"/>
      <c r="U318" s="34"/>
      <c r="V318" s="34"/>
      <c r="W318" s="34"/>
      <c r="X318" s="34"/>
      <c r="Y318" s="34"/>
      <c r="Z318" s="34"/>
    </row>
    <row r="319" spans="1:26" ht="13">
      <c r="A319" s="34"/>
      <c r="B319" s="34"/>
      <c r="C319" s="34"/>
      <c r="D319" s="34"/>
      <c r="E319" s="34"/>
      <c r="F319" s="33"/>
      <c r="G319" s="34"/>
      <c r="H319" s="34"/>
      <c r="I319" s="33"/>
      <c r="J319" s="34"/>
      <c r="K319" s="34"/>
      <c r="L319" s="34"/>
      <c r="M319" s="34"/>
      <c r="N319" s="34"/>
      <c r="O319" s="34"/>
      <c r="P319" s="34"/>
      <c r="Q319" s="34"/>
      <c r="R319" s="34"/>
      <c r="S319" s="34"/>
      <c r="T319" s="34"/>
      <c r="U319" s="34"/>
      <c r="V319" s="34"/>
      <c r="W319" s="34"/>
      <c r="X319" s="34"/>
      <c r="Y319" s="34"/>
      <c r="Z319" s="34"/>
    </row>
    <row r="320" spans="1:26" ht="13">
      <c r="A320" s="34"/>
      <c r="B320" s="34"/>
      <c r="C320" s="34"/>
      <c r="D320" s="34"/>
      <c r="E320" s="34"/>
      <c r="F320" s="33"/>
      <c r="G320" s="34"/>
      <c r="H320" s="34"/>
      <c r="I320" s="33"/>
      <c r="J320" s="34"/>
      <c r="K320" s="34"/>
      <c r="L320" s="34"/>
      <c r="M320" s="34"/>
      <c r="N320" s="34"/>
      <c r="O320" s="34"/>
      <c r="P320" s="34"/>
      <c r="Q320" s="34"/>
      <c r="R320" s="34"/>
      <c r="S320" s="34"/>
      <c r="T320" s="34"/>
      <c r="U320" s="34"/>
      <c r="V320" s="34"/>
      <c r="W320" s="34"/>
      <c r="X320" s="34"/>
      <c r="Y320" s="34"/>
      <c r="Z320" s="34"/>
    </row>
    <row r="321" spans="1:26" ht="13">
      <c r="A321" s="34"/>
      <c r="B321" s="34"/>
      <c r="C321" s="34"/>
      <c r="D321" s="34"/>
      <c r="E321" s="34"/>
      <c r="F321" s="33"/>
      <c r="G321" s="34"/>
      <c r="H321" s="34"/>
      <c r="I321" s="33"/>
      <c r="J321" s="34"/>
      <c r="K321" s="34"/>
      <c r="L321" s="34"/>
      <c r="M321" s="34"/>
      <c r="N321" s="34"/>
      <c r="O321" s="34"/>
      <c r="P321" s="34"/>
      <c r="Q321" s="34"/>
      <c r="R321" s="34"/>
      <c r="S321" s="34"/>
      <c r="T321" s="34"/>
      <c r="U321" s="34"/>
      <c r="V321" s="34"/>
      <c r="W321" s="34"/>
      <c r="X321" s="34"/>
      <c r="Y321" s="34"/>
      <c r="Z321" s="34"/>
    </row>
    <row r="322" spans="1:26" ht="13">
      <c r="A322" s="34"/>
      <c r="B322" s="34"/>
      <c r="C322" s="34"/>
      <c r="D322" s="34"/>
      <c r="E322" s="34"/>
      <c r="F322" s="33"/>
      <c r="G322" s="34"/>
      <c r="H322" s="34"/>
      <c r="I322" s="33"/>
      <c r="J322" s="34"/>
      <c r="K322" s="34"/>
      <c r="L322" s="34"/>
      <c r="M322" s="34"/>
      <c r="N322" s="34"/>
      <c r="O322" s="34"/>
      <c r="P322" s="34"/>
      <c r="Q322" s="34"/>
      <c r="R322" s="34"/>
      <c r="S322" s="34"/>
      <c r="T322" s="34"/>
      <c r="U322" s="34"/>
      <c r="V322" s="34"/>
      <c r="W322" s="34"/>
      <c r="X322" s="34"/>
      <c r="Y322" s="34"/>
      <c r="Z322" s="34"/>
    </row>
    <row r="323" spans="1:26" ht="13">
      <c r="A323" s="34"/>
      <c r="B323" s="34"/>
      <c r="C323" s="34"/>
      <c r="D323" s="34"/>
      <c r="E323" s="34"/>
      <c r="F323" s="33"/>
      <c r="G323" s="34"/>
      <c r="H323" s="34"/>
      <c r="I323" s="33"/>
      <c r="J323" s="34"/>
      <c r="K323" s="34"/>
      <c r="L323" s="34"/>
      <c r="M323" s="34"/>
      <c r="N323" s="34"/>
      <c r="O323" s="34"/>
      <c r="P323" s="34"/>
      <c r="Q323" s="34"/>
      <c r="R323" s="34"/>
      <c r="S323" s="34"/>
      <c r="T323" s="34"/>
      <c r="U323" s="34"/>
      <c r="V323" s="34"/>
      <c r="W323" s="34"/>
      <c r="X323" s="34"/>
      <c r="Y323" s="34"/>
      <c r="Z323" s="34"/>
    </row>
    <row r="324" spans="1:26" ht="13">
      <c r="A324" s="34"/>
      <c r="B324" s="34"/>
      <c r="C324" s="34"/>
      <c r="D324" s="34"/>
      <c r="E324" s="34"/>
      <c r="F324" s="33"/>
      <c r="G324" s="34"/>
      <c r="H324" s="34"/>
      <c r="I324" s="33"/>
      <c r="J324" s="34"/>
      <c r="K324" s="34"/>
      <c r="L324" s="34"/>
      <c r="M324" s="34"/>
      <c r="N324" s="34"/>
      <c r="O324" s="34"/>
      <c r="P324" s="34"/>
      <c r="Q324" s="34"/>
      <c r="R324" s="34"/>
      <c r="S324" s="34"/>
      <c r="T324" s="34"/>
      <c r="U324" s="34"/>
      <c r="V324" s="34"/>
      <c r="W324" s="34"/>
      <c r="X324" s="34"/>
      <c r="Y324" s="34"/>
      <c r="Z324" s="34"/>
    </row>
    <row r="325" spans="1:26" ht="13">
      <c r="A325" s="34"/>
      <c r="B325" s="34"/>
      <c r="C325" s="34"/>
      <c r="D325" s="34"/>
      <c r="E325" s="34"/>
      <c r="F325" s="33"/>
      <c r="G325" s="34"/>
      <c r="H325" s="34"/>
      <c r="I325" s="33"/>
      <c r="J325" s="34"/>
      <c r="K325" s="34"/>
      <c r="L325" s="34"/>
      <c r="M325" s="34"/>
      <c r="N325" s="34"/>
      <c r="O325" s="34"/>
      <c r="P325" s="34"/>
      <c r="Q325" s="34"/>
      <c r="R325" s="34"/>
      <c r="S325" s="34"/>
      <c r="T325" s="34"/>
      <c r="U325" s="34"/>
      <c r="V325" s="34"/>
      <c r="W325" s="34"/>
      <c r="X325" s="34"/>
      <c r="Y325" s="34"/>
      <c r="Z325" s="34"/>
    </row>
    <row r="326" spans="1:26" ht="13">
      <c r="A326" s="34"/>
      <c r="B326" s="34"/>
      <c r="C326" s="34"/>
      <c r="D326" s="34"/>
      <c r="E326" s="34"/>
      <c r="F326" s="33"/>
      <c r="G326" s="34"/>
      <c r="H326" s="34"/>
      <c r="I326" s="33"/>
      <c r="J326" s="34"/>
      <c r="K326" s="34"/>
      <c r="L326" s="34"/>
      <c r="M326" s="34"/>
      <c r="N326" s="34"/>
      <c r="O326" s="34"/>
      <c r="P326" s="34"/>
      <c r="Q326" s="34"/>
      <c r="R326" s="34"/>
      <c r="S326" s="34"/>
      <c r="T326" s="34"/>
      <c r="U326" s="34"/>
      <c r="V326" s="34"/>
      <c r="W326" s="34"/>
      <c r="X326" s="34"/>
      <c r="Y326" s="34"/>
      <c r="Z326" s="34"/>
    </row>
    <row r="327" spans="1:26" ht="13">
      <c r="A327" s="34"/>
      <c r="B327" s="34"/>
      <c r="C327" s="34"/>
      <c r="D327" s="34"/>
      <c r="E327" s="34"/>
      <c r="F327" s="33"/>
      <c r="G327" s="34"/>
      <c r="H327" s="34"/>
      <c r="I327" s="33"/>
      <c r="J327" s="34"/>
      <c r="K327" s="34"/>
      <c r="L327" s="34"/>
      <c r="M327" s="34"/>
      <c r="N327" s="34"/>
      <c r="O327" s="34"/>
      <c r="P327" s="34"/>
      <c r="Q327" s="34"/>
      <c r="R327" s="34"/>
      <c r="S327" s="34"/>
      <c r="T327" s="34"/>
      <c r="U327" s="34"/>
      <c r="V327" s="34"/>
      <c r="W327" s="34"/>
      <c r="X327" s="34"/>
      <c r="Y327" s="34"/>
      <c r="Z327" s="34"/>
    </row>
    <row r="328" spans="1:26" ht="13">
      <c r="A328" s="34"/>
      <c r="B328" s="34"/>
      <c r="C328" s="34"/>
      <c r="D328" s="34"/>
      <c r="E328" s="34"/>
      <c r="F328" s="33"/>
      <c r="G328" s="34"/>
      <c r="H328" s="34"/>
      <c r="I328" s="33"/>
      <c r="J328" s="34"/>
      <c r="K328" s="34"/>
      <c r="L328" s="34"/>
      <c r="M328" s="34"/>
      <c r="N328" s="34"/>
      <c r="O328" s="34"/>
      <c r="P328" s="34"/>
      <c r="Q328" s="34"/>
      <c r="R328" s="34"/>
      <c r="S328" s="34"/>
      <c r="T328" s="34"/>
      <c r="U328" s="34"/>
      <c r="V328" s="34"/>
      <c r="W328" s="34"/>
      <c r="X328" s="34"/>
      <c r="Y328" s="34"/>
      <c r="Z328" s="34"/>
    </row>
    <row r="329" spans="1:26" ht="13">
      <c r="A329" s="34"/>
      <c r="B329" s="34"/>
      <c r="C329" s="34"/>
      <c r="D329" s="34"/>
      <c r="E329" s="34"/>
      <c r="F329" s="33"/>
      <c r="G329" s="34"/>
      <c r="H329" s="34"/>
      <c r="I329" s="33"/>
      <c r="J329" s="34"/>
      <c r="K329" s="34"/>
      <c r="L329" s="34"/>
      <c r="M329" s="34"/>
      <c r="N329" s="34"/>
      <c r="O329" s="34"/>
      <c r="P329" s="34"/>
      <c r="Q329" s="34"/>
      <c r="R329" s="34"/>
      <c r="S329" s="34"/>
      <c r="T329" s="34"/>
      <c r="U329" s="34"/>
      <c r="V329" s="34"/>
      <c r="W329" s="34"/>
      <c r="X329" s="34"/>
      <c r="Y329" s="34"/>
      <c r="Z329" s="34"/>
    </row>
    <row r="330" spans="1:26" ht="13">
      <c r="A330" s="34"/>
      <c r="B330" s="34"/>
      <c r="C330" s="34"/>
      <c r="D330" s="34"/>
      <c r="E330" s="34"/>
      <c r="F330" s="33"/>
      <c r="G330" s="34"/>
      <c r="H330" s="34"/>
      <c r="I330" s="33"/>
      <c r="J330" s="34"/>
      <c r="K330" s="34"/>
      <c r="L330" s="34"/>
      <c r="M330" s="34"/>
      <c r="N330" s="34"/>
      <c r="O330" s="34"/>
      <c r="P330" s="34"/>
      <c r="Q330" s="34"/>
      <c r="R330" s="34"/>
      <c r="S330" s="34"/>
      <c r="T330" s="34"/>
      <c r="U330" s="34"/>
      <c r="V330" s="34"/>
      <c r="W330" s="34"/>
      <c r="X330" s="34"/>
      <c r="Y330" s="34"/>
      <c r="Z330" s="34"/>
    </row>
    <row r="331" spans="1:26" ht="13">
      <c r="A331" s="34"/>
      <c r="B331" s="34"/>
      <c r="C331" s="34"/>
      <c r="D331" s="34"/>
      <c r="E331" s="34"/>
      <c r="F331" s="33"/>
      <c r="G331" s="34"/>
      <c r="H331" s="34"/>
      <c r="I331" s="33"/>
      <c r="J331" s="34"/>
      <c r="K331" s="34"/>
      <c r="L331" s="34"/>
      <c r="M331" s="34"/>
      <c r="N331" s="34"/>
      <c r="O331" s="34"/>
      <c r="P331" s="34"/>
      <c r="Q331" s="34"/>
      <c r="R331" s="34"/>
      <c r="S331" s="34"/>
      <c r="T331" s="34"/>
      <c r="U331" s="34"/>
      <c r="V331" s="34"/>
      <c r="W331" s="34"/>
      <c r="X331" s="34"/>
      <c r="Y331" s="34"/>
      <c r="Z331" s="34"/>
    </row>
    <row r="332" spans="1:26" ht="13">
      <c r="A332" s="34"/>
      <c r="B332" s="34"/>
      <c r="C332" s="34"/>
      <c r="D332" s="34"/>
      <c r="E332" s="34"/>
      <c r="F332" s="33"/>
      <c r="G332" s="34"/>
      <c r="H332" s="34"/>
      <c r="I332" s="33"/>
      <c r="J332" s="34"/>
      <c r="K332" s="34"/>
      <c r="L332" s="34"/>
      <c r="M332" s="34"/>
      <c r="N332" s="34"/>
      <c r="O332" s="34"/>
      <c r="P332" s="34"/>
      <c r="Q332" s="34"/>
      <c r="R332" s="34"/>
      <c r="S332" s="34"/>
      <c r="T332" s="34"/>
      <c r="U332" s="34"/>
      <c r="V332" s="34"/>
      <c r="W332" s="34"/>
      <c r="X332" s="34"/>
      <c r="Y332" s="34"/>
      <c r="Z332" s="34"/>
    </row>
    <row r="333" spans="1:26" ht="13">
      <c r="A333" s="34"/>
      <c r="B333" s="34"/>
      <c r="C333" s="34"/>
      <c r="D333" s="34"/>
      <c r="E333" s="34"/>
      <c r="F333" s="33"/>
      <c r="G333" s="34"/>
      <c r="H333" s="34"/>
      <c r="I333" s="33"/>
      <c r="J333" s="34"/>
      <c r="K333" s="34"/>
      <c r="L333" s="34"/>
      <c r="M333" s="34"/>
      <c r="N333" s="34"/>
      <c r="O333" s="34"/>
      <c r="P333" s="34"/>
      <c r="Q333" s="34"/>
      <c r="R333" s="34"/>
      <c r="S333" s="34"/>
      <c r="T333" s="34"/>
      <c r="U333" s="34"/>
      <c r="V333" s="34"/>
      <c r="W333" s="34"/>
      <c r="X333" s="34"/>
      <c r="Y333" s="34"/>
      <c r="Z333" s="34"/>
    </row>
    <row r="334" spans="1:26" ht="13">
      <c r="A334" s="34"/>
      <c r="B334" s="34"/>
      <c r="C334" s="34"/>
      <c r="D334" s="34"/>
      <c r="E334" s="34"/>
      <c r="F334" s="33"/>
      <c r="G334" s="34"/>
      <c r="H334" s="34"/>
      <c r="I334" s="33"/>
      <c r="J334" s="34"/>
      <c r="K334" s="34"/>
      <c r="L334" s="34"/>
      <c r="M334" s="34"/>
      <c r="N334" s="34"/>
      <c r="O334" s="34"/>
      <c r="P334" s="34"/>
      <c r="Q334" s="34"/>
      <c r="R334" s="34"/>
      <c r="S334" s="34"/>
      <c r="T334" s="34"/>
      <c r="U334" s="34"/>
      <c r="V334" s="34"/>
      <c r="W334" s="34"/>
      <c r="X334" s="34"/>
      <c r="Y334" s="34"/>
      <c r="Z334" s="34"/>
    </row>
    <row r="335" spans="1:26" ht="13">
      <c r="A335" s="34"/>
      <c r="B335" s="34"/>
      <c r="C335" s="34"/>
      <c r="D335" s="34"/>
      <c r="E335" s="34"/>
      <c r="F335" s="33"/>
      <c r="G335" s="34"/>
      <c r="H335" s="34"/>
      <c r="I335" s="33"/>
      <c r="J335" s="34"/>
      <c r="K335" s="34"/>
      <c r="L335" s="34"/>
      <c r="M335" s="34"/>
      <c r="N335" s="34"/>
      <c r="O335" s="34"/>
      <c r="P335" s="34"/>
      <c r="Q335" s="34"/>
      <c r="R335" s="34"/>
      <c r="S335" s="34"/>
      <c r="T335" s="34"/>
      <c r="U335" s="34"/>
      <c r="V335" s="34"/>
      <c r="W335" s="34"/>
      <c r="X335" s="34"/>
      <c r="Y335" s="34"/>
      <c r="Z335" s="34"/>
    </row>
    <row r="336" spans="1:26" ht="13">
      <c r="A336" s="34"/>
      <c r="B336" s="34"/>
      <c r="C336" s="34"/>
      <c r="D336" s="34"/>
      <c r="E336" s="34"/>
      <c r="F336" s="33"/>
      <c r="G336" s="34"/>
      <c r="H336" s="34"/>
      <c r="I336" s="33"/>
      <c r="J336" s="34"/>
      <c r="K336" s="34"/>
      <c r="L336" s="34"/>
      <c r="M336" s="34"/>
      <c r="N336" s="34"/>
      <c r="O336" s="34"/>
      <c r="P336" s="34"/>
      <c r="Q336" s="34"/>
      <c r="R336" s="34"/>
      <c r="S336" s="34"/>
      <c r="T336" s="34"/>
      <c r="U336" s="34"/>
      <c r="V336" s="34"/>
      <c r="W336" s="34"/>
      <c r="X336" s="34"/>
      <c r="Y336" s="34"/>
      <c r="Z336" s="34"/>
    </row>
    <row r="337" spans="1:26" ht="13">
      <c r="A337" s="34"/>
      <c r="B337" s="34"/>
      <c r="C337" s="34"/>
      <c r="D337" s="34"/>
      <c r="E337" s="34"/>
      <c r="F337" s="33"/>
      <c r="G337" s="34"/>
      <c r="H337" s="34"/>
      <c r="I337" s="33"/>
      <c r="J337" s="34"/>
      <c r="K337" s="34"/>
      <c r="L337" s="34"/>
      <c r="M337" s="34"/>
      <c r="N337" s="34"/>
      <c r="O337" s="34"/>
      <c r="P337" s="34"/>
      <c r="Q337" s="34"/>
      <c r="R337" s="34"/>
      <c r="S337" s="34"/>
      <c r="T337" s="34"/>
      <c r="U337" s="34"/>
      <c r="V337" s="34"/>
      <c r="W337" s="34"/>
      <c r="X337" s="34"/>
      <c r="Y337" s="34"/>
      <c r="Z337" s="34"/>
    </row>
    <row r="338" spans="1:26" ht="13">
      <c r="A338" s="34"/>
      <c r="B338" s="34"/>
      <c r="C338" s="34"/>
      <c r="D338" s="34"/>
      <c r="E338" s="34"/>
      <c r="F338" s="33"/>
      <c r="G338" s="34"/>
      <c r="H338" s="34"/>
      <c r="I338" s="33"/>
      <c r="J338" s="34"/>
      <c r="K338" s="34"/>
      <c r="L338" s="34"/>
      <c r="M338" s="34"/>
      <c r="N338" s="34"/>
      <c r="O338" s="34"/>
      <c r="P338" s="34"/>
      <c r="Q338" s="34"/>
      <c r="R338" s="34"/>
      <c r="S338" s="34"/>
      <c r="T338" s="34"/>
      <c r="U338" s="34"/>
      <c r="V338" s="34"/>
      <c r="W338" s="34"/>
      <c r="X338" s="34"/>
      <c r="Y338" s="34"/>
      <c r="Z338" s="34"/>
    </row>
    <row r="339" spans="1:26" ht="13">
      <c r="A339" s="34"/>
      <c r="B339" s="34"/>
      <c r="C339" s="34"/>
      <c r="D339" s="34"/>
      <c r="E339" s="34"/>
      <c r="F339" s="33"/>
      <c r="G339" s="34"/>
      <c r="H339" s="34"/>
      <c r="I339" s="33"/>
      <c r="J339" s="34"/>
      <c r="K339" s="34"/>
      <c r="L339" s="34"/>
      <c r="M339" s="34"/>
      <c r="N339" s="34"/>
      <c r="O339" s="34"/>
      <c r="P339" s="34"/>
      <c r="Q339" s="34"/>
      <c r="R339" s="34"/>
      <c r="S339" s="34"/>
      <c r="T339" s="34"/>
      <c r="U339" s="34"/>
      <c r="V339" s="34"/>
      <c r="W339" s="34"/>
      <c r="X339" s="34"/>
      <c r="Y339" s="34"/>
      <c r="Z339" s="34"/>
    </row>
    <row r="340" spans="1:26" ht="13">
      <c r="A340" s="34"/>
      <c r="B340" s="34"/>
      <c r="C340" s="34"/>
      <c r="D340" s="34"/>
      <c r="E340" s="34"/>
      <c r="F340" s="33"/>
      <c r="G340" s="34"/>
      <c r="H340" s="34"/>
      <c r="I340" s="33"/>
      <c r="J340" s="34"/>
      <c r="K340" s="34"/>
      <c r="L340" s="34"/>
      <c r="M340" s="34"/>
      <c r="N340" s="34"/>
      <c r="O340" s="34"/>
      <c r="P340" s="34"/>
      <c r="Q340" s="34"/>
      <c r="R340" s="34"/>
      <c r="S340" s="34"/>
      <c r="T340" s="34"/>
      <c r="U340" s="34"/>
      <c r="V340" s="34"/>
      <c r="W340" s="34"/>
      <c r="X340" s="34"/>
      <c r="Y340" s="34"/>
      <c r="Z340" s="34"/>
    </row>
    <row r="341" spans="1:26" ht="13">
      <c r="A341" s="34"/>
      <c r="B341" s="34"/>
      <c r="C341" s="34"/>
      <c r="D341" s="34"/>
      <c r="E341" s="34"/>
      <c r="F341" s="33"/>
      <c r="G341" s="34"/>
      <c r="H341" s="34"/>
      <c r="I341" s="33"/>
      <c r="J341" s="34"/>
      <c r="K341" s="34"/>
      <c r="L341" s="34"/>
      <c r="M341" s="34"/>
      <c r="N341" s="34"/>
      <c r="O341" s="34"/>
      <c r="P341" s="34"/>
      <c r="Q341" s="34"/>
      <c r="R341" s="34"/>
      <c r="S341" s="34"/>
      <c r="T341" s="34"/>
      <c r="U341" s="34"/>
      <c r="V341" s="34"/>
      <c r="W341" s="34"/>
      <c r="X341" s="34"/>
      <c r="Y341" s="34"/>
      <c r="Z341" s="34"/>
    </row>
    <row r="342" spans="1:26" ht="13">
      <c r="A342" s="34"/>
      <c r="B342" s="34"/>
      <c r="C342" s="34"/>
      <c r="D342" s="34"/>
      <c r="E342" s="34"/>
      <c r="F342" s="33"/>
      <c r="G342" s="34"/>
      <c r="H342" s="34"/>
      <c r="I342" s="33"/>
      <c r="J342" s="34"/>
      <c r="K342" s="34"/>
      <c r="L342" s="34"/>
      <c r="M342" s="34"/>
      <c r="N342" s="34"/>
      <c r="O342" s="34"/>
      <c r="P342" s="34"/>
      <c r="Q342" s="34"/>
      <c r="R342" s="34"/>
      <c r="S342" s="34"/>
      <c r="T342" s="34"/>
      <c r="U342" s="34"/>
      <c r="V342" s="34"/>
      <c r="W342" s="34"/>
      <c r="X342" s="34"/>
      <c r="Y342" s="34"/>
      <c r="Z342" s="34"/>
    </row>
    <row r="343" spans="1:26" ht="13">
      <c r="A343" s="34"/>
      <c r="B343" s="34"/>
      <c r="C343" s="34"/>
      <c r="D343" s="34"/>
      <c r="E343" s="34"/>
      <c r="F343" s="33"/>
      <c r="G343" s="34"/>
      <c r="H343" s="34"/>
      <c r="I343" s="33"/>
      <c r="J343" s="34"/>
      <c r="K343" s="34"/>
      <c r="L343" s="34"/>
      <c r="M343" s="34"/>
      <c r="N343" s="34"/>
      <c r="O343" s="34"/>
      <c r="P343" s="34"/>
      <c r="Q343" s="34"/>
      <c r="R343" s="34"/>
      <c r="S343" s="34"/>
      <c r="T343" s="34"/>
      <c r="U343" s="34"/>
      <c r="V343" s="34"/>
      <c r="W343" s="34"/>
      <c r="X343" s="34"/>
      <c r="Y343" s="34"/>
      <c r="Z343" s="34"/>
    </row>
    <row r="344" spans="1:26" ht="13">
      <c r="A344" s="34"/>
      <c r="B344" s="34"/>
      <c r="C344" s="34"/>
      <c r="D344" s="34"/>
      <c r="E344" s="34"/>
      <c r="F344" s="33"/>
      <c r="G344" s="34"/>
      <c r="H344" s="34"/>
      <c r="I344" s="33"/>
      <c r="J344" s="34"/>
      <c r="K344" s="34"/>
      <c r="L344" s="34"/>
      <c r="M344" s="34"/>
      <c r="N344" s="34"/>
      <c r="O344" s="34"/>
      <c r="P344" s="34"/>
      <c r="Q344" s="34"/>
      <c r="R344" s="34"/>
      <c r="S344" s="34"/>
      <c r="T344" s="34"/>
      <c r="U344" s="34"/>
      <c r="V344" s="34"/>
      <c r="W344" s="34"/>
      <c r="X344" s="34"/>
      <c r="Y344" s="34"/>
      <c r="Z344" s="34"/>
    </row>
    <row r="345" spans="1:26" ht="13">
      <c r="A345" s="34"/>
      <c r="B345" s="34"/>
      <c r="C345" s="34"/>
      <c r="D345" s="34"/>
      <c r="E345" s="34"/>
      <c r="F345" s="33"/>
      <c r="G345" s="34"/>
      <c r="H345" s="34"/>
      <c r="I345" s="33"/>
      <c r="J345" s="34"/>
      <c r="K345" s="34"/>
      <c r="L345" s="34"/>
      <c r="M345" s="34"/>
      <c r="N345" s="34"/>
      <c r="O345" s="34"/>
      <c r="P345" s="34"/>
      <c r="Q345" s="34"/>
      <c r="R345" s="34"/>
      <c r="S345" s="34"/>
      <c r="T345" s="34"/>
      <c r="U345" s="34"/>
      <c r="V345" s="34"/>
      <c r="W345" s="34"/>
      <c r="X345" s="34"/>
      <c r="Y345" s="34"/>
      <c r="Z345" s="34"/>
    </row>
    <row r="346" spans="1:26" ht="13">
      <c r="A346" s="34"/>
      <c r="B346" s="34"/>
      <c r="C346" s="34"/>
      <c r="D346" s="34"/>
      <c r="E346" s="34"/>
      <c r="F346" s="33"/>
      <c r="G346" s="34"/>
      <c r="H346" s="34"/>
      <c r="I346" s="33"/>
      <c r="J346" s="34"/>
      <c r="K346" s="34"/>
      <c r="L346" s="34"/>
      <c r="M346" s="34"/>
      <c r="N346" s="34"/>
      <c r="O346" s="34"/>
      <c r="P346" s="34"/>
      <c r="Q346" s="34"/>
      <c r="R346" s="34"/>
      <c r="S346" s="34"/>
      <c r="T346" s="34"/>
      <c r="U346" s="34"/>
      <c r="V346" s="34"/>
      <c r="W346" s="34"/>
      <c r="X346" s="34"/>
      <c r="Y346" s="34"/>
      <c r="Z346" s="34"/>
    </row>
    <row r="347" spans="1:26" ht="13">
      <c r="A347" s="34"/>
      <c r="B347" s="34"/>
      <c r="C347" s="34"/>
      <c r="D347" s="34"/>
      <c r="E347" s="34"/>
      <c r="F347" s="33"/>
      <c r="G347" s="34"/>
      <c r="H347" s="34"/>
      <c r="I347" s="33"/>
      <c r="J347" s="34"/>
      <c r="K347" s="34"/>
      <c r="L347" s="34"/>
      <c r="M347" s="34"/>
      <c r="N347" s="34"/>
      <c r="O347" s="34"/>
      <c r="P347" s="34"/>
      <c r="Q347" s="34"/>
      <c r="R347" s="34"/>
      <c r="S347" s="34"/>
      <c r="T347" s="34"/>
      <c r="U347" s="34"/>
      <c r="V347" s="34"/>
      <c r="W347" s="34"/>
      <c r="X347" s="34"/>
      <c r="Y347" s="34"/>
      <c r="Z347" s="34"/>
    </row>
    <row r="348" spans="1:26" ht="13">
      <c r="A348" s="34"/>
      <c r="B348" s="34"/>
      <c r="C348" s="34"/>
      <c r="D348" s="34"/>
      <c r="E348" s="34"/>
      <c r="F348" s="33"/>
      <c r="G348" s="34"/>
      <c r="H348" s="34"/>
      <c r="I348" s="33"/>
      <c r="J348" s="34"/>
      <c r="K348" s="34"/>
      <c r="L348" s="34"/>
      <c r="M348" s="34"/>
      <c r="N348" s="34"/>
      <c r="O348" s="34"/>
      <c r="P348" s="34"/>
      <c r="Q348" s="34"/>
      <c r="R348" s="34"/>
      <c r="S348" s="34"/>
      <c r="T348" s="34"/>
      <c r="U348" s="34"/>
      <c r="V348" s="34"/>
      <c r="W348" s="34"/>
      <c r="X348" s="34"/>
      <c r="Y348" s="34"/>
      <c r="Z348" s="34"/>
    </row>
    <row r="349" spans="1:26" ht="13">
      <c r="A349" s="34"/>
      <c r="B349" s="34"/>
      <c r="C349" s="34"/>
      <c r="D349" s="34"/>
      <c r="E349" s="34"/>
      <c r="F349" s="33"/>
      <c r="G349" s="34"/>
      <c r="H349" s="34"/>
      <c r="I349" s="33"/>
      <c r="J349" s="34"/>
      <c r="K349" s="34"/>
      <c r="L349" s="34"/>
      <c r="M349" s="34"/>
      <c r="N349" s="34"/>
      <c r="O349" s="34"/>
      <c r="P349" s="34"/>
      <c r="Q349" s="34"/>
      <c r="R349" s="34"/>
      <c r="S349" s="34"/>
      <c r="T349" s="34"/>
      <c r="U349" s="34"/>
      <c r="V349" s="34"/>
      <c r="W349" s="34"/>
      <c r="X349" s="34"/>
      <c r="Y349" s="34"/>
      <c r="Z349" s="34"/>
    </row>
    <row r="350" spans="1:26" ht="13">
      <c r="A350" s="34"/>
      <c r="B350" s="34"/>
      <c r="C350" s="34"/>
      <c r="D350" s="34"/>
      <c r="E350" s="34"/>
      <c r="F350" s="33"/>
      <c r="G350" s="34"/>
      <c r="H350" s="34"/>
      <c r="I350" s="33"/>
      <c r="J350" s="34"/>
      <c r="K350" s="34"/>
      <c r="L350" s="34"/>
      <c r="M350" s="34"/>
      <c r="N350" s="34"/>
      <c r="O350" s="34"/>
      <c r="P350" s="34"/>
      <c r="Q350" s="34"/>
      <c r="R350" s="34"/>
      <c r="S350" s="34"/>
      <c r="T350" s="34"/>
      <c r="U350" s="34"/>
      <c r="V350" s="34"/>
      <c r="W350" s="34"/>
      <c r="X350" s="34"/>
      <c r="Y350" s="34"/>
      <c r="Z350" s="34"/>
    </row>
    <row r="351" spans="1:26" ht="13">
      <c r="A351" s="34"/>
      <c r="B351" s="34"/>
      <c r="C351" s="34"/>
      <c r="D351" s="34"/>
      <c r="E351" s="34"/>
      <c r="F351" s="33"/>
      <c r="G351" s="34"/>
      <c r="H351" s="34"/>
      <c r="I351" s="33"/>
      <c r="J351" s="34"/>
      <c r="K351" s="34"/>
      <c r="L351" s="34"/>
      <c r="M351" s="34"/>
      <c r="N351" s="34"/>
      <c r="O351" s="34"/>
      <c r="P351" s="34"/>
      <c r="Q351" s="34"/>
      <c r="R351" s="34"/>
      <c r="S351" s="34"/>
      <c r="T351" s="34"/>
      <c r="U351" s="34"/>
      <c r="V351" s="34"/>
      <c r="W351" s="34"/>
      <c r="X351" s="34"/>
      <c r="Y351" s="34"/>
      <c r="Z351" s="34"/>
    </row>
    <row r="352" spans="1:26" ht="13">
      <c r="A352" s="34"/>
      <c r="B352" s="34"/>
      <c r="C352" s="34"/>
      <c r="D352" s="34"/>
      <c r="E352" s="34"/>
      <c r="F352" s="33"/>
      <c r="G352" s="34"/>
      <c r="H352" s="34"/>
      <c r="I352" s="33"/>
      <c r="J352" s="34"/>
      <c r="K352" s="34"/>
      <c r="L352" s="34"/>
      <c r="M352" s="34"/>
      <c r="N352" s="34"/>
      <c r="O352" s="34"/>
      <c r="P352" s="34"/>
      <c r="Q352" s="34"/>
      <c r="R352" s="34"/>
      <c r="S352" s="34"/>
      <c r="T352" s="34"/>
      <c r="U352" s="34"/>
      <c r="V352" s="34"/>
      <c r="W352" s="34"/>
      <c r="X352" s="34"/>
      <c r="Y352" s="34"/>
      <c r="Z352" s="34"/>
    </row>
    <row r="353" spans="1:26" ht="13">
      <c r="A353" s="34"/>
      <c r="B353" s="34"/>
      <c r="C353" s="34"/>
      <c r="D353" s="34"/>
      <c r="E353" s="34"/>
      <c r="F353" s="33"/>
      <c r="G353" s="34"/>
      <c r="H353" s="34"/>
      <c r="I353" s="33"/>
      <c r="J353" s="34"/>
      <c r="K353" s="34"/>
      <c r="L353" s="34"/>
      <c r="M353" s="34"/>
      <c r="N353" s="34"/>
      <c r="O353" s="34"/>
      <c r="P353" s="34"/>
      <c r="Q353" s="34"/>
      <c r="R353" s="34"/>
      <c r="S353" s="34"/>
      <c r="T353" s="34"/>
      <c r="U353" s="34"/>
      <c r="V353" s="34"/>
      <c r="W353" s="34"/>
      <c r="X353" s="34"/>
      <c r="Y353" s="34"/>
      <c r="Z353" s="34"/>
    </row>
    <row r="354" spans="1:26" ht="13">
      <c r="A354" s="34"/>
      <c r="B354" s="34"/>
      <c r="C354" s="34"/>
      <c r="D354" s="34"/>
      <c r="E354" s="34"/>
      <c r="F354" s="33"/>
      <c r="G354" s="34"/>
      <c r="H354" s="34"/>
      <c r="I354" s="33"/>
      <c r="J354" s="34"/>
      <c r="K354" s="34"/>
      <c r="L354" s="34"/>
      <c r="M354" s="34"/>
      <c r="N354" s="34"/>
      <c r="O354" s="34"/>
      <c r="P354" s="34"/>
      <c r="Q354" s="34"/>
      <c r="R354" s="34"/>
      <c r="S354" s="34"/>
      <c r="T354" s="34"/>
      <c r="U354" s="34"/>
      <c r="V354" s="34"/>
      <c r="W354" s="34"/>
      <c r="X354" s="34"/>
      <c r="Y354" s="34"/>
      <c r="Z354" s="34"/>
    </row>
    <row r="355" spans="1:26" ht="13">
      <c r="A355" s="34"/>
      <c r="B355" s="34"/>
      <c r="C355" s="34"/>
      <c r="D355" s="34"/>
      <c r="E355" s="34"/>
      <c r="F355" s="33"/>
      <c r="G355" s="34"/>
      <c r="H355" s="34"/>
      <c r="I355" s="33"/>
      <c r="J355" s="34"/>
      <c r="K355" s="34"/>
      <c r="L355" s="34"/>
      <c r="M355" s="34"/>
      <c r="N355" s="34"/>
      <c r="O355" s="34"/>
      <c r="P355" s="34"/>
      <c r="Q355" s="34"/>
      <c r="R355" s="34"/>
      <c r="S355" s="34"/>
      <c r="T355" s="34"/>
      <c r="U355" s="34"/>
      <c r="V355" s="34"/>
      <c r="W355" s="34"/>
      <c r="X355" s="34"/>
      <c r="Y355" s="34"/>
      <c r="Z355" s="34"/>
    </row>
    <row r="356" spans="1:26" ht="13">
      <c r="A356" s="34"/>
      <c r="B356" s="34"/>
      <c r="C356" s="34"/>
      <c r="D356" s="34"/>
      <c r="E356" s="34"/>
      <c r="F356" s="33"/>
      <c r="G356" s="34"/>
      <c r="H356" s="34"/>
      <c r="I356" s="33"/>
      <c r="J356" s="34"/>
      <c r="K356" s="34"/>
      <c r="L356" s="34"/>
      <c r="M356" s="34"/>
      <c r="N356" s="34"/>
      <c r="O356" s="34"/>
      <c r="P356" s="34"/>
      <c r="Q356" s="34"/>
      <c r="R356" s="34"/>
      <c r="S356" s="34"/>
      <c r="T356" s="34"/>
      <c r="U356" s="34"/>
      <c r="V356" s="34"/>
      <c r="W356" s="34"/>
      <c r="X356" s="34"/>
      <c r="Y356" s="34"/>
      <c r="Z356" s="34"/>
    </row>
    <row r="357" spans="1:26" ht="13">
      <c r="A357" s="34"/>
      <c r="B357" s="34"/>
      <c r="C357" s="34"/>
      <c r="D357" s="34"/>
      <c r="E357" s="34"/>
      <c r="F357" s="33"/>
      <c r="G357" s="34"/>
      <c r="H357" s="34"/>
      <c r="I357" s="33"/>
      <c r="J357" s="34"/>
      <c r="K357" s="34"/>
      <c r="L357" s="34"/>
      <c r="M357" s="34"/>
      <c r="N357" s="34"/>
      <c r="O357" s="34"/>
      <c r="P357" s="34"/>
      <c r="Q357" s="34"/>
      <c r="R357" s="34"/>
      <c r="S357" s="34"/>
      <c r="T357" s="34"/>
      <c r="U357" s="34"/>
      <c r="V357" s="34"/>
      <c r="W357" s="34"/>
      <c r="X357" s="34"/>
      <c r="Y357" s="34"/>
      <c r="Z357" s="34"/>
    </row>
    <row r="358" spans="1:26" ht="13">
      <c r="A358" s="34"/>
      <c r="B358" s="34"/>
      <c r="C358" s="34"/>
      <c r="D358" s="34"/>
      <c r="E358" s="34"/>
      <c r="F358" s="33"/>
      <c r="G358" s="34"/>
      <c r="H358" s="34"/>
      <c r="I358" s="33"/>
      <c r="J358" s="34"/>
      <c r="K358" s="34"/>
      <c r="L358" s="34"/>
      <c r="M358" s="34"/>
      <c r="N358" s="34"/>
      <c r="O358" s="34"/>
      <c r="P358" s="34"/>
      <c r="Q358" s="34"/>
      <c r="R358" s="34"/>
      <c r="S358" s="34"/>
      <c r="T358" s="34"/>
      <c r="U358" s="34"/>
      <c r="V358" s="34"/>
      <c r="W358" s="34"/>
      <c r="X358" s="34"/>
      <c r="Y358" s="34"/>
      <c r="Z358" s="34"/>
    </row>
    <row r="359" spans="1:26" ht="13">
      <c r="A359" s="34"/>
      <c r="B359" s="34"/>
      <c r="C359" s="34"/>
      <c r="D359" s="34"/>
      <c r="E359" s="34"/>
      <c r="F359" s="33"/>
      <c r="G359" s="34"/>
      <c r="H359" s="34"/>
      <c r="I359" s="33"/>
      <c r="J359" s="34"/>
      <c r="K359" s="34"/>
      <c r="L359" s="34"/>
      <c r="M359" s="34"/>
      <c r="N359" s="34"/>
      <c r="O359" s="34"/>
      <c r="P359" s="34"/>
      <c r="Q359" s="34"/>
      <c r="R359" s="34"/>
      <c r="S359" s="34"/>
      <c r="T359" s="34"/>
      <c r="U359" s="34"/>
      <c r="V359" s="34"/>
      <c r="W359" s="34"/>
      <c r="X359" s="34"/>
      <c r="Y359" s="34"/>
      <c r="Z359" s="34"/>
    </row>
    <row r="360" spans="1:26" ht="13">
      <c r="A360" s="34"/>
      <c r="B360" s="34"/>
      <c r="C360" s="34"/>
      <c r="D360" s="34"/>
      <c r="E360" s="34"/>
      <c r="F360" s="33"/>
      <c r="G360" s="34"/>
      <c r="H360" s="34"/>
      <c r="I360" s="33"/>
      <c r="J360" s="34"/>
      <c r="K360" s="34"/>
      <c r="L360" s="34"/>
      <c r="M360" s="34"/>
      <c r="N360" s="34"/>
      <c r="O360" s="34"/>
      <c r="P360" s="34"/>
      <c r="Q360" s="34"/>
      <c r="R360" s="34"/>
      <c r="S360" s="34"/>
      <c r="T360" s="34"/>
      <c r="U360" s="34"/>
      <c r="V360" s="34"/>
      <c r="W360" s="34"/>
      <c r="X360" s="34"/>
      <c r="Y360" s="34"/>
      <c r="Z360" s="34"/>
    </row>
    <row r="361" spans="1:26" ht="13">
      <c r="A361" s="34"/>
      <c r="B361" s="34"/>
      <c r="C361" s="34"/>
      <c r="D361" s="34"/>
      <c r="E361" s="34"/>
      <c r="F361" s="33"/>
      <c r="G361" s="34"/>
      <c r="H361" s="34"/>
      <c r="I361" s="33"/>
      <c r="J361" s="34"/>
      <c r="K361" s="34"/>
      <c r="L361" s="34"/>
      <c r="M361" s="34"/>
      <c r="N361" s="34"/>
      <c r="O361" s="34"/>
      <c r="P361" s="34"/>
      <c r="Q361" s="34"/>
      <c r="R361" s="34"/>
      <c r="S361" s="34"/>
      <c r="T361" s="34"/>
      <c r="U361" s="34"/>
      <c r="V361" s="34"/>
      <c r="W361" s="34"/>
      <c r="X361" s="34"/>
      <c r="Y361" s="34"/>
      <c r="Z361" s="34"/>
    </row>
    <row r="362" spans="1:26" ht="13">
      <c r="A362" s="34"/>
      <c r="B362" s="34"/>
      <c r="C362" s="34"/>
      <c r="D362" s="34"/>
      <c r="E362" s="34"/>
      <c r="F362" s="33"/>
      <c r="G362" s="34"/>
      <c r="H362" s="34"/>
      <c r="I362" s="33"/>
      <c r="J362" s="34"/>
      <c r="K362" s="34"/>
      <c r="L362" s="34"/>
      <c r="M362" s="34"/>
      <c r="N362" s="34"/>
      <c r="O362" s="34"/>
      <c r="P362" s="34"/>
      <c r="Q362" s="34"/>
      <c r="R362" s="34"/>
      <c r="S362" s="34"/>
      <c r="T362" s="34"/>
      <c r="U362" s="34"/>
      <c r="V362" s="34"/>
      <c r="W362" s="34"/>
      <c r="X362" s="34"/>
      <c r="Y362" s="34"/>
      <c r="Z362" s="34"/>
    </row>
    <row r="363" spans="1:26" ht="13">
      <c r="A363" s="34"/>
      <c r="B363" s="34"/>
      <c r="C363" s="34"/>
      <c r="D363" s="34"/>
      <c r="E363" s="34"/>
      <c r="F363" s="33"/>
      <c r="G363" s="34"/>
      <c r="H363" s="34"/>
      <c r="I363" s="33"/>
      <c r="J363" s="34"/>
      <c r="K363" s="34"/>
      <c r="L363" s="34"/>
      <c r="M363" s="34"/>
      <c r="N363" s="34"/>
      <c r="O363" s="34"/>
      <c r="P363" s="34"/>
      <c r="Q363" s="34"/>
      <c r="R363" s="34"/>
      <c r="S363" s="34"/>
      <c r="T363" s="34"/>
      <c r="U363" s="34"/>
      <c r="V363" s="34"/>
      <c r="W363" s="34"/>
      <c r="X363" s="34"/>
      <c r="Y363" s="34"/>
      <c r="Z363" s="34"/>
    </row>
    <row r="364" spans="1:26" ht="13">
      <c r="A364" s="34"/>
      <c r="B364" s="34"/>
      <c r="C364" s="34"/>
      <c r="D364" s="34"/>
      <c r="E364" s="34"/>
      <c r="F364" s="33"/>
      <c r="G364" s="34"/>
      <c r="H364" s="34"/>
      <c r="I364" s="33"/>
      <c r="J364" s="34"/>
      <c r="K364" s="34"/>
      <c r="L364" s="34"/>
      <c r="M364" s="34"/>
      <c r="N364" s="34"/>
      <c r="O364" s="34"/>
      <c r="P364" s="34"/>
      <c r="Q364" s="34"/>
      <c r="R364" s="34"/>
      <c r="S364" s="34"/>
      <c r="T364" s="34"/>
      <c r="U364" s="34"/>
      <c r="V364" s="34"/>
      <c r="W364" s="34"/>
      <c r="X364" s="34"/>
      <c r="Y364" s="34"/>
      <c r="Z364" s="34"/>
    </row>
    <row r="365" spans="1:26" ht="13">
      <c r="A365" s="34"/>
      <c r="B365" s="34"/>
      <c r="C365" s="34"/>
      <c r="D365" s="34"/>
      <c r="E365" s="34"/>
      <c r="F365" s="33"/>
      <c r="G365" s="34"/>
      <c r="H365" s="34"/>
      <c r="I365" s="33"/>
      <c r="J365" s="34"/>
      <c r="K365" s="34"/>
      <c r="L365" s="34"/>
      <c r="M365" s="34"/>
      <c r="N365" s="34"/>
      <c r="O365" s="34"/>
      <c r="P365" s="34"/>
      <c r="Q365" s="34"/>
      <c r="R365" s="34"/>
      <c r="S365" s="34"/>
      <c r="T365" s="34"/>
      <c r="U365" s="34"/>
      <c r="V365" s="34"/>
      <c r="W365" s="34"/>
      <c r="X365" s="34"/>
      <c r="Y365" s="34"/>
      <c r="Z365" s="34"/>
    </row>
    <row r="366" spans="1:26" ht="13">
      <c r="A366" s="34"/>
      <c r="B366" s="34"/>
      <c r="C366" s="34"/>
      <c r="D366" s="34"/>
      <c r="E366" s="34"/>
      <c r="F366" s="33"/>
      <c r="G366" s="34"/>
      <c r="H366" s="34"/>
      <c r="I366" s="33"/>
      <c r="J366" s="34"/>
      <c r="K366" s="34"/>
      <c r="L366" s="34"/>
      <c r="M366" s="34"/>
      <c r="N366" s="34"/>
      <c r="O366" s="34"/>
      <c r="P366" s="34"/>
      <c r="Q366" s="34"/>
      <c r="R366" s="34"/>
      <c r="S366" s="34"/>
      <c r="T366" s="34"/>
      <c r="U366" s="34"/>
      <c r="V366" s="34"/>
      <c r="W366" s="34"/>
      <c r="X366" s="34"/>
      <c r="Y366" s="34"/>
      <c r="Z366" s="34"/>
    </row>
    <row r="367" spans="1:26" ht="13">
      <c r="A367" s="34"/>
      <c r="B367" s="34"/>
      <c r="C367" s="34"/>
      <c r="D367" s="34"/>
      <c r="E367" s="34"/>
      <c r="F367" s="33"/>
      <c r="G367" s="34"/>
      <c r="H367" s="34"/>
      <c r="I367" s="33"/>
      <c r="J367" s="34"/>
      <c r="K367" s="34"/>
      <c r="L367" s="34"/>
      <c r="M367" s="34"/>
      <c r="N367" s="34"/>
      <c r="O367" s="34"/>
      <c r="P367" s="34"/>
      <c r="Q367" s="34"/>
      <c r="R367" s="34"/>
      <c r="S367" s="34"/>
      <c r="T367" s="34"/>
      <c r="U367" s="34"/>
      <c r="V367" s="34"/>
      <c r="W367" s="34"/>
      <c r="X367" s="34"/>
      <c r="Y367" s="34"/>
      <c r="Z367" s="34"/>
    </row>
    <row r="368" spans="1:26" ht="13">
      <c r="A368" s="34"/>
      <c r="B368" s="34"/>
      <c r="C368" s="34"/>
      <c r="D368" s="34"/>
      <c r="E368" s="34"/>
      <c r="F368" s="33"/>
      <c r="G368" s="34"/>
      <c r="H368" s="34"/>
      <c r="I368" s="33"/>
      <c r="J368" s="34"/>
      <c r="K368" s="34"/>
      <c r="L368" s="34"/>
      <c r="M368" s="34"/>
      <c r="N368" s="34"/>
      <c r="O368" s="34"/>
      <c r="P368" s="34"/>
      <c r="Q368" s="34"/>
      <c r="R368" s="34"/>
      <c r="S368" s="34"/>
      <c r="T368" s="34"/>
      <c r="U368" s="34"/>
      <c r="V368" s="34"/>
      <c r="W368" s="34"/>
      <c r="X368" s="34"/>
      <c r="Y368" s="34"/>
      <c r="Z368" s="34"/>
    </row>
    <row r="369" spans="1:26" ht="13">
      <c r="A369" s="34"/>
      <c r="B369" s="34"/>
      <c r="C369" s="34"/>
      <c r="D369" s="34"/>
      <c r="E369" s="34"/>
      <c r="F369" s="33"/>
      <c r="G369" s="34"/>
      <c r="H369" s="34"/>
      <c r="I369" s="33"/>
      <c r="J369" s="34"/>
      <c r="K369" s="34"/>
      <c r="L369" s="34"/>
      <c r="M369" s="34"/>
      <c r="N369" s="34"/>
      <c r="O369" s="34"/>
      <c r="P369" s="34"/>
      <c r="Q369" s="34"/>
      <c r="R369" s="34"/>
      <c r="S369" s="34"/>
      <c r="T369" s="34"/>
      <c r="U369" s="34"/>
      <c r="V369" s="34"/>
      <c r="W369" s="34"/>
      <c r="X369" s="34"/>
      <c r="Y369" s="34"/>
      <c r="Z369" s="34"/>
    </row>
    <row r="370" spans="1:26" ht="13">
      <c r="A370" s="34"/>
      <c r="B370" s="34"/>
      <c r="C370" s="34"/>
      <c r="D370" s="34"/>
      <c r="E370" s="34"/>
      <c r="F370" s="33"/>
      <c r="G370" s="34"/>
      <c r="H370" s="34"/>
      <c r="I370" s="33"/>
      <c r="J370" s="34"/>
      <c r="K370" s="34"/>
      <c r="L370" s="34"/>
      <c r="M370" s="34"/>
      <c r="N370" s="34"/>
      <c r="O370" s="34"/>
      <c r="P370" s="34"/>
      <c r="Q370" s="34"/>
      <c r="R370" s="34"/>
      <c r="S370" s="34"/>
      <c r="T370" s="34"/>
      <c r="U370" s="34"/>
      <c r="V370" s="34"/>
      <c r="W370" s="34"/>
      <c r="X370" s="34"/>
      <c r="Y370" s="34"/>
      <c r="Z370" s="34"/>
    </row>
    <row r="371" spans="1:26" ht="13">
      <c r="A371" s="34"/>
      <c r="B371" s="34"/>
      <c r="C371" s="34"/>
      <c r="D371" s="34"/>
      <c r="E371" s="34"/>
      <c r="F371" s="33"/>
      <c r="G371" s="34"/>
      <c r="H371" s="34"/>
      <c r="I371" s="33"/>
      <c r="J371" s="34"/>
      <c r="K371" s="34"/>
      <c r="L371" s="34"/>
      <c r="M371" s="34"/>
      <c r="N371" s="34"/>
      <c r="O371" s="34"/>
      <c r="P371" s="34"/>
      <c r="Q371" s="34"/>
      <c r="R371" s="34"/>
      <c r="S371" s="34"/>
      <c r="T371" s="34"/>
      <c r="U371" s="34"/>
      <c r="V371" s="34"/>
      <c r="W371" s="34"/>
      <c r="X371" s="34"/>
      <c r="Y371" s="34"/>
      <c r="Z371" s="34"/>
    </row>
    <row r="372" spans="1:26" ht="13">
      <c r="A372" s="34"/>
      <c r="B372" s="34"/>
      <c r="C372" s="34"/>
      <c r="D372" s="34"/>
      <c r="E372" s="34"/>
      <c r="F372" s="33"/>
      <c r="G372" s="34"/>
      <c r="H372" s="34"/>
      <c r="I372" s="33"/>
      <c r="J372" s="34"/>
      <c r="K372" s="34"/>
      <c r="L372" s="34"/>
      <c r="M372" s="34"/>
      <c r="N372" s="34"/>
      <c r="O372" s="34"/>
      <c r="P372" s="34"/>
      <c r="Q372" s="34"/>
      <c r="R372" s="34"/>
      <c r="S372" s="34"/>
      <c r="T372" s="34"/>
      <c r="U372" s="34"/>
      <c r="V372" s="34"/>
      <c r="W372" s="34"/>
      <c r="X372" s="34"/>
      <c r="Y372" s="34"/>
      <c r="Z372" s="34"/>
    </row>
    <row r="373" spans="1:26" ht="13">
      <c r="A373" s="34"/>
      <c r="B373" s="34"/>
      <c r="C373" s="34"/>
      <c r="D373" s="34"/>
      <c r="E373" s="34"/>
      <c r="F373" s="33"/>
      <c r="G373" s="34"/>
      <c r="H373" s="34"/>
      <c r="I373" s="33"/>
      <c r="J373" s="34"/>
      <c r="K373" s="34"/>
      <c r="L373" s="34"/>
      <c r="M373" s="34"/>
      <c r="N373" s="34"/>
      <c r="O373" s="34"/>
      <c r="P373" s="34"/>
      <c r="Q373" s="34"/>
      <c r="R373" s="34"/>
      <c r="S373" s="34"/>
      <c r="T373" s="34"/>
      <c r="U373" s="34"/>
      <c r="V373" s="34"/>
      <c r="W373" s="34"/>
      <c r="X373" s="34"/>
      <c r="Y373" s="34"/>
      <c r="Z373" s="34"/>
    </row>
    <row r="374" spans="1:26" ht="13">
      <c r="A374" s="34"/>
      <c r="B374" s="34"/>
      <c r="C374" s="34"/>
      <c r="D374" s="34"/>
      <c r="E374" s="34"/>
      <c r="F374" s="33"/>
      <c r="G374" s="34"/>
      <c r="H374" s="34"/>
      <c r="I374" s="33"/>
      <c r="J374" s="34"/>
      <c r="K374" s="34"/>
      <c r="L374" s="34"/>
      <c r="M374" s="34"/>
      <c r="N374" s="34"/>
      <c r="O374" s="34"/>
      <c r="P374" s="34"/>
      <c r="Q374" s="34"/>
      <c r="R374" s="34"/>
      <c r="S374" s="34"/>
      <c r="T374" s="34"/>
      <c r="U374" s="34"/>
      <c r="V374" s="34"/>
      <c r="W374" s="34"/>
      <c r="X374" s="34"/>
      <c r="Y374" s="34"/>
      <c r="Z374" s="34"/>
    </row>
    <row r="375" spans="1:26" ht="13">
      <c r="A375" s="34"/>
      <c r="B375" s="34"/>
      <c r="C375" s="34"/>
      <c r="D375" s="34"/>
      <c r="E375" s="34"/>
      <c r="F375" s="33"/>
      <c r="G375" s="34"/>
      <c r="H375" s="34"/>
      <c r="I375" s="33"/>
      <c r="J375" s="34"/>
      <c r="K375" s="34"/>
      <c r="L375" s="34"/>
      <c r="M375" s="34"/>
      <c r="N375" s="34"/>
      <c r="O375" s="34"/>
      <c r="P375" s="34"/>
      <c r="Q375" s="34"/>
      <c r="R375" s="34"/>
      <c r="S375" s="34"/>
      <c r="T375" s="34"/>
      <c r="U375" s="34"/>
      <c r="V375" s="34"/>
      <c r="W375" s="34"/>
      <c r="X375" s="34"/>
      <c r="Y375" s="34"/>
      <c r="Z375" s="34"/>
    </row>
    <row r="376" spans="1:26" ht="13">
      <c r="A376" s="34"/>
      <c r="B376" s="34"/>
      <c r="C376" s="34"/>
      <c r="D376" s="34"/>
      <c r="E376" s="34"/>
      <c r="F376" s="33"/>
      <c r="G376" s="34"/>
      <c r="H376" s="34"/>
      <c r="I376" s="33"/>
      <c r="J376" s="34"/>
      <c r="K376" s="34"/>
      <c r="L376" s="34"/>
      <c r="M376" s="34"/>
      <c r="N376" s="34"/>
      <c r="O376" s="34"/>
      <c r="P376" s="34"/>
      <c r="Q376" s="34"/>
      <c r="R376" s="34"/>
      <c r="S376" s="34"/>
      <c r="T376" s="34"/>
      <c r="U376" s="34"/>
      <c r="V376" s="34"/>
      <c r="W376" s="34"/>
      <c r="X376" s="34"/>
      <c r="Y376" s="34"/>
      <c r="Z376" s="34"/>
    </row>
    <row r="377" spans="1:26" ht="13">
      <c r="A377" s="34"/>
      <c r="B377" s="34"/>
      <c r="C377" s="34"/>
      <c r="D377" s="34"/>
      <c r="E377" s="34"/>
      <c r="F377" s="33"/>
      <c r="G377" s="34"/>
      <c r="H377" s="34"/>
      <c r="I377" s="33"/>
      <c r="J377" s="34"/>
      <c r="K377" s="34"/>
      <c r="L377" s="34"/>
      <c r="M377" s="34"/>
      <c r="N377" s="34"/>
      <c r="O377" s="34"/>
      <c r="P377" s="34"/>
      <c r="Q377" s="34"/>
      <c r="R377" s="34"/>
      <c r="S377" s="34"/>
      <c r="T377" s="34"/>
      <c r="U377" s="34"/>
      <c r="V377" s="34"/>
      <c r="W377" s="34"/>
      <c r="X377" s="34"/>
      <c r="Y377" s="34"/>
      <c r="Z377" s="34"/>
    </row>
    <row r="378" spans="1:26" ht="13">
      <c r="A378" s="34"/>
      <c r="B378" s="34"/>
      <c r="C378" s="34"/>
      <c r="D378" s="34"/>
      <c r="E378" s="34"/>
      <c r="F378" s="33"/>
      <c r="G378" s="34"/>
      <c r="H378" s="34"/>
      <c r="I378" s="33"/>
      <c r="J378" s="34"/>
      <c r="K378" s="34"/>
      <c r="L378" s="34"/>
      <c r="M378" s="34"/>
      <c r="N378" s="34"/>
      <c r="O378" s="34"/>
      <c r="P378" s="34"/>
      <c r="Q378" s="34"/>
      <c r="R378" s="34"/>
      <c r="S378" s="34"/>
      <c r="T378" s="34"/>
      <c r="U378" s="34"/>
      <c r="V378" s="34"/>
      <c r="W378" s="34"/>
      <c r="X378" s="34"/>
      <c r="Y378" s="34"/>
      <c r="Z378" s="34"/>
    </row>
    <row r="379" spans="1:26" ht="13">
      <c r="A379" s="34"/>
      <c r="B379" s="34"/>
      <c r="C379" s="34"/>
      <c r="D379" s="34"/>
      <c r="E379" s="34"/>
      <c r="F379" s="33"/>
      <c r="G379" s="34"/>
      <c r="H379" s="34"/>
      <c r="I379" s="33"/>
      <c r="J379" s="34"/>
      <c r="K379" s="34"/>
      <c r="L379" s="34"/>
      <c r="M379" s="34"/>
      <c r="N379" s="34"/>
      <c r="O379" s="34"/>
      <c r="P379" s="34"/>
      <c r="Q379" s="34"/>
      <c r="R379" s="34"/>
      <c r="S379" s="34"/>
      <c r="T379" s="34"/>
      <c r="U379" s="34"/>
      <c r="V379" s="34"/>
      <c r="W379" s="34"/>
      <c r="X379" s="34"/>
      <c r="Y379" s="34"/>
      <c r="Z379" s="34"/>
    </row>
    <row r="380" spans="1:26" ht="13">
      <c r="A380" s="34"/>
      <c r="B380" s="34"/>
      <c r="C380" s="34"/>
      <c r="D380" s="34"/>
      <c r="E380" s="34"/>
      <c r="F380" s="33"/>
      <c r="G380" s="34"/>
      <c r="H380" s="34"/>
      <c r="I380" s="33"/>
      <c r="J380" s="34"/>
      <c r="K380" s="34"/>
      <c r="L380" s="34"/>
      <c r="M380" s="34"/>
      <c r="N380" s="34"/>
      <c r="O380" s="34"/>
      <c r="P380" s="34"/>
      <c r="Q380" s="34"/>
      <c r="R380" s="34"/>
      <c r="S380" s="34"/>
      <c r="T380" s="34"/>
      <c r="U380" s="34"/>
      <c r="V380" s="34"/>
      <c r="W380" s="34"/>
      <c r="X380" s="34"/>
      <c r="Y380" s="34"/>
      <c r="Z380" s="34"/>
    </row>
    <row r="381" spans="1:26" ht="13">
      <c r="A381" s="34"/>
      <c r="B381" s="34"/>
      <c r="C381" s="34"/>
      <c r="D381" s="34"/>
      <c r="E381" s="34"/>
      <c r="F381" s="33"/>
      <c r="G381" s="34"/>
      <c r="H381" s="34"/>
      <c r="I381" s="33"/>
      <c r="J381" s="34"/>
      <c r="K381" s="34"/>
      <c r="L381" s="34"/>
      <c r="M381" s="34"/>
      <c r="N381" s="34"/>
      <c r="O381" s="34"/>
      <c r="P381" s="34"/>
      <c r="Q381" s="34"/>
      <c r="R381" s="34"/>
      <c r="S381" s="34"/>
      <c r="T381" s="34"/>
      <c r="U381" s="34"/>
      <c r="V381" s="34"/>
      <c r="W381" s="34"/>
      <c r="X381" s="34"/>
      <c r="Y381" s="34"/>
      <c r="Z381" s="34"/>
    </row>
    <row r="382" spans="1:26" ht="13">
      <c r="A382" s="34"/>
      <c r="B382" s="34"/>
      <c r="C382" s="34"/>
      <c r="D382" s="34"/>
      <c r="E382" s="34"/>
      <c r="F382" s="33"/>
      <c r="G382" s="34"/>
      <c r="H382" s="34"/>
      <c r="I382" s="33"/>
      <c r="J382" s="34"/>
      <c r="K382" s="34"/>
      <c r="L382" s="34"/>
      <c r="M382" s="34"/>
      <c r="N382" s="34"/>
      <c r="O382" s="34"/>
      <c r="P382" s="34"/>
      <c r="Q382" s="34"/>
      <c r="R382" s="34"/>
      <c r="S382" s="34"/>
      <c r="T382" s="34"/>
      <c r="U382" s="34"/>
      <c r="V382" s="34"/>
      <c r="W382" s="34"/>
      <c r="X382" s="34"/>
      <c r="Y382" s="34"/>
      <c r="Z382" s="34"/>
    </row>
    <row r="383" spans="1:26" ht="13">
      <c r="A383" s="34"/>
      <c r="B383" s="34"/>
      <c r="C383" s="34"/>
      <c r="D383" s="34"/>
      <c r="E383" s="34"/>
      <c r="F383" s="33"/>
      <c r="G383" s="34"/>
      <c r="H383" s="34"/>
      <c r="I383" s="33"/>
      <c r="J383" s="34"/>
      <c r="K383" s="34"/>
      <c r="L383" s="34"/>
      <c r="M383" s="34"/>
      <c r="N383" s="34"/>
      <c r="O383" s="34"/>
      <c r="P383" s="34"/>
      <c r="Q383" s="34"/>
      <c r="R383" s="34"/>
      <c r="S383" s="34"/>
      <c r="T383" s="34"/>
      <c r="U383" s="34"/>
      <c r="V383" s="34"/>
      <c r="W383" s="34"/>
      <c r="X383" s="34"/>
      <c r="Y383" s="34"/>
      <c r="Z383" s="34"/>
    </row>
    <row r="384" spans="1:26" ht="13">
      <c r="A384" s="34"/>
      <c r="B384" s="34"/>
      <c r="C384" s="34"/>
      <c r="D384" s="34"/>
      <c r="E384" s="34"/>
      <c r="F384" s="33"/>
      <c r="G384" s="34"/>
      <c r="H384" s="34"/>
      <c r="I384" s="33"/>
      <c r="J384" s="34"/>
      <c r="K384" s="34"/>
      <c r="L384" s="34"/>
      <c r="M384" s="34"/>
      <c r="N384" s="34"/>
      <c r="O384" s="34"/>
      <c r="P384" s="34"/>
      <c r="Q384" s="34"/>
      <c r="R384" s="34"/>
      <c r="S384" s="34"/>
      <c r="T384" s="34"/>
      <c r="U384" s="34"/>
      <c r="V384" s="34"/>
      <c r="W384" s="34"/>
      <c r="X384" s="34"/>
      <c r="Y384" s="34"/>
      <c r="Z384" s="34"/>
    </row>
    <row r="385" spans="1:26" ht="13">
      <c r="A385" s="34"/>
      <c r="B385" s="34"/>
      <c r="C385" s="34"/>
      <c r="D385" s="34"/>
      <c r="E385" s="34"/>
      <c r="F385" s="33"/>
      <c r="G385" s="34"/>
      <c r="H385" s="34"/>
      <c r="I385" s="33"/>
      <c r="J385" s="34"/>
      <c r="K385" s="34"/>
      <c r="L385" s="34"/>
      <c r="M385" s="34"/>
      <c r="N385" s="34"/>
      <c r="O385" s="34"/>
      <c r="P385" s="34"/>
      <c r="Q385" s="34"/>
      <c r="R385" s="34"/>
      <c r="S385" s="34"/>
      <c r="T385" s="34"/>
      <c r="U385" s="34"/>
      <c r="V385" s="34"/>
      <c r="W385" s="34"/>
      <c r="X385" s="34"/>
      <c r="Y385" s="34"/>
      <c r="Z385" s="34"/>
    </row>
    <row r="386" spans="1:26" ht="13">
      <c r="A386" s="34"/>
      <c r="B386" s="34"/>
      <c r="C386" s="34"/>
      <c r="D386" s="34"/>
      <c r="E386" s="34"/>
      <c r="F386" s="33"/>
      <c r="G386" s="34"/>
      <c r="H386" s="34"/>
      <c r="I386" s="33"/>
      <c r="J386" s="34"/>
      <c r="K386" s="34"/>
      <c r="L386" s="34"/>
      <c r="M386" s="34"/>
      <c r="N386" s="34"/>
      <c r="O386" s="34"/>
      <c r="P386" s="34"/>
      <c r="Q386" s="34"/>
      <c r="R386" s="34"/>
      <c r="S386" s="34"/>
      <c r="T386" s="34"/>
      <c r="U386" s="34"/>
      <c r="V386" s="34"/>
      <c r="W386" s="34"/>
      <c r="X386" s="34"/>
      <c r="Y386" s="34"/>
      <c r="Z386" s="34"/>
    </row>
    <row r="387" spans="1:26" ht="13">
      <c r="A387" s="34"/>
      <c r="B387" s="34"/>
      <c r="C387" s="34"/>
      <c r="D387" s="34"/>
      <c r="E387" s="34"/>
      <c r="F387" s="33"/>
      <c r="G387" s="34"/>
      <c r="H387" s="34"/>
      <c r="I387" s="33"/>
      <c r="J387" s="34"/>
      <c r="K387" s="34"/>
      <c r="L387" s="34"/>
      <c r="M387" s="34"/>
      <c r="N387" s="34"/>
      <c r="O387" s="34"/>
      <c r="P387" s="34"/>
      <c r="Q387" s="34"/>
      <c r="R387" s="34"/>
      <c r="S387" s="34"/>
      <c r="T387" s="34"/>
      <c r="U387" s="34"/>
      <c r="V387" s="34"/>
      <c r="W387" s="34"/>
      <c r="X387" s="34"/>
      <c r="Y387" s="34"/>
      <c r="Z387" s="34"/>
    </row>
    <row r="388" spans="1:26" ht="13">
      <c r="A388" s="34"/>
      <c r="B388" s="34"/>
      <c r="C388" s="34"/>
      <c r="D388" s="34"/>
      <c r="E388" s="34"/>
      <c r="F388" s="33"/>
      <c r="G388" s="34"/>
      <c r="H388" s="34"/>
      <c r="I388" s="33"/>
      <c r="J388" s="34"/>
      <c r="K388" s="34"/>
      <c r="L388" s="34"/>
      <c r="M388" s="34"/>
      <c r="N388" s="34"/>
      <c r="O388" s="34"/>
      <c r="P388" s="34"/>
      <c r="Q388" s="34"/>
      <c r="R388" s="34"/>
      <c r="S388" s="34"/>
      <c r="T388" s="34"/>
      <c r="U388" s="34"/>
      <c r="V388" s="34"/>
      <c r="W388" s="34"/>
      <c r="X388" s="34"/>
      <c r="Y388" s="34"/>
      <c r="Z388" s="34"/>
    </row>
    <row r="389" spans="1:26" ht="13">
      <c r="A389" s="34"/>
      <c r="B389" s="34"/>
      <c r="C389" s="34"/>
      <c r="D389" s="34"/>
      <c r="E389" s="34"/>
      <c r="F389" s="33"/>
      <c r="G389" s="34"/>
      <c r="H389" s="34"/>
      <c r="I389" s="33"/>
      <c r="J389" s="34"/>
      <c r="K389" s="34"/>
      <c r="L389" s="34"/>
      <c r="M389" s="34"/>
      <c r="N389" s="34"/>
      <c r="O389" s="34"/>
      <c r="P389" s="34"/>
      <c r="Q389" s="34"/>
      <c r="R389" s="34"/>
      <c r="S389" s="34"/>
      <c r="T389" s="34"/>
      <c r="U389" s="34"/>
      <c r="V389" s="34"/>
      <c r="W389" s="34"/>
      <c r="X389" s="34"/>
      <c r="Y389" s="34"/>
      <c r="Z389" s="34"/>
    </row>
    <row r="390" spans="1:26" ht="13">
      <c r="A390" s="34"/>
      <c r="B390" s="34"/>
      <c r="C390" s="34"/>
      <c r="D390" s="34"/>
      <c r="E390" s="34"/>
      <c r="F390" s="33"/>
      <c r="G390" s="34"/>
      <c r="H390" s="34"/>
      <c r="I390" s="33"/>
      <c r="J390" s="34"/>
      <c r="K390" s="34"/>
      <c r="L390" s="34"/>
      <c r="M390" s="34"/>
      <c r="N390" s="34"/>
      <c r="O390" s="34"/>
      <c r="P390" s="34"/>
      <c r="Q390" s="34"/>
      <c r="R390" s="34"/>
      <c r="S390" s="34"/>
      <c r="T390" s="34"/>
      <c r="U390" s="34"/>
      <c r="V390" s="34"/>
      <c r="W390" s="34"/>
      <c r="X390" s="34"/>
      <c r="Y390" s="34"/>
      <c r="Z390" s="34"/>
    </row>
    <row r="391" spans="1:26" ht="13">
      <c r="A391" s="34"/>
      <c r="B391" s="34"/>
      <c r="C391" s="34"/>
      <c r="D391" s="34"/>
      <c r="E391" s="34"/>
      <c r="F391" s="33"/>
      <c r="G391" s="34"/>
      <c r="H391" s="34"/>
      <c r="I391" s="33"/>
      <c r="J391" s="34"/>
      <c r="K391" s="34"/>
      <c r="L391" s="34"/>
      <c r="M391" s="34"/>
      <c r="N391" s="34"/>
      <c r="O391" s="34"/>
      <c r="P391" s="34"/>
      <c r="Q391" s="34"/>
      <c r="R391" s="34"/>
      <c r="S391" s="34"/>
      <c r="T391" s="34"/>
      <c r="U391" s="34"/>
      <c r="V391" s="34"/>
      <c r="W391" s="34"/>
      <c r="X391" s="34"/>
      <c r="Y391" s="34"/>
      <c r="Z391" s="34"/>
    </row>
    <row r="392" spans="1:26" ht="13">
      <c r="A392" s="34"/>
      <c r="B392" s="34"/>
      <c r="C392" s="34"/>
      <c r="D392" s="34"/>
      <c r="E392" s="34"/>
      <c r="F392" s="33"/>
      <c r="G392" s="34"/>
      <c r="H392" s="34"/>
      <c r="I392" s="33"/>
      <c r="J392" s="34"/>
      <c r="K392" s="34"/>
      <c r="L392" s="34"/>
      <c r="M392" s="34"/>
      <c r="N392" s="34"/>
      <c r="O392" s="34"/>
      <c r="P392" s="34"/>
      <c r="Q392" s="34"/>
      <c r="R392" s="34"/>
      <c r="S392" s="34"/>
      <c r="T392" s="34"/>
      <c r="U392" s="34"/>
      <c r="V392" s="34"/>
      <c r="W392" s="34"/>
      <c r="X392" s="34"/>
      <c r="Y392" s="34"/>
      <c r="Z392" s="34"/>
    </row>
    <row r="393" spans="1:26" ht="13">
      <c r="A393" s="34"/>
      <c r="B393" s="34"/>
      <c r="C393" s="34"/>
      <c r="D393" s="34"/>
      <c r="E393" s="34"/>
      <c r="F393" s="33"/>
      <c r="G393" s="34"/>
      <c r="H393" s="34"/>
      <c r="I393" s="33"/>
      <c r="J393" s="34"/>
      <c r="K393" s="34"/>
      <c r="L393" s="34"/>
      <c r="M393" s="34"/>
      <c r="N393" s="34"/>
      <c r="O393" s="34"/>
      <c r="P393" s="34"/>
      <c r="Q393" s="34"/>
      <c r="R393" s="34"/>
      <c r="S393" s="34"/>
      <c r="T393" s="34"/>
      <c r="U393" s="34"/>
      <c r="V393" s="34"/>
      <c r="W393" s="34"/>
      <c r="X393" s="34"/>
      <c r="Y393" s="34"/>
      <c r="Z393" s="34"/>
    </row>
    <row r="394" spans="1:26" ht="13">
      <c r="A394" s="34"/>
      <c r="B394" s="34"/>
      <c r="C394" s="34"/>
      <c r="D394" s="34"/>
      <c r="E394" s="34"/>
      <c r="F394" s="33"/>
      <c r="G394" s="34"/>
      <c r="H394" s="34"/>
      <c r="I394" s="33"/>
      <c r="J394" s="34"/>
      <c r="K394" s="34"/>
      <c r="L394" s="34"/>
      <c r="M394" s="34"/>
      <c r="N394" s="34"/>
      <c r="O394" s="34"/>
      <c r="P394" s="34"/>
      <c r="Q394" s="34"/>
      <c r="R394" s="34"/>
      <c r="S394" s="34"/>
      <c r="T394" s="34"/>
      <c r="U394" s="34"/>
      <c r="V394" s="34"/>
      <c r="W394" s="34"/>
      <c r="X394" s="34"/>
      <c r="Y394" s="34"/>
      <c r="Z394" s="34"/>
    </row>
    <row r="395" spans="1:26" ht="13">
      <c r="A395" s="34"/>
      <c r="B395" s="34"/>
      <c r="C395" s="34"/>
      <c r="D395" s="34"/>
      <c r="E395" s="34"/>
      <c r="F395" s="33"/>
      <c r="G395" s="34"/>
      <c r="H395" s="34"/>
      <c r="I395" s="33"/>
      <c r="J395" s="34"/>
      <c r="K395" s="34"/>
      <c r="L395" s="34"/>
      <c r="M395" s="34"/>
      <c r="N395" s="34"/>
      <c r="O395" s="34"/>
      <c r="P395" s="34"/>
      <c r="Q395" s="34"/>
      <c r="R395" s="34"/>
      <c r="S395" s="34"/>
      <c r="T395" s="34"/>
      <c r="U395" s="34"/>
      <c r="V395" s="34"/>
      <c r="W395" s="34"/>
      <c r="X395" s="34"/>
      <c r="Y395" s="34"/>
      <c r="Z395" s="34"/>
    </row>
    <row r="396" spans="1:26" ht="13">
      <c r="A396" s="34"/>
      <c r="B396" s="34"/>
      <c r="C396" s="34"/>
      <c r="D396" s="34"/>
      <c r="E396" s="34"/>
      <c r="F396" s="33"/>
      <c r="G396" s="34"/>
      <c r="H396" s="34"/>
      <c r="I396" s="33"/>
      <c r="J396" s="34"/>
      <c r="K396" s="34"/>
      <c r="L396" s="34"/>
      <c r="M396" s="34"/>
      <c r="N396" s="34"/>
      <c r="O396" s="34"/>
      <c r="P396" s="34"/>
      <c r="Q396" s="34"/>
      <c r="R396" s="34"/>
      <c r="S396" s="34"/>
      <c r="T396" s="34"/>
      <c r="U396" s="34"/>
      <c r="V396" s="34"/>
      <c r="W396" s="34"/>
      <c r="X396" s="34"/>
      <c r="Y396" s="34"/>
      <c r="Z396" s="34"/>
    </row>
    <row r="397" spans="1:26" ht="13">
      <c r="A397" s="34"/>
      <c r="B397" s="34"/>
      <c r="C397" s="34"/>
      <c r="D397" s="34"/>
      <c r="E397" s="34"/>
      <c r="F397" s="33"/>
      <c r="G397" s="34"/>
      <c r="H397" s="34"/>
      <c r="I397" s="33"/>
      <c r="J397" s="34"/>
      <c r="K397" s="34"/>
      <c r="L397" s="34"/>
      <c r="M397" s="34"/>
      <c r="N397" s="34"/>
      <c r="O397" s="34"/>
      <c r="P397" s="34"/>
      <c r="Q397" s="34"/>
      <c r="R397" s="34"/>
      <c r="S397" s="34"/>
      <c r="T397" s="34"/>
      <c r="U397" s="34"/>
      <c r="V397" s="34"/>
      <c r="W397" s="34"/>
      <c r="X397" s="34"/>
      <c r="Y397" s="34"/>
      <c r="Z397" s="34"/>
    </row>
    <row r="398" spans="1:26" ht="13">
      <c r="A398" s="34"/>
      <c r="B398" s="34"/>
      <c r="C398" s="34"/>
      <c r="D398" s="34"/>
      <c r="E398" s="34"/>
      <c r="F398" s="33"/>
      <c r="G398" s="34"/>
      <c r="H398" s="34"/>
      <c r="I398" s="33"/>
      <c r="J398" s="34"/>
      <c r="K398" s="34"/>
      <c r="L398" s="34"/>
      <c r="M398" s="34"/>
      <c r="N398" s="34"/>
      <c r="O398" s="34"/>
      <c r="P398" s="34"/>
      <c r="Q398" s="34"/>
      <c r="R398" s="34"/>
      <c r="S398" s="34"/>
      <c r="T398" s="34"/>
      <c r="U398" s="34"/>
      <c r="V398" s="34"/>
      <c r="W398" s="34"/>
      <c r="X398" s="34"/>
      <c r="Y398" s="34"/>
      <c r="Z398" s="34"/>
    </row>
    <row r="399" spans="1:26" ht="13">
      <c r="A399" s="34"/>
      <c r="B399" s="34"/>
      <c r="C399" s="34"/>
      <c r="D399" s="34"/>
      <c r="E399" s="34"/>
      <c r="F399" s="33"/>
      <c r="G399" s="34"/>
      <c r="H399" s="34"/>
      <c r="I399" s="33"/>
      <c r="J399" s="34"/>
      <c r="K399" s="34"/>
      <c r="L399" s="34"/>
      <c r="M399" s="34"/>
      <c r="N399" s="34"/>
      <c r="O399" s="34"/>
      <c r="P399" s="34"/>
      <c r="Q399" s="34"/>
      <c r="R399" s="34"/>
      <c r="S399" s="34"/>
      <c r="T399" s="34"/>
      <c r="U399" s="34"/>
      <c r="V399" s="34"/>
      <c r="W399" s="34"/>
      <c r="X399" s="34"/>
      <c r="Y399" s="34"/>
      <c r="Z399" s="34"/>
    </row>
    <row r="400" spans="1:26" ht="13">
      <c r="A400" s="34"/>
      <c r="B400" s="34"/>
      <c r="C400" s="34"/>
      <c r="D400" s="34"/>
      <c r="E400" s="34"/>
      <c r="F400" s="33"/>
      <c r="G400" s="34"/>
      <c r="H400" s="34"/>
      <c r="I400" s="33"/>
      <c r="J400" s="34"/>
      <c r="K400" s="34"/>
      <c r="L400" s="34"/>
      <c r="M400" s="34"/>
      <c r="N400" s="34"/>
      <c r="O400" s="34"/>
      <c r="P400" s="34"/>
      <c r="Q400" s="34"/>
      <c r="R400" s="34"/>
      <c r="S400" s="34"/>
      <c r="T400" s="34"/>
      <c r="U400" s="34"/>
      <c r="V400" s="34"/>
      <c r="W400" s="34"/>
      <c r="X400" s="34"/>
      <c r="Y400" s="34"/>
      <c r="Z400" s="34"/>
    </row>
    <row r="401" spans="1:26" ht="13">
      <c r="A401" s="34"/>
      <c r="B401" s="34"/>
      <c r="C401" s="34"/>
      <c r="D401" s="34"/>
      <c r="E401" s="34"/>
      <c r="F401" s="33"/>
      <c r="G401" s="34"/>
      <c r="H401" s="34"/>
      <c r="I401" s="33"/>
      <c r="J401" s="34"/>
      <c r="K401" s="34"/>
      <c r="L401" s="34"/>
      <c r="M401" s="34"/>
      <c r="N401" s="34"/>
      <c r="O401" s="34"/>
      <c r="P401" s="34"/>
      <c r="Q401" s="34"/>
      <c r="R401" s="34"/>
      <c r="S401" s="34"/>
      <c r="T401" s="34"/>
      <c r="U401" s="34"/>
      <c r="V401" s="34"/>
      <c r="W401" s="34"/>
      <c r="X401" s="34"/>
      <c r="Y401" s="34"/>
      <c r="Z401" s="34"/>
    </row>
    <row r="402" spans="1:26" ht="13">
      <c r="A402" s="34"/>
      <c r="B402" s="34"/>
      <c r="C402" s="34"/>
      <c r="D402" s="34"/>
      <c r="E402" s="34"/>
      <c r="F402" s="33"/>
      <c r="G402" s="34"/>
      <c r="H402" s="34"/>
      <c r="I402" s="33"/>
      <c r="J402" s="34"/>
      <c r="K402" s="34"/>
      <c r="L402" s="34"/>
      <c r="M402" s="34"/>
      <c r="N402" s="34"/>
      <c r="O402" s="34"/>
      <c r="P402" s="34"/>
      <c r="Q402" s="34"/>
      <c r="R402" s="34"/>
      <c r="S402" s="34"/>
      <c r="T402" s="34"/>
      <c r="U402" s="34"/>
      <c r="V402" s="34"/>
      <c r="W402" s="34"/>
      <c r="X402" s="34"/>
      <c r="Y402" s="34"/>
      <c r="Z402" s="34"/>
    </row>
    <row r="403" spans="1:26" ht="13">
      <c r="A403" s="34"/>
      <c r="B403" s="34"/>
      <c r="C403" s="34"/>
      <c r="D403" s="34"/>
      <c r="E403" s="34"/>
      <c r="F403" s="33"/>
      <c r="G403" s="34"/>
      <c r="H403" s="34"/>
      <c r="I403" s="33"/>
      <c r="J403" s="34"/>
      <c r="K403" s="34"/>
      <c r="L403" s="34"/>
      <c r="M403" s="34"/>
      <c r="N403" s="34"/>
      <c r="O403" s="34"/>
      <c r="P403" s="34"/>
      <c r="Q403" s="34"/>
      <c r="R403" s="34"/>
      <c r="S403" s="34"/>
      <c r="T403" s="34"/>
      <c r="U403" s="34"/>
      <c r="V403" s="34"/>
      <c r="W403" s="34"/>
      <c r="X403" s="34"/>
      <c r="Y403" s="34"/>
      <c r="Z403" s="34"/>
    </row>
    <row r="404" spans="1:26" ht="13">
      <c r="A404" s="34"/>
      <c r="B404" s="34"/>
      <c r="C404" s="34"/>
      <c r="D404" s="34"/>
      <c r="E404" s="34"/>
      <c r="F404" s="33"/>
      <c r="G404" s="34"/>
      <c r="H404" s="34"/>
      <c r="I404" s="33"/>
      <c r="J404" s="34"/>
      <c r="K404" s="34"/>
      <c r="L404" s="34"/>
      <c r="M404" s="34"/>
      <c r="N404" s="34"/>
      <c r="O404" s="34"/>
      <c r="P404" s="34"/>
      <c r="Q404" s="34"/>
      <c r="R404" s="34"/>
      <c r="S404" s="34"/>
      <c r="T404" s="34"/>
      <c r="U404" s="34"/>
      <c r="V404" s="34"/>
      <c r="W404" s="34"/>
      <c r="X404" s="34"/>
      <c r="Y404" s="34"/>
      <c r="Z404" s="34"/>
    </row>
    <row r="405" spans="1:26" ht="13">
      <c r="A405" s="34"/>
      <c r="B405" s="34"/>
      <c r="C405" s="34"/>
      <c r="D405" s="34"/>
      <c r="E405" s="34"/>
      <c r="F405" s="33"/>
      <c r="G405" s="34"/>
      <c r="H405" s="34"/>
      <c r="I405" s="33"/>
      <c r="J405" s="34"/>
      <c r="K405" s="34"/>
      <c r="L405" s="34"/>
      <c r="M405" s="34"/>
      <c r="N405" s="34"/>
      <c r="O405" s="34"/>
      <c r="P405" s="34"/>
      <c r="Q405" s="34"/>
      <c r="R405" s="34"/>
      <c r="S405" s="34"/>
      <c r="T405" s="34"/>
      <c r="U405" s="34"/>
      <c r="V405" s="34"/>
      <c r="W405" s="34"/>
      <c r="X405" s="34"/>
      <c r="Y405" s="34"/>
      <c r="Z405" s="34"/>
    </row>
    <row r="406" spans="1:26" ht="13">
      <c r="A406" s="34"/>
      <c r="B406" s="34"/>
      <c r="C406" s="34"/>
      <c r="D406" s="34"/>
      <c r="E406" s="34"/>
      <c r="F406" s="33"/>
      <c r="G406" s="34"/>
      <c r="H406" s="34"/>
      <c r="I406" s="33"/>
      <c r="J406" s="34"/>
      <c r="K406" s="34"/>
      <c r="L406" s="34"/>
      <c r="M406" s="34"/>
      <c r="N406" s="34"/>
      <c r="O406" s="34"/>
      <c r="P406" s="34"/>
      <c r="Q406" s="34"/>
      <c r="R406" s="34"/>
      <c r="S406" s="34"/>
      <c r="T406" s="34"/>
      <c r="U406" s="34"/>
      <c r="V406" s="34"/>
      <c r="W406" s="34"/>
      <c r="X406" s="34"/>
      <c r="Y406" s="34"/>
      <c r="Z406" s="34"/>
    </row>
    <row r="407" spans="1:26" ht="13">
      <c r="A407" s="34"/>
      <c r="B407" s="34"/>
      <c r="C407" s="34"/>
      <c r="D407" s="34"/>
      <c r="E407" s="34"/>
      <c r="F407" s="33"/>
      <c r="G407" s="34"/>
      <c r="H407" s="34"/>
      <c r="I407" s="33"/>
      <c r="J407" s="34"/>
      <c r="K407" s="34"/>
      <c r="L407" s="34"/>
      <c r="M407" s="34"/>
      <c r="N407" s="34"/>
      <c r="O407" s="34"/>
      <c r="P407" s="34"/>
      <c r="Q407" s="34"/>
      <c r="R407" s="34"/>
      <c r="S407" s="34"/>
      <c r="T407" s="34"/>
      <c r="U407" s="34"/>
      <c r="V407" s="34"/>
      <c r="W407" s="34"/>
      <c r="X407" s="34"/>
      <c r="Y407" s="34"/>
      <c r="Z407" s="34"/>
    </row>
    <row r="408" spans="1:26" ht="13">
      <c r="A408" s="34"/>
      <c r="B408" s="34"/>
      <c r="C408" s="34"/>
      <c r="D408" s="34"/>
      <c r="E408" s="34"/>
      <c r="F408" s="33"/>
      <c r="G408" s="34"/>
      <c r="H408" s="34"/>
      <c r="I408" s="33"/>
      <c r="J408" s="34"/>
      <c r="K408" s="34"/>
      <c r="L408" s="34"/>
      <c r="M408" s="34"/>
      <c r="N408" s="34"/>
      <c r="O408" s="34"/>
      <c r="P408" s="34"/>
      <c r="Q408" s="34"/>
      <c r="R408" s="34"/>
      <c r="S408" s="34"/>
      <c r="T408" s="34"/>
      <c r="U408" s="34"/>
      <c r="V408" s="34"/>
      <c r="W408" s="34"/>
      <c r="X408" s="34"/>
      <c r="Y408" s="34"/>
      <c r="Z408" s="34"/>
    </row>
    <row r="409" spans="1:26" ht="13">
      <c r="A409" s="34"/>
      <c r="B409" s="34"/>
      <c r="C409" s="34"/>
      <c r="D409" s="34"/>
      <c r="E409" s="34"/>
      <c r="F409" s="33"/>
      <c r="G409" s="34"/>
      <c r="H409" s="34"/>
      <c r="I409" s="33"/>
      <c r="J409" s="34"/>
      <c r="K409" s="34"/>
      <c r="L409" s="34"/>
      <c r="M409" s="34"/>
      <c r="N409" s="34"/>
      <c r="O409" s="34"/>
      <c r="P409" s="34"/>
      <c r="Q409" s="34"/>
      <c r="R409" s="34"/>
      <c r="S409" s="34"/>
      <c r="T409" s="34"/>
      <c r="U409" s="34"/>
      <c r="V409" s="34"/>
      <c r="W409" s="34"/>
      <c r="X409" s="34"/>
      <c r="Y409" s="34"/>
      <c r="Z409" s="34"/>
    </row>
    <row r="410" spans="1:26" ht="13">
      <c r="A410" s="34"/>
      <c r="B410" s="34"/>
      <c r="C410" s="34"/>
      <c r="D410" s="34"/>
      <c r="E410" s="34"/>
      <c r="F410" s="33"/>
      <c r="G410" s="34"/>
      <c r="H410" s="34"/>
      <c r="I410" s="33"/>
      <c r="J410" s="34"/>
      <c r="K410" s="34"/>
      <c r="L410" s="34"/>
      <c r="M410" s="34"/>
      <c r="N410" s="34"/>
      <c r="O410" s="34"/>
      <c r="P410" s="34"/>
      <c r="Q410" s="34"/>
      <c r="R410" s="34"/>
      <c r="S410" s="34"/>
      <c r="T410" s="34"/>
      <c r="U410" s="34"/>
      <c r="V410" s="34"/>
      <c r="W410" s="34"/>
      <c r="X410" s="34"/>
      <c r="Y410" s="34"/>
      <c r="Z410" s="34"/>
    </row>
    <row r="411" spans="1:26" ht="13">
      <c r="A411" s="34"/>
      <c r="B411" s="34"/>
      <c r="C411" s="34"/>
      <c r="D411" s="34"/>
      <c r="E411" s="34"/>
      <c r="F411" s="33"/>
      <c r="G411" s="34"/>
      <c r="H411" s="34"/>
      <c r="I411" s="33"/>
      <c r="J411" s="34"/>
      <c r="K411" s="34"/>
      <c r="L411" s="34"/>
      <c r="M411" s="34"/>
      <c r="N411" s="34"/>
      <c r="O411" s="34"/>
      <c r="P411" s="34"/>
      <c r="Q411" s="34"/>
      <c r="R411" s="34"/>
      <c r="S411" s="34"/>
      <c r="T411" s="34"/>
      <c r="U411" s="34"/>
      <c r="V411" s="34"/>
      <c r="W411" s="34"/>
      <c r="X411" s="34"/>
      <c r="Y411" s="34"/>
      <c r="Z411" s="34"/>
    </row>
    <row r="412" spans="1:26" ht="13">
      <c r="A412" s="34"/>
      <c r="B412" s="34"/>
      <c r="C412" s="34"/>
      <c r="D412" s="34"/>
      <c r="E412" s="34"/>
      <c r="F412" s="33"/>
      <c r="G412" s="34"/>
      <c r="H412" s="34"/>
      <c r="I412" s="33"/>
      <c r="J412" s="34"/>
      <c r="K412" s="34"/>
      <c r="L412" s="34"/>
      <c r="M412" s="34"/>
      <c r="N412" s="34"/>
      <c r="O412" s="34"/>
      <c r="P412" s="34"/>
      <c r="Q412" s="34"/>
      <c r="R412" s="34"/>
      <c r="S412" s="34"/>
      <c r="T412" s="34"/>
      <c r="U412" s="34"/>
      <c r="V412" s="34"/>
      <c r="W412" s="34"/>
      <c r="X412" s="34"/>
      <c r="Y412" s="34"/>
      <c r="Z412" s="34"/>
    </row>
    <row r="413" spans="1:26" ht="13">
      <c r="A413" s="34"/>
      <c r="B413" s="34"/>
      <c r="C413" s="34"/>
      <c r="D413" s="34"/>
      <c r="E413" s="34"/>
      <c r="F413" s="33"/>
      <c r="G413" s="34"/>
      <c r="H413" s="34"/>
      <c r="I413" s="33"/>
      <c r="J413" s="34"/>
      <c r="K413" s="34"/>
      <c r="L413" s="34"/>
      <c r="M413" s="34"/>
      <c r="N413" s="34"/>
      <c r="O413" s="34"/>
      <c r="P413" s="34"/>
      <c r="Q413" s="34"/>
      <c r="R413" s="34"/>
      <c r="S413" s="34"/>
      <c r="T413" s="34"/>
      <c r="U413" s="34"/>
      <c r="V413" s="34"/>
      <c r="W413" s="34"/>
      <c r="X413" s="34"/>
      <c r="Y413" s="34"/>
      <c r="Z413" s="34"/>
    </row>
    <row r="414" spans="1:26" ht="13">
      <c r="A414" s="34"/>
      <c r="B414" s="34"/>
      <c r="C414" s="34"/>
      <c r="D414" s="34"/>
      <c r="E414" s="34"/>
      <c r="F414" s="33"/>
      <c r="G414" s="34"/>
      <c r="H414" s="34"/>
      <c r="I414" s="33"/>
      <c r="J414" s="34"/>
      <c r="K414" s="34"/>
      <c r="L414" s="34"/>
      <c r="M414" s="34"/>
      <c r="N414" s="34"/>
      <c r="O414" s="34"/>
      <c r="P414" s="34"/>
      <c r="Q414" s="34"/>
      <c r="R414" s="34"/>
      <c r="S414" s="34"/>
      <c r="T414" s="34"/>
      <c r="U414" s="34"/>
      <c r="V414" s="34"/>
      <c r="W414" s="34"/>
      <c r="X414" s="34"/>
      <c r="Y414" s="34"/>
      <c r="Z414" s="34"/>
    </row>
    <row r="415" spans="1:26" ht="13">
      <c r="A415" s="34"/>
      <c r="B415" s="34"/>
      <c r="C415" s="34"/>
      <c r="D415" s="34"/>
      <c r="E415" s="34"/>
      <c r="F415" s="33"/>
      <c r="G415" s="34"/>
      <c r="H415" s="34"/>
      <c r="I415" s="33"/>
      <c r="J415" s="34"/>
      <c r="K415" s="34"/>
      <c r="L415" s="34"/>
      <c r="M415" s="34"/>
      <c r="N415" s="34"/>
      <c r="O415" s="34"/>
      <c r="P415" s="34"/>
      <c r="Q415" s="34"/>
      <c r="R415" s="34"/>
      <c r="S415" s="34"/>
      <c r="T415" s="34"/>
      <c r="U415" s="34"/>
      <c r="V415" s="34"/>
      <c r="W415" s="34"/>
      <c r="X415" s="34"/>
      <c r="Y415" s="34"/>
      <c r="Z415" s="34"/>
    </row>
    <row r="416" spans="1:26" ht="13">
      <c r="A416" s="34"/>
      <c r="B416" s="34"/>
      <c r="C416" s="34"/>
      <c r="D416" s="34"/>
      <c r="E416" s="34"/>
      <c r="F416" s="33"/>
      <c r="G416" s="34"/>
      <c r="H416" s="34"/>
      <c r="I416" s="33"/>
      <c r="J416" s="34"/>
      <c r="K416" s="34"/>
      <c r="L416" s="34"/>
      <c r="M416" s="34"/>
      <c r="N416" s="34"/>
      <c r="O416" s="34"/>
      <c r="P416" s="34"/>
      <c r="Q416" s="34"/>
      <c r="R416" s="34"/>
      <c r="S416" s="34"/>
      <c r="T416" s="34"/>
      <c r="U416" s="34"/>
      <c r="V416" s="34"/>
      <c r="W416" s="34"/>
      <c r="X416" s="34"/>
      <c r="Y416" s="34"/>
      <c r="Z416" s="34"/>
    </row>
    <row r="417" spans="1:26" ht="13">
      <c r="A417" s="34"/>
      <c r="B417" s="34"/>
      <c r="C417" s="34"/>
      <c r="D417" s="34"/>
      <c r="E417" s="34"/>
      <c r="F417" s="33"/>
      <c r="G417" s="34"/>
      <c r="H417" s="34"/>
      <c r="I417" s="33"/>
      <c r="J417" s="34"/>
      <c r="K417" s="34"/>
      <c r="L417" s="34"/>
      <c r="M417" s="34"/>
      <c r="N417" s="34"/>
      <c r="O417" s="34"/>
      <c r="P417" s="34"/>
      <c r="Q417" s="34"/>
      <c r="R417" s="34"/>
      <c r="S417" s="34"/>
      <c r="T417" s="34"/>
      <c r="U417" s="34"/>
      <c r="V417" s="34"/>
      <c r="W417" s="34"/>
      <c r="X417" s="34"/>
      <c r="Y417" s="34"/>
      <c r="Z417" s="34"/>
    </row>
    <row r="418" spans="1:26" ht="13">
      <c r="A418" s="34"/>
      <c r="B418" s="34"/>
      <c r="C418" s="34"/>
      <c r="D418" s="34"/>
      <c r="E418" s="34"/>
      <c r="F418" s="33"/>
      <c r="G418" s="34"/>
      <c r="H418" s="34"/>
      <c r="I418" s="33"/>
      <c r="J418" s="34"/>
      <c r="K418" s="34"/>
      <c r="L418" s="34"/>
      <c r="M418" s="34"/>
      <c r="N418" s="34"/>
      <c r="O418" s="34"/>
      <c r="P418" s="34"/>
      <c r="Q418" s="34"/>
      <c r="R418" s="34"/>
      <c r="S418" s="34"/>
      <c r="T418" s="34"/>
      <c r="U418" s="34"/>
      <c r="V418" s="34"/>
      <c r="W418" s="34"/>
      <c r="X418" s="34"/>
      <c r="Y418" s="34"/>
      <c r="Z418" s="34"/>
    </row>
    <row r="419" spans="1:26" ht="13">
      <c r="A419" s="34"/>
      <c r="B419" s="34"/>
      <c r="C419" s="34"/>
      <c r="D419" s="34"/>
      <c r="E419" s="34"/>
      <c r="F419" s="33"/>
      <c r="G419" s="34"/>
      <c r="H419" s="34"/>
      <c r="I419" s="33"/>
      <c r="J419" s="34"/>
      <c r="K419" s="34"/>
      <c r="L419" s="34"/>
      <c r="M419" s="34"/>
      <c r="N419" s="34"/>
      <c r="O419" s="34"/>
      <c r="P419" s="34"/>
      <c r="Q419" s="34"/>
      <c r="R419" s="34"/>
      <c r="S419" s="34"/>
      <c r="T419" s="34"/>
      <c r="U419" s="34"/>
      <c r="V419" s="34"/>
      <c r="W419" s="34"/>
      <c r="X419" s="34"/>
      <c r="Y419" s="34"/>
      <c r="Z419" s="34"/>
    </row>
    <row r="420" spans="1:26" ht="13">
      <c r="A420" s="34"/>
      <c r="B420" s="34"/>
      <c r="C420" s="34"/>
      <c r="D420" s="34"/>
      <c r="E420" s="34"/>
      <c r="F420" s="33"/>
      <c r="G420" s="34"/>
      <c r="H420" s="34"/>
      <c r="I420" s="33"/>
      <c r="J420" s="34"/>
      <c r="K420" s="34"/>
      <c r="L420" s="34"/>
      <c r="M420" s="34"/>
      <c r="N420" s="34"/>
      <c r="O420" s="34"/>
      <c r="P420" s="34"/>
      <c r="Q420" s="34"/>
      <c r="R420" s="34"/>
      <c r="S420" s="34"/>
      <c r="T420" s="34"/>
      <c r="U420" s="34"/>
      <c r="V420" s="34"/>
      <c r="W420" s="34"/>
      <c r="X420" s="34"/>
      <c r="Y420" s="34"/>
      <c r="Z420" s="34"/>
    </row>
    <row r="421" spans="1:26" ht="13">
      <c r="A421" s="34"/>
      <c r="B421" s="34"/>
      <c r="C421" s="34"/>
      <c r="D421" s="34"/>
      <c r="E421" s="34"/>
      <c r="F421" s="33"/>
      <c r="G421" s="34"/>
      <c r="H421" s="34"/>
      <c r="I421" s="33"/>
      <c r="J421" s="34"/>
      <c r="K421" s="34"/>
      <c r="L421" s="34"/>
      <c r="M421" s="34"/>
      <c r="N421" s="34"/>
      <c r="O421" s="34"/>
      <c r="P421" s="34"/>
      <c r="Q421" s="34"/>
      <c r="R421" s="34"/>
      <c r="S421" s="34"/>
      <c r="T421" s="34"/>
      <c r="U421" s="34"/>
      <c r="V421" s="34"/>
      <c r="W421" s="34"/>
      <c r="X421" s="34"/>
      <c r="Y421" s="34"/>
      <c r="Z421" s="34"/>
    </row>
    <row r="422" spans="1:26" ht="13">
      <c r="A422" s="34"/>
      <c r="B422" s="34"/>
      <c r="C422" s="34"/>
      <c r="D422" s="34"/>
      <c r="E422" s="34"/>
      <c r="F422" s="33"/>
      <c r="G422" s="34"/>
      <c r="H422" s="34"/>
      <c r="I422" s="33"/>
      <c r="J422" s="34"/>
      <c r="K422" s="34"/>
      <c r="L422" s="34"/>
      <c r="M422" s="34"/>
      <c r="N422" s="34"/>
      <c r="O422" s="34"/>
      <c r="P422" s="34"/>
      <c r="Q422" s="34"/>
      <c r="R422" s="34"/>
      <c r="S422" s="34"/>
      <c r="T422" s="34"/>
      <c r="U422" s="34"/>
      <c r="V422" s="34"/>
      <c r="W422" s="34"/>
      <c r="X422" s="34"/>
      <c r="Y422" s="34"/>
      <c r="Z422" s="34"/>
    </row>
    <row r="423" spans="1:26" ht="13">
      <c r="A423" s="34"/>
      <c r="B423" s="34"/>
      <c r="C423" s="34"/>
      <c r="D423" s="34"/>
      <c r="E423" s="34"/>
      <c r="F423" s="33"/>
      <c r="G423" s="34"/>
      <c r="H423" s="34"/>
      <c r="I423" s="33"/>
      <c r="J423" s="34"/>
      <c r="K423" s="34"/>
      <c r="L423" s="34"/>
      <c r="M423" s="34"/>
      <c r="N423" s="34"/>
      <c r="O423" s="34"/>
      <c r="P423" s="34"/>
      <c r="Q423" s="34"/>
      <c r="R423" s="34"/>
      <c r="S423" s="34"/>
      <c r="T423" s="34"/>
      <c r="U423" s="34"/>
      <c r="V423" s="34"/>
      <c r="W423" s="34"/>
      <c r="X423" s="34"/>
      <c r="Y423" s="34"/>
      <c r="Z423" s="34"/>
    </row>
    <row r="424" spans="1:26" ht="13">
      <c r="A424" s="34"/>
      <c r="B424" s="34"/>
      <c r="C424" s="34"/>
      <c r="D424" s="34"/>
      <c r="E424" s="34"/>
      <c r="F424" s="33"/>
      <c r="G424" s="34"/>
      <c r="H424" s="34"/>
      <c r="I424" s="33"/>
      <c r="J424" s="34"/>
      <c r="K424" s="34"/>
      <c r="L424" s="34"/>
      <c r="M424" s="34"/>
      <c r="N424" s="34"/>
      <c r="O424" s="34"/>
      <c r="P424" s="34"/>
      <c r="Q424" s="34"/>
      <c r="R424" s="34"/>
      <c r="S424" s="34"/>
      <c r="T424" s="34"/>
      <c r="U424" s="34"/>
      <c r="V424" s="34"/>
      <c r="W424" s="34"/>
      <c r="X424" s="34"/>
      <c r="Y424" s="34"/>
      <c r="Z424" s="34"/>
    </row>
    <row r="425" spans="1:26" ht="13">
      <c r="A425" s="34"/>
      <c r="B425" s="34"/>
      <c r="C425" s="34"/>
      <c r="D425" s="34"/>
      <c r="E425" s="34"/>
      <c r="F425" s="33"/>
      <c r="G425" s="34"/>
      <c r="H425" s="34"/>
      <c r="I425" s="33"/>
      <c r="J425" s="34"/>
      <c r="K425" s="34"/>
      <c r="L425" s="34"/>
      <c r="M425" s="34"/>
      <c r="N425" s="34"/>
      <c r="O425" s="34"/>
      <c r="P425" s="34"/>
      <c r="Q425" s="34"/>
      <c r="R425" s="34"/>
      <c r="S425" s="34"/>
      <c r="T425" s="34"/>
      <c r="U425" s="34"/>
      <c r="V425" s="34"/>
      <c r="W425" s="34"/>
      <c r="X425" s="34"/>
      <c r="Y425" s="34"/>
      <c r="Z425" s="34"/>
    </row>
    <row r="426" spans="1:26" ht="13">
      <c r="A426" s="34"/>
      <c r="B426" s="34"/>
      <c r="C426" s="34"/>
      <c r="D426" s="34"/>
      <c r="E426" s="34"/>
      <c r="F426" s="33"/>
      <c r="G426" s="34"/>
      <c r="H426" s="34"/>
      <c r="I426" s="33"/>
      <c r="J426" s="34"/>
      <c r="K426" s="34"/>
      <c r="L426" s="34"/>
      <c r="M426" s="34"/>
      <c r="N426" s="34"/>
      <c r="O426" s="34"/>
      <c r="P426" s="34"/>
      <c r="Q426" s="34"/>
      <c r="R426" s="34"/>
      <c r="S426" s="34"/>
      <c r="T426" s="34"/>
      <c r="U426" s="34"/>
      <c r="V426" s="34"/>
      <c r="W426" s="34"/>
      <c r="X426" s="34"/>
      <c r="Y426" s="34"/>
      <c r="Z426" s="34"/>
    </row>
    <row r="427" spans="1:26" ht="13">
      <c r="A427" s="34"/>
      <c r="B427" s="34"/>
      <c r="C427" s="34"/>
      <c r="D427" s="34"/>
      <c r="E427" s="34"/>
      <c r="F427" s="33"/>
      <c r="G427" s="34"/>
      <c r="H427" s="34"/>
      <c r="I427" s="33"/>
      <c r="J427" s="34"/>
      <c r="K427" s="34"/>
      <c r="L427" s="34"/>
      <c r="M427" s="34"/>
      <c r="N427" s="34"/>
      <c r="O427" s="34"/>
      <c r="P427" s="34"/>
      <c r="Q427" s="34"/>
      <c r="R427" s="34"/>
      <c r="S427" s="34"/>
      <c r="T427" s="34"/>
      <c r="U427" s="34"/>
      <c r="V427" s="34"/>
      <c r="W427" s="34"/>
      <c r="X427" s="34"/>
      <c r="Y427" s="34"/>
      <c r="Z427" s="34"/>
    </row>
    <row r="428" spans="1:26" ht="13">
      <c r="A428" s="34"/>
      <c r="B428" s="34"/>
      <c r="C428" s="34"/>
      <c r="D428" s="34"/>
      <c r="E428" s="34"/>
      <c r="F428" s="33"/>
      <c r="G428" s="34"/>
      <c r="H428" s="34"/>
      <c r="I428" s="33"/>
      <c r="J428" s="34"/>
      <c r="K428" s="34"/>
      <c r="L428" s="34"/>
      <c r="M428" s="34"/>
      <c r="N428" s="34"/>
      <c r="O428" s="34"/>
      <c r="P428" s="34"/>
      <c r="Q428" s="34"/>
      <c r="R428" s="34"/>
      <c r="S428" s="34"/>
      <c r="T428" s="34"/>
      <c r="U428" s="34"/>
      <c r="V428" s="34"/>
      <c r="W428" s="34"/>
      <c r="X428" s="34"/>
      <c r="Y428" s="34"/>
      <c r="Z428" s="34"/>
    </row>
    <row r="429" spans="1:26" ht="13">
      <c r="A429" s="34"/>
      <c r="B429" s="34"/>
      <c r="C429" s="34"/>
      <c r="D429" s="34"/>
      <c r="E429" s="34"/>
      <c r="F429" s="33"/>
      <c r="G429" s="34"/>
      <c r="H429" s="34"/>
      <c r="I429" s="33"/>
      <c r="J429" s="34"/>
      <c r="K429" s="34"/>
      <c r="L429" s="34"/>
      <c r="M429" s="34"/>
      <c r="N429" s="34"/>
      <c r="O429" s="34"/>
      <c r="P429" s="34"/>
      <c r="Q429" s="34"/>
      <c r="R429" s="34"/>
      <c r="S429" s="34"/>
      <c r="T429" s="34"/>
      <c r="U429" s="34"/>
      <c r="V429" s="34"/>
      <c r="W429" s="34"/>
      <c r="X429" s="34"/>
      <c r="Y429" s="34"/>
      <c r="Z429" s="34"/>
    </row>
    <row r="430" spans="1:26" ht="13">
      <c r="A430" s="34"/>
      <c r="B430" s="34"/>
      <c r="C430" s="34"/>
      <c r="D430" s="34"/>
      <c r="E430" s="34"/>
      <c r="F430" s="33"/>
      <c r="G430" s="34"/>
      <c r="H430" s="34"/>
      <c r="I430" s="33"/>
      <c r="J430" s="34"/>
      <c r="K430" s="34"/>
      <c r="L430" s="34"/>
      <c r="M430" s="34"/>
      <c r="N430" s="34"/>
      <c r="O430" s="34"/>
      <c r="P430" s="34"/>
      <c r="Q430" s="34"/>
      <c r="R430" s="34"/>
      <c r="S430" s="34"/>
      <c r="T430" s="34"/>
      <c r="U430" s="34"/>
      <c r="V430" s="34"/>
      <c r="W430" s="34"/>
      <c r="X430" s="34"/>
      <c r="Y430" s="34"/>
      <c r="Z430" s="34"/>
    </row>
    <row r="431" spans="1:26" ht="13">
      <c r="A431" s="34"/>
      <c r="B431" s="34"/>
      <c r="C431" s="34"/>
      <c r="D431" s="34"/>
      <c r="E431" s="34"/>
      <c r="F431" s="33"/>
      <c r="G431" s="34"/>
      <c r="H431" s="34"/>
      <c r="I431" s="33"/>
      <c r="J431" s="34"/>
      <c r="K431" s="34"/>
      <c r="L431" s="34"/>
      <c r="M431" s="34"/>
      <c r="N431" s="34"/>
      <c r="O431" s="34"/>
      <c r="P431" s="34"/>
      <c r="Q431" s="34"/>
      <c r="R431" s="34"/>
      <c r="S431" s="34"/>
      <c r="T431" s="34"/>
      <c r="U431" s="34"/>
      <c r="V431" s="34"/>
      <c r="W431" s="34"/>
      <c r="X431" s="34"/>
      <c r="Y431" s="34"/>
      <c r="Z431" s="34"/>
    </row>
    <row r="432" spans="1:26" ht="13">
      <c r="A432" s="34"/>
      <c r="B432" s="34"/>
      <c r="C432" s="34"/>
      <c r="D432" s="34"/>
      <c r="E432" s="34"/>
      <c r="F432" s="33"/>
      <c r="G432" s="34"/>
      <c r="H432" s="34"/>
      <c r="I432" s="33"/>
      <c r="J432" s="34"/>
      <c r="K432" s="34"/>
      <c r="L432" s="34"/>
      <c r="M432" s="34"/>
      <c r="N432" s="34"/>
      <c r="O432" s="34"/>
      <c r="P432" s="34"/>
      <c r="Q432" s="34"/>
      <c r="R432" s="34"/>
      <c r="S432" s="34"/>
      <c r="T432" s="34"/>
      <c r="U432" s="34"/>
      <c r="V432" s="34"/>
      <c r="W432" s="34"/>
      <c r="X432" s="34"/>
      <c r="Y432" s="34"/>
      <c r="Z432" s="34"/>
    </row>
    <row r="433" spans="1:26" ht="13">
      <c r="A433" s="34"/>
      <c r="B433" s="34"/>
      <c r="C433" s="34"/>
      <c r="D433" s="34"/>
      <c r="E433" s="34"/>
      <c r="F433" s="33"/>
      <c r="G433" s="34"/>
      <c r="H433" s="34"/>
      <c r="I433" s="33"/>
      <c r="J433" s="34"/>
      <c r="K433" s="34"/>
      <c r="L433" s="34"/>
      <c r="M433" s="34"/>
      <c r="N433" s="34"/>
      <c r="O433" s="34"/>
      <c r="P433" s="34"/>
      <c r="Q433" s="34"/>
      <c r="R433" s="34"/>
      <c r="S433" s="34"/>
      <c r="T433" s="34"/>
      <c r="U433" s="34"/>
      <c r="V433" s="34"/>
      <c r="W433" s="34"/>
      <c r="X433" s="34"/>
      <c r="Y433" s="34"/>
      <c r="Z433" s="34"/>
    </row>
    <row r="434" spans="1:26" ht="13">
      <c r="A434" s="34"/>
      <c r="B434" s="34"/>
      <c r="C434" s="34"/>
      <c r="D434" s="34"/>
      <c r="E434" s="34"/>
      <c r="F434" s="33"/>
      <c r="G434" s="34"/>
      <c r="H434" s="34"/>
      <c r="I434" s="33"/>
      <c r="J434" s="34"/>
      <c r="K434" s="34"/>
      <c r="L434" s="34"/>
      <c r="M434" s="34"/>
      <c r="N434" s="34"/>
      <c r="O434" s="34"/>
      <c r="P434" s="34"/>
      <c r="Q434" s="34"/>
      <c r="R434" s="34"/>
      <c r="S434" s="34"/>
      <c r="T434" s="34"/>
      <c r="U434" s="34"/>
      <c r="V434" s="34"/>
      <c r="W434" s="34"/>
      <c r="X434" s="34"/>
      <c r="Y434" s="34"/>
      <c r="Z434" s="34"/>
    </row>
    <row r="435" spans="1:26" ht="13">
      <c r="A435" s="34"/>
      <c r="B435" s="34"/>
      <c r="C435" s="34"/>
      <c r="D435" s="34"/>
      <c r="E435" s="34"/>
      <c r="F435" s="33"/>
      <c r="G435" s="34"/>
      <c r="H435" s="34"/>
      <c r="I435" s="33"/>
      <c r="J435" s="34"/>
      <c r="K435" s="34"/>
      <c r="L435" s="34"/>
      <c r="M435" s="34"/>
      <c r="N435" s="34"/>
      <c r="O435" s="34"/>
      <c r="P435" s="34"/>
      <c r="Q435" s="34"/>
      <c r="R435" s="34"/>
      <c r="S435" s="34"/>
      <c r="T435" s="34"/>
      <c r="U435" s="34"/>
      <c r="V435" s="34"/>
      <c r="W435" s="34"/>
      <c r="X435" s="34"/>
      <c r="Y435" s="34"/>
      <c r="Z435" s="34"/>
    </row>
    <row r="436" spans="1:26" ht="13">
      <c r="A436" s="34"/>
      <c r="B436" s="34"/>
      <c r="C436" s="34"/>
      <c r="D436" s="34"/>
      <c r="E436" s="34"/>
      <c r="F436" s="33"/>
      <c r="G436" s="34"/>
      <c r="H436" s="34"/>
      <c r="I436" s="33"/>
      <c r="J436" s="34"/>
      <c r="K436" s="34"/>
      <c r="L436" s="34"/>
      <c r="M436" s="34"/>
      <c r="N436" s="34"/>
      <c r="O436" s="34"/>
      <c r="P436" s="34"/>
      <c r="Q436" s="34"/>
      <c r="R436" s="34"/>
      <c r="S436" s="34"/>
      <c r="T436" s="34"/>
      <c r="U436" s="34"/>
      <c r="V436" s="34"/>
      <c r="W436" s="34"/>
      <c r="X436" s="34"/>
      <c r="Y436" s="34"/>
      <c r="Z436" s="34"/>
    </row>
    <row r="437" spans="1:26" ht="13">
      <c r="A437" s="34"/>
      <c r="B437" s="34"/>
      <c r="C437" s="34"/>
      <c r="D437" s="34"/>
      <c r="E437" s="34"/>
      <c r="F437" s="33"/>
      <c r="G437" s="34"/>
      <c r="H437" s="34"/>
      <c r="I437" s="33"/>
      <c r="J437" s="34"/>
      <c r="K437" s="34"/>
      <c r="L437" s="34"/>
      <c r="M437" s="34"/>
      <c r="N437" s="34"/>
      <c r="O437" s="34"/>
      <c r="P437" s="34"/>
      <c r="Q437" s="34"/>
      <c r="R437" s="34"/>
      <c r="S437" s="34"/>
      <c r="T437" s="34"/>
      <c r="U437" s="34"/>
      <c r="V437" s="34"/>
      <c r="W437" s="34"/>
      <c r="X437" s="34"/>
      <c r="Y437" s="34"/>
      <c r="Z437" s="34"/>
    </row>
    <row r="438" spans="1:26" ht="13">
      <c r="A438" s="34"/>
      <c r="B438" s="34"/>
      <c r="C438" s="34"/>
      <c r="D438" s="34"/>
      <c r="E438" s="34"/>
      <c r="F438" s="33"/>
      <c r="G438" s="34"/>
      <c r="H438" s="34"/>
      <c r="I438" s="33"/>
      <c r="J438" s="34"/>
      <c r="K438" s="34"/>
      <c r="L438" s="34"/>
      <c r="M438" s="34"/>
      <c r="N438" s="34"/>
      <c r="O438" s="34"/>
      <c r="P438" s="34"/>
      <c r="Q438" s="34"/>
      <c r="R438" s="34"/>
      <c r="S438" s="34"/>
      <c r="T438" s="34"/>
      <c r="U438" s="34"/>
      <c r="V438" s="34"/>
      <c r="W438" s="34"/>
      <c r="X438" s="34"/>
      <c r="Y438" s="34"/>
      <c r="Z438" s="34"/>
    </row>
    <row r="439" spans="1:26" ht="13">
      <c r="A439" s="34"/>
      <c r="B439" s="34"/>
      <c r="C439" s="34"/>
      <c r="D439" s="34"/>
      <c r="E439" s="34"/>
      <c r="F439" s="33"/>
      <c r="G439" s="34"/>
      <c r="H439" s="34"/>
      <c r="I439" s="33"/>
      <c r="J439" s="34"/>
      <c r="K439" s="34"/>
      <c r="L439" s="34"/>
      <c r="M439" s="34"/>
      <c r="N439" s="34"/>
      <c r="O439" s="34"/>
      <c r="P439" s="34"/>
      <c r="Q439" s="34"/>
      <c r="R439" s="34"/>
      <c r="S439" s="34"/>
      <c r="T439" s="34"/>
      <c r="U439" s="34"/>
      <c r="V439" s="34"/>
      <c r="W439" s="34"/>
      <c r="X439" s="34"/>
      <c r="Y439" s="34"/>
      <c r="Z439" s="34"/>
    </row>
    <row r="440" spans="1:26" ht="13">
      <c r="A440" s="34"/>
      <c r="B440" s="34"/>
      <c r="C440" s="34"/>
      <c r="D440" s="34"/>
      <c r="E440" s="34"/>
      <c r="F440" s="33"/>
      <c r="G440" s="34"/>
      <c r="H440" s="34"/>
      <c r="I440" s="33"/>
      <c r="J440" s="34"/>
      <c r="K440" s="34"/>
      <c r="L440" s="34"/>
      <c r="M440" s="34"/>
      <c r="N440" s="34"/>
      <c r="O440" s="34"/>
      <c r="P440" s="34"/>
      <c r="Q440" s="34"/>
      <c r="R440" s="34"/>
      <c r="S440" s="34"/>
      <c r="T440" s="34"/>
      <c r="U440" s="34"/>
      <c r="V440" s="34"/>
      <c r="W440" s="34"/>
      <c r="X440" s="34"/>
      <c r="Y440" s="34"/>
      <c r="Z440" s="34"/>
    </row>
    <row r="441" spans="1:26" ht="13">
      <c r="A441" s="34"/>
      <c r="B441" s="34"/>
      <c r="C441" s="34"/>
      <c r="D441" s="34"/>
      <c r="E441" s="34"/>
      <c r="F441" s="33"/>
      <c r="G441" s="34"/>
      <c r="H441" s="34"/>
      <c r="I441" s="33"/>
      <c r="J441" s="34"/>
      <c r="K441" s="34"/>
      <c r="L441" s="34"/>
      <c r="M441" s="34"/>
      <c r="N441" s="34"/>
      <c r="O441" s="34"/>
      <c r="P441" s="34"/>
      <c r="Q441" s="34"/>
      <c r="R441" s="34"/>
      <c r="S441" s="34"/>
      <c r="T441" s="34"/>
      <c r="U441" s="34"/>
      <c r="V441" s="34"/>
      <c r="W441" s="34"/>
      <c r="X441" s="34"/>
      <c r="Y441" s="34"/>
      <c r="Z441" s="34"/>
    </row>
    <row r="442" spans="1:26" ht="13">
      <c r="A442" s="34"/>
      <c r="B442" s="34"/>
      <c r="C442" s="34"/>
      <c r="D442" s="34"/>
      <c r="E442" s="34"/>
      <c r="F442" s="33"/>
      <c r="G442" s="34"/>
      <c r="H442" s="34"/>
      <c r="I442" s="33"/>
      <c r="J442" s="34"/>
      <c r="K442" s="34"/>
      <c r="L442" s="34"/>
      <c r="M442" s="34"/>
      <c r="N442" s="34"/>
      <c r="O442" s="34"/>
      <c r="P442" s="34"/>
      <c r="Q442" s="34"/>
      <c r="R442" s="34"/>
      <c r="S442" s="34"/>
      <c r="T442" s="34"/>
      <c r="U442" s="34"/>
      <c r="V442" s="34"/>
      <c r="W442" s="34"/>
      <c r="X442" s="34"/>
      <c r="Y442" s="34"/>
      <c r="Z442" s="34"/>
    </row>
    <row r="443" spans="1:26" ht="13">
      <c r="A443" s="34"/>
      <c r="B443" s="34"/>
      <c r="C443" s="34"/>
      <c r="D443" s="34"/>
      <c r="E443" s="34"/>
      <c r="F443" s="33"/>
      <c r="G443" s="34"/>
      <c r="H443" s="34"/>
      <c r="I443" s="33"/>
      <c r="J443" s="34"/>
      <c r="K443" s="34"/>
      <c r="L443" s="34"/>
      <c r="M443" s="34"/>
      <c r="N443" s="34"/>
      <c r="O443" s="34"/>
      <c r="P443" s="34"/>
      <c r="Q443" s="34"/>
      <c r="R443" s="34"/>
      <c r="S443" s="34"/>
      <c r="T443" s="34"/>
      <c r="U443" s="34"/>
      <c r="V443" s="34"/>
      <c r="W443" s="34"/>
      <c r="X443" s="34"/>
      <c r="Y443" s="34"/>
      <c r="Z443" s="34"/>
    </row>
    <row r="444" spans="1:26" ht="13">
      <c r="A444" s="34"/>
      <c r="B444" s="34"/>
      <c r="C444" s="34"/>
      <c r="D444" s="34"/>
      <c r="E444" s="34"/>
      <c r="F444" s="33"/>
      <c r="G444" s="34"/>
      <c r="H444" s="34"/>
      <c r="I444" s="33"/>
      <c r="J444" s="34"/>
      <c r="K444" s="34"/>
      <c r="L444" s="34"/>
      <c r="M444" s="34"/>
      <c r="N444" s="34"/>
      <c r="O444" s="34"/>
      <c r="P444" s="34"/>
      <c r="Q444" s="34"/>
      <c r="R444" s="34"/>
      <c r="S444" s="34"/>
      <c r="T444" s="34"/>
      <c r="U444" s="34"/>
      <c r="V444" s="34"/>
      <c r="W444" s="34"/>
      <c r="X444" s="34"/>
      <c r="Y444" s="34"/>
      <c r="Z444" s="34"/>
    </row>
    <row r="445" spans="1:26" ht="13">
      <c r="A445" s="34"/>
      <c r="B445" s="34"/>
      <c r="C445" s="34"/>
      <c r="D445" s="34"/>
      <c r="E445" s="34"/>
      <c r="F445" s="33"/>
      <c r="G445" s="34"/>
      <c r="H445" s="34"/>
      <c r="I445" s="33"/>
      <c r="J445" s="34"/>
      <c r="K445" s="34"/>
      <c r="L445" s="34"/>
      <c r="M445" s="34"/>
      <c r="N445" s="34"/>
      <c r="O445" s="34"/>
      <c r="P445" s="34"/>
      <c r="Q445" s="34"/>
      <c r="R445" s="34"/>
      <c r="S445" s="34"/>
      <c r="T445" s="34"/>
      <c r="U445" s="34"/>
      <c r="V445" s="34"/>
      <c r="W445" s="34"/>
      <c r="X445" s="34"/>
      <c r="Y445" s="34"/>
      <c r="Z445" s="34"/>
    </row>
    <row r="446" spans="1:26" ht="13">
      <c r="A446" s="34"/>
      <c r="B446" s="34"/>
      <c r="C446" s="34"/>
      <c r="D446" s="34"/>
      <c r="E446" s="34"/>
      <c r="F446" s="33"/>
      <c r="G446" s="34"/>
      <c r="H446" s="34"/>
      <c r="I446" s="33"/>
      <c r="J446" s="34"/>
      <c r="K446" s="34"/>
      <c r="L446" s="34"/>
      <c r="M446" s="34"/>
      <c r="N446" s="34"/>
      <c r="O446" s="34"/>
      <c r="P446" s="34"/>
      <c r="Q446" s="34"/>
      <c r="R446" s="34"/>
      <c r="S446" s="34"/>
      <c r="T446" s="34"/>
      <c r="U446" s="34"/>
      <c r="V446" s="34"/>
      <c r="W446" s="34"/>
      <c r="X446" s="34"/>
      <c r="Y446" s="34"/>
      <c r="Z446" s="34"/>
    </row>
    <row r="447" spans="1:26" ht="13">
      <c r="A447" s="34"/>
      <c r="B447" s="34"/>
      <c r="C447" s="34"/>
      <c r="D447" s="34"/>
      <c r="E447" s="34"/>
      <c r="F447" s="33"/>
      <c r="G447" s="34"/>
      <c r="H447" s="34"/>
      <c r="I447" s="33"/>
      <c r="J447" s="34"/>
      <c r="K447" s="34"/>
      <c r="L447" s="34"/>
      <c r="M447" s="34"/>
      <c r="N447" s="34"/>
      <c r="O447" s="34"/>
      <c r="P447" s="34"/>
      <c r="Q447" s="34"/>
      <c r="R447" s="34"/>
      <c r="S447" s="34"/>
      <c r="T447" s="34"/>
      <c r="U447" s="34"/>
      <c r="V447" s="34"/>
      <c r="W447" s="34"/>
      <c r="X447" s="34"/>
      <c r="Y447" s="34"/>
      <c r="Z447" s="34"/>
    </row>
    <row r="448" spans="1:26" ht="13">
      <c r="A448" s="34"/>
      <c r="B448" s="34"/>
      <c r="C448" s="34"/>
      <c r="D448" s="34"/>
      <c r="E448" s="34"/>
      <c r="F448" s="33"/>
      <c r="G448" s="34"/>
      <c r="H448" s="34"/>
      <c r="I448" s="33"/>
      <c r="J448" s="34"/>
      <c r="K448" s="34"/>
      <c r="L448" s="34"/>
      <c r="M448" s="34"/>
      <c r="N448" s="34"/>
      <c r="O448" s="34"/>
      <c r="P448" s="34"/>
      <c r="Q448" s="34"/>
      <c r="R448" s="34"/>
      <c r="S448" s="34"/>
      <c r="T448" s="34"/>
      <c r="U448" s="34"/>
      <c r="V448" s="34"/>
      <c r="W448" s="34"/>
      <c r="X448" s="34"/>
      <c r="Y448" s="34"/>
      <c r="Z448" s="34"/>
    </row>
    <row r="449" spans="1:26" ht="13">
      <c r="A449" s="34"/>
      <c r="B449" s="34"/>
      <c r="C449" s="34"/>
      <c r="D449" s="34"/>
      <c r="E449" s="34"/>
      <c r="F449" s="33"/>
      <c r="G449" s="34"/>
      <c r="H449" s="34"/>
      <c r="I449" s="33"/>
      <c r="J449" s="34"/>
      <c r="K449" s="34"/>
      <c r="L449" s="34"/>
      <c r="M449" s="34"/>
      <c r="N449" s="34"/>
      <c r="O449" s="34"/>
      <c r="P449" s="34"/>
      <c r="Q449" s="34"/>
      <c r="R449" s="34"/>
      <c r="S449" s="34"/>
      <c r="T449" s="34"/>
      <c r="U449" s="34"/>
      <c r="V449" s="34"/>
      <c r="W449" s="34"/>
      <c r="X449" s="34"/>
      <c r="Y449" s="34"/>
      <c r="Z449" s="34"/>
    </row>
    <row r="450" spans="1:26" ht="13">
      <c r="A450" s="34"/>
      <c r="B450" s="34"/>
      <c r="C450" s="34"/>
      <c r="D450" s="34"/>
      <c r="E450" s="34"/>
      <c r="F450" s="33"/>
      <c r="G450" s="34"/>
      <c r="H450" s="34"/>
      <c r="I450" s="33"/>
      <c r="J450" s="34"/>
      <c r="K450" s="34"/>
      <c r="L450" s="34"/>
      <c r="M450" s="34"/>
      <c r="N450" s="34"/>
      <c r="O450" s="34"/>
      <c r="P450" s="34"/>
      <c r="Q450" s="34"/>
      <c r="R450" s="34"/>
      <c r="S450" s="34"/>
      <c r="T450" s="34"/>
      <c r="U450" s="34"/>
      <c r="V450" s="34"/>
      <c r="W450" s="34"/>
      <c r="X450" s="34"/>
      <c r="Y450" s="34"/>
      <c r="Z450" s="34"/>
    </row>
    <row r="451" spans="1:26" ht="13">
      <c r="A451" s="34"/>
      <c r="B451" s="34"/>
      <c r="C451" s="34"/>
      <c r="D451" s="34"/>
      <c r="E451" s="34"/>
      <c r="F451" s="33"/>
      <c r="G451" s="34"/>
      <c r="H451" s="34"/>
      <c r="I451" s="33"/>
      <c r="J451" s="34"/>
      <c r="K451" s="34"/>
      <c r="L451" s="34"/>
      <c r="M451" s="34"/>
      <c r="N451" s="34"/>
      <c r="O451" s="34"/>
      <c r="P451" s="34"/>
      <c r="Q451" s="34"/>
      <c r="R451" s="34"/>
      <c r="S451" s="34"/>
      <c r="T451" s="34"/>
      <c r="U451" s="34"/>
      <c r="V451" s="34"/>
      <c r="W451" s="34"/>
      <c r="X451" s="34"/>
      <c r="Y451" s="34"/>
      <c r="Z451" s="34"/>
    </row>
    <row r="452" spans="1:26" ht="13">
      <c r="A452" s="34"/>
      <c r="B452" s="34"/>
      <c r="C452" s="34"/>
      <c r="D452" s="34"/>
      <c r="E452" s="34"/>
      <c r="F452" s="33"/>
      <c r="G452" s="34"/>
      <c r="H452" s="34"/>
      <c r="I452" s="33"/>
      <c r="J452" s="34"/>
      <c r="K452" s="34"/>
      <c r="L452" s="34"/>
      <c r="M452" s="34"/>
      <c r="N452" s="34"/>
      <c r="O452" s="34"/>
      <c r="P452" s="34"/>
      <c r="Q452" s="34"/>
      <c r="R452" s="34"/>
      <c r="S452" s="34"/>
      <c r="T452" s="34"/>
      <c r="U452" s="34"/>
      <c r="V452" s="34"/>
      <c r="W452" s="34"/>
      <c r="X452" s="34"/>
      <c r="Y452" s="34"/>
      <c r="Z452" s="34"/>
    </row>
    <row r="453" spans="1:26" ht="13">
      <c r="A453" s="34"/>
      <c r="B453" s="34"/>
      <c r="C453" s="34"/>
      <c r="D453" s="34"/>
      <c r="E453" s="34"/>
      <c r="F453" s="33"/>
      <c r="G453" s="34"/>
      <c r="H453" s="34"/>
      <c r="I453" s="33"/>
      <c r="J453" s="34"/>
      <c r="K453" s="34"/>
      <c r="L453" s="34"/>
      <c r="M453" s="34"/>
      <c r="N453" s="34"/>
      <c r="O453" s="34"/>
      <c r="P453" s="34"/>
      <c r="Q453" s="34"/>
      <c r="R453" s="34"/>
      <c r="S453" s="34"/>
      <c r="T453" s="34"/>
      <c r="U453" s="34"/>
      <c r="V453" s="34"/>
      <c r="W453" s="34"/>
      <c r="X453" s="34"/>
      <c r="Y453" s="34"/>
      <c r="Z453" s="34"/>
    </row>
    <row r="454" spans="1:26" ht="13">
      <c r="A454" s="34"/>
      <c r="B454" s="34"/>
      <c r="C454" s="34"/>
      <c r="D454" s="34"/>
      <c r="E454" s="34"/>
      <c r="F454" s="33"/>
      <c r="G454" s="34"/>
      <c r="H454" s="34"/>
      <c r="I454" s="33"/>
      <c r="J454" s="34"/>
      <c r="K454" s="34"/>
      <c r="L454" s="34"/>
      <c r="M454" s="34"/>
      <c r="N454" s="34"/>
      <c r="O454" s="34"/>
      <c r="P454" s="34"/>
      <c r="Q454" s="34"/>
      <c r="R454" s="34"/>
      <c r="S454" s="34"/>
      <c r="T454" s="34"/>
      <c r="U454" s="34"/>
      <c r="V454" s="34"/>
      <c r="W454" s="34"/>
      <c r="X454" s="34"/>
      <c r="Y454" s="34"/>
      <c r="Z454" s="34"/>
    </row>
    <row r="455" spans="1:26" ht="13">
      <c r="A455" s="34"/>
      <c r="B455" s="34"/>
      <c r="C455" s="34"/>
      <c r="D455" s="34"/>
      <c r="E455" s="34"/>
      <c r="F455" s="33"/>
      <c r="G455" s="34"/>
      <c r="H455" s="34"/>
      <c r="I455" s="33"/>
      <c r="J455" s="34"/>
      <c r="K455" s="34"/>
      <c r="L455" s="34"/>
      <c r="M455" s="34"/>
      <c r="N455" s="34"/>
      <c r="O455" s="34"/>
      <c r="P455" s="34"/>
      <c r="Q455" s="34"/>
      <c r="R455" s="34"/>
      <c r="S455" s="34"/>
      <c r="T455" s="34"/>
      <c r="U455" s="34"/>
      <c r="V455" s="34"/>
      <c r="W455" s="34"/>
      <c r="X455" s="34"/>
      <c r="Y455" s="34"/>
      <c r="Z455" s="34"/>
    </row>
    <row r="456" spans="1:26" ht="13">
      <c r="A456" s="34"/>
      <c r="B456" s="34"/>
      <c r="C456" s="34"/>
      <c r="D456" s="34"/>
      <c r="E456" s="34"/>
      <c r="F456" s="33"/>
      <c r="G456" s="34"/>
      <c r="H456" s="34"/>
      <c r="I456" s="33"/>
      <c r="J456" s="34"/>
      <c r="K456" s="34"/>
      <c r="L456" s="34"/>
      <c r="M456" s="34"/>
      <c r="N456" s="34"/>
      <c r="O456" s="34"/>
      <c r="P456" s="34"/>
      <c r="Q456" s="34"/>
      <c r="R456" s="34"/>
      <c r="S456" s="34"/>
      <c r="T456" s="34"/>
      <c r="U456" s="34"/>
      <c r="V456" s="34"/>
      <c r="W456" s="34"/>
      <c r="X456" s="34"/>
      <c r="Y456" s="34"/>
      <c r="Z456" s="34"/>
    </row>
    <row r="457" spans="1:26" ht="13">
      <c r="A457" s="34"/>
      <c r="B457" s="34"/>
      <c r="C457" s="34"/>
      <c r="D457" s="34"/>
      <c r="E457" s="34"/>
      <c r="F457" s="33"/>
      <c r="G457" s="34"/>
      <c r="H457" s="34"/>
      <c r="I457" s="33"/>
      <c r="J457" s="34"/>
      <c r="K457" s="34"/>
      <c r="L457" s="34"/>
      <c r="M457" s="34"/>
      <c r="N457" s="34"/>
      <c r="O457" s="34"/>
      <c r="P457" s="34"/>
      <c r="Q457" s="34"/>
      <c r="R457" s="34"/>
      <c r="S457" s="34"/>
      <c r="T457" s="34"/>
      <c r="U457" s="34"/>
      <c r="V457" s="34"/>
      <c r="W457" s="34"/>
      <c r="X457" s="34"/>
      <c r="Y457" s="34"/>
      <c r="Z457" s="34"/>
    </row>
    <row r="458" spans="1:26" ht="13">
      <c r="A458" s="34"/>
      <c r="B458" s="34"/>
      <c r="C458" s="34"/>
      <c r="D458" s="34"/>
      <c r="E458" s="34"/>
      <c r="F458" s="33"/>
      <c r="G458" s="34"/>
      <c r="H458" s="34"/>
      <c r="I458" s="33"/>
      <c r="J458" s="34"/>
      <c r="K458" s="34"/>
      <c r="L458" s="34"/>
      <c r="M458" s="34"/>
      <c r="N458" s="34"/>
      <c r="O458" s="34"/>
      <c r="P458" s="34"/>
      <c r="Q458" s="34"/>
      <c r="R458" s="34"/>
      <c r="S458" s="34"/>
      <c r="T458" s="34"/>
      <c r="U458" s="34"/>
      <c r="V458" s="34"/>
      <c r="W458" s="34"/>
      <c r="X458" s="34"/>
      <c r="Y458" s="34"/>
      <c r="Z458" s="34"/>
    </row>
    <row r="459" spans="1:26" ht="13">
      <c r="A459" s="34"/>
      <c r="B459" s="34"/>
      <c r="C459" s="34"/>
      <c r="D459" s="34"/>
      <c r="E459" s="34"/>
      <c r="F459" s="33"/>
      <c r="G459" s="34"/>
      <c r="H459" s="34"/>
      <c r="I459" s="33"/>
      <c r="J459" s="34"/>
      <c r="K459" s="34"/>
      <c r="L459" s="34"/>
      <c r="M459" s="34"/>
      <c r="N459" s="34"/>
      <c r="O459" s="34"/>
      <c r="P459" s="34"/>
      <c r="Q459" s="34"/>
      <c r="R459" s="34"/>
      <c r="S459" s="34"/>
      <c r="T459" s="34"/>
      <c r="U459" s="34"/>
      <c r="V459" s="34"/>
      <c r="W459" s="34"/>
      <c r="X459" s="34"/>
      <c r="Y459" s="34"/>
      <c r="Z459" s="34"/>
    </row>
    <row r="460" spans="1:26" ht="13">
      <c r="A460" s="34"/>
      <c r="B460" s="34"/>
      <c r="C460" s="34"/>
      <c r="D460" s="34"/>
      <c r="E460" s="34"/>
      <c r="F460" s="33"/>
      <c r="G460" s="34"/>
      <c r="H460" s="34"/>
      <c r="I460" s="33"/>
      <c r="J460" s="34"/>
      <c r="K460" s="34"/>
      <c r="L460" s="34"/>
      <c r="M460" s="34"/>
      <c r="N460" s="34"/>
      <c r="O460" s="34"/>
      <c r="P460" s="34"/>
      <c r="Q460" s="34"/>
      <c r="R460" s="34"/>
      <c r="S460" s="34"/>
      <c r="T460" s="34"/>
      <c r="U460" s="34"/>
      <c r="V460" s="34"/>
      <c r="W460" s="34"/>
      <c r="X460" s="34"/>
      <c r="Y460" s="34"/>
      <c r="Z460" s="34"/>
    </row>
    <row r="461" spans="1:26" ht="13">
      <c r="A461" s="34"/>
      <c r="B461" s="34"/>
      <c r="C461" s="34"/>
      <c r="D461" s="34"/>
      <c r="E461" s="34"/>
      <c r="F461" s="33"/>
      <c r="G461" s="34"/>
      <c r="H461" s="34"/>
      <c r="I461" s="33"/>
      <c r="J461" s="34"/>
      <c r="K461" s="34"/>
      <c r="L461" s="34"/>
      <c r="M461" s="34"/>
      <c r="N461" s="34"/>
      <c r="O461" s="34"/>
      <c r="P461" s="34"/>
      <c r="Q461" s="34"/>
      <c r="R461" s="34"/>
      <c r="S461" s="34"/>
      <c r="T461" s="34"/>
      <c r="U461" s="34"/>
      <c r="V461" s="34"/>
      <c r="W461" s="34"/>
      <c r="X461" s="34"/>
      <c r="Y461" s="34"/>
      <c r="Z461" s="34"/>
    </row>
    <row r="462" spans="1:26" ht="13">
      <c r="A462" s="34"/>
      <c r="B462" s="34"/>
      <c r="C462" s="34"/>
      <c r="D462" s="34"/>
      <c r="E462" s="34"/>
      <c r="F462" s="33"/>
      <c r="G462" s="34"/>
      <c r="H462" s="34"/>
      <c r="I462" s="33"/>
      <c r="J462" s="34"/>
      <c r="K462" s="34"/>
      <c r="L462" s="34"/>
      <c r="M462" s="34"/>
      <c r="N462" s="34"/>
      <c r="O462" s="34"/>
      <c r="P462" s="34"/>
      <c r="Q462" s="34"/>
      <c r="R462" s="34"/>
      <c r="S462" s="34"/>
      <c r="T462" s="34"/>
      <c r="U462" s="34"/>
      <c r="V462" s="34"/>
      <c r="W462" s="34"/>
      <c r="X462" s="34"/>
      <c r="Y462" s="34"/>
      <c r="Z462" s="34"/>
    </row>
    <row r="463" spans="1:26" ht="13">
      <c r="A463" s="34"/>
      <c r="B463" s="34"/>
      <c r="C463" s="34"/>
      <c r="D463" s="34"/>
      <c r="E463" s="34"/>
      <c r="F463" s="33"/>
      <c r="G463" s="34"/>
      <c r="H463" s="34"/>
      <c r="I463" s="33"/>
      <c r="J463" s="34"/>
      <c r="K463" s="34"/>
      <c r="L463" s="34"/>
      <c r="M463" s="34"/>
      <c r="N463" s="34"/>
      <c r="O463" s="34"/>
      <c r="P463" s="34"/>
      <c r="Q463" s="34"/>
      <c r="R463" s="34"/>
      <c r="S463" s="34"/>
      <c r="T463" s="34"/>
      <c r="U463" s="34"/>
      <c r="V463" s="34"/>
      <c r="W463" s="34"/>
      <c r="X463" s="34"/>
      <c r="Y463" s="34"/>
      <c r="Z463" s="34"/>
    </row>
    <row r="464" spans="1:26" ht="13">
      <c r="A464" s="34"/>
      <c r="B464" s="34"/>
      <c r="C464" s="34"/>
      <c r="D464" s="34"/>
      <c r="E464" s="34"/>
      <c r="F464" s="33"/>
      <c r="G464" s="34"/>
      <c r="H464" s="34"/>
      <c r="I464" s="33"/>
      <c r="J464" s="34"/>
      <c r="K464" s="34"/>
      <c r="L464" s="34"/>
      <c r="M464" s="34"/>
      <c r="N464" s="34"/>
      <c r="O464" s="34"/>
      <c r="P464" s="34"/>
      <c r="Q464" s="34"/>
      <c r="R464" s="34"/>
      <c r="S464" s="34"/>
      <c r="T464" s="34"/>
      <c r="U464" s="34"/>
      <c r="V464" s="34"/>
      <c r="W464" s="34"/>
      <c r="X464" s="34"/>
      <c r="Y464" s="34"/>
      <c r="Z464" s="34"/>
    </row>
    <row r="465" spans="1:26" ht="13">
      <c r="A465" s="34"/>
      <c r="B465" s="34"/>
      <c r="C465" s="34"/>
      <c r="D465" s="34"/>
      <c r="E465" s="34"/>
      <c r="F465" s="33"/>
      <c r="G465" s="34"/>
      <c r="H465" s="34"/>
      <c r="I465" s="33"/>
      <c r="J465" s="34"/>
      <c r="K465" s="34"/>
      <c r="L465" s="34"/>
      <c r="M465" s="34"/>
      <c r="N465" s="34"/>
      <c r="O465" s="34"/>
      <c r="P465" s="34"/>
      <c r="Q465" s="34"/>
      <c r="R465" s="34"/>
      <c r="S465" s="34"/>
      <c r="T465" s="34"/>
      <c r="U465" s="34"/>
      <c r="V465" s="34"/>
      <c r="W465" s="34"/>
      <c r="X465" s="34"/>
      <c r="Y465" s="34"/>
      <c r="Z465" s="34"/>
    </row>
    <row r="466" spans="1:26" ht="13">
      <c r="A466" s="34"/>
      <c r="B466" s="34"/>
      <c r="C466" s="34"/>
      <c r="D466" s="34"/>
      <c r="E466" s="34"/>
      <c r="F466" s="33"/>
      <c r="G466" s="34"/>
      <c r="H466" s="34"/>
      <c r="I466" s="33"/>
      <c r="J466" s="34"/>
      <c r="K466" s="34"/>
      <c r="L466" s="34"/>
      <c r="M466" s="34"/>
      <c r="N466" s="34"/>
      <c r="O466" s="34"/>
      <c r="P466" s="34"/>
      <c r="Q466" s="34"/>
      <c r="R466" s="34"/>
      <c r="S466" s="34"/>
      <c r="T466" s="34"/>
      <c r="U466" s="34"/>
      <c r="V466" s="34"/>
      <c r="W466" s="34"/>
      <c r="X466" s="34"/>
      <c r="Y466" s="34"/>
      <c r="Z466" s="34"/>
    </row>
    <row r="467" spans="1:26" ht="13">
      <c r="A467" s="34"/>
      <c r="B467" s="34"/>
      <c r="C467" s="34"/>
      <c r="D467" s="34"/>
      <c r="E467" s="34"/>
      <c r="F467" s="33"/>
      <c r="G467" s="34"/>
      <c r="H467" s="34"/>
      <c r="I467" s="33"/>
      <c r="J467" s="34"/>
      <c r="K467" s="34"/>
      <c r="L467" s="34"/>
      <c r="M467" s="34"/>
      <c r="N467" s="34"/>
      <c r="O467" s="34"/>
      <c r="P467" s="34"/>
      <c r="Q467" s="34"/>
      <c r="R467" s="34"/>
      <c r="S467" s="34"/>
      <c r="T467" s="34"/>
      <c r="U467" s="34"/>
      <c r="V467" s="34"/>
      <c r="W467" s="34"/>
      <c r="X467" s="34"/>
      <c r="Y467" s="34"/>
      <c r="Z467" s="34"/>
    </row>
    <row r="468" spans="1:26" ht="13">
      <c r="A468" s="34"/>
      <c r="B468" s="34"/>
      <c r="C468" s="34"/>
      <c r="D468" s="34"/>
      <c r="E468" s="34"/>
      <c r="F468" s="33"/>
      <c r="G468" s="34"/>
      <c r="H468" s="34"/>
      <c r="I468" s="33"/>
      <c r="J468" s="34"/>
      <c r="K468" s="34"/>
      <c r="L468" s="34"/>
      <c r="M468" s="34"/>
      <c r="N468" s="34"/>
      <c r="O468" s="34"/>
      <c r="P468" s="34"/>
      <c r="Q468" s="34"/>
      <c r="R468" s="34"/>
      <c r="S468" s="34"/>
      <c r="T468" s="34"/>
      <c r="U468" s="34"/>
      <c r="V468" s="34"/>
      <c r="W468" s="34"/>
      <c r="X468" s="34"/>
      <c r="Y468" s="34"/>
      <c r="Z468" s="34"/>
    </row>
    <row r="469" spans="1:26" ht="13">
      <c r="A469" s="34"/>
      <c r="B469" s="34"/>
      <c r="C469" s="34"/>
      <c r="D469" s="34"/>
      <c r="E469" s="34"/>
      <c r="F469" s="33"/>
      <c r="G469" s="34"/>
      <c r="H469" s="34"/>
      <c r="I469" s="33"/>
      <c r="J469" s="34"/>
      <c r="K469" s="34"/>
      <c r="L469" s="34"/>
      <c r="M469" s="34"/>
      <c r="N469" s="34"/>
      <c r="O469" s="34"/>
      <c r="P469" s="34"/>
      <c r="Q469" s="34"/>
      <c r="R469" s="34"/>
      <c r="S469" s="34"/>
      <c r="T469" s="34"/>
      <c r="U469" s="34"/>
      <c r="V469" s="34"/>
      <c r="W469" s="34"/>
      <c r="X469" s="34"/>
      <c r="Y469" s="34"/>
      <c r="Z469" s="34"/>
    </row>
    <row r="470" spans="1:26" ht="13">
      <c r="A470" s="34"/>
      <c r="B470" s="34"/>
      <c r="C470" s="34"/>
      <c r="D470" s="34"/>
      <c r="E470" s="34"/>
      <c r="F470" s="33"/>
      <c r="G470" s="34"/>
      <c r="H470" s="34"/>
      <c r="I470" s="33"/>
      <c r="J470" s="34"/>
      <c r="K470" s="34"/>
      <c r="L470" s="34"/>
      <c r="M470" s="34"/>
      <c r="N470" s="34"/>
      <c r="O470" s="34"/>
      <c r="P470" s="34"/>
      <c r="Q470" s="34"/>
      <c r="R470" s="34"/>
      <c r="S470" s="34"/>
      <c r="T470" s="34"/>
      <c r="U470" s="34"/>
      <c r="V470" s="34"/>
      <c r="W470" s="34"/>
      <c r="X470" s="34"/>
      <c r="Y470" s="34"/>
      <c r="Z470" s="34"/>
    </row>
    <row r="471" spans="1:26" ht="13">
      <c r="A471" s="34"/>
      <c r="B471" s="34"/>
      <c r="C471" s="34"/>
      <c r="D471" s="34"/>
      <c r="E471" s="34"/>
      <c r="F471" s="33"/>
      <c r="G471" s="34"/>
      <c r="H471" s="34"/>
      <c r="I471" s="33"/>
      <c r="J471" s="34"/>
      <c r="K471" s="34"/>
      <c r="L471" s="34"/>
      <c r="M471" s="34"/>
      <c r="N471" s="34"/>
      <c r="O471" s="34"/>
      <c r="P471" s="34"/>
      <c r="Q471" s="34"/>
      <c r="R471" s="34"/>
      <c r="S471" s="34"/>
      <c r="T471" s="34"/>
      <c r="U471" s="34"/>
      <c r="V471" s="34"/>
      <c r="W471" s="34"/>
      <c r="X471" s="34"/>
      <c r="Y471" s="34"/>
      <c r="Z471" s="34"/>
    </row>
    <row r="472" spans="1:26" ht="13">
      <c r="A472" s="34"/>
      <c r="B472" s="34"/>
      <c r="C472" s="34"/>
      <c r="D472" s="34"/>
      <c r="E472" s="34"/>
      <c r="F472" s="33"/>
      <c r="G472" s="34"/>
      <c r="H472" s="34"/>
      <c r="I472" s="33"/>
      <c r="J472" s="34"/>
      <c r="K472" s="34"/>
      <c r="L472" s="34"/>
      <c r="M472" s="34"/>
      <c r="N472" s="34"/>
      <c r="O472" s="34"/>
      <c r="P472" s="34"/>
      <c r="Q472" s="34"/>
      <c r="R472" s="34"/>
      <c r="S472" s="34"/>
      <c r="T472" s="34"/>
      <c r="U472" s="34"/>
      <c r="V472" s="34"/>
      <c r="W472" s="34"/>
      <c r="X472" s="34"/>
      <c r="Y472" s="34"/>
      <c r="Z472" s="34"/>
    </row>
    <row r="473" spans="1:26" ht="13">
      <c r="A473" s="34"/>
      <c r="B473" s="34"/>
      <c r="C473" s="34"/>
      <c r="D473" s="34"/>
      <c r="E473" s="34"/>
      <c r="F473" s="33"/>
      <c r="G473" s="34"/>
      <c r="H473" s="34"/>
      <c r="I473" s="33"/>
      <c r="J473" s="34"/>
      <c r="K473" s="34"/>
      <c r="L473" s="34"/>
      <c r="M473" s="34"/>
      <c r="N473" s="34"/>
      <c r="O473" s="34"/>
      <c r="P473" s="34"/>
      <c r="Q473" s="34"/>
      <c r="R473" s="34"/>
      <c r="S473" s="34"/>
      <c r="T473" s="34"/>
      <c r="U473" s="34"/>
      <c r="V473" s="34"/>
      <c r="W473" s="34"/>
      <c r="X473" s="34"/>
      <c r="Y473" s="34"/>
      <c r="Z473" s="34"/>
    </row>
    <row r="474" spans="1:26" ht="13">
      <c r="A474" s="34"/>
      <c r="B474" s="34"/>
      <c r="C474" s="34"/>
      <c r="D474" s="34"/>
      <c r="E474" s="34"/>
      <c r="F474" s="33"/>
      <c r="G474" s="34"/>
      <c r="H474" s="34"/>
      <c r="I474" s="33"/>
      <c r="J474" s="34"/>
      <c r="K474" s="34"/>
      <c r="L474" s="34"/>
      <c r="M474" s="34"/>
      <c r="N474" s="34"/>
      <c r="O474" s="34"/>
      <c r="P474" s="34"/>
      <c r="Q474" s="34"/>
      <c r="R474" s="34"/>
      <c r="S474" s="34"/>
      <c r="T474" s="34"/>
      <c r="U474" s="34"/>
      <c r="V474" s="34"/>
      <c r="W474" s="34"/>
      <c r="X474" s="34"/>
      <c r="Y474" s="34"/>
      <c r="Z474" s="34"/>
    </row>
    <row r="475" spans="1:26" ht="13">
      <c r="A475" s="34"/>
      <c r="B475" s="34"/>
      <c r="C475" s="34"/>
      <c r="D475" s="34"/>
      <c r="E475" s="34"/>
      <c r="F475" s="33"/>
      <c r="G475" s="34"/>
      <c r="H475" s="34"/>
      <c r="I475" s="33"/>
      <c r="J475" s="34"/>
      <c r="K475" s="34"/>
      <c r="L475" s="34"/>
      <c r="M475" s="34"/>
      <c r="N475" s="34"/>
      <c r="O475" s="34"/>
      <c r="P475" s="34"/>
      <c r="Q475" s="34"/>
      <c r="R475" s="34"/>
      <c r="S475" s="34"/>
      <c r="T475" s="34"/>
      <c r="U475" s="34"/>
      <c r="V475" s="34"/>
      <c r="W475" s="34"/>
      <c r="X475" s="34"/>
      <c r="Y475" s="34"/>
      <c r="Z475" s="34"/>
    </row>
    <row r="476" spans="1:26" ht="13">
      <c r="A476" s="34"/>
      <c r="B476" s="34"/>
      <c r="C476" s="34"/>
      <c r="D476" s="34"/>
      <c r="E476" s="34"/>
      <c r="F476" s="33"/>
      <c r="G476" s="34"/>
      <c r="H476" s="34"/>
      <c r="I476" s="33"/>
      <c r="J476" s="34"/>
      <c r="K476" s="34"/>
      <c r="L476" s="34"/>
      <c r="M476" s="34"/>
      <c r="N476" s="34"/>
      <c r="O476" s="34"/>
      <c r="P476" s="34"/>
      <c r="Q476" s="34"/>
      <c r="R476" s="34"/>
      <c r="S476" s="34"/>
      <c r="T476" s="34"/>
      <c r="U476" s="34"/>
      <c r="V476" s="34"/>
      <c r="W476" s="34"/>
      <c r="X476" s="34"/>
      <c r="Y476" s="34"/>
      <c r="Z476" s="34"/>
    </row>
    <row r="477" spans="1:26" ht="13">
      <c r="A477" s="34"/>
      <c r="B477" s="34"/>
      <c r="C477" s="34"/>
      <c r="D477" s="34"/>
      <c r="E477" s="34"/>
      <c r="F477" s="33"/>
      <c r="G477" s="34"/>
      <c r="H477" s="34"/>
      <c r="I477" s="33"/>
      <c r="J477" s="34"/>
      <c r="K477" s="34"/>
      <c r="L477" s="34"/>
      <c r="M477" s="34"/>
      <c r="N477" s="34"/>
      <c r="O477" s="34"/>
      <c r="P477" s="34"/>
      <c r="Q477" s="34"/>
      <c r="R477" s="34"/>
      <c r="S477" s="34"/>
      <c r="T477" s="34"/>
      <c r="U477" s="34"/>
      <c r="V477" s="34"/>
      <c r="W477" s="34"/>
      <c r="X477" s="34"/>
      <c r="Y477" s="34"/>
      <c r="Z477" s="34"/>
    </row>
    <row r="478" spans="1:26" ht="13">
      <c r="A478" s="34"/>
      <c r="B478" s="34"/>
      <c r="C478" s="34"/>
      <c r="D478" s="34"/>
      <c r="E478" s="34"/>
      <c r="F478" s="33"/>
      <c r="G478" s="34"/>
      <c r="H478" s="34"/>
      <c r="I478" s="33"/>
      <c r="J478" s="34"/>
      <c r="K478" s="34"/>
      <c r="L478" s="34"/>
      <c r="M478" s="34"/>
      <c r="N478" s="34"/>
      <c r="O478" s="34"/>
      <c r="P478" s="34"/>
      <c r="Q478" s="34"/>
      <c r="R478" s="34"/>
      <c r="S478" s="34"/>
      <c r="T478" s="34"/>
      <c r="U478" s="34"/>
      <c r="V478" s="34"/>
      <c r="W478" s="34"/>
      <c r="X478" s="34"/>
      <c r="Y478" s="34"/>
      <c r="Z478" s="34"/>
    </row>
    <row r="479" spans="1:26" ht="13">
      <c r="A479" s="34"/>
      <c r="B479" s="34"/>
      <c r="C479" s="34"/>
      <c r="D479" s="34"/>
      <c r="E479" s="34"/>
      <c r="F479" s="33"/>
      <c r="G479" s="34"/>
      <c r="H479" s="34"/>
      <c r="I479" s="33"/>
      <c r="J479" s="34"/>
      <c r="K479" s="34"/>
      <c r="L479" s="34"/>
      <c r="M479" s="34"/>
      <c r="N479" s="34"/>
      <c r="O479" s="34"/>
      <c r="P479" s="34"/>
      <c r="Q479" s="34"/>
      <c r="R479" s="34"/>
      <c r="S479" s="34"/>
      <c r="T479" s="34"/>
      <c r="U479" s="34"/>
      <c r="V479" s="34"/>
      <c r="W479" s="34"/>
      <c r="X479" s="34"/>
      <c r="Y479" s="34"/>
      <c r="Z479" s="34"/>
    </row>
    <row r="480" spans="1:26" ht="13">
      <c r="A480" s="34"/>
      <c r="B480" s="34"/>
      <c r="C480" s="34"/>
      <c r="D480" s="34"/>
      <c r="E480" s="34"/>
      <c r="F480" s="33"/>
      <c r="G480" s="34"/>
      <c r="H480" s="34"/>
      <c r="I480" s="33"/>
      <c r="J480" s="34"/>
      <c r="K480" s="34"/>
      <c r="L480" s="34"/>
      <c r="M480" s="34"/>
      <c r="N480" s="34"/>
      <c r="O480" s="34"/>
      <c r="P480" s="34"/>
      <c r="Q480" s="34"/>
      <c r="R480" s="34"/>
      <c r="S480" s="34"/>
      <c r="T480" s="34"/>
      <c r="U480" s="34"/>
      <c r="V480" s="34"/>
      <c r="W480" s="34"/>
      <c r="X480" s="34"/>
      <c r="Y480" s="34"/>
      <c r="Z480" s="34"/>
    </row>
    <row r="481" spans="1:26" ht="13">
      <c r="A481" s="34"/>
      <c r="B481" s="34"/>
      <c r="C481" s="34"/>
      <c r="D481" s="34"/>
      <c r="E481" s="34"/>
      <c r="F481" s="33"/>
      <c r="G481" s="34"/>
      <c r="H481" s="34"/>
      <c r="I481" s="33"/>
      <c r="J481" s="34"/>
      <c r="K481" s="34"/>
      <c r="L481" s="34"/>
      <c r="M481" s="34"/>
      <c r="N481" s="34"/>
      <c r="O481" s="34"/>
      <c r="P481" s="34"/>
      <c r="Q481" s="34"/>
      <c r="R481" s="34"/>
      <c r="S481" s="34"/>
      <c r="T481" s="34"/>
      <c r="U481" s="34"/>
      <c r="V481" s="34"/>
      <c r="W481" s="34"/>
      <c r="X481" s="34"/>
      <c r="Y481" s="34"/>
      <c r="Z481" s="34"/>
    </row>
    <row r="482" spans="1:26" ht="13">
      <c r="A482" s="34"/>
      <c r="B482" s="34"/>
      <c r="C482" s="34"/>
      <c r="D482" s="34"/>
      <c r="E482" s="34"/>
      <c r="F482" s="33"/>
      <c r="G482" s="34"/>
      <c r="H482" s="34"/>
      <c r="I482" s="33"/>
      <c r="J482" s="34"/>
      <c r="K482" s="34"/>
      <c r="L482" s="34"/>
      <c r="M482" s="34"/>
      <c r="N482" s="34"/>
      <c r="O482" s="34"/>
      <c r="P482" s="34"/>
      <c r="Q482" s="34"/>
      <c r="R482" s="34"/>
      <c r="S482" s="34"/>
      <c r="T482" s="34"/>
      <c r="U482" s="34"/>
      <c r="V482" s="34"/>
      <c r="W482" s="34"/>
      <c r="X482" s="34"/>
      <c r="Y482" s="34"/>
      <c r="Z482" s="34"/>
    </row>
    <row r="483" spans="1:26" ht="13">
      <c r="A483" s="34"/>
      <c r="B483" s="34"/>
      <c r="C483" s="34"/>
      <c r="D483" s="34"/>
      <c r="E483" s="34"/>
      <c r="F483" s="33"/>
      <c r="G483" s="34"/>
      <c r="H483" s="34"/>
      <c r="I483" s="33"/>
      <c r="J483" s="34"/>
      <c r="K483" s="34"/>
      <c r="L483" s="34"/>
      <c r="M483" s="34"/>
      <c r="N483" s="34"/>
      <c r="O483" s="34"/>
      <c r="P483" s="34"/>
      <c r="Q483" s="34"/>
      <c r="R483" s="34"/>
      <c r="S483" s="34"/>
      <c r="T483" s="34"/>
      <c r="U483" s="34"/>
      <c r="V483" s="34"/>
      <c r="W483" s="34"/>
      <c r="X483" s="34"/>
      <c r="Y483" s="34"/>
      <c r="Z483" s="34"/>
    </row>
    <row r="484" spans="1:26" ht="13">
      <c r="A484" s="34"/>
      <c r="B484" s="34"/>
      <c r="C484" s="34"/>
      <c r="D484" s="34"/>
      <c r="E484" s="34"/>
      <c r="F484" s="33"/>
      <c r="G484" s="34"/>
      <c r="H484" s="34"/>
      <c r="I484" s="33"/>
      <c r="J484" s="34"/>
      <c r="K484" s="34"/>
      <c r="L484" s="34"/>
      <c r="M484" s="34"/>
      <c r="N484" s="34"/>
      <c r="O484" s="34"/>
      <c r="P484" s="34"/>
      <c r="Q484" s="34"/>
      <c r="R484" s="34"/>
      <c r="S484" s="34"/>
      <c r="T484" s="34"/>
      <c r="U484" s="34"/>
      <c r="V484" s="34"/>
      <c r="W484" s="34"/>
      <c r="X484" s="34"/>
      <c r="Y484" s="34"/>
      <c r="Z484" s="34"/>
    </row>
    <row r="485" spans="1:26" ht="13">
      <c r="A485" s="34"/>
      <c r="B485" s="34"/>
      <c r="C485" s="34"/>
      <c r="D485" s="34"/>
      <c r="E485" s="34"/>
      <c r="F485" s="33"/>
      <c r="G485" s="34"/>
      <c r="H485" s="34"/>
      <c r="I485" s="33"/>
      <c r="J485" s="34"/>
      <c r="K485" s="34"/>
      <c r="L485" s="34"/>
      <c r="M485" s="34"/>
      <c r="N485" s="34"/>
      <c r="O485" s="34"/>
      <c r="P485" s="34"/>
      <c r="Q485" s="34"/>
      <c r="R485" s="34"/>
      <c r="S485" s="34"/>
      <c r="T485" s="34"/>
      <c r="U485" s="34"/>
      <c r="V485" s="34"/>
      <c r="W485" s="34"/>
      <c r="X485" s="34"/>
      <c r="Y485" s="34"/>
      <c r="Z485" s="34"/>
    </row>
    <row r="486" spans="1:26" ht="13">
      <c r="A486" s="34"/>
      <c r="B486" s="34"/>
      <c r="C486" s="34"/>
      <c r="D486" s="34"/>
      <c r="E486" s="34"/>
      <c r="F486" s="33"/>
      <c r="G486" s="34"/>
      <c r="H486" s="34"/>
      <c r="I486" s="33"/>
      <c r="J486" s="34"/>
      <c r="K486" s="34"/>
      <c r="L486" s="34"/>
      <c r="M486" s="34"/>
      <c r="N486" s="34"/>
      <c r="O486" s="34"/>
      <c r="P486" s="34"/>
      <c r="Q486" s="34"/>
      <c r="R486" s="34"/>
      <c r="S486" s="34"/>
      <c r="T486" s="34"/>
      <c r="U486" s="34"/>
      <c r="V486" s="34"/>
      <c r="W486" s="34"/>
      <c r="X486" s="34"/>
      <c r="Y486" s="34"/>
      <c r="Z486" s="34"/>
    </row>
    <row r="487" spans="1:26" ht="13">
      <c r="A487" s="34"/>
      <c r="B487" s="34"/>
      <c r="C487" s="34"/>
      <c r="D487" s="34"/>
      <c r="E487" s="34"/>
      <c r="F487" s="33"/>
      <c r="G487" s="34"/>
      <c r="H487" s="34"/>
      <c r="I487" s="33"/>
      <c r="J487" s="34"/>
      <c r="K487" s="34"/>
      <c r="L487" s="34"/>
      <c r="M487" s="34"/>
      <c r="N487" s="34"/>
      <c r="O487" s="34"/>
      <c r="P487" s="34"/>
      <c r="Q487" s="34"/>
      <c r="R487" s="34"/>
      <c r="S487" s="34"/>
      <c r="T487" s="34"/>
      <c r="U487" s="34"/>
      <c r="V487" s="34"/>
      <c r="W487" s="34"/>
      <c r="X487" s="34"/>
      <c r="Y487" s="34"/>
      <c r="Z487" s="34"/>
    </row>
    <row r="488" spans="1:26" ht="13">
      <c r="A488" s="34"/>
      <c r="B488" s="34"/>
      <c r="C488" s="34"/>
      <c r="D488" s="34"/>
      <c r="E488" s="34"/>
      <c r="F488" s="33"/>
      <c r="G488" s="34"/>
      <c r="H488" s="34"/>
      <c r="I488" s="33"/>
      <c r="J488" s="34"/>
      <c r="K488" s="34"/>
      <c r="L488" s="34"/>
      <c r="M488" s="34"/>
      <c r="N488" s="34"/>
      <c r="O488" s="34"/>
      <c r="P488" s="34"/>
      <c r="Q488" s="34"/>
      <c r="R488" s="34"/>
      <c r="S488" s="34"/>
      <c r="T488" s="34"/>
      <c r="U488" s="34"/>
      <c r="V488" s="34"/>
      <c r="W488" s="34"/>
      <c r="X488" s="34"/>
      <c r="Y488" s="34"/>
      <c r="Z488" s="34"/>
    </row>
    <row r="489" spans="1:26" ht="13">
      <c r="A489" s="34"/>
      <c r="B489" s="34"/>
      <c r="C489" s="34"/>
      <c r="D489" s="34"/>
      <c r="E489" s="34"/>
      <c r="F489" s="33"/>
      <c r="G489" s="34"/>
      <c r="H489" s="34"/>
      <c r="I489" s="33"/>
      <c r="J489" s="34"/>
      <c r="K489" s="34"/>
      <c r="L489" s="34"/>
      <c r="M489" s="34"/>
      <c r="N489" s="34"/>
      <c r="O489" s="34"/>
      <c r="P489" s="34"/>
      <c r="Q489" s="34"/>
      <c r="R489" s="34"/>
      <c r="S489" s="34"/>
      <c r="T489" s="34"/>
      <c r="U489" s="34"/>
      <c r="V489" s="34"/>
      <c r="W489" s="34"/>
      <c r="X489" s="34"/>
      <c r="Y489" s="34"/>
      <c r="Z489" s="34"/>
    </row>
    <row r="490" spans="1:26" ht="13">
      <c r="A490" s="34"/>
      <c r="B490" s="34"/>
      <c r="C490" s="34"/>
      <c r="D490" s="34"/>
      <c r="E490" s="34"/>
      <c r="F490" s="33"/>
      <c r="G490" s="34"/>
      <c r="H490" s="34"/>
      <c r="I490" s="33"/>
      <c r="J490" s="34"/>
      <c r="K490" s="34"/>
      <c r="L490" s="34"/>
      <c r="M490" s="34"/>
      <c r="N490" s="34"/>
      <c r="O490" s="34"/>
      <c r="P490" s="34"/>
      <c r="Q490" s="34"/>
      <c r="R490" s="34"/>
      <c r="S490" s="34"/>
      <c r="T490" s="34"/>
      <c r="U490" s="34"/>
      <c r="V490" s="34"/>
      <c r="W490" s="34"/>
      <c r="X490" s="34"/>
      <c r="Y490" s="34"/>
      <c r="Z490" s="34"/>
    </row>
    <row r="491" spans="1:26" ht="13">
      <c r="A491" s="34"/>
      <c r="B491" s="34"/>
      <c r="C491" s="34"/>
      <c r="D491" s="34"/>
      <c r="E491" s="34"/>
      <c r="F491" s="33"/>
      <c r="G491" s="34"/>
      <c r="H491" s="34"/>
      <c r="I491" s="33"/>
      <c r="J491" s="34"/>
      <c r="K491" s="34"/>
      <c r="L491" s="34"/>
      <c r="M491" s="34"/>
      <c r="N491" s="34"/>
      <c r="O491" s="34"/>
      <c r="P491" s="34"/>
      <c r="Q491" s="34"/>
      <c r="R491" s="34"/>
      <c r="S491" s="34"/>
      <c r="T491" s="34"/>
      <c r="U491" s="34"/>
      <c r="V491" s="34"/>
      <c r="W491" s="34"/>
      <c r="X491" s="34"/>
      <c r="Y491" s="34"/>
      <c r="Z491" s="34"/>
    </row>
    <row r="492" spans="1:26" ht="13">
      <c r="A492" s="34"/>
      <c r="B492" s="34"/>
      <c r="C492" s="34"/>
      <c r="D492" s="34"/>
      <c r="E492" s="34"/>
      <c r="F492" s="33"/>
      <c r="G492" s="34"/>
      <c r="H492" s="34"/>
      <c r="I492" s="33"/>
      <c r="J492" s="34"/>
      <c r="K492" s="34"/>
      <c r="L492" s="34"/>
      <c r="M492" s="34"/>
      <c r="N492" s="34"/>
      <c r="O492" s="34"/>
      <c r="P492" s="34"/>
      <c r="Q492" s="34"/>
      <c r="R492" s="34"/>
      <c r="S492" s="34"/>
      <c r="T492" s="34"/>
      <c r="U492" s="34"/>
      <c r="V492" s="34"/>
      <c r="W492" s="34"/>
      <c r="X492" s="34"/>
      <c r="Y492" s="34"/>
      <c r="Z492" s="34"/>
    </row>
    <row r="493" spans="1:26" ht="13">
      <c r="A493" s="34"/>
      <c r="B493" s="34"/>
      <c r="C493" s="34"/>
      <c r="D493" s="34"/>
      <c r="E493" s="34"/>
      <c r="F493" s="33"/>
      <c r="G493" s="34"/>
      <c r="H493" s="34"/>
      <c r="I493" s="33"/>
      <c r="J493" s="34"/>
      <c r="K493" s="34"/>
      <c r="L493" s="34"/>
      <c r="M493" s="34"/>
      <c r="N493" s="34"/>
      <c r="O493" s="34"/>
      <c r="P493" s="34"/>
      <c r="Q493" s="34"/>
      <c r="R493" s="34"/>
      <c r="S493" s="34"/>
      <c r="T493" s="34"/>
      <c r="U493" s="34"/>
      <c r="V493" s="34"/>
      <c r="W493" s="34"/>
      <c r="X493" s="34"/>
      <c r="Y493" s="34"/>
      <c r="Z493" s="34"/>
    </row>
    <row r="494" spans="1:26" ht="13">
      <c r="A494" s="34"/>
      <c r="B494" s="34"/>
      <c r="C494" s="34"/>
      <c r="D494" s="34"/>
      <c r="E494" s="34"/>
      <c r="F494" s="33"/>
      <c r="G494" s="34"/>
      <c r="H494" s="34"/>
      <c r="I494" s="33"/>
      <c r="J494" s="34"/>
      <c r="K494" s="34"/>
      <c r="L494" s="34"/>
      <c r="M494" s="34"/>
      <c r="N494" s="34"/>
      <c r="O494" s="34"/>
      <c r="P494" s="34"/>
      <c r="Q494" s="34"/>
      <c r="R494" s="34"/>
      <c r="S494" s="34"/>
      <c r="T494" s="34"/>
      <c r="U494" s="34"/>
      <c r="V494" s="34"/>
      <c r="W494" s="34"/>
      <c r="X494" s="34"/>
      <c r="Y494" s="34"/>
      <c r="Z494" s="34"/>
    </row>
    <row r="495" spans="1:26" ht="13">
      <c r="A495" s="34"/>
      <c r="B495" s="34"/>
      <c r="C495" s="34"/>
      <c r="D495" s="34"/>
      <c r="E495" s="34"/>
      <c r="F495" s="33"/>
      <c r="G495" s="34"/>
      <c r="H495" s="34"/>
      <c r="I495" s="33"/>
      <c r="J495" s="34"/>
      <c r="K495" s="34"/>
      <c r="L495" s="34"/>
      <c r="M495" s="34"/>
      <c r="N495" s="34"/>
      <c r="O495" s="34"/>
      <c r="P495" s="34"/>
      <c r="Q495" s="34"/>
      <c r="R495" s="34"/>
      <c r="S495" s="34"/>
      <c r="T495" s="34"/>
      <c r="U495" s="34"/>
      <c r="V495" s="34"/>
      <c r="W495" s="34"/>
      <c r="X495" s="34"/>
      <c r="Y495" s="34"/>
      <c r="Z495" s="34"/>
    </row>
    <row r="496" spans="1:26" ht="13">
      <c r="A496" s="34"/>
      <c r="B496" s="34"/>
      <c r="C496" s="34"/>
      <c r="D496" s="34"/>
      <c r="E496" s="34"/>
      <c r="F496" s="33"/>
      <c r="G496" s="34"/>
      <c r="H496" s="34"/>
      <c r="I496" s="33"/>
      <c r="J496" s="34"/>
      <c r="K496" s="34"/>
      <c r="L496" s="34"/>
      <c r="M496" s="34"/>
      <c r="N496" s="34"/>
      <c r="O496" s="34"/>
      <c r="P496" s="34"/>
      <c r="Q496" s="34"/>
      <c r="R496" s="34"/>
      <c r="S496" s="34"/>
      <c r="T496" s="34"/>
      <c r="U496" s="34"/>
      <c r="V496" s="34"/>
      <c r="W496" s="34"/>
      <c r="X496" s="34"/>
      <c r="Y496" s="34"/>
      <c r="Z496" s="34"/>
    </row>
    <row r="497" spans="1:26" ht="13">
      <c r="A497" s="34"/>
      <c r="B497" s="34"/>
      <c r="C497" s="34"/>
      <c r="D497" s="34"/>
      <c r="E497" s="34"/>
      <c r="F497" s="33"/>
      <c r="G497" s="34"/>
      <c r="H497" s="34"/>
      <c r="I497" s="33"/>
      <c r="J497" s="34"/>
      <c r="K497" s="34"/>
      <c r="L497" s="34"/>
      <c r="M497" s="34"/>
      <c r="N497" s="34"/>
      <c r="O497" s="34"/>
      <c r="P497" s="34"/>
      <c r="Q497" s="34"/>
      <c r="R497" s="34"/>
      <c r="S497" s="34"/>
      <c r="T497" s="34"/>
      <c r="U497" s="34"/>
      <c r="V497" s="34"/>
      <c r="W497" s="34"/>
      <c r="X497" s="34"/>
      <c r="Y497" s="34"/>
      <c r="Z497" s="34"/>
    </row>
    <row r="498" spans="1:26" ht="13">
      <c r="A498" s="34"/>
      <c r="B498" s="34"/>
      <c r="C498" s="34"/>
      <c r="D498" s="34"/>
      <c r="E498" s="34"/>
      <c r="F498" s="33"/>
      <c r="G498" s="34"/>
      <c r="H498" s="34"/>
      <c r="I498" s="33"/>
      <c r="J498" s="34"/>
      <c r="K498" s="34"/>
      <c r="L498" s="34"/>
      <c r="M498" s="34"/>
      <c r="N498" s="34"/>
      <c r="O498" s="34"/>
      <c r="P498" s="34"/>
      <c r="Q498" s="34"/>
      <c r="R498" s="34"/>
      <c r="S498" s="34"/>
      <c r="T498" s="34"/>
      <c r="U498" s="34"/>
      <c r="V498" s="34"/>
      <c r="W498" s="34"/>
      <c r="X498" s="34"/>
      <c r="Y498" s="34"/>
      <c r="Z498" s="34"/>
    </row>
    <row r="499" spans="1:26" ht="13">
      <c r="A499" s="34"/>
      <c r="B499" s="34"/>
      <c r="C499" s="34"/>
      <c r="D499" s="34"/>
      <c r="E499" s="34"/>
      <c r="F499" s="33"/>
      <c r="G499" s="34"/>
      <c r="H499" s="34"/>
      <c r="I499" s="33"/>
      <c r="J499" s="34"/>
      <c r="K499" s="34"/>
      <c r="L499" s="34"/>
      <c r="M499" s="34"/>
      <c r="N499" s="34"/>
      <c r="O499" s="34"/>
      <c r="P499" s="34"/>
      <c r="Q499" s="34"/>
      <c r="R499" s="34"/>
      <c r="S499" s="34"/>
      <c r="T499" s="34"/>
      <c r="U499" s="34"/>
      <c r="V499" s="34"/>
      <c r="W499" s="34"/>
      <c r="X499" s="34"/>
      <c r="Y499" s="34"/>
      <c r="Z499" s="34"/>
    </row>
    <row r="500" spans="1:26" ht="13">
      <c r="A500" s="34"/>
      <c r="B500" s="34"/>
      <c r="C500" s="34"/>
      <c r="D500" s="34"/>
      <c r="E500" s="34"/>
      <c r="F500" s="33"/>
      <c r="G500" s="34"/>
      <c r="H500" s="34"/>
      <c r="I500" s="33"/>
      <c r="J500" s="34"/>
      <c r="K500" s="34"/>
      <c r="L500" s="34"/>
      <c r="M500" s="34"/>
      <c r="N500" s="34"/>
      <c r="O500" s="34"/>
      <c r="P500" s="34"/>
      <c r="Q500" s="34"/>
      <c r="R500" s="34"/>
      <c r="S500" s="34"/>
      <c r="T500" s="34"/>
      <c r="U500" s="34"/>
      <c r="V500" s="34"/>
      <c r="W500" s="34"/>
      <c r="X500" s="34"/>
      <c r="Y500" s="34"/>
      <c r="Z500" s="34"/>
    </row>
    <row r="501" spans="1:26" ht="13">
      <c r="A501" s="34"/>
      <c r="B501" s="34"/>
      <c r="C501" s="34"/>
      <c r="D501" s="34"/>
      <c r="E501" s="34"/>
      <c r="F501" s="33"/>
      <c r="G501" s="34"/>
      <c r="H501" s="34"/>
      <c r="I501" s="33"/>
      <c r="J501" s="34"/>
      <c r="K501" s="34"/>
      <c r="L501" s="34"/>
      <c r="M501" s="34"/>
      <c r="N501" s="34"/>
      <c r="O501" s="34"/>
      <c r="P501" s="34"/>
      <c r="Q501" s="34"/>
      <c r="R501" s="34"/>
      <c r="S501" s="34"/>
      <c r="T501" s="34"/>
      <c r="U501" s="34"/>
      <c r="V501" s="34"/>
      <c r="W501" s="34"/>
      <c r="X501" s="34"/>
      <c r="Y501" s="34"/>
      <c r="Z501" s="34"/>
    </row>
    <row r="502" spans="1:26" ht="13">
      <c r="A502" s="34"/>
      <c r="B502" s="34"/>
      <c r="C502" s="34"/>
      <c r="D502" s="34"/>
      <c r="E502" s="34"/>
      <c r="F502" s="33"/>
      <c r="G502" s="34"/>
      <c r="H502" s="34"/>
      <c r="I502" s="33"/>
      <c r="J502" s="34"/>
      <c r="K502" s="34"/>
      <c r="L502" s="34"/>
      <c r="M502" s="34"/>
      <c r="N502" s="34"/>
      <c r="O502" s="34"/>
      <c r="P502" s="34"/>
      <c r="Q502" s="34"/>
      <c r="R502" s="34"/>
      <c r="S502" s="34"/>
      <c r="T502" s="34"/>
      <c r="U502" s="34"/>
      <c r="V502" s="34"/>
      <c r="W502" s="34"/>
      <c r="X502" s="34"/>
      <c r="Y502" s="34"/>
      <c r="Z502" s="34"/>
    </row>
    <row r="503" spans="1:26" ht="13">
      <c r="A503" s="34"/>
      <c r="B503" s="34"/>
      <c r="C503" s="34"/>
      <c r="D503" s="34"/>
      <c r="E503" s="34"/>
      <c r="F503" s="33"/>
      <c r="G503" s="34"/>
      <c r="H503" s="34"/>
      <c r="I503" s="33"/>
      <c r="J503" s="34"/>
      <c r="K503" s="34"/>
      <c r="L503" s="34"/>
      <c r="M503" s="34"/>
      <c r="N503" s="34"/>
      <c r="O503" s="34"/>
      <c r="P503" s="34"/>
      <c r="Q503" s="34"/>
      <c r="R503" s="34"/>
      <c r="S503" s="34"/>
      <c r="T503" s="34"/>
      <c r="U503" s="34"/>
      <c r="V503" s="34"/>
      <c r="W503" s="34"/>
      <c r="X503" s="34"/>
      <c r="Y503" s="34"/>
      <c r="Z503" s="34"/>
    </row>
    <row r="504" spans="1:26" ht="13">
      <c r="A504" s="34"/>
      <c r="B504" s="34"/>
      <c r="C504" s="34"/>
      <c r="D504" s="34"/>
      <c r="E504" s="34"/>
      <c r="F504" s="33"/>
      <c r="G504" s="34"/>
      <c r="H504" s="34"/>
      <c r="I504" s="33"/>
      <c r="J504" s="34"/>
      <c r="K504" s="34"/>
      <c r="L504" s="34"/>
      <c r="M504" s="34"/>
      <c r="N504" s="34"/>
      <c r="O504" s="34"/>
      <c r="P504" s="34"/>
      <c r="Q504" s="34"/>
      <c r="R504" s="34"/>
      <c r="S504" s="34"/>
      <c r="T504" s="34"/>
      <c r="U504" s="34"/>
      <c r="V504" s="34"/>
      <c r="W504" s="34"/>
      <c r="X504" s="34"/>
      <c r="Y504" s="34"/>
      <c r="Z504" s="34"/>
    </row>
    <row r="505" spans="1:26" ht="13">
      <c r="A505" s="34"/>
      <c r="B505" s="34"/>
      <c r="C505" s="34"/>
      <c r="D505" s="34"/>
      <c r="E505" s="34"/>
      <c r="F505" s="33"/>
      <c r="G505" s="34"/>
      <c r="H505" s="34"/>
      <c r="I505" s="33"/>
      <c r="J505" s="34"/>
      <c r="K505" s="34"/>
      <c r="L505" s="34"/>
      <c r="M505" s="34"/>
      <c r="N505" s="34"/>
      <c r="O505" s="34"/>
      <c r="P505" s="34"/>
      <c r="Q505" s="34"/>
      <c r="R505" s="34"/>
      <c r="S505" s="34"/>
      <c r="T505" s="34"/>
      <c r="U505" s="34"/>
      <c r="V505" s="34"/>
      <c r="W505" s="34"/>
      <c r="X505" s="34"/>
      <c r="Y505" s="34"/>
      <c r="Z505" s="34"/>
    </row>
    <row r="506" spans="1:26" ht="13">
      <c r="A506" s="34"/>
      <c r="B506" s="34"/>
      <c r="C506" s="34"/>
      <c r="D506" s="34"/>
      <c r="E506" s="34"/>
      <c r="F506" s="33"/>
      <c r="G506" s="34"/>
      <c r="H506" s="34"/>
      <c r="I506" s="33"/>
      <c r="J506" s="34"/>
      <c r="K506" s="34"/>
      <c r="L506" s="34"/>
      <c r="M506" s="34"/>
      <c r="N506" s="34"/>
      <c r="O506" s="34"/>
      <c r="P506" s="34"/>
      <c r="Q506" s="34"/>
      <c r="R506" s="34"/>
      <c r="S506" s="34"/>
      <c r="T506" s="34"/>
      <c r="U506" s="34"/>
      <c r="V506" s="34"/>
      <c r="W506" s="34"/>
      <c r="X506" s="34"/>
      <c r="Y506" s="34"/>
      <c r="Z506" s="34"/>
    </row>
    <row r="507" spans="1:26" ht="13">
      <c r="A507" s="34"/>
      <c r="B507" s="34"/>
      <c r="C507" s="34"/>
      <c r="D507" s="34"/>
      <c r="E507" s="34"/>
      <c r="F507" s="33"/>
      <c r="G507" s="34"/>
      <c r="H507" s="34"/>
      <c r="I507" s="33"/>
      <c r="J507" s="34"/>
      <c r="K507" s="34"/>
      <c r="L507" s="34"/>
      <c r="M507" s="34"/>
      <c r="N507" s="34"/>
      <c r="O507" s="34"/>
      <c r="P507" s="34"/>
      <c r="Q507" s="34"/>
      <c r="R507" s="34"/>
      <c r="S507" s="34"/>
      <c r="T507" s="34"/>
      <c r="U507" s="34"/>
      <c r="V507" s="34"/>
      <c r="W507" s="34"/>
      <c r="X507" s="34"/>
      <c r="Y507" s="34"/>
      <c r="Z507" s="34"/>
    </row>
    <row r="508" spans="1:26" ht="13">
      <c r="A508" s="34"/>
      <c r="B508" s="34"/>
      <c r="C508" s="34"/>
      <c r="D508" s="34"/>
      <c r="E508" s="34"/>
      <c r="F508" s="33"/>
      <c r="G508" s="34"/>
      <c r="H508" s="34"/>
      <c r="I508" s="33"/>
      <c r="J508" s="34"/>
      <c r="K508" s="34"/>
      <c r="L508" s="34"/>
      <c r="M508" s="34"/>
      <c r="N508" s="34"/>
      <c r="O508" s="34"/>
      <c r="P508" s="34"/>
      <c r="Q508" s="34"/>
      <c r="R508" s="34"/>
      <c r="S508" s="34"/>
      <c r="T508" s="34"/>
      <c r="U508" s="34"/>
      <c r="V508" s="34"/>
      <c r="W508" s="34"/>
      <c r="X508" s="34"/>
      <c r="Y508" s="34"/>
      <c r="Z508" s="34"/>
    </row>
    <row r="509" spans="1:26" ht="13">
      <c r="A509" s="34"/>
      <c r="B509" s="34"/>
      <c r="C509" s="34"/>
      <c r="D509" s="34"/>
      <c r="E509" s="34"/>
      <c r="F509" s="33"/>
      <c r="G509" s="34"/>
      <c r="H509" s="34"/>
      <c r="I509" s="33"/>
      <c r="J509" s="34"/>
      <c r="K509" s="34"/>
      <c r="L509" s="34"/>
      <c r="M509" s="34"/>
      <c r="N509" s="34"/>
      <c r="O509" s="34"/>
      <c r="P509" s="34"/>
      <c r="Q509" s="34"/>
      <c r="R509" s="34"/>
      <c r="S509" s="34"/>
      <c r="T509" s="34"/>
      <c r="U509" s="34"/>
      <c r="V509" s="34"/>
      <c r="W509" s="34"/>
      <c r="X509" s="34"/>
      <c r="Y509" s="34"/>
      <c r="Z509" s="34"/>
    </row>
    <row r="510" spans="1:26" ht="13">
      <c r="A510" s="34"/>
      <c r="B510" s="34"/>
      <c r="C510" s="34"/>
      <c r="D510" s="34"/>
      <c r="E510" s="34"/>
      <c r="F510" s="33"/>
      <c r="G510" s="34"/>
      <c r="H510" s="34"/>
      <c r="I510" s="33"/>
      <c r="J510" s="34"/>
      <c r="K510" s="34"/>
      <c r="L510" s="34"/>
      <c r="M510" s="34"/>
      <c r="N510" s="34"/>
      <c r="O510" s="34"/>
      <c r="P510" s="34"/>
      <c r="Q510" s="34"/>
      <c r="R510" s="34"/>
      <c r="S510" s="34"/>
      <c r="T510" s="34"/>
      <c r="U510" s="34"/>
      <c r="V510" s="34"/>
      <c r="W510" s="34"/>
      <c r="X510" s="34"/>
      <c r="Y510" s="34"/>
      <c r="Z510" s="34"/>
    </row>
    <row r="511" spans="1:26" ht="13">
      <c r="A511" s="34"/>
      <c r="B511" s="34"/>
      <c r="C511" s="34"/>
      <c r="D511" s="34"/>
      <c r="E511" s="34"/>
      <c r="F511" s="33"/>
      <c r="G511" s="34"/>
      <c r="H511" s="34"/>
      <c r="I511" s="33"/>
      <c r="J511" s="34"/>
      <c r="K511" s="34"/>
      <c r="L511" s="34"/>
      <c r="M511" s="34"/>
      <c r="N511" s="34"/>
      <c r="O511" s="34"/>
      <c r="P511" s="34"/>
      <c r="Q511" s="34"/>
      <c r="R511" s="34"/>
      <c r="S511" s="34"/>
      <c r="T511" s="34"/>
      <c r="U511" s="34"/>
      <c r="V511" s="34"/>
      <c r="W511" s="34"/>
      <c r="X511" s="34"/>
      <c r="Y511" s="34"/>
      <c r="Z511" s="34"/>
    </row>
    <row r="512" spans="1:26" ht="13">
      <c r="A512" s="34"/>
      <c r="B512" s="34"/>
      <c r="C512" s="34"/>
      <c r="D512" s="34"/>
      <c r="E512" s="34"/>
      <c r="F512" s="33"/>
      <c r="G512" s="34"/>
      <c r="H512" s="34"/>
      <c r="I512" s="33"/>
      <c r="J512" s="34"/>
      <c r="K512" s="34"/>
      <c r="L512" s="34"/>
      <c r="M512" s="34"/>
      <c r="N512" s="34"/>
      <c r="O512" s="34"/>
      <c r="P512" s="34"/>
      <c r="Q512" s="34"/>
      <c r="R512" s="34"/>
      <c r="S512" s="34"/>
      <c r="T512" s="34"/>
      <c r="U512" s="34"/>
      <c r="V512" s="34"/>
      <c r="W512" s="34"/>
      <c r="X512" s="34"/>
      <c r="Y512" s="34"/>
      <c r="Z512" s="34"/>
    </row>
    <row r="513" spans="1:26" ht="13">
      <c r="A513" s="34"/>
      <c r="B513" s="34"/>
      <c r="C513" s="34"/>
      <c r="D513" s="34"/>
      <c r="E513" s="34"/>
      <c r="F513" s="33"/>
      <c r="G513" s="34"/>
      <c r="H513" s="34"/>
      <c r="I513" s="33"/>
      <c r="J513" s="34"/>
      <c r="K513" s="34"/>
      <c r="L513" s="34"/>
      <c r="M513" s="34"/>
      <c r="N513" s="34"/>
      <c r="O513" s="34"/>
      <c r="P513" s="34"/>
      <c r="Q513" s="34"/>
      <c r="R513" s="34"/>
      <c r="S513" s="34"/>
      <c r="T513" s="34"/>
      <c r="U513" s="34"/>
      <c r="V513" s="34"/>
      <c r="W513" s="34"/>
      <c r="X513" s="34"/>
      <c r="Y513" s="34"/>
      <c r="Z513" s="34"/>
    </row>
    <row r="514" spans="1:26" ht="13">
      <c r="A514" s="34"/>
      <c r="B514" s="34"/>
      <c r="C514" s="34"/>
      <c r="D514" s="34"/>
      <c r="E514" s="34"/>
      <c r="F514" s="33"/>
      <c r="G514" s="34"/>
      <c r="H514" s="34"/>
      <c r="I514" s="33"/>
      <c r="J514" s="34"/>
      <c r="K514" s="34"/>
      <c r="L514" s="34"/>
      <c r="M514" s="34"/>
      <c r="N514" s="34"/>
      <c r="O514" s="34"/>
      <c r="P514" s="34"/>
      <c r="Q514" s="34"/>
      <c r="R514" s="34"/>
      <c r="S514" s="34"/>
      <c r="T514" s="34"/>
      <c r="U514" s="34"/>
      <c r="V514" s="34"/>
      <c r="W514" s="34"/>
      <c r="X514" s="34"/>
      <c r="Y514" s="34"/>
      <c r="Z514" s="34"/>
    </row>
    <row r="515" spans="1:26" ht="13">
      <c r="A515" s="34"/>
      <c r="B515" s="34"/>
      <c r="C515" s="34"/>
      <c r="D515" s="34"/>
      <c r="E515" s="34"/>
      <c r="F515" s="33"/>
      <c r="G515" s="34"/>
      <c r="H515" s="34"/>
      <c r="I515" s="33"/>
      <c r="J515" s="34"/>
      <c r="K515" s="34"/>
      <c r="L515" s="34"/>
      <c r="M515" s="34"/>
      <c r="N515" s="34"/>
      <c r="O515" s="34"/>
      <c r="P515" s="34"/>
      <c r="Q515" s="34"/>
      <c r="R515" s="34"/>
      <c r="S515" s="34"/>
      <c r="T515" s="34"/>
      <c r="U515" s="34"/>
      <c r="V515" s="34"/>
      <c r="W515" s="34"/>
      <c r="X515" s="34"/>
      <c r="Y515" s="34"/>
      <c r="Z515" s="34"/>
    </row>
    <row r="516" spans="1:26" ht="13">
      <c r="A516" s="34"/>
      <c r="B516" s="34"/>
      <c r="C516" s="34"/>
      <c r="D516" s="34"/>
      <c r="E516" s="34"/>
      <c r="F516" s="33"/>
      <c r="G516" s="34"/>
      <c r="H516" s="34"/>
      <c r="I516" s="33"/>
      <c r="J516" s="34"/>
      <c r="K516" s="34"/>
      <c r="L516" s="34"/>
      <c r="M516" s="34"/>
      <c r="N516" s="34"/>
      <c r="O516" s="34"/>
      <c r="P516" s="34"/>
      <c r="Q516" s="34"/>
      <c r="R516" s="34"/>
      <c r="S516" s="34"/>
      <c r="T516" s="34"/>
      <c r="U516" s="34"/>
      <c r="V516" s="34"/>
      <c r="W516" s="34"/>
      <c r="X516" s="34"/>
      <c r="Y516" s="34"/>
      <c r="Z516" s="34"/>
    </row>
    <row r="517" spans="1:26" ht="13">
      <c r="A517" s="34"/>
      <c r="B517" s="34"/>
      <c r="C517" s="34"/>
      <c r="D517" s="34"/>
      <c r="E517" s="34"/>
      <c r="F517" s="33"/>
      <c r="G517" s="34"/>
      <c r="H517" s="34"/>
      <c r="I517" s="33"/>
      <c r="J517" s="34"/>
      <c r="K517" s="34"/>
      <c r="L517" s="34"/>
      <c r="M517" s="34"/>
      <c r="N517" s="34"/>
      <c r="O517" s="34"/>
      <c r="P517" s="34"/>
      <c r="Q517" s="34"/>
      <c r="R517" s="34"/>
      <c r="S517" s="34"/>
      <c r="T517" s="34"/>
      <c r="U517" s="34"/>
      <c r="V517" s="34"/>
      <c r="W517" s="34"/>
      <c r="X517" s="34"/>
      <c r="Y517" s="34"/>
      <c r="Z517" s="34"/>
    </row>
    <row r="518" spans="1:26" ht="13">
      <c r="A518" s="34"/>
      <c r="B518" s="34"/>
      <c r="C518" s="34"/>
      <c r="D518" s="34"/>
      <c r="E518" s="34"/>
      <c r="F518" s="33"/>
      <c r="G518" s="34"/>
      <c r="H518" s="34"/>
      <c r="I518" s="33"/>
      <c r="J518" s="34"/>
      <c r="K518" s="34"/>
      <c r="L518" s="34"/>
      <c r="M518" s="34"/>
      <c r="N518" s="34"/>
      <c r="O518" s="34"/>
      <c r="P518" s="34"/>
      <c r="Q518" s="34"/>
      <c r="R518" s="34"/>
      <c r="S518" s="34"/>
      <c r="T518" s="34"/>
      <c r="U518" s="34"/>
      <c r="V518" s="34"/>
      <c r="W518" s="34"/>
      <c r="X518" s="34"/>
      <c r="Y518" s="34"/>
      <c r="Z518" s="34"/>
    </row>
    <row r="519" spans="1:26" ht="13">
      <c r="A519" s="34"/>
      <c r="B519" s="34"/>
      <c r="C519" s="34"/>
      <c r="D519" s="34"/>
      <c r="E519" s="34"/>
      <c r="F519" s="33"/>
      <c r="G519" s="34"/>
      <c r="H519" s="34"/>
      <c r="I519" s="33"/>
      <c r="J519" s="34"/>
      <c r="K519" s="34"/>
      <c r="L519" s="34"/>
      <c r="M519" s="34"/>
      <c r="N519" s="34"/>
      <c r="O519" s="34"/>
      <c r="P519" s="34"/>
      <c r="Q519" s="34"/>
      <c r="R519" s="34"/>
      <c r="S519" s="34"/>
      <c r="T519" s="34"/>
      <c r="U519" s="34"/>
      <c r="V519" s="34"/>
      <c r="W519" s="34"/>
      <c r="X519" s="34"/>
      <c r="Y519" s="34"/>
      <c r="Z519" s="34"/>
    </row>
    <row r="520" spans="1:26" ht="13">
      <c r="A520" s="34"/>
      <c r="B520" s="34"/>
      <c r="C520" s="34"/>
      <c r="D520" s="34"/>
      <c r="E520" s="34"/>
      <c r="F520" s="33"/>
      <c r="G520" s="34"/>
      <c r="H520" s="34"/>
      <c r="I520" s="33"/>
      <c r="J520" s="34"/>
      <c r="K520" s="34"/>
      <c r="L520" s="34"/>
      <c r="M520" s="34"/>
      <c r="N520" s="34"/>
      <c r="O520" s="34"/>
      <c r="P520" s="34"/>
      <c r="Q520" s="34"/>
      <c r="R520" s="34"/>
      <c r="S520" s="34"/>
      <c r="T520" s="34"/>
      <c r="U520" s="34"/>
      <c r="V520" s="34"/>
      <c r="W520" s="34"/>
      <c r="X520" s="34"/>
      <c r="Y520" s="34"/>
      <c r="Z520" s="34"/>
    </row>
    <row r="521" spans="1:26" ht="13">
      <c r="A521" s="34"/>
      <c r="B521" s="34"/>
      <c r="C521" s="34"/>
      <c r="D521" s="34"/>
      <c r="E521" s="34"/>
      <c r="F521" s="33"/>
      <c r="G521" s="34"/>
      <c r="H521" s="34"/>
      <c r="I521" s="33"/>
      <c r="J521" s="34"/>
      <c r="K521" s="34"/>
      <c r="L521" s="34"/>
      <c r="M521" s="34"/>
      <c r="N521" s="34"/>
      <c r="O521" s="34"/>
      <c r="P521" s="34"/>
      <c r="Q521" s="34"/>
      <c r="R521" s="34"/>
      <c r="S521" s="34"/>
      <c r="T521" s="34"/>
      <c r="U521" s="34"/>
      <c r="V521" s="34"/>
      <c r="W521" s="34"/>
      <c r="X521" s="34"/>
      <c r="Y521" s="34"/>
      <c r="Z521" s="34"/>
    </row>
    <row r="522" spans="1:26" ht="13">
      <c r="A522" s="34"/>
      <c r="B522" s="34"/>
      <c r="C522" s="34"/>
      <c r="D522" s="34"/>
      <c r="E522" s="34"/>
      <c r="F522" s="33"/>
      <c r="G522" s="34"/>
      <c r="H522" s="34"/>
      <c r="I522" s="33"/>
      <c r="J522" s="34"/>
      <c r="K522" s="34"/>
      <c r="L522" s="34"/>
      <c r="M522" s="34"/>
      <c r="N522" s="34"/>
      <c r="O522" s="34"/>
      <c r="P522" s="34"/>
      <c r="Q522" s="34"/>
      <c r="R522" s="34"/>
      <c r="S522" s="34"/>
      <c r="T522" s="34"/>
      <c r="U522" s="34"/>
      <c r="V522" s="34"/>
      <c r="W522" s="34"/>
      <c r="X522" s="34"/>
      <c r="Y522" s="34"/>
      <c r="Z522" s="34"/>
    </row>
    <row r="523" spans="1:26" ht="13">
      <c r="A523" s="34"/>
      <c r="B523" s="34"/>
      <c r="C523" s="34"/>
      <c r="D523" s="34"/>
      <c r="E523" s="34"/>
      <c r="F523" s="33"/>
      <c r="G523" s="34"/>
      <c r="H523" s="34"/>
      <c r="I523" s="33"/>
      <c r="J523" s="34"/>
      <c r="K523" s="34"/>
      <c r="L523" s="34"/>
      <c r="M523" s="34"/>
      <c r="N523" s="34"/>
      <c r="O523" s="34"/>
      <c r="P523" s="34"/>
      <c r="Q523" s="34"/>
      <c r="R523" s="34"/>
      <c r="S523" s="34"/>
      <c r="T523" s="34"/>
      <c r="U523" s="34"/>
      <c r="V523" s="34"/>
      <c r="W523" s="34"/>
      <c r="X523" s="34"/>
      <c r="Y523" s="34"/>
      <c r="Z523" s="34"/>
    </row>
    <row r="524" spans="1:26" ht="13">
      <c r="A524" s="34"/>
      <c r="B524" s="34"/>
      <c r="C524" s="34"/>
      <c r="D524" s="34"/>
      <c r="E524" s="34"/>
      <c r="F524" s="33"/>
      <c r="G524" s="34"/>
      <c r="H524" s="34"/>
      <c r="I524" s="33"/>
      <c r="J524" s="34"/>
      <c r="K524" s="34"/>
      <c r="L524" s="34"/>
      <c r="M524" s="34"/>
      <c r="N524" s="34"/>
      <c r="O524" s="34"/>
      <c r="P524" s="34"/>
      <c r="Q524" s="34"/>
      <c r="R524" s="34"/>
      <c r="S524" s="34"/>
      <c r="T524" s="34"/>
      <c r="U524" s="34"/>
      <c r="V524" s="34"/>
      <c r="W524" s="34"/>
      <c r="X524" s="34"/>
      <c r="Y524" s="34"/>
      <c r="Z524" s="34"/>
    </row>
    <row r="525" spans="1:26" ht="13">
      <c r="A525" s="34"/>
      <c r="B525" s="34"/>
      <c r="C525" s="34"/>
      <c r="D525" s="34"/>
      <c r="E525" s="34"/>
      <c r="F525" s="33"/>
      <c r="G525" s="34"/>
      <c r="H525" s="34"/>
      <c r="I525" s="33"/>
      <c r="J525" s="34"/>
      <c r="K525" s="34"/>
      <c r="L525" s="34"/>
      <c r="M525" s="34"/>
      <c r="N525" s="34"/>
      <c r="O525" s="34"/>
      <c r="P525" s="34"/>
      <c r="Q525" s="34"/>
      <c r="R525" s="34"/>
      <c r="S525" s="34"/>
      <c r="T525" s="34"/>
      <c r="U525" s="34"/>
      <c r="V525" s="34"/>
      <c r="W525" s="34"/>
      <c r="X525" s="34"/>
      <c r="Y525" s="34"/>
      <c r="Z525" s="34"/>
    </row>
    <row r="526" spans="1:26" ht="13">
      <c r="A526" s="34"/>
      <c r="B526" s="34"/>
      <c r="C526" s="34"/>
      <c r="D526" s="34"/>
      <c r="E526" s="34"/>
      <c r="F526" s="33"/>
      <c r="G526" s="34"/>
      <c r="H526" s="34"/>
      <c r="I526" s="33"/>
      <c r="J526" s="34"/>
      <c r="K526" s="34"/>
      <c r="L526" s="34"/>
      <c r="M526" s="34"/>
      <c r="N526" s="34"/>
      <c r="O526" s="34"/>
      <c r="P526" s="34"/>
      <c r="Q526" s="34"/>
      <c r="R526" s="34"/>
      <c r="S526" s="34"/>
      <c r="T526" s="34"/>
      <c r="U526" s="34"/>
      <c r="V526" s="34"/>
      <c r="W526" s="34"/>
      <c r="X526" s="34"/>
      <c r="Y526" s="34"/>
      <c r="Z526" s="34"/>
    </row>
    <row r="527" spans="1:26" ht="13">
      <c r="A527" s="34"/>
      <c r="B527" s="34"/>
      <c r="C527" s="34"/>
      <c r="D527" s="34"/>
      <c r="E527" s="34"/>
      <c r="F527" s="33"/>
      <c r="G527" s="34"/>
      <c r="H527" s="34"/>
      <c r="I527" s="33"/>
      <c r="J527" s="34"/>
      <c r="K527" s="34"/>
      <c r="L527" s="34"/>
      <c r="M527" s="34"/>
      <c r="N527" s="34"/>
      <c r="O527" s="34"/>
      <c r="P527" s="34"/>
      <c r="Q527" s="34"/>
      <c r="R527" s="34"/>
      <c r="S527" s="34"/>
      <c r="T527" s="34"/>
      <c r="U527" s="34"/>
      <c r="V527" s="34"/>
      <c r="W527" s="34"/>
      <c r="X527" s="34"/>
      <c r="Y527" s="34"/>
      <c r="Z527" s="34"/>
    </row>
    <row r="528" spans="1:26" ht="13">
      <c r="A528" s="34"/>
      <c r="B528" s="34"/>
      <c r="C528" s="34"/>
      <c r="D528" s="34"/>
      <c r="E528" s="34"/>
      <c r="F528" s="33"/>
      <c r="G528" s="34"/>
      <c r="H528" s="34"/>
      <c r="I528" s="33"/>
      <c r="J528" s="34"/>
      <c r="K528" s="34"/>
      <c r="L528" s="34"/>
      <c r="M528" s="34"/>
      <c r="N528" s="34"/>
      <c r="O528" s="34"/>
      <c r="P528" s="34"/>
      <c r="Q528" s="34"/>
      <c r="R528" s="34"/>
      <c r="S528" s="34"/>
      <c r="T528" s="34"/>
      <c r="U528" s="34"/>
      <c r="V528" s="34"/>
      <c r="W528" s="34"/>
      <c r="X528" s="34"/>
      <c r="Y528" s="34"/>
      <c r="Z528" s="34"/>
    </row>
    <row r="529" spans="1:26" ht="13">
      <c r="A529" s="34"/>
      <c r="B529" s="34"/>
      <c r="C529" s="34"/>
      <c r="D529" s="34"/>
      <c r="E529" s="34"/>
      <c r="F529" s="33"/>
      <c r="G529" s="34"/>
      <c r="H529" s="34"/>
      <c r="I529" s="33"/>
      <c r="J529" s="34"/>
      <c r="K529" s="34"/>
      <c r="L529" s="34"/>
      <c r="M529" s="34"/>
      <c r="N529" s="34"/>
      <c r="O529" s="34"/>
      <c r="P529" s="34"/>
      <c r="Q529" s="34"/>
      <c r="R529" s="34"/>
      <c r="S529" s="34"/>
      <c r="T529" s="34"/>
      <c r="U529" s="34"/>
      <c r="V529" s="34"/>
      <c r="W529" s="34"/>
      <c r="X529" s="34"/>
      <c r="Y529" s="34"/>
      <c r="Z529" s="34"/>
    </row>
    <row r="530" spans="1:26" ht="13">
      <c r="A530" s="34"/>
      <c r="B530" s="34"/>
      <c r="C530" s="34"/>
      <c r="D530" s="34"/>
      <c r="E530" s="34"/>
      <c r="F530" s="33"/>
      <c r="G530" s="34"/>
      <c r="H530" s="34"/>
      <c r="I530" s="33"/>
      <c r="J530" s="34"/>
      <c r="K530" s="34"/>
      <c r="L530" s="34"/>
      <c r="M530" s="34"/>
      <c r="N530" s="34"/>
      <c r="O530" s="34"/>
      <c r="P530" s="34"/>
      <c r="Q530" s="34"/>
      <c r="R530" s="34"/>
      <c r="S530" s="34"/>
      <c r="T530" s="34"/>
      <c r="U530" s="34"/>
      <c r="V530" s="34"/>
      <c r="W530" s="34"/>
      <c r="X530" s="34"/>
      <c r="Y530" s="34"/>
      <c r="Z530" s="34"/>
    </row>
    <row r="531" spans="1:26" ht="13">
      <c r="A531" s="34"/>
      <c r="B531" s="34"/>
      <c r="C531" s="34"/>
      <c r="D531" s="34"/>
      <c r="E531" s="34"/>
      <c r="F531" s="33"/>
      <c r="G531" s="34"/>
      <c r="H531" s="34"/>
      <c r="I531" s="33"/>
      <c r="J531" s="34"/>
      <c r="K531" s="34"/>
      <c r="L531" s="34"/>
      <c r="M531" s="34"/>
      <c r="N531" s="34"/>
      <c r="O531" s="34"/>
      <c r="P531" s="34"/>
      <c r="Q531" s="34"/>
      <c r="R531" s="34"/>
      <c r="S531" s="34"/>
      <c r="T531" s="34"/>
      <c r="U531" s="34"/>
      <c r="V531" s="34"/>
      <c r="W531" s="34"/>
      <c r="X531" s="34"/>
      <c r="Y531" s="34"/>
      <c r="Z531" s="34"/>
    </row>
    <row r="532" spans="1:26" ht="13">
      <c r="A532" s="34"/>
      <c r="B532" s="34"/>
      <c r="C532" s="34"/>
      <c r="D532" s="34"/>
      <c r="E532" s="34"/>
      <c r="F532" s="33"/>
      <c r="G532" s="34"/>
      <c r="H532" s="34"/>
      <c r="I532" s="33"/>
      <c r="J532" s="34"/>
      <c r="K532" s="34"/>
      <c r="L532" s="34"/>
      <c r="M532" s="34"/>
      <c r="N532" s="34"/>
      <c r="O532" s="34"/>
      <c r="P532" s="34"/>
      <c r="Q532" s="34"/>
      <c r="R532" s="34"/>
      <c r="S532" s="34"/>
      <c r="T532" s="34"/>
      <c r="U532" s="34"/>
      <c r="V532" s="34"/>
      <c r="W532" s="34"/>
      <c r="X532" s="34"/>
      <c r="Y532" s="34"/>
      <c r="Z532" s="34"/>
    </row>
    <row r="533" spans="1:26" ht="13">
      <c r="A533" s="34"/>
      <c r="B533" s="34"/>
      <c r="C533" s="34"/>
      <c r="D533" s="34"/>
      <c r="E533" s="34"/>
      <c r="F533" s="33"/>
      <c r="G533" s="34"/>
      <c r="H533" s="34"/>
      <c r="I533" s="33"/>
      <c r="J533" s="34"/>
      <c r="K533" s="34"/>
      <c r="L533" s="34"/>
      <c r="M533" s="34"/>
      <c r="N533" s="34"/>
      <c r="O533" s="34"/>
      <c r="P533" s="34"/>
      <c r="Q533" s="34"/>
      <c r="R533" s="34"/>
      <c r="S533" s="34"/>
      <c r="T533" s="34"/>
      <c r="U533" s="34"/>
      <c r="V533" s="34"/>
      <c r="W533" s="34"/>
      <c r="X533" s="34"/>
      <c r="Y533" s="34"/>
      <c r="Z533" s="34"/>
    </row>
    <row r="534" spans="1:26" ht="13">
      <c r="A534" s="34"/>
      <c r="B534" s="34"/>
      <c r="C534" s="34"/>
      <c r="D534" s="34"/>
      <c r="E534" s="34"/>
      <c r="F534" s="33"/>
      <c r="G534" s="34"/>
      <c r="H534" s="34"/>
      <c r="I534" s="33"/>
      <c r="J534" s="34"/>
      <c r="K534" s="34"/>
      <c r="L534" s="34"/>
      <c r="M534" s="34"/>
      <c r="N534" s="34"/>
      <c r="O534" s="34"/>
      <c r="P534" s="34"/>
      <c r="Q534" s="34"/>
      <c r="R534" s="34"/>
      <c r="S534" s="34"/>
      <c r="T534" s="34"/>
      <c r="U534" s="34"/>
      <c r="V534" s="34"/>
      <c r="W534" s="34"/>
      <c r="X534" s="34"/>
      <c r="Y534" s="34"/>
      <c r="Z534" s="34"/>
    </row>
    <row r="535" spans="1:26" ht="13">
      <c r="A535" s="34"/>
      <c r="B535" s="34"/>
      <c r="C535" s="34"/>
      <c r="D535" s="34"/>
      <c r="E535" s="34"/>
      <c r="F535" s="33"/>
      <c r="G535" s="34"/>
      <c r="H535" s="34"/>
      <c r="I535" s="33"/>
      <c r="J535" s="34"/>
      <c r="K535" s="34"/>
      <c r="L535" s="34"/>
      <c r="M535" s="34"/>
      <c r="N535" s="34"/>
      <c r="O535" s="34"/>
      <c r="P535" s="34"/>
      <c r="Q535" s="34"/>
      <c r="R535" s="34"/>
      <c r="S535" s="34"/>
      <c r="T535" s="34"/>
      <c r="U535" s="34"/>
      <c r="V535" s="34"/>
      <c r="W535" s="34"/>
      <c r="X535" s="34"/>
      <c r="Y535" s="34"/>
      <c r="Z535" s="34"/>
    </row>
    <row r="536" spans="1:26" ht="13">
      <c r="A536" s="34"/>
      <c r="B536" s="34"/>
      <c r="C536" s="34"/>
      <c r="D536" s="34"/>
      <c r="E536" s="34"/>
      <c r="F536" s="33"/>
      <c r="G536" s="34"/>
      <c r="H536" s="34"/>
      <c r="I536" s="33"/>
      <c r="J536" s="34"/>
      <c r="K536" s="34"/>
      <c r="L536" s="34"/>
      <c r="M536" s="34"/>
      <c r="N536" s="34"/>
      <c r="O536" s="34"/>
      <c r="P536" s="34"/>
      <c r="Q536" s="34"/>
      <c r="R536" s="34"/>
      <c r="S536" s="34"/>
      <c r="T536" s="34"/>
      <c r="U536" s="34"/>
      <c r="V536" s="34"/>
      <c r="W536" s="34"/>
      <c r="X536" s="34"/>
      <c r="Y536" s="34"/>
      <c r="Z536" s="34"/>
    </row>
    <row r="537" spans="1:26" ht="13">
      <c r="A537" s="34"/>
      <c r="B537" s="34"/>
      <c r="C537" s="34"/>
      <c r="D537" s="34"/>
      <c r="E537" s="34"/>
      <c r="F537" s="33"/>
      <c r="G537" s="34"/>
      <c r="H537" s="34"/>
      <c r="I537" s="33"/>
      <c r="J537" s="34"/>
      <c r="K537" s="34"/>
      <c r="L537" s="34"/>
      <c r="M537" s="34"/>
      <c r="N537" s="34"/>
      <c r="O537" s="34"/>
      <c r="P537" s="34"/>
      <c r="Q537" s="34"/>
      <c r="R537" s="34"/>
      <c r="S537" s="34"/>
      <c r="T537" s="34"/>
      <c r="U537" s="34"/>
      <c r="V537" s="34"/>
      <c r="W537" s="34"/>
      <c r="X537" s="34"/>
      <c r="Y537" s="34"/>
      <c r="Z537" s="34"/>
    </row>
    <row r="538" spans="1:26" ht="13">
      <c r="A538" s="34"/>
      <c r="B538" s="34"/>
      <c r="C538" s="34"/>
      <c r="D538" s="34"/>
      <c r="E538" s="34"/>
      <c r="F538" s="33"/>
      <c r="G538" s="34"/>
      <c r="H538" s="34"/>
      <c r="I538" s="33"/>
      <c r="J538" s="34"/>
      <c r="K538" s="34"/>
      <c r="L538" s="34"/>
      <c r="M538" s="34"/>
      <c r="N538" s="34"/>
      <c r="O538" s="34"/>
      <c r="P538" s="34"/>
      <c r="Q538" s="34"/>
      <c r="R538" s="34"/>
      <c r="S538" s="34"/>
      <c r="T538" s="34"/>
      <c r="U538" s="34"/>
      <c r="V538" s="34"/>
      <c r="W538" s="34"/>
      <c r="X538" s="34"/>
      <c r="Y538" s="34"/>
      <c r="Z538" s="34"/>
    </row>
    <row r="539" spans="1:26" ht="13">
      <c r="A539" s="34"/>
      <c r="B539" s="34"/>
      <c r="C539" s="34"/>
      <c r="D539" s="34"/>
      <c r="E539" s="34"/>
      <c r="F539" s="33"/>
      <c r="G539" s="34"/>
      <c r="H539" s="34"/>
      <c r="I539" s="33"/>
      <c r="J539" s="34"/>
      <c r="K539" s="34"/>
      <c r="L539" s="34"/>
      <c r="M539" s="34"/>
      <c r="N539" s="34"/>
      <c r="O539" s="34"/>
      <c r="P539" s="34"/>
      <c r="Q539" s="34"/>
      <c r="R539" s="34"/>
      <c r="S539" s="34"/>
      <c r="T539" s="34"/>
      <c r="U539" s="34"/>
      <c r="V539" s="34"/>
      <c r="W539" s="34"/>
      <c r="X539" s="34"/>
      <c r="Y539" s="34"/>
      <c r="Z539" s="34"/>
    </row>
    <row r="540" spans="1:26" ht="13">
      <c r="A540" s="34"/>
      <c r="B540" s="34"/>
      <c r="C540" s="34"/>
      <c r="D540" s="34"/>
      <c r="E540" s="34"/>
      <c r="F540" s="33"/>
      <c r="G540" s="34"/>
      <c r="H540" s="34"/>
      <c r="I540" s="33"/>
      <c r="J540" s="34"/>
      <c r="K540" s="34"/>
      <c r="L540" s="34"/>
      <c r="M540" s="34"/>
      <c r="N540" s="34"/>
      <c r="O540" s="34"/>
      <c r="P540" s="34"/>
      <c r="Q540" s="34"/>
      <c r="R540" s="34"/>
      <c r="S540" s="34"/>
      <c r="T540" s="34"/>
      <c r="U540" s="34"/>
      <c r="V540" s="34"/>
      <c r="W540" s="34"/>
      <c r="X540" s="34"/>
      <c r="Y540" s="34"/>
      <c r="Z540" s="34"/>
    </row>
    <row r="541" spans="1:26" ht="13">
      <c r="A541" s="34"/>
      <c r="B541" s="34"/>
      <c r="C541" s="34"/>
      <c r="D541" s="34"/>
      <c r="E541" s="34"/>
      <c r="F541" s="33"/>
      <c r="G541" s="34"/>
      <c r="H541" s="34"/>
      <c r="I541" s="33"/>
      <c r="J541" s="34"/>
      <c r="K541" s="34"/>
      <c r="L541" s="34"/>
      <c r="M541" s="34"/>
      <c r="N541" s="34"/>
      <c r="O541" s="34"/>
      <c r="P541" s="34"/>
      <c r="Q541" s="34"/>
      <c r="R541" s="34"/>
      <c r="S541" s="34"/>
      <c r="T541" s="34"/>
      <c r="U541" s="34"/>
      <c r="V541" s="34"/>
      <c r="W541" s="34"/>
      <c r="X541" s="34"/>
      <c r="Y541" s="34"/>
      <c r="Z541" s="34"/>
    </row>
    <row r="542" spans="1:26" ht="13">
      <c r="A542" s="34"/>
      <c r="B542" s="34"/>
      <c r="C542" s="34"/>
      <c r="D542" s="34"/>
      <c r="E542" s="34"/>
      <c r="F542" s="33"/>
      <c r="G542" s="34"/>
      <c r="H542" s="34"/>
      <c r="I542" s="33"/>
      <c r="J542" s="34"/>
      <c r="K542" s="34"/>
      <c r="L542" s="34"/>
      <c r="M542" s="34"/>
      <c r="N542" s="34"/>
      <c r="O542" s="34"/>
      <c r="P542" s="34"/>
      <c r="Q542" s="34"/>
      <c r="R542" s="34"/>
      <c r="S542" s="34"/>
      <c r="T542" s="34"/>
      <c r="U542" s="34"/>
      <c r="V542" s="34"/>
      <c r="W542" s="34"/>
      <c r="X542" s="34"/>
      <c r="Y542" s="34"/>
      <c r="Z542" s="34"/>
    </row>
    <row r="543" spans="1:26" ht="13">
      <c r="A543" s="34"/>
      <c r="B543" s="34"/>
      <c r="C543" s="34"/>
      <c r="D543" s="34"/>
      <c r="E543" s="34"/>
      <c r="F543" s="33"/>
      <c r="G543" s="34"/>
      <c r="H543" s="34"/>
      <c r="I543" s="33"/>
      <c r="J543" s="34"/>
      <c r="K543" s="34"/>
      <c r="L543" s="34"/>
      <c r="M543" s="34"/>
      <c r="N543" s="34"/>
      <c r="O543" s="34"/>
      <c r="P543" s="34"/>
      <c r="Q543" s="34"/>
      <c r="R543" s="34"/>
      <c r="S543" s="34"/>
      <c r="T543" s="34"/>
      <c r="U543" s="34"/>
      <c r="V543" s="34"/>
      <c r="W543" s="34"/>
      <c r="X543" s="34"/>
      <c r="Y543" s="34"/>
      <c r="Z543" s="34"/>
    </row>
    <row r="544" spans="1:26" ht="13">
      <c r="A544" s="34"/>
      <c r="B544" s="34"/>
      <c r="C544" s="34"/>
      <c r="D544" s="34"/>
      <c r="E544" s="34"/>
      <c r="F544" s="33"/>
      <c r="G544" s="34"/>
      <c r="H544" s="34"/>
      <c r="I544" s="33"/>
      <c r="J544" s="34"/>
      <c r="K544" s="34"/>
      <c r="L544" s="34"/>
      <c r="M544" s="34"/>
      <c r="N544" s="34"/>
      <c r="O544" s="34"/>
      <c r="P544" s="34"/>
      <c r="Q544" s="34"/>
      <c r="R544" s="34"/>
      <c r="S544" s="34"/>
      <c r="T544" s="34"/>
      <c r="U544" s="34"/>
      <c r="V544" s="34"/>
      <c r="W544" s="34"/>
      <c r="X544" s="34"/>
      <c r="Y544" s="34"/>
      <c r="Z544" s="34"/>
    </row>
    <row r="545" spans="1:26" ht="13">
      <c r="A545" s="34"/>
      <c r="B545" s="34"/>
      <c r="C545" s="34"/>
      <c r="D545" s="34"/>
      <c r="E545" s="34"/>
      <c r="F545" s="33"/>
      <c r="G545" s="34"/>
      <c r="H545" s="34"/>
      <c r="I545" s="33"/>
      <c r="J545" s="34"/>
      <c r="K545" s="34"/>
      <c r="L545" s="34"/>
      <c r="M545" s="34"/>
      <c r="N545" s="34"/>
      <c r="O545" s="34"/>
      <c r="P545" s="34"/>
      <c r="Q545" s="34"/>
      <c r="R545" s="34"/>
      <c r="S545" s="34"/>
      <c r="T545" s="34"/>
      <c r="U545" s="34"/>
      <c r="V545" s="34"/>
      <c r="W545" s="34"/>
      <c r="X545" s="34"/>
      <c r="Y545" s="34"/>
      <c r="Z545" s="34"/>
    </row>
    <row r="546" spans="1:26" ht="13">
      <c r="A546" s="34"/>
      <c r="B546" s="34"/>
      <c r="C546" s="34"/>
      <c r="D546" s="34"/>
      <c r="E546" s="34"/>
      <c r="F546" s="33"/>
      <c r="G546" s="34"/>
      <c r="H546" s="34"/>
      <c r="I546" s="33"/>
      <c r="J546" s="34"/>
      <c r="K546" s="34"/>
      <c r="L546" s="34"/>
      <c r="M546" s="34"/>
      <c r="N546" s="34"/>
      <c r="O546" s="34"/>
      <c r="P546" s="34"/>
      <c r="Q546" s="34"/>
      <c r="R546" s="34"/>
      <c r="S546" s="34"/>
      <c r="T546" s="34"/>
      <c r="U546" s="34"/>
      <c r="V546" s="34"/>
      <c r="W546" s="34"/>
      <c r="X546" s="34"/>
      <c r="Y546" s="34"/>
      <c r="Z546" s="34"/>
    </row>
    <row r="547" spans="1:26" ht="13">
      <c r="A547" s="34"/>
      <c r="B547" s="34"/>
      <c r="C547" s="34"/>
      <c r="D547" s="34"/>
      <c r="E547" s="34"/>
      <c r="F547" s="33"/>
      <c r="G547" s="34"/>
      <c r="H547" s="34"/>
      <c r="I547" s="33"/>
      <c r="J547" s="34"/>
      <c r="K547" s="34"/>
      <c r="L547" s="34"/>
      <c r="M547" s="34"/>
      <c r="N547" s="34"/>
      <c r="O547" s="34"/>
      <c r="P547" s="34"/>
      <c r="Q547" s="34"/>
      <c r="R547" s="34"/>
      <c r="S547" s="34"/>
      <c r="T547" s="34"/>
      <c r="U547" s="34"/>
      <c r="V547" s="34"/>
      <c r="W547" s="34"/>
      <c r="X547" s="34"/>
      <c r="Y547" s="34"/>
      <c r="Z547" s="34"/>
    </row>
    <row r="548" spans="1:26" ht="13">
      <c r="A548" s="34"/>
      <c r="B548" s="34"/>
      <c r="C548" s="34"/>
      <c r="D548" s="34"/>
      <c r="E548" s="34"/>
      <c r="F548" s="33"/>
      <c r="G548" s="34"/>
      <c r="H548" s="34"/>
      <c r="I548" s="33"/>
      <c r="J548" s="34"/>
      <c r="K548" s="34"/>
      <c r="L548" s="34"/>
      <c r="M548" s="34"/>
      <c r="N548" s="34"/>
      <c r="O548" s="34"/>
      <c r="P548" s="34"/>
      <c r="Q548" s="34"/>
      <c r="R548" s="34"/>
      <c r="S548" s="34"/>
      <c r="T548" s="34"/>
      <c r="U548" s="34"/>
      <c r="V548" s="34"/>
      <c r="W548" s="34"/>
      <c r="X548" s="34"/>
      <c r="Y548" s="34"/>
      <c r="Z548" s="34"/>
    </row>
    <row r="549" spans="1:26" ht="13">
      <c r="A549" s="34"/>
      <c r="B549" s="34"/>
      <c r="C549" s="34"/>
      <c r="D549" s="34"/>
      <c r="E549" s="34"/>
      <c r="F549" s="33"/>
      <c r="G549" s="34"/>
      <c r="H549" s="34"/>
      <c r="I549" s="33"/>
      <c r="J549" s="34"/>
      <c r="K549" s="34"/>
      <c r="L549" s="34"/>
      <c r="M549" s="34"/>
      <c r="N549" s="34"/>
      <c r="O549" s="34"/>
      <c r="P549" s="34"/>
      <c r="Q549" s="34"/>
      <c r="R549" s="34"/>
      <c r="S549" s="34"/>
      <c r="T549" s="34"/>
      <c r="U549" s="34"/>
      <c r="V549" s="34"/>
      <c r="W549" s="34"/>
      <c r="X549" s="34"/>
      <c r="Y549" s="34"/>
      <c r="Z549" s="34"/>
    </row>
    <row r="550" spans="1:26" ht="13">
      <c r="A550" s="34"/>
      <c r="B550" s="34"/>
      <c r="C550" s="34"/>
      <c r="D550" s="34"/>
      <c r="E550" s="34"/>
      <c r="F550" s="33"/>
      <c r="G550" s="34"/>
      <c r="H550" s="34"/>
      <c r="I550" s="33"/>
      <c r="J550" s="34"/>
      <c r="K550" s="34"/>
      <c r="L550" s="34"/>
      <c r="M550" s="34"/>
      <c r="N550" s="34"/>
      <c r="O550" s="34"/>
      <c r="P550" s="34"/>
      <c r="Q550" s="34"/>
      <c r="R550" s="34"/>
      <c r="S550" s="34"/>
      <c r="T550" s="34"/>
      <c r="U550" s="34"/>
      <c r="V550" s="34"/>
      <c r="W550" s="34"/>
      <c r="X550" s="34"/>
      <c r="Y550" s="34"/>
      <c r="Z550" s="34"/>
    </row>
    <row r="551" spans="1:26" ht="13">
      <c r="A551" s="34"/>
      <c r="B551" s="34"/>
      <c r="C551" s="34"/>
      <c r="D551" s="34"/>
      <c r="E551" s="34"/>
      <c r="F551" s="33"/>
      <c r="G551" s="34"/>
      <c r="H551" s="34"/>
      <c r="I551" s="33"/>
      <c r="J551" s="34"/>
      <c r="K551" s="34"/>
      <c r="L551" s="34"/>
      <c r="M551" s="34"/>
      <c r="N551" s="34"/>
      <c r="O551" s="34"/>
      <c r="P551" s="34"/>
      <c r="Q551" s="34"/>
      <c r="R551" s="34"/>
      <c r="S551" s="34"/>
      <c r="T551" s="34"/>
      <c r="U551" s="34"/>
      <c r="V551" s="34"/>
      <c r="W551" s="34"/>
      <c r="X551" s="34"/>
      <c r="Y551" s="34"/>
      <c r="Z551" s="34"/>
    </row>
    <row r="552" spans="1:26" ht="13">
      <c r="A552" s="34"/>
      <c r="B552" s="34"/>
      <c r="C552" s="34"/>
      <c r="D552" s="34"/>
      <c r="E552" s="34"/>
      <c r="F552" s="33"/>
      <c r="G552" s="34"/>
      <c r="H552" s="34"/>
      <c r="I552" s="33"/>
      <c r="J552" s="34"/>
      <c r="K552" s="34"/>
      <c r="L552" s="34"/>
      <c r="M552" s="34"/>
      <c r="N552" s="34"/>
      <c r="O552" s="34"/>
      <c r="P552" s="34"/>
      <c r="Q552" s="34"/>
      <c r="R552" s="34"/>
      <c r="S552" s="34"/>
      <c r="T552" s="34"/>
      <c r="U552" s="34"/>
      <c r="V552" s="34"/>
      <c r="W552" s="34"/>
      <c r="X552" s="34"/>
      <c r="Y552" s="34"/>
      <c r="Z552" s="34"/>
    </row>
    <row r="553" spans="1:26" ht="13">
      <c r="A553" s="34"/>
      <c r="B553" s="34"/>
      <c r="C553" s="34"/>
      <c r="D553" s="34"/>
      <c r="E553" s="34"/>
      <c r="F553" s="33"/>
      <c r="G553" s="34"/>
      <c r="H553" s="34"/>
      <c r="I553" s="33"/>
      <c r="J553" s="34"/>
      <c r="K553" s="34"/>
      <c r="L553" s="34"/>
      <c r="M553" s="34"/>
      <c r="N553" s="34"/>
      <c r="O553" s="34"/>
      <c r="P553" s="34"/>
      <c r="Q553" s="34"/>
      <c r="R553" s="34"/>
      <c r="S553" s="34"/>
      <c r="T553" s="34"/>
      <c r="U553" s="34"/>
      <c r="V553" s="34"/>
      <c r="W553" s="34"/>
      <c r="X553" s="34"/>
      <c r="Y553" s="34"/>
      <c r="Z553" s="34"/>
    </row>
    <row r="554" spans="1:26" ht="13">
      <c r="A554" s="34"/>
      <c r="B554" s="34"/>
      <c r="C554" s="34"/>
      <c r="D554" s="34"/>
      <c r="E554" s="34"/>
      <c r="F554" s="33"/>
      <c r="G554" s="34"/>
      <c r="H554" s="34"/>
      <c r="I554" s="33"/>
      <c r="J554" s="34"/>
      <c r="K554" s="34"/>
      <c r="L554" s="34"/>
      <c r="M554" s="34"/>
      <c r="N554" s="34"/>
      <c r="O554" s="34"/>
      <c r="P554" s="34"/>
      <c r="Q554" s="34"/>
      <c r="R554" s="34"/>
      <c r="S554" s="34"/>
      <c r="T554" s="34"/>
      <c r="U554" s="34"/>
      <c r="V554" s="34"/>
      <c r="W554" s="34"/>
      <c r="X554" s="34"/>
      <c r="Y554" s="34"/>
      <c r="Z554" s="34"/>
    </row>
    <row r="555" spans="1:26" ht="13">
      <c r="A555" s="34"/>
      <c r="B555" s="34"/>
      <c r="C555" s="34"/>
      <c r="D555" s="34"/>
      <c r="E555" s="34"/>
      <c r="F555" s="33"/>
      <c r="G555" s="34"/>
      <c r="H555" s="34"/>
      <c r="I555" s="33"/>
      <c r="J555" s="34"/>
      <c r="K555" s="34"/>
      <c r="L555" s="34"/>
      <c r="M555" s="34"/>
      <c r="N555" s="34"/>
      <c r="O555" s="34"/>
      <c r="P555" s="34"/>
      <c r="Q555" s="34"/>
      <c r="R555" s="34"/>
      <c r="S555" s="34"/>
      <c r="T555" s="34"/>
      <c r="U555" s="34"/>
      <c r="V555" s="34"/>
      <c r="W555" s="34"/>
      <c r="X555" s="34"/>
      <c r="Y555" s="34"/>
      <c r="Z555" s="34"/>
    </row>
    <row r="556" spans="1:26" ht="13">
      <c r="A556" s="34"/>
      <c r="B556" s="34"/>
      <c r="C556" s="34"/>
      <c r="D556" s="34"/>
      <c r="E556" s="34"/>
      <c r="F556" s="33"/>
      <c r="G556" s="34"/>
      <c r="H556" s="34"/>
      <c r="I556" s="33"/>
      <c r="J556" s="34"/>
      <c r="K556" s="34"/>
      <c r="L556" s="34"/>
      <c r="M556" s="34"/>
      <c r="N556" s="34"/>
      <c r="O556" s="34"/>
      <c r="P556" s="34"/>
      <c r="Q556" s="34"/>
      <c r="R556" s="34"/>
      <c r="S556" s="34"/>
      <c r="T556" s="34"/>
      <c r="U556" s="34"/>
      <c r="V556" s="34"/>
      <c r="W556" s="34"/>
      <c r="X556" s="34"/>
      <c r="Y556" s="34"/>
      <c r="Z556" s="34"/>
    </row>
    <row r="557" spans="1:26" ht="13">
      <c r="A557" s="34"/>
      <c r="B557" s="34"/>
      <c r="C557" s="34"/>
      <c r="D557" s="34"/>
      <c r="E557" s="34"/>
      <c r="F557" s="33"/>
      <c r="G557" s="34"/>
      <c r="H557" s="34"/>
      <c r="I557" s="33"/>
      <c r="J557" s="34"/>
      <c r="K557" s="34"/>
      <c r="L557" s="34"/>
      <c r="M557" s="34"/>
      <c r="N557" s="34"/>
      <c r="O557" s="34"/>
      <c r="P557" s="34"/>
      <c r="Q557" s="34"/>
      <c r="R557" s="34"/>
      <c r="S557" s="34"/>
      <c r="T557" s="34"/>
      <c r="U557" s="34"/>
      <c r="V557" s="34"/>
      <c r="W557" s="34"/>
      <c r="X557" s="34"/>
      <c r="Y557" s="34"/>
      <c r="Z557" s="34"/>
    </row>
    <row r="558" spans="1:26" ht="13">
      <c r="A558" s="34"/>
      <c r="B558" s="34"/>
      <c r="C558" s="34"/>
      <c r="D558" s="34"/>
      <c r="E558" s="34"/>
      <c r="F558" s="33"/>
      <c r="G558" s="34"/>
      <c r="H558" s="34"/>
      <c r="I558" s="33"/>
      <c r="J558" s="34"/>
      <c r="K558" s="34"/>
      <c r="L558" s="34"/>
      <c r="M558" s="34"/>
      <c r="N558" s="34"/>
      <c r="O558" s="34"/>
      <c r="P558" s="34"/>
      <c r="Q558" s="34"/>
      <c r="R558" s="34"/>
      <c r="S558" s="34"/>
      <c r="T558" s="34"/>
      <c r="U558" s="34"/>
      <c r="V558" s="34"/>
      <c r="W558" s="34"/>
      <c r="X558" s="34"/>
      <c r="Y558" s="34"/>
      <c r="Z558" s="34"/>
    </row>
    <row r="559" spans="1:26" ht="13">
      <c r="A559" s="34"/>
      <c r="B559" s="34"/>
      <c r="C559" s="34"/>
      <c r="D559" s="34"/>
      <c r="E559" s="34"/>
      <c r="F559" s="33"/>
      <c r="G559" s="34"/>
      <c r="H559" s="34"/>
      <c r="I559" s="33"/>
      <c r="J559" s="34"/>
      <c r="K559" s="34"/>
      <c r="L559" s="34"/>
      <c r="M559" s="34"/>
      <c r="N559" s="34"/>
      <c r="O559" s="34"/>
      <c r="P559" s="34"/>
      <c r="Q559" s="34"/>
      <c r="R559" s="34"/>
      <c r="S559" s="34"/>
      <c r="T559" s="34"/>
      <c r="U559" s="34"/>
      <c r="V559" s="34"/>
      <c r="W559" s="34"/>
      <c r="X559" s="34"/>
      <c r="Y559" s="34"/>
      <c r="Z559" s="34"/>
    </row>
    <row r="560" spans="1:26" ht="13">
      <c r="A560" s="34"/>
      <c r="B560" s="34"/>
      <c r="C560" s="34"/>
      <c r="D560" s="34"/>
      <c r="E560" s="34"/>
      <c r="F560" s="33"/>
      <c r="G560" s="34"/>
      <c r="H560" s="34"/>
      <c r="I560" s="33"/>
      <c r="J560" s="34"/>
      <c r="K560" s="34"/>
      <c r="L560" s="34"/>
      <c r="M560" s="34"/>
      <c r="N560" s="34"/>
      <c r="O560" s="34"/>
      <c r="P560" s="34"/>
      <c r="Q560" s="34"/>
      <c r="R560" s="34"/>
      <c r="S560" s="34"/>
      <c r="T560" s="34"/>
      <c r="U560" s="34"/>
      <c r="V560" s="34"/>
      <c r="W560" s="34"/>
      <c r="X560" s="34"/>
      <c r="Y560" s="34"/>
      <c r="Z560" s="34"/>
    </row>
    <row r="561" spans="1:26" ht="13">
      <c r="A561" s="34"/>
      <c r="B561" s="34"/>
      <c r="C561" s="34"/>
      <c r="D561" s="34"/>
      <c r="E561" s="34"/>
      <c r="F561" s="33"/>
      <c r="G561" s="34"/>
      <c r="H561" s="34"/>
      <c r="I561" s="33"/>
      <c r="J561" s="34"/>
      <c r="K561" s="34"/>
      <c r="L561" s="34"/>
      <c r="M561" s="34"/>
      <c r="N561" s="34"/>
      <c r="O561" s="34"/>
      <c r="P561" s="34"/>
      <c r="Q561" s="34"/>
      <c r="R561" s="34"/>
      <c r="S561" s="34"/>
      <c r="T561" s="34"/>
      <c r="U561" s="34"/>
      <c r="V561" s="34"/>
      <c r="W561" s="34"/>
      <c r="X561" s="34"/>
      <c r="Y561" s="34"/>
      <c r="Z561" s="34"/>
    </row>
    <row r="562" spans="1:26" ht="13">
      <c r="A562" s="34"/>
      <c r="B562" s="34"/>
      <c r="C562" s="34"/>
      <c r="D562" s="34"/>
      <c r="E562" s="34"/>
      <c r="F562" s="33"/>
      <c r="G562" s="34"/>
      <c r="H562" s="34"/>
      <c r="I562" s="33"/>
      <c r="J562" s="34"/>
      <c r="K562" s="34"/>
      <c r="L562" s="34"/>
      <c r="M562" s="34"/>
      <c r="N562" s="34"/>
      <c r="O562" s="34"/>
      <c r="P562" s="34"/>
      <c r="Q562" s="34"/>
      <c r="R562" s="34"/>
      <c r="S562" s="34"/>
      <c r="T562" s="34"/>
      <c r="U562" s="34"/>
      <c r="V562" s="34"/>
      <c r="W562" s="34"/>
      <c r="X562" s="34"/>
      <c r="Y562" s="34"/>
      <c r="Z562" s="34"/>
    </row>
    <row r="563" spans="1:26" ht="13">
      <c r="A563" s="34"/>
      <c r="B563" s="34"/>
      <c r="C563" s="34"/>
      <c r="D563" s="34"/>
      <c r="E563" s="34"/>
      <c r="F563" s="33"/>
      <c r="G563" s="34"/>
      <c r="H563" s="34"/>
      <c r="I563" s="33"/>
      <c r="J563" s="34"/>
      <c r="K563" s="34"/>
      <c r="L563" s="34"/>
      <c r="M563" s="34"/>
      <c r="N563" s="34"/>
      <c r="O563" s="34"/>
      <c r="P563" s="34"/>
      <c r="Q563" s="34"/>
      <c r="R563" s="34"/>
      <c r="S563" s="34"/>
      <c r="T563" s="34"/>
      <c r="U563" s="34"/>
      <c r="V563" s="34"/>
      <c r="W563" s="34"/>
      <c r="X563" s="34"/>
      <c r="Y563" s="34"/>
      <c r="Z563" s="34"/>
    </row>
    <row r="564" spans="1:26" ht="13">
      <c r="A564" s="34"/>
      <c r="B564" s="34"/>
      <c r="C564" s="34"/>
      <c r="D564" s="34"/>
      <c r="E564" s="34"/>
      <c r="F564" s="33"/>
      <c r="G564" s="34"/>
      <c r="H564" s="34"/>
      <c r="I564" s="33"/>
      <c r="J564" s="34"/>
      <c r="K564" s="34"/>
      <c r="L564" s="34"/>
      <c r="M564" s="34"/>
      <c r="N564" s="34"/>
      <c r="O564" s="34"/>
      <c r="P564" s="34"/>
      <c r="Q564" s="34"/>
      <c r="R564" s="34"/>
      <c r="S564" s="34"/>
      <c r="T564" s="34"/>
      <c r="U564" s="34"/>
      <c r="V564" s="34"/>
      <c r="W564" s="34"/>
      <c r="X564" s="34"/>
      <c r="Y564" s="34"/>
      <c r="Z564" s="34"/>
    </row>
    <row r="565" spans="1:26" ht="13">
      <c r="A565" s="34"/>
      <c r="B565" s="34"/>
      <c r="C565" s="34"/>
      <c r="D565" s="34"/>
      <c r="E565" s="34"/>
      <c r="F565" s="33"/>
      <c r="G565" s="34"/>
      <c r="H565" s="34"/>
      <c r="I565" s="33"/>
      <c r="J565" s="34"/>
      <c r="K565" s="34"/>
      <c r="L565" s="34"/>
      <c r="M565" s="34"/>
      <c r="N565" s="34"/>
      <c r="O565" s="34"/>
      <c r="P565" s="34"/>
      <c r="Q565" s="34"/>
      <c r="R565" s="34"/>
      <c r="S565" s="34"/>
      <c r="T565" s="34"/>
      <c r="U565" s="34"/>
      <c r="V565" s="34"/>
      <c r="W565" s="34"/>
      <c r="X565" s="34"/>
      <c r="Y565" s="34"/>
      <c r="Z565" s="34"/>
    </row>
    <row r="566" spans="1:26" ht="13">
      <c r="A566" s="34"/>
      <c r="B566" s="34"/>
      <c r="C566" s="34"/>
      <c r="D566" s="34"/>
      <c r="E566" s="34"/>
      <c r="F566" s="33"/>
      <c r="G566" s="34"/>
      <c r="H566" s="34"/>
      <c r="I566" s="33"/>
      <c r="J566" s="34"/>
      <c r="K566" s="34"/>
      <c r="L566" s="34"/>
      <c r="M566" s="34"/>
      <c r="N566" s="34"/>
      <c r="O566" s="34"/>
      <c r="P566" s="34"/>
      <c r="Q566" s="34"/>
      <c r="R566" s="34"/>
      <c r="S566" s="34"/>
      <c r="T566" s="34"/>
      <c r="U566" s="34"/>
      <c r="V566" s="34"/>
      <c r="W566" s="34"/>
      <c r="X566" s="34"/>
      <c r="Y566" s="34"/>
      <c r="Z566" s="34"/>
    </row>
    <row r="567" spans="1:26" ht="13">
      <c r="A567" s="34"/>
      <c r="B567" s="34"/>
      <c r="C567" s="34"/>
      <c r="D567" s="34"/>
      <c r="E567" s="34"/>
      <c r="F567" s="33"/>
      <c r="G567" s="34"/>
      <c r="H567" s="34"/>
      <c r="I567" s="33"/>
      <c r="J567" s="34"/>
      <c r="K567" s="34"/>
      <c r="L567" s="34"/>
      <c r="M567" s="34"/>
      <c r="N567" s="34"/>
      <c r="O567" s="34"/>
      <c r="P567" s="34"/>
      <c r="Q567" s="34"/>
      <c r="R567" s="34"/>
      <c r="S567" s="34"/>
      <c r="T567" s="34"/>
      <c r="U567" s="34"/>
      <c r="V567" s="34"/>
      <c r="W567" s="34"/>
      <c r="X567" s="34"/>
      <c r="Y567" s="34"/>
      <c r="Z567" s="34"/>
    </row>
    <row r="568" spans="1:26" ht="13">
      <c r="A568" s="34"/>
      <c r="B568" s="34"/>
      <c r="C568" s="34"/>
      <c r="D568" s="34"/>
      <c r="E568" s="34"/>
      <c r="F568" s="33"/>
      <c r="G568" s="34"/>
      <c r="H568" s="34"/>
      <c r="I568" s="33"/>
      <c r="J568" s="34"/>
      <c r="K568" s="34"/>
      <c r="L568" s="34"/>
      <c r="M568" s="34"/>
      <c r="N568" s="34"/>
      <c r="O568" s="34"/>
      <c r="P568" s="34"/>
      <c r="Q568" s="34"/>
      <c r="R568" s="34"/>
      <c r="S568" s="34"/>
      <c r="T568" s="34"/>
      <c r="U568" s="34"/>
      <c r="V568" s="34"/>
      <c r="W568" s="34"/>
      <c r="X568" s="34"/>
      <c r="Y568" s="34"/>
      <c r="Z568" s="34"/>
    </row>
    <row r="569" spans="1:26" ht="13">
      <c r="A569" s="34"/>
      <c r="B569" s="34"/>
      <c r="C569" s="34"/>
      <c r="D569" s="34"/>
      <c r="E569" s="34"/>
      <c r="F569" s="33"/>
      <c r="G569" s="34"/>
      <c r="H569" s="34"/>
      <c r="I569" s="33"/>
      <c r="J569" s="34"/>
      <c r="K569" s="34"/>
      <c r="L569" s="34"/>
      <c r="M569" s="34"/>
      <c r="N569" s="34"/>
      <c r="O569" s="34"/>
      <c r="P569" s="34"/>
      <c r="Q569" s="34"/>
      <c r="R569" s="34"/>
      <c r="S569" s="34"/>
      <c r="T569" s="34"/>
      <c r="U569" s="34"/>
      <c r="V569" s="34"/>
      <c r="W569" s="34"/>
      <c r="X569" s="34"/>
      <c r="Y569" s="34"/>
      <c r="Z569" s="34"/>
    </row>
    <row r="570" spans="1:26" ht="13">
      <c r="A570" s="34"/>
      <c r="B570" s="34"/>
      <c r="C570" s="34"/>
      <c r="D570" s="34"/>
      <c r="E570" s="34"/>
      <c r="F570" s="33"/>
      <c r="G570" s="34"/>
      <c r="H570" s="34"/>
      <c r="I570" s="33"/>
      <c r="J570" s="34"/>
      <c r="K570" s="34"/>
      <c r="L570" s="34"/>
      <c r="M570" s="34"/>
      <c r="N570" s="34"/>
      <c r="O570" s="34"/>
      <c r="P570" s="34"/>
      <c r="Q570" s="34"/>
      <c r="R570" s="34"/>
      <c r="S570" s="34"/>
      <c r="T570" s="34"/>
      <c r="U570" s="34"/>
      <c r="V570" s="34"/>
      <c r="W570" s="34"/>
      <c r="X570" s="34"/>
      <c r="Y570" s="34"/>
      <c r="Z570" s="34"/>
    </row>
    <row r="571" spans="1:26" ht="13">
      <c r="A571" s="34"/>
      <c r="B571" s="34"/>
      <c r="C571" s="34"/>
      <c r="D571" s="34"/>
      <c r="E571" s="34"/>
      <c r="F571" s="33"/>
      <c r="G571" s="34"/>
      <c r="H571" s="34"/>
      <c r="I571" s="33"/>
      <c r="J571" s="34"/>
      <c r="K571" s="34"/>
      <c r="L571" s="34"/>
      <c r="M571" s="34"/>
      <c r="N571" s="34"/>
      <c r="O571" s="34"/>
      <c r="P571" s="34"/>
      <c r="Q571" s="34"/>
      <c r="R571" s="34"/>
      <c r="S571" s="34"/>
      <c r="T571" s="34"/>
      <c r="U571" s="34"/>
      <c r="V571" s="34"/>
      <c r="W571" s="34"/>
      <c r="X571" s="34"/>
      <c r="Y571" s="34"/>
      <c r="Z571" s="34"/>
    </row>
    <row r="572" spans="1:26" ht="13">
      <c r="A572" s="34"/>
      <c r="B572" s="34"/>
      <c r="C572" s="34"/>
      <c r="D572" s="34"/>
      <c r="E572" s="34"/>
      <c r="F572" s="33"/>
      <c r="G572" s="34"/>
      <c r="H572" s="34"/>
      <c r="I572" s="33"/>
      <c r="J572" s="34"/>
      <c r="K572" s="34"/>
      <c r="L572" s="34"/>
      <c r="M572" s="34"/>
      <c r="N572" s="34"/>
      <c r="O572" s="34"/>
      <c r="P572" s="34"/>
      <c r="Q572" s="34"/>
      <c r="R572" s="34"/>
      <c r="S572" s="34"/>
      <c r="T572" s="34"/>
      <c r="U572" s="34"/>
      <c r="V572" s="34"/>
      <c r="W572" s="34"/>
      <c r="X572" s="34"/>
      <c r="Y572" s="34"/>
      <c r="Z572" s="34"/>
    </row>
    <row r="573" spans="1:26" ht="13">
      <c r="A573" s="34"/>
      <c r="B573" s="34"/>
      <c r="C573" s="34"/>
      <c r="D573" s="34"/>
      <c r="E573" s="34"/>
      <c r="F573" s="33"/>
      <c r="G573" s="34"/>
      <c r="H573" s="34"/>
      <c r="I573" s="33"/>
      <c r="J573" s="34"/>
      <c r="K573" s="34"/>
      <c r="L573" s="34"/>
      <c r="M573" s="34"/>
      <c r="N573" s="34"/>
      <c r="O573" s="34"/>
      <c r="P573" s="34"/>
      <c r="Q573" s="34"/>
      <c r="R573" s="34"/>
      <c r="S573" s="34"/>
      <c r="T573" s="34"/>
      <c r="U573" s="34"/>
      <c r="V573" s="34"/>
      <c r="W573" s="34"/>
      <c r="X573" s="34"/>
      <c r="Y573" s="34"/>
      <c r="Z573" s="34"/>
    </row>
    <row r="574" spans="1:26" ht="13">
      <c r="A574" s="34"/>
      <c r="B574" s="34"/>
      <c r="C574" s="34"/>
      <c r="D574" s="34"/>
      <c r="E574" s="34"/>
      <c r="F574" s="33"/>
      <c r="G574" s="34"/>
      <c r="H574" s="34"/>
      <c r="I574" s="33"/>
      <c r="J574" s="34"/>
      <c r="K574" s="34"/>
      <c r="L574" s="34"/>
      <c r="M574" s="34"/>
      <c r="N574" s="34"/>
      <c r="O574" s="34"/>
      <c r="P574" s="34"/>
      <c r="Q574" s="34"/>
      <c r="R574" s="34"/>
      <c r="S574" s="34"/>
      <c r="T574" s="34"/>
      <c r="U574" s="34"/>
      <c r="V574" s="34"/>
      <c r="W574" s="34"/>
      <c r="X574" s="34"/>
      <c r="Y574" s="34"/>
      <c r="Z574" s="34"/>
    </row>
    <row r="575" spans="1:26" ht="13">
      <c r="A575" s="34"/>
      <c r="B575" s="34"/>
      <c r="C575" s="34"/>
      <c r="D575" s="34"/>
      <c r="E575" s="34"/>
      <c r="F575" s="33"/>
      <c r="G575" s="34"/>
      <c r="H575" s="34"/>
      <c r="I575" s="33"/>
      <c r="J575" s="34"/>
      <c r="K575" s="34"/>
      <c r="L575" s="34"/>
      <c r="M575" s="34"/>
      <c r="N575" s="34"/>
      <c r="O575" s="34"/>
      <c r="P575" s="34"/>
      <c r="Q575" s="34"/>
      <c r="R575" s="34"/>
      <c r="S575" s="34"/>
      <c r="T575" s="34"/>
      <c r="U575" s="34"/>
      <c r="V575" s="34"/>
      <c r="W575" s="34"/>
      <c r="X575" s="34"/>
      <c r="Y575" s="34"/>
      <c r="Z575" s="34"/>
    </row>
    <row r="576" spans="1:26" ht="13">
      <c r="A576" s="34"/>
      <c r="B576" s="34"/>
      <c r="C576" s="34"/>
      <c r="D576" s="34"/>
      <c r="E576" s="34"/>
      <c r="F576" s="33"/>
      <c r="G576" s="34"/>
      <c r="H576" s="34"/>
      <c r="I576" s="33"/>
      <c r="J576" s="34"/>
      <c r="K576" s="34"/>
      <c r="L576" s="34"/>
      <c r="M576" s="34"/>
      <c r="N576" s="34"/>
      <c r="O576" s="34"/>
      <c r="P576" s="34"/>
      <c r="Q576" s="34"/>
      <c r="R576" s="34"/>
      <c r="S576" s="34"/>
      <c r="T576" s="34"/>
      <c r="U576" s="34"/>
      <c r="V576" s="34"/>
      <c r="W576" s="34"/>
      <c r="X576" s="34"/>
      <c r="Y576" s="34"/>
      <c r="Z576" s="34"/>
    </row>
    <row r="577" spans="1:26" ht="13">
      <c r="A577" s="34"/>
      <c r="B577" s="34"/>
      <c r="C577" s="34"/>
      <c r="D577" s="34"/>
      <c r="E577" s="34"/>
      <c r="F577" s="33"/>
      <c r="G577" s="34"/>
      <c r="H577" s="34"/>
      <c r="I577" s="33"/>
      <c r="J577" s="34"/>
      <c r="K577" s="34"/>
      <c r="L577" s="34"/>
      <c r="M577" s="34"/>
      <c r="N577" s="34"/>
      <c r="O577" s="34"/>
      <c r="P577" s="34"/>
      <c r="Q577" s="34"/>
      <c r="R577" s="34"/>
      <c r="S577" s="34"/>
      <c r="T577" s="34"/>
      <c r="U577" s="34"/>
      <c r="V577" s="34"/>
      <c r="W577" s="34"/>
      <c r="X577" s="34"/>
      <c r="Y577" s="34"/>
      <c r="Z577" s="34"/>
    </row>
    <row r="578" spans="1:26" ht="13">
      <c r="A578" s="34"/>
      <c r="B578" s="34"/>
      <c r="C578" s="34"/>
      <c r="D578" s="34"/>
      <c r="E578" s="34"/>
      <c r="F578" s="33"/>
      <c r="G578" s="34"/>
      <c r="H578" s="34"/>
      <c r="I578" s="33"/>
      <c r="J578" s="34"/>
      <c r="K578" s="34"/>
      <c r="L578" s="34"/>
      <c r="M578" s="34"/>
      <c r="N578" s="34"/>
      <c r="O578" s="34"/>
      <c r="P578" s="34"/>
      <c r="Q578" s="34"/>
      <c r="R578" s="34"/>
      <c r="S578" s="34"/>
      <c r="T578" s="34"/>
      <c r="U578" s="34"/>
      <c r="V578" s="34"/>
      <c r="W578" s="34"/>
      <c r="X578" s="34"/>
      <c r="Y578" s="34"/>
      <c r="Z578" s="34"/>
    </row>
    <row r="579" spans="1:26" ht="13">
      <c r="A579" s="34"/>
      <c r="B579" s="34"/>
      <c r="C579" s="34"/>
      <c r="D579" s="34"/>
      <c r="E579" s="34"/>
      <c r="F579" s="33"/>
      <c r="G579" s="34"/>
      <c r="H579" s="34"/>
      <c r="I579" s="33"/>
      <c r="J579" s="34"/>
      <c r="K579" s="34"/>
      <c r="L579" s="34"/>
      <c r="M579" s="34"/>
      <c r="N579" s="34"/>
      <c r="O579" s="34"/>
      <c r="P579" s="34"/>
      <c r="Q579" s="34"/>
      <c r="R579" s="34"/>
      <c r="S579" s="34"/>
      <c r="T579" s="34"/>
      <c r="U579" s="34"/>
      <c r="V579" s="34"/>
      <c r="W579" s="34"/>
      <c r="X579" s="34"/>
      <c r="Y579" s="34"/>
      <c r="Z579" s="34"/>
    </row>
    <row r="580" spans="1:26" ht="13">
      <c r="A580" s="34"/>
      <c r="B580" s="34"/>
      <c r="C580" s="34"/>
      <c r="D580" s="34"/>
      <c r="E580" s="34"/>
      <c r="F580" s="33"/>
      <c r="G580" s="34"/>
      <c r="H580" s="34"/>
      <c r="I580" s="33"/>
      <c r="J580" s="34"/>
      <c r="K580" s="34"/>
      <c r="L580" s="34"/>
      <c r="M580" s="34"/>
      <c r="N580" s="34"/>
      <c r="O580" s="34"/>
      <c r="P580" s="34"/>
      <c r="Q580" s="34"/>
      <c r="R580" s="34"/>
      <c r="S580" s="34"/>
      <c r="T580" s="34"/>
      <c r="U580" s="34"/>
      <c r="V580" s="34"/>
      <c r="W580" s="34"/>
      <c r="X580" s="34"/>
      <c r="Y580" s="34"/>
      <c r="Z580" s="34"/>
    </row>
    <row r="581" spans="1:26" ht="13">
      <c r="A581" s="34"/>
      <c r="B581" s="34"/>
      <c r="C581" s="34"/>
      <c r="D581" s="34"/>
      <c r="E581" s="34"/>
      <c r="F581" s="33"/>
      <c r="G581" s="34"/>
      <c r="H581" s="34"/>
      <c r="I581" s="33"/>
      <c r="J581" s="34"/>
      <c r="K581" s="34"/>
      <c r="L581" s="34"/>
      <c r="M581" s="34"/>
      <c r="N581" s="34"/>
      <c r="O581" s="34"/>
      <c r="P581" s="34"/>
      <c r="Q581" s="34"/>
      <c r="R581" s="34"/>
      <c r="S581" s="34"/>
      <c r="T581" s="34"/>
      <c r="U581" s="34"/>
      <c r="V581" s="34"/>
      <c r="W581" s="34"/>
      <c r="X581" s="34"/>
      <c r="Y581" s="34"/>
      <c r="Z581" s="34"/>
    </row>
    <row r="582" spans="1:26" ht="13">
      <c r="A582" s="34"/>
      <c r="B582" s="34"/>
      <c r="C582" s="34"/>
      <c r="D582" s="34"/>
      <c r="E582" s="34"/>
      <c r="F582" s="33"/>
      <c r="G582" s="34"/>
      <c r="H582" s="34"/>
      <c r="I582" s="33"/>
      <c r="J582" s="34"/>
      <c r="K582" s="34"/>
      <c r="L582" s="34"/>
      <c r="M582" s="34"/>
      <c r="N582" s="34"/>
      <c r="O582" s="34"/>
      <c r="P582" s="34"/>
      <c r="Q582" s="34"/>
      <c r="R582" s="34"/>
      <c r="S582" s="34"/>
      <c r="T582" s="34"/>
      <c r="U582" s="34"/>
      <c r="V582" s="34"/>
      <c r="W582" s="34"/>
      <c r="X582" s="34"/>
      <c r="Y582" s="34"/>
      <c r="Z582" s="34"/>
    </row>
    <row r="583" spans="1:26" ht="13">
      <c r="A583" s="34"/>
      <c r="B583" s="34"/>
      <c r="C583" s="34"/>
      <c r="D583" s="34"/>
      <c r="E583" s="34"/>
      <c r="F583" s="33"/>
      <c r="G583" s="34"/>
      <c r="H583" s="34"/>
      <c r="I583" s="33"/>
      <c r="J583" s="34"/>
      <c r="K583" s="34"/>
      <c r="L583" s="34"/>
      <c r="M583" s="34"/>
      <c r="N583" s="34"/>
      <c r="O583" s="34"/>
      <c r="P583" s="34"/>
      <c r="Q583" s="34"/>
      <c r="R583" s="34"/>
      <c r="S583" s="34"/>
      <c r="T583" s="34"/>
      <c r="U583" s="34"/>
      <c r="V583" s="34"/>
      <c r="W583" s="34"/>
      <c r="X583" s="34"/>
      <c r="Y583" s="34"/>
      <c r="Z583" s="34"/>
    </row>
    <row r="584" spans="1:26" ht="13">
      <c r="A584" s="34"/>
      <c r="B584" s="34"/>
      <c r="C584" s="34"/>
      <c r="D584" s="34"/>
      <c r="E584" s="34"/>
      <c r="F584" s="33"/>
      <c r="G584" s="34"/>
      <c r="H584" s="34"/>
      <c r="I584" s="33"/>
      <c r="J584" s="34"/>
      <c r="K584" s="34"/>
      <c r="L584" s="34"/>
      <c r="M584" s="34"/>
      <c r="N584" s="34"/>
      <c r="O584" s="34"/>
      <c r="P584" s="34"/>
      <c r="Q584" s="34"/>
      <c r="R584" s="34"/>
      <c r="S584" s="34"/>
      <c r="T584" s="34"/>
      <c r="U584" s="34"/>
      <c r="V584" s="34"/>
      <c r="W584" s="34"/>
      <c r="X584" s="34"/>
      <c r="Y584" s="34"/>
      <c r="Z584" s="34"/>
    </row>
    <row r="585" spans="1:26" ht="13">
      <c r="A585" s="34"/>
      <c r="B585" s="34"/>
      <c r="C585" s="34"/>
      <c r="D585" s="34"/>
      <c r="E585" s="34"/>
      <c r="F585" s="33"/>
      <c r="G585" s="34"/>
      <c r="H585" s="34"/>
      <c r="I585" s="33"/>
      <c r="J585" s="34"/>
      <c r="K585" s="34"/>
      <c r="L585" s="34"/>
      <c r="M585" s="34"/>
      <c r="N585" s="34"/>
      <c r="O585" s="34"/>
      <c r="P585" s="34"/>
      <c r="Q585" s="34"/>
      <c r="R585" s="34"/>
      <c r="S585" s="34"/>
      <c r="T585" s="34"/>
      <c r="U585" s="34"/>
      <c r="V585" s="34"/>
      <c r="W585" s="34"/>
      <c r="X585" s="34"/>
      <c r="Y585" s="34"/>
      <c r="Z585" s="34"/>
    </row>
    <row r="586" spans="1:26" ht="13">
      <c r="A586" s="34"/>
      <c r="B586" s="34"/>
      <c r="C586" s="34"/>
      <c r="D586" s="34"/>
      <c r="E586" s="34"/>
      <c r="F586" s="33"/>
      <c r="G586" s="34"/>
      <c r="H586" s="34"/>
      <c r="I586" s="33"/>
      <c r="J586" s="34"/>
      <c r="K586" s="34"/>
      <c r="L586" s="34"/>
      <c r="M586" s="34"/>
      <c r="N586" s="34"/>
      <c r="O586" s="34"/>
      <c r="P586" s="34"/>
      <c r="Q586" s="34"/>
      <c r="R586" s="34"/>
      <c r="S586" s="34"/>
      <c r="T586" s="34"/>
      <c r="U586" s="34"/>
      <c r="V586" s="34"/>
      <c r="W586" s="34"/>
      <c r="X586" s="34"/>
      <c r="Y586" s="34"/>
      <c r="Z586" s="34"/>
    </row>
    <row r="587" spans="1:26" ht="13">
      <c r="A587" s="34"/>
      <c r="B587" s="34"/>
      <c r="C587" s="34"/>
      <c r="D587" s="34"/>
      <c r="E587" s="34"/>
      <c r="F587" s="33"/>
      <c r="G587" s="34"/>
      <c r="H587" s="34"/>
      <c r="I587" s="33"/>
      <c r="J587" s="34"/>
      <c r="K587" s="34"/>
      <c r="L587" s="34"/>
      <c r="M587" s="34"/>
      <c r="N587" s="34"/>
      <c r="O587" s="34"/>
      <c r="P587" s="34"/>
      <c r="Q587" s="34"/>
      <c r="R587" s="34"/>
      <c r="S587" s="34"/>
      <c r="T587" s="34"/>
      <c r="U587" s="34"/>
      <c r="V587" s="34"/>
      <c r="W587" s="34"/>
      <c r="X587" s="34"/>
      <c r="Y587" s="34"/>
      <c r="Z587" s="34"/>
    </row>
    <row r="588" spans="1:26" ht="13">
      <c r="A588" s="34"/>
      <c r="B588" s="34"/>
      <c r="C588" s="34"/>
      <c r="D588" s="34"/>
      <c r="E588" s="34"/>
      <c r="F588" s="33"/>
      <c r="G588" s="34"/>
      <c r="H588" s="34"/>
      <c r="I588" s="33"/>
      <c r="J588" s="34"/>
      <c r="K588" s="34"/>
      <c r="L588" s="34"/>
      <c r="M588" s="34"/>
      <c r="N588" s="34"/>
      <c r="O588" s="34"/>
      <c r="P588" s="34"/>
      <c r="Q588" s="34"/>
      <c r="R588" s="34"/>
      <c r="S588" s="34"/>
      <c r="T588" s="34"/>
      <c r="U588" s="34"/>
      <c r="V588" s="34"/>
      <c r="W588" s="34"/>
      <c r="X588" s="34"/>
      <c r="Y588" s="34"/>
      <c r="Z588" s="34"/>
    </row>
    <row r="589" spans="1:26" ht="13">
      <c r="A589" s="34"/>
      <c r="B589" s="34"/>
      <c r="C589" s="34"/>
      <c r="D589" s="34"/>
      <c r="E589" s="34"/>
      <c r="F589" s="33"/>
      <c r="G589" s="34"/>
      <c r="H589" s="34"/>
      <c r="I589" s="33"/>
      <c r="J589" s="34"/>
      <c r="K589" s="34"/>
      <c r="L589" s="34"/>
      <c r="M589" s="34"/>
      <c r="N589" s="34"/>
      <c r="O589" s="34"/>
      <c r="P589" s="34"/>
      <c r="Q589" s="34"/>
      <c r="R589" s="34"/>
      <c r="S589" s="34"/>
      <c r="T589" s="34"/>
      <c r="U589" s="34"/>
      <c r="V589" s="34"/>
      <c r="W589" s="34"/>
      <c r="X589" s="34"/>
      <c r="Y589" s="34"/>
      <c r="Z589" s="34"/>
    </row>
    <row r="590" spans="1:26" ht="13">
      <c r="A590" s="34"/>
      <c r="B590" s="34"/>
      <c r="C590" s="34"/>
      <c r="D590" s="34"/>
      <c r="E590" s="34"/>
      <c r="F590" s="33"/>
      <c r="G590" s="34"/>
      <c r="H590" s="34"/>
      <c r="I590" s="33"/>
      <c r="J590" s="34"/>
      <c r="K590" s="34"/>
      <c r="L590" s="34"/>
      <c r="M590" s="34"/>
      <c r="N590" s="34"/>
      <c r="O590" s="34"/>
      <c r="P590" s="34"/>
      <c r="Q590" s="34"/>
      <c r="R590" s="34"/>
      <c r="S590" s="34"/>
      <c r="T590" s="34"/>
      <c r="U590" s="34"/>
      <c r="V590" s="34"/>
      <c r="W590" s="34"/>
      <c r="X590" s="34"/>
      <c r="Y590" s="34"/>
      <c r="Z590" s="34"/>
    </row>
    <row r="591" spans="1:26" ht="13">
      <c r="A591" s="34"/>
      <c r="B591" s="34"/>
      <c r="C591" s="34"/>
      <c r="D591" s="34"/>
      <c r="E591" s="34"/>
      <c r="F591" s="33"/>
      <c r="G591" s="34"/>
      <c r="H591" s="34"/>
      <c r="I591" s="33"/>
      <c r="J591" s="34"/>
      <c r="K591" s="34"/>
      <c r="L591" s="34"/>
      <c r="M591" s="34"/>
      <c r="N591" s="34"/>
      <c r="O591" s="34"/>
      <c r="P591" s="34"/>
      <c r="Q591" s="34"/>
      <c r="R591" s="34"/>
      <c r="S591" s="34"/>
      <c r="T591" s="34"/>
      <c r="U591" s="34"/>
      <c r="V591" s="34"/>
      <c r="W591" s="34"/>
      <c r="X591" s="34"/>
      <c r="Y591" s="34"/>
      <c r="Z591" s="34"/>
    </row>
    <row r="592" spans="1:26" ht="13">
      <c r="A592" s="34"/>
      <c r="B592" s="34"/>
      <c r="C592" s="34"/>
      <c r="D592" s="34"/>
      <c r="E592" s="34"/>
      <c r="F592" s="33"/>
      <c r="G592" s="34"/>
      <c r="H592" s="34"/>
      <c r="I592" s="33"/>
      <c r="J592" s="34"/>
      <c r="K592" s="34"/>
      <c r="L592" s="34"/>
      <c r="M592" s="34"/>
      <c r="N592" s="34"/>
      <c r="O592" s="34"/>
      <c r="P592" s="34"/>
      <c r="Q592" s="34"/>
      <c r="R592" s="34"/>
      <c r="S592" s="34"/>
      <c r="T592" s="34"/>
      <c r="U592" s="34"/>
      <c r="V592" s="34"/>
      <c r="W592" s="34"/>
      <c r="X592" s="34"/>
      <c r="Y592" s="34"/>
      <c r="Z592" s="34"/>
    </row>
    <row r="593" spans="1:26" ht="13">
      <c r="A593" s="34"/>
      <c r="B593" s="34"/>
      <c r="C593" s="34"/>
      <c r="D593" s="34"/>
      <c r="E593" s="34"/>
      <c r="F593" s="33"/>
      <c r="G593" s="34"/>
      <c r="H593" s="34"/>
      <c r="I593" s="33"/>
      <c r="J593" s="34"/>
      <c r="K593" s="34"/>
      <c r="L593" s="34"/>
      <c r="M593" s="34"/>
      <c r="N593" s="34"/>
      <c r="O593" s="34"/>
      <c r="P593" s="34"/>
      <c r="Q593" s="34"/>
      <c r="R593" s="34"/>
      <c r="S593" s="34"/>
      <c r="T593" s="34"/>
      <c r="U593" s="34"/>
      <c r="V593" s="34"/>
      <c r="W593" s="34"/>
      <c r="X593" s="34"/>
      <c r="Y593" s="34"/>
      <c r="Z593" s="34"/>
    </row>
    <row r="594" spans="1:26" ht="13">
      <c r="A594" s="34"/>
      <c r="B594" s="34"/>
      <c r="C594" s="34"/>
      <c r="D594" s="34"/>
      <c r="E594" s="34"/>
      <c r="F594" s="33"/>
      <c r="G594" s="34"/>
      <c r="H594" s="34"/>
      <c r="I594" s="33"/>
      <c r="J594" s="34"/>
      <c r="K594" s="34"/>
      <c r="L594" s="34"/>
      <c r="M594" s="34"/>
      <c r="N594" s="34"/>
      <c r="O594" s="34"/>
      <c r="P594" s="34"/>
      <c r="Q594" s="34"/>
      <c r="R594" s="34"/>
      <c r="S594" s="34"/>
      <c r="T594" s="34"/>
      <c r="U594" s="34"/>
      <c r="V594" s="34"/>
      <c r="W594" s="34"/>
      <c r="X594" s="34"/>
      <c r="Y594" s="34"/>
      <c r="Z594" s="34"/>
    </row>
    <row r="595" spans="1:26" ht="13">
      <c r="A595" s="34"/>
      <c r="B595" s="34"/>
      <c r="C595" s="34"/>
      <c r="D595" s="34"/>
      <c r="E595" s="34"/>
      <c r="F595" s="33"/>
      <c r="G595" s="34"/>
      <c r="H595" s="34"/>
      <c r="I595" s="33"/>
      <c r="J595" s="34"/>
      <c r="K595" s="34"/>
      <c r="L595" s="34"/>
      <c r="M595" s="34"/>
      <c r="N595" s="34"/>
      <c r="O595" s="34"/>
      <c r="P595" s="34"/>
      <c r="Q595" s="34"/>
      <c r="R595" s="34"/>
      <c r="S595" s="34"/>
      <c r="T595" s="34"/>
      <c r="U595" s="34"/>
      <c r="V595" s="34"/>
      <c r="W595" s="34"/>
      <c r="X595" s="34"/>
      <c r="Y595" s="34"/>
      <c r="Z595" s="34"/>
    </row>
    <row r="596" spans="1:26" ht="13">
      <c r="A596" s="34"/>
      <c r="B596" s="34"/>
      <c r="C596" s="34"/>
      <c r="D596" s="34"/>
      <c r="E596" s="34"/>
      <c r="F596" s="33"/>
      <c r="G596" s="34"/>
      <c r="H596" s="34"/>
      <c r="I596" s="33"/>
      <c r="J596" s="34"/>
      <c r="K596" s="34"/>
      <c r="L596" s="34"/>
      <c r="M596" s="34"/>
      <c r="N596" s="34"/>
      <c r="O596" s="34"/>
      <c r="P596" s="34"/>
      <c r="Q596" s="34"/>
      <c r="R596" s="34"/>
      <c r="S596" s="34"/>
      <c r="T596" s="34"/>
      <c r="U596" s="34"/>
      <c r="V596" s="34"/>
      <c r="W596" s="34"/>
      <c r="X596" s="34"/>
      <c r="Y596" s="34"/>
      <c r="Z596" s="34"/>
    </row>
    <row r="597" spans="1:26" ht="13">
      <c r="A597" s="34"/>
      <c r="B597" s="34"/>
      <c r="C597" s="34"/>
      <c r="D597" s="34"/>
      <c r="E597" s="34"/>
      <c r="F597" s="33"/>
      <c r="G597" s="34"/>
      <c r="H597" s="34"/>
      <c r="I597" s="33"/>
      <c r="J597" s="34"/>
      <c r="K597" s="34"/>
      <c r="L597" s="34"/>
      <c r="M597" s="34"/>
      <c r="N597" s="34"/>
      <c r="O597" s="34"/>
      <c r="P597" s="34"/>
      <c r="Q597" s="34"/>
      <c r="R597" s="34"/>
      <c r="S597" s="34"/>
      <c r="T597" s="34"/>
      <c r="U597" s="34"/>
      <c r="V597" s="34"/>
      <c r="W597" s="34"/>
      <c r="X597" s="34"/>
      <c r="Y597" s="34"/>
      <c r="Z597" s="34"/>
    </row>
    <row r="598" spans="1:26" ht="13">
      <c r="A598" s="34"/>
      <c r="B598" s="34"/>
      <c r="C598" s="34"/>
      <c r="D598" s="34"/>
      <c r="E598" s="34"/>
      <c r="F598" s="33"/>
      <c r="G598" s="34"/>
      <c r="H598" s="34"/>
      <c r="I598" s="33"/>
      <c r="J598" s="34"/>
      <c r="K598" s="34"/>
      <c r="L598" s="34"/>
      <c r="M598" s="34"/>
      <c r="N598" s="34"/>
      <c r="O598" s="34"/>
      <c r="P598" s="34"/>
      <c r="Q598" s="34"/>
      <c r="R598" s="34"/>
      <c r="S598" s="34"/>
      <c r="T598" s="34"/>
      <c r="U598" s="34"/>
      <c r="V598" s="34"/>
      <c r="W598" s="34"/>
      <c r="X598" s="34"/>
      <c r="Y598" s="34"/>
      <c r="Z598" s="34"/>
    </row>
    <row r="599" spans="1:26" ht="13">
      <c r="A599" s="34"/>
      <c r="B599" s="34"/>
      <c r="C599" s="34"/>
      <c r="D599" s="34"/>
      <c r="E599" s="34"/>
      <c r="F599" s="33"/>
      <c r="G599" s="34"/>
      <c r="H599" s="34"/>
      <c r="I599" s="33"/>
      <c r="J599" s="34"/>
      <c r="K599" s="34"/>
      <c r="L599" s="34"/>
      <c r="M599" s="34"/>
      <c r="N599" s="34"/>
      <c r="O599" s="34"/>
      <c r="P599" s="34"/>
      <c r="Q599" s="34"/>
      <c r="R599" s="34"/>
      <c r="S599" s="34"/>
      <c r="T599" s="34"/>
      <c r="U599" s="34"/>
      <c r="V599" s="34"/>
      <c r="W599" s="34"/>
      <c r="X599" s="34"/>
      <c r="Y599" s="34"/>
      <c r="Z599" s="34"/>
    </row>
    <row r="600" spans="1:26" ht="13">
      <c r="A600" s="34"/>
      <c r="B600" s="34"/>
      <c r="C600" s="34"/>
      <c r="D600" s="34"/>
      <c r="E600" s="34"/>
      <c r="F600" s="33"/>
      <c r="G600" s="34"/>
      <c r="H600" s="34"/>
      <c r="I600" s="33"/>
      <c r="J600" s="34"/>
      <c r="K600" s="34"/>
      <c r="L600" s="34"/>
      <c r="M600" s="34"/>
      <c r="N600" s="34"/>
      <c r="O600" s="34"/>
      <c r="P600" s="34"/>
      <c r="Q600" s="34"/>
      <c r="R600" s="34"/>
      <c r="S600" s="34"/>
      <c r="T600" s="34"/>
      <c r="U600" s="34"/>
      <c r="V600" s="34"/>
      <c r="W600" s="34"/>
      <c r="X600" s="34"/>
      <c r="Y600" s="34"/>
      <c r="Z600" s="34"/>
    </row>
    <row r="601" spans="1:26" ht="13">
      <c r="A601" s="34"/>
      <c r="B601" s="34"/>
      <c r="C601" s="34"/>
      <c r="D601" s="34"/>
      <c r="E601" s="34"/>
      <c r="F601" s="33"/>
      <c r="G601" s="34"/>
      <c r="H601" s="34"/>
      <c r="I601" s="33"/>
      <c r="J601" s="34"/>
      <c r="K601" s="34"/>
      <c r="L601" s="34"/>
      <c r="M601" s="34"/>
      <c r="N601" s="34"/>
      <c r="O601" s="34"/>
      <c r="P601" s="34"/>
      <c r="Q601" s="34"/>
      <c r="R601" s="34"/>
      <c r="S601" s="34"/>
      <c r="T601" s="34"/>
      <c r="U601" s="34"/>
      <c r="V601" s="34"/>
      <c r="W601" s="34"/>
      <c r="X601" s="34"/>
      <c r="Y601" s="34"/>
      <c r="Z601" s="34"/>
    </row>
    <row r="602" spans="1:26" ht="13">
      <c r="A602" s="34"/>
      <c r="B602" s="34"/>
      <c r="C602" s="34"/>
      <c r="D602" s="34"/>
      <c r="E602" s="34"/>
      <c r="F602" s="33"/>
      <c r="G602" s="34"/>
      <c r="H602" s="34"/>
      <c r="I602" s="33"/>
      <c r="J602" s="34"/>
      <c r="K602" s="34"/>
      <c r="L602" s="34"/>
      <c r="M602" s="34"/>
      <c r="N602" s="34"/>
      <c r="O602" s="34"/>
      <c r="P602" s="34"/>
      <c r="Q602" s="34"/>
      <c r="R602" s="34"/>
      <c r="S602" s="34"/>
      <c r="T602" s="34"/>
      <c r="U602" s="34"/>
      <c r="V602" s="34"/>
      <c r="W602" s="34"/>
      <c r="X602" s="34"/>
      <c r="Y602" s="34"/>
      <c r="Z602" s="34"/>
    </row>
    <row r="603" spans="1:26" ht="13">
      <c r="A603" s="34"/>
      <c r="B603" s="34"/>
      <c r="C603" s="34"/>
      <c r="D603" s="34"/>
      <c r="E603" s="34"/>
      <c r="F603" s="33"/>
      <c r="G603" s="34"/>
      <c r="H603" s="34"/>
      <c r="I603" s="33"/>
      <c r="J603" s="34"/>
      <c r="K603" s="34"/>
      <c r="L603" s="34"/>
      <c r="M603" s="34"/>
      <c r="N603" s="34"/>
      <c r="O603" s="34"/>
      <c r="P603" s="34"/>
      <c r="Q603" s="34"/>
      <c r="R603" s="34"/>
      <c r="S603" s="34"/>
      <c r="T603" s="34"/>
      <c r="U603" s="34"/>
      <c r="V603" s="34"/>
      <c r="W603" s="34"/>
      <c r="X603" s="34"/>
      <c r="Y603" s="34"/>
      <c r="Z603" s="34"/>
    </row>
    <row r="604" spans="1:26" ht="13">
      <c r="A604" s="34"/>
      <c r="B604" s="34"/>
      <c r="C604" s="34"/>
      <c r="D604" s="34"/>
      <c r="E604" s="34"/>
      <c r="F604" s="33"/>
      <c r="G604" s="34"/>
      <c r="H604" s="34"/>
      <c r="I604" s="33"/>
      <c r="J604" s="34"/>
      <c r="K604" s="34"/>
      <c r="L604" s="34"/>
      <c r="M604" s="34"/>
      <c r="N604" s="34"/>
      <c r="O604" s="34"/>
      <c r="P604" s="34"/>
      <c r="Q604" s="34"/>
      <c r="R604" s="34"/>
      <c r="S604" s="34"/>
      <c r="T604" s="34"/>
      <c r="U604" s="34"/>
      <c r="V604" s="34"/>
      <c r="W604" s="34"/>
      <c r="X604" s="34"/>
      <c r="Y604" s="34"/>
      <c r="Z604" s="34"/>
    </row>
    <row r="605" spans="1:26" ht="13">
      <c r="A605" s="34"/>
      <c r="B605" s="34"/>
      <c r="C605" s="34"/>
      <c r="D605" s="34"/>
      <c r="E605" s="34"/>
      <c r="F605" s="33"/>
      <c r="G605" s="34"/>
      <c r="H605" s="34"/>
      <c r="I605" s="33"/>
      <c r="J605" s="34"/>
      <c r="K605" s="34"/>
      <c r="L605" s="34"/>
      <c r="M605" s="34"/>
      <c r="N605" s="34"/>
      <c r="O605" s="34"/>
      <c r="P605" s="34"/>
      <c r="Q605" s="34"/>
      <c r="R605" s="34"/>
      <c r="S605" s="34"/>
      <c r="T605" s="34"/>
      <c r="U605" s="34"/>
      <c r="V605" s="34"/>
      <c r="W605" s="34"/>
      <c r="X605" s="34"/>
      <c r="Y605" s="34"/>
      <c r="Z605" s="34"/>
    </row>
    <row r="606" spans="1:26" ht="13">
      <c r="A606" s="34"/>
      <c r="B606" s="34"/>
      <c r="C606" s="34"/>
      <c r="D606" s="34"/>
      <c r="E606" s="34"/>
      <c r="F606" s="33"/>
      <c r="G606" s="34"/>
      <c r="H606" s="34"/>
      <c r="I606" s="33"/>
      <c r="J606" s="34"/>
      <c r="K606" s="34"/>
      <c r="L606" s="34"/>
      <c r="M606" s="34"/>
      <c r="N606" s="34"/>
      <c r="O606" s="34"/>
      <c r="P606" s="34"/>
      <c r="Q606" s="34"/>
      <c r="R606" s="34"/>
      <c r="S606" s="34"/>
      <c r="T606" s="34"/>
      <c r="U606" s="34"/>
      <c r="V606" s="34"/>
      <c r="W606" s="34"/>
      <c r="X606" s="34"/>
      <c r="Y606" s="34"/>
      <c r="Z606" s="34"/>
    </row>
    <row r="607" spans="1:26" ht="13">
      <c r="A607" s="34"/>
      <c r="B607" s="34"/>
      <c r="C607" s="34"/>
      <c r="D607" s="34"/>
      <c r="E607" s="34"/>
      <c r="F607" s="33"/>
      <c r="G607" s="34"/>
      <c r="H607" s="34"/>
      <c r="I607" s="33"/>
      <c r="J607" s="34"/>
      <c r="K607" s="34"/>
      <c r="L607" s="34"/>
      <c r="M607" s="34"/>
      <c r="N607" s="34"/>
      <c r="O607" s="34"/>
      <c r="P607" s="34"/>
      <c r="Q607" s="34"/>
      <c r="R607" s="34"/>
      <c r="S607" s="34"/>
      <c r="T607" s="34"/>
      <c r="U607" s="34"/>
      <c r="V607" s="34"/>
      <c r="W607" s="34"/>
      <c r="X607" s="34"/>
      <c r="Y607" s="34"/>
      <c r="Z607" s="34"/>
    </row>
    <row r="608" spans="1:26" ht="13">
      <c r="A608" s="34"/>
      <c r="B608" s="34"/>
      <c r="C608" s="34"/>
      <c r="D608" s="34"/>
      <c r="E608" s="34"/>
      <c r="F608" s="33"/>
      <c r="G608" s="34"/>
      <c r="H608" s="34"/>
      <c r="I608" s="33"/>
      <c r="J608" s="34"/>
      <c r="K608" s="34"/>
      <c r="L608" s="34"/>
      <c r="M608" s="34"/>
      <c r="N608" s="34"/>
      <c r="O608" s="34"/>
      <c r="P608" s="34"/>
      <c r="Q608" s="34"/>
      <c r="R608" s="34"/>
      <c r="S608" s="34"/>
      <c r="T608" s="34"/>
      <c r="U608" s="34"/>
      <c r="V608" s="34"/>
      <c r="W608" s="34"/>
      <c r="X608" s="34"/>
      <c r="Y608" s="34"/>
      <c r="Z608" s="34"/>
    </row>
    <row r="609" spans="1:26" ht="13">
      <c r="A609" s="34"/>
      <c r="B609" s="34"/>
      <c r="C609" s="34"/>
      <c r="D609" s="34"/>
      <c r="E609" s="34"/>
      <c r="F609" s="33"/>
      <c r="G609" s="34"/>
      <c r="H609" s="34"/>
      <c r="I609" s="33"/>
      <c r="J609" s="34"/>
      <c r="K609" s="34"/>
      <c r="L609" s="34"/>
      <c r="M609" s="34"/>
      <c r="N609" s="34"/>
      <c r="O609" s="34"/>
      <c r="P609" s="34"/>
      <c r="Q609" s="34"/>
      <c r="R609" s="34"/>
      <c r="S609" s="34"/>
      <c r="T609" s="34"/>
      <c r="U609" s="34"/>
      <c r="V609" s="34"/>
      <c r="W609" s="34"/>
      <c r="X609" s="34"/>
      <c r="Y609" s="34"/>
      <c r="Z609" s="34"/>
    </row>
    <row r="610" spans="1:26" ht="13">
      <c r="A610" s="34"/>
      <c r="B610" s="34"/>
      <c r="C610" s="34"/>
      <c r="D610" s="34"/>
      <c r="E610" s="34"/>
      <c r="F610" s="33"/>
      <c r="G610" s="34"/>
      <c r="H610" s="34"/>
      <c r="I610" s="33"/>
      <c r="J610" s="34"/>
      <c r="K610" s="34"/>
      <c r="L610" s="34"/>
      <c r="M610" s="34"/>
      <c r="N610" s="34"/>
      <c r="O610" s="34"/>
      <c r="P610" s="34"/>
      <c r="Q610" s="34"/>
      <c r="R610" s="34"/>
      <c r="S610" s="34"/>
      <c r="T610" s="34"/>
      <c r="U610" s="34"/>
      <c r="V610" s="34"/>
      <c r="W610" s="34"/>
      <c r="X610" s="34"/>
      <c r="Y610" s="34"/>
      <c r="Z610" s="34"/>
    </row>
    <row r="611" spans="1:26" ht="13">
      <c r="A611" s="34"/>
      <c r="B611" s="34"/>
      <c r="C611" s="34"/>
      <c r="D611" s="34"/>
      <c r="E611" s="34"/>
      <c r="F611" s="33"/>
      <c r="G611" s="34"/>
      <c r="H611" s="34"/>
      <c r="I611" s="33"/>
      <c r="J611" s="34"/>
      <c r="K611" s="34"/>
      <c r="L611" s="34"/>
      <c r="M611" s="34"/>
      <c r="N611" s="34"/>
      <c r="O611" s="34"/>
      <c r="P611" s="34"/>
      <c r="Q611" s="34"/>
      <c r="R611" s="34"/>
      <c r="S611" s="34"/>
      <c r="T611" s="34"/>
      <c r="U611" s="34"/>
      <c r="V611" s="34"/>
      <c r="W611" s="34"/>
      <c r="X611" s="34"/>
      <c r="Y611" s="34"/>
      <c r="Z611" s="34"/>
    </row>
    <row r="612" spans="1:26" ht="13">
      <c r="A612" s="34"/>
      <c r="B612" s="34"/>
      <c r="C612" s="34"/>
      <c r="D612" s="34"/>
      <c r="E612" s="34"/>
      <c r="F612" s="33"/>
      <c r="G612" s="34"/>
      <c r="H612" s="34"/>
      <c r="I612" s="33"/>
      <c r="J612" s="34"/>
      <c r="K612" s="34"/>
      <c r="L612" s="34"/>
      <c r="M612" s="34"/>
      <c r="N612" s="34"/>
      <c r="O612" s="34"/>
      <c r="P612" s="34"/>
      <c r="Q612" s="34"/>
      <c r="R612" s="34"/>
      <c r="S612" s="34"/>
      <c r="T612" s="34"/>
      <c r="U612" s="34"/>
      <c r="V612" s="34"/>
      <c r="W612" s="34"/>
      <c r="X612" s="34"/>
      <c r="Y612" s="34"/>
      <c r="Z612" s="34"/>
    </row>
    <row r="613" spans="1:26" ht="13">
      <c r="A613" s="34"/>
      <c r="B613" s="34"/>
      <c r="C613" s="34"/>
      <c r="D613" s="34"/>
      <c r="E613" s="34"/>
      <c r="F613" s="33"/>
      <c r="G613" s="34"/>
      <c r="H613" s="34"/>
      <c r="I613" s="33"/>
      <c r="J613" s="34"/>
      <c r="K613" s="34"/>
      <c r="L613" s="34"/>
      <c r="M613" s="34"/>
      <c r="N613" s="34"/>
      <c r="O613" s="34"/>
      <c r="P613" s="34"/>
      <c r="Q613" s="34"/>
      <c r="R613" s="34"/>
      <c r="S613" s="34"/>
      <c r="T613" s="34"/>
      <c r="U613" s="34"/>
      <c r="V613" s="34"/>
      <c r="W613" s="34"/>
      <c r="X613" s="34"/>
      <c r="Y613" s="34"/>
      <c r="Z613" s="34"/>
    </row>
    <row r="614" spans="1:26" ht="13">
      <c r="A614" s="34"/>
      <c r="B614" s="34"/>
      <c r="C614" s="34"/>
      <c r="D614" s="34"/>
      <c r="E614" s="34"/>
      <c r="F614" s="33"/>
      <c r="G614" s="34"/>
      <c r="H614" s="34"/>
      <c r="I614" s="33"/>
      <c r="J614" s="34"/>
      <c r="K614" s="34"/>
      <c r="L614" s="34"/>
      <c r="M614" s="34"/>
      <c r="N614" s="34"/>
      <c r="O614" s="34"/>
      <c r="P614" s="34"/>
      <c r="Q614" s="34"/>
      <c r="R614" s="34"/>
      <c r="S614" s="34"/>
      <c r="T614" s="34"/>
      <c r="U614" s="34"/>
      <c r="V614" s="34"/>
      <c r="W614" s="34"/>
      <c r="X614" s="34"/>
      <c r="Y614" s="34"/>
      <c r="Z614" s="34"/>
    </row>
    <row r="615" spans="1:26" ht="13">
      <c r="A615" s="34"/>
      <c r="B615" s="34"/>
      <c r="C615" s="34"/>
      <c r="D615" s="34"/>
      <c r="E615" s="34"/>
      <c r="F615" s="33"/>
      <c r="G615" s="34"/>
      <c r="H615" s="34"/>
      <c r="I615" s="33"/>
      <c r="J615" s="34"/>
      <c r="K615" s="34"/>
      <c r="L615" s="34"/>
      <c r="M615" s="34"/>
      <c r="N615" s="34"/>
      <c r="O615" s="34"/>
      <c r="P615" s="34"/>
      <c r="Q615" s="34"/>
      <c r="R615" s="34"/>
      <c r="S615" s="34"/>
      <c r="T615" s="34"/>
      <c r="U615" s="34"/>
      <c r="V615" s="34"/>
      <c r="W615" s="34"/>
      <c r="X615" s="34"/>
      <c r="Y615" s="34"/>
      <c r="Z615" s="34"/>
    </row>
    <row r="616" spans="1:26" ht="13">
      <c r="A616" s="34"/>
      <c r="B616" s="34"/>
      <c r="C616" s="34"/>
      <c r="D616" s="34"/>
      <c r="E616" s="34"/>
      <c r="F616" s="33"/>
      <c r="G616" s="34"/>
      <c r="H616" s="34"/>
      <c r="I616" s="33"/>
      <c r="J616" s="34"/>
      <c r="K616" s="34"/>
      <c r="L616" s="34"/>
      <c r="M616" s="34"/>
      <c r="N616" s="34"/>
      <c r="O616" s="34"/>
      <c r="P616" s="34"/>
      <c r="Q616" s="34"/>
      <c r="R616" s="34"/>
      <c r="S616" s="34"/>
      <c r="T616" s="34"/>
      <c r="U616" s="34"/>
      <c r="V616" s="34"/>
      <c r="W616" s="34"/>
      <c r="X616" s="34"/>
      <c r="Y616" s="34"/>
      <c r="Z616" s="34"/>
    </row>
    <row r="617" spans="1:26" ht="13">
      <c r="A617" s="34"/>
      <c r="B617" s="34"/>
      <c r="C617" s="34"/>
      <c r="D617" s="34"/>
      <c r="E617" s="34"/>
      <c r="F617" s="33"/>
      <c r="G617" s="34"/>
      <c r="H617" s="34"/>
      <c r="I617" s="33"/>
      <c r="J617" s="34"/>
      <c r="K617" s="34"/>
      <c r="L617" s="34"/>
      <c r="M617" s="34"/>
      <c r="N617" s="34"/>
      <c r="O617" s="34"/>
      <c r="P617" s="34"/>
      <c r="Q617" s="34"/>
      <c r="R617" s="34"/>
      <c r="S617" s="34"/>
      <c r="T617" s="34"/>
      <c r="U617" s="34"/>
      <c r="V617" s="34"/>
      <c r="W617" s="34"/>
      <c r="X617" s="34"/>
      <c r="Y617" s="34"/>
      <c r="Z617" s="34"/>
    </row>
    <row r="618" spans="1:26" ht="13">
      <c r="A618" s="34"/>
      <c r="B618" s="34"/>
      <c r="C618" s="34"/>
      <c r="D618" s="34"/>
      <c r="E618" s="34"/>
      <c r="F618" s="33"/>
      <c r="G618" s="34"/>
      <c r="H618" s="34"/>
      <c r="I618" s="33"/>
      <c r="J618" s="34"/>
      <c r="K618" s="34"/>
      <c r="L618" s="34"/>
      <c r="M618" s="34"/>
      <c r="N618" s="34"/>
      <c r="O618" s="34"/>
      <c r="P618" s="34"/>
      <c r="Q618" s="34"/>
      <c r="R618" s="34"/>
      <c r="S618" s="34"/>
      <c r="T618" s="34"/>
      <c r="U618" s="34"/>
      <c r="V618" s="34"/>
      <c r="W618" s="34"/>
      <c r="X618" s="34"/>
      <c r="Y618" s="34"/>
      <c r="Z618" s="34"/>
    </row>
    <row r="619" spans="1:26" ht="13">
      <c r="A619" s="34"/>
      <c r="B619" s="34"/>
      <c r="C619" s="34"/>
      <c r="D619" s="34"/>
      <c r="E619" s="34"/>
      <c r="F619" s="33"/>
      <c r="G619" s="34"/>
      <c r="H619" s="34"/>
      <c r="I619" s="33"/>
      <c r="J619" s="34"/>
      <c r="K619" s="34"/>
      <c r="L619" s="34"/>
      <c r="M619" s="34"/>
      <c r="N619" s="34"/>
      <c r="O619" s="34"/>
      <c r="P619" s="34"/>
      <c r="Q619" s="34"/>
      <c r="R619" s="34"/>
      <c r="S619" s="34"/>
      <c r="T619" s="34"/>
      <c r="U619" s="34"/>
      <c r="V619" s="34"/>
      <c r="W619" s="34"/>
      <c r="X619" s="34"/>
      <c r="Y619" s="34"/>
      <c r="Z619" s="34"/>
    </row>
    <row r="620" spans="1:26" ht="13">
      <c r="A620" s="34"/>
      <c r="B620" s="34"/>
      <c r="C620" s="34"/>
      <c r="D620" s="34"/>
      <c r="E620" s="34"/>
      <c r="F620" s="33"/>
      <c r="G620" s="34"/>
      <c r="H620" s="34"/>
      <c r="I620" s="33"/>
      <c r="J620" s="34"/>
      <c r="K620" s="34"/>
      <c r="L620" s="34"/>
      <c r="M620" s="34"/>
      <c r="N620" s="34"/>
      <c r="O620" s="34"/>
      <c r="P620" s="34"/>
      <c r="Q620" s="34"/>
      <c r="R620" s="34"/>
      <c r="S620" s="34"/>
      <c r="T620" s="34"/>
      <c r="U620" s="34"/>
      <c r="V620" s="34"/>
      <c r="W620" s="34"/>
      <c r="X620" s="34"/>
      <c r="Y620" s="34"/>
      <c r="Z620" s="34"/>
    </row>
    <row r="621" spans="1:26" ht="13">
      <c r="A621" s="34"/>
      <c r="B621" s="34"/>
      <c r="C621" s="34"/>
      <c r="D621" s="34"/>
      <c r="E621" s="34"/>
      <c r="F621" s="33"/>
      <c r="G621" s="34"/>
      <c r="H621" s="34"/>
      <c r="I621" s="33"/>
      <c r="J621" s="34"/>
      <c r="K621" s="34"/>
      <c r="L621" s="34"/>
      <c r="M621" s="34"/>
      <c r="N621" s="34"/>
      <c r="O621" s="34"/>
      <c r="P621" s="34"/>
      <c r="Q621" s="34"/>
      <c r="R621" s="34"/>
      <c r="S621" s="34"/>
      <c r="T621" s="34"/>
      <c r="U621" s="34"/>
      <c r="V621" s="34"/>
      <c r="W621" s="34"/>
      <c r="X621" s="34"/>
      <c r="Y621" s="34"/>
      <c r="Z621" s="34"/>
    </row>
    <row r="622" spans="1:26" ht="13">
      <c r="A622" s="34"/>
      <c r="B622" s="34"/>
      <c r="C622" s="34"/>
      <c r="D622" s="34"/>
      <c r="E622" s="34"/>
      <c r="F622" s="33"/>
      <c r="G622" s="34"/>
      <c r="H622" s="34"/>
      <c r="I622" s="33"/>
      <c r="J622" s="34"/>
      <c r="K622" s="34"/>
      <c r="L622" s="34"/>
      <c r="M622" s="34"/>
      <c r="N622" s="34"/>
      <c r="O622" s="34"/>
      <c r="P622" s="34"/>
      <c r="Q622" s="34"/>
      <c r="R622" s="34"/>
      <c r="S622" s="34"/>
      <c r="T622" s="34"/>
      <c r="U622" s="34"/>
      <c r="V622" s="34"/>
      <c r="W622" s="34"/>
      <c r="X622" s="34"/>
      <c r="Y622" s="34"/>
      <c r="Z622" s="34"/>
    </row>
    <row r="623" spans="1:26" ht="13">
      <c r="A623" s="34"/>
      <c r="B623" s="34"/>
      <c r="C623" s="34"/>
      <c r="D623" s="34"/>
      <c r="E623" s="34"/>
      <c r="F623" s="33"/>
      <c r="G623" s="34"/>
      <c r="H623" s="34"/>
      <c r="I623" s="33"/>
      <c r="J623" s="34"/>
      <c r="K623" s="34"/>
      <c r="L623" s="34"/>
      <c r="M623" s="34"/>
      <c r="N623" s="34"/>
      <c r="O623" s="34"/>
      <c r="P623" s="34"/>
      <c r="Q623" s="34"/>
      <c r="R623" s="34"/>
      <c r="S623" s="34"/>
      <c r="T623" s="34"/>
      <c r="U623" s="34"/>
      <c r="V623" s="34"/>
      <c r="W623" s="34"/>
      <c r="X623" s="34"/>
      <c r="Y623" s="34"/>
      <c r="Z623" s="34"/>
    </row>
    <row r="624" spans="1:26" ht="13">
      <c r="A624" s="34"/>
      <c r="B624" s="34"/>
      <c r="C624" s="34"/>
      <c r="D624" s="34"/>
      <c r="E624" s="34"/>
      <c r="F624" s="33"/>
      <c r="G624" s="34"/>
      <c r="H624" s="34"/>
      <c r="I624" s="33"/>
      <c r="J624" s="34"/>
      <c r="K624" s="34"/>
      <c r="L624" s="34"/>
      <c r="M624" s="34"/>
      <c r="N624" s="34"/>
      <c r="O624" s="34"/>
      <c r="P624" s="34"/>
      <c r="Q624" s="34"/>
      <c r="R624" s="34"/>
      <c r="S624" s="34"/>
      <c r="T624" s="34"/>
      <c r="U624" s="34"/>
      <c r="V624" s="34"/>
      <c r="W624" s="34"/>
      <c r="X624" s="34"/>
      <c r="Y624" s="34"/>
      <c r="Z624" s="34"/>
    </row>
    <row r="625" spans="1:26" ht="13">
      <c r="A625" s="34"/>
      <c r="B625" s="34"/>
      <c r="C625" s="34"/>
      <c r="D625" s="34"/>
      <c r="E625" s="34"/>
      <c r="F625" s="33"/>
      <c r="G625" s="34"/>
      <c r="H625" s="34"/>
      <c r="I625" s="33"/>
      <c r="J625" s="34"/>
      <c r="K625" s="34"/>
      <c r="L625" s="34"/>
      <c r="M625" s="34"/>
      <c r="N625" s="34"/>
      <c r="O625" s="34"/>
      <c r="P625" s="34"/>
      <c r="Q625" s="34"/>
      <c r="R625" s="34"/>
      <c r="S625" s="34"/>
      <c r="T625" s="34"/>
      <c r="U625" s="34"/>
      <c r="V625" s="34"/>
      <c r="W625" s="34"/>
      <c r="X625" s="34"/>
      <c r="Y625" s="34"/>
      <c r="Z625" s="34"/>
    </row>
    <row r="626" spans="1:26" ht="13">
      <c r="A626" s="34"/>
      <c r="B626" s="34"/>
      <c r="C626" s="34"/>
      <c r="D626" s="34"/>
      <c r="E626" s="34"/>
      <c r="F626" s="33"/>
      <c r="G626" s="34"/>
      <c r="H626" s="34"/>
      <c r="I626" s="33"/>
      <c r="J626" s="34"/>
      <c r="K626" s="34"/>
      <c r="L626" s="34"/>
      <c r="M626" s="34"/>
      <c r="N626" s="34"/>
      <c r="O626" s="34"/>
      <c r="P626" s="34"/>
      <c r="Q626" s="34"/>
      <c r="R626" s="34"/>
      <c r="S626" s="34"/>
      <c r="T626" s="34"/>
      <c r="U626" s="34"/>
      <c r="V626" s="34"/>
      <c r="W626" s="34"/>
      <c r="X626" s="34"/>
      <c r="Y626" s="34"/>
      <c r="Z626" s="34"/>
    </row>
    <row r="627" spans="1:26" ht="13">
      <c r="A627" s="34"/>
      <c r="B627" s="34"/>
      <c r="C627" s="34"/>
      <c r="D627" s="34"/>
      <c r="E627" s="34"/>
      <c r="F627" s="33"/>
      <c r="G627" s="34"/>
      <c r="H627" s="34"/>
      <c r="I627" s="33"/>
      <c r="J627" s="34"/>
      <c r="K627" s="34"/>
      <c r="L627" s="34"/>
      <c r="M627" s="34"/>
      <c r="N627" s="34"/>
      <c r="O627" s="34"/>
      <c r="P627" s="34"/>
      <c r="Q627" s="34"/>
      <c r="R627" s="34"/>
      <c r="S627" s="34"/>
      <c r="T627" s="34"/>
      <c r="U627" s="34"/>
      <c r="V627" s="34"/>
      <c r="W627" s="34"/>
      <c r="X627" s="34"/>
      <c r="Y627" s="34"/>
      <c r="Z627" s="34"/>
    </row>
    <row r="628" spans="1:26" ht="13">
      <c r="A628" s="34"/>
      <c r="B628" s="34"/>
      <c r="C628" s="34"/>
      <c r="D628" s="34"/>
      <c r="E628" s="34"/>
      <c r="F628" s="33"/>
      <c r="G628" s="34"/>
      <c r="H628" s="34"/>
      <c r="I628" s="33"/>
      <c r="J628" s="34"/>
      <c r="K628" s="34"/>
      <c r="L628" s="34"/>
      <c r="M628" s="34"/>
      <c r="N628" s="34"/>
      <c r="O628" s="34"/>
      <c r="P628" s="34"/>
      <c r="Q628" s="34"/>
      <c r="R628" s="34"/>
      <c r="S628" s="34"/>
      <c r="T628" s="34"/>
      <c r="U628" s="34"/>
      <c r="V628" s="34"/>
      <c r="W628" s="34"/>
      <c r="X628" s="34"/>
      <c r="Y628" s="34"/>
      <c r="Z628" s="34"/>
    </row>
    <row r="629" spans="1:26" ht="13">
      <c r="A629" s="34"/>
      <c r="B629" s="34"/>
      <c r="C629" s="34"/>
      <c r="D629" s="34"/>
      <c r="E629" s="34"/>
      <c r="F629" s="33"/>
      <c r="G629" s="34"/>
      <c r="H629" s="34"/>
      <c r="I629" s="33"/>
      <c r="J629" s="34"/>
      <c r="K629" s="34"/>
      <c r="L629" s="34"/>
      <c r="M629" s="34"/>
      <c r="N629" s="34"/>
      <c r="O629" s="34"/>
      <c r="P629" s="34"/>
      <c r="Q629" s="34"/>
      <c r="R629" s="34"/>
      <c r="S629" s="34"/>
      <c r="T629" s="34"/>
      <c r="U629" s="34"/>
      <c r="V629" s="34"/>
      <c r="W629" s="34"/>
      <c r="X629" s="34"/>
      <c r="Y629" s="34"/>
      <c r="Z629" s="34"/>
    </row>
    <row r="630" spans="1:26" ht="13">
      <c r="A630" s="34"/>
      <c r="B630" s="34"/>
      <c r="C630" s="34"/>
      <c r="D630" s="34"/>
      <c r="E630" s="34"/>
      <c r="F630" s="33"/>
      <c r="G630" s="34"/>
      <c r="H630" s="34"/>
      <c r="I630" s="33"/>
      <c r="J630" s="34"/>
      <c r="K630" s="34"/>
      <c r="L630" s="34"/>
      <c r="M630" s="34"/>
      <c r="N630" s="34"/>
      <c r="O630" s="34"/>
      <c r="P630" s="34"/>
      <c r="Q630" s="34"/>
      <c r="R630" s="34"/>
      <c r="S630" s="34"/>
      <c r="T630" s="34"/>
      <c r="U630" s="34"/>
      <c r="V630" s="34"/>
      <c r="W630" s="34"/>
      <c r="X630" s="34"/>
      <c r="Y630" s="34"/>
      <c r="Z630" s="34"/>
    </row>
    <row r="631" spans="1:26" ht="13">
      <c r="A631" s="34"/>
      <c r="B631" s="34"/>
      <c r="C631" s="34"/>
      <c r="D631" s="34"/>
      <c r="E631" s="34"/>
      <c r="F631" s="33"/>
      <c r="G631" s="34"/>
      <c r="H631" s="34"/>
      <c r="I631" s="33"/>
      <c r="J631" s="34"/>
      <c r="K631" s="34"/>
      <c r="L631" s="34"/>
      <c r="M631" s="34"/>
      <c r="N631" s="34"/>
      <c r="O631" s="34"/>
      <c r="P631" s="34"/>
      <c r="Q631" s="34"/>
      <c r="R631" s="34"/>
      <c r="S631" s="34"/>
      <c r="T631" s="34"/>
      <c r="U631" s="34"/>
      <c r="V631" s="34"/>
      <c r="W631" s="34"/>
      <c r="X631" s="34"/>
      <c r="Y631" s="34"/>
      <c r="Z631" s="34"/>
    </row>
    <row r="632" spans="1:26" ht="13">
      <c r="A632" s="34"/>
      <c r="B632" s="34"/>
      <c r="C632" s="34"/>
      <c r="D632" s="34"/>
      <c r="E632" s="34"/>
      <c r="F632" s="33"/>
      <c r="G632" s="34"/>
      <c r="H632" s="34"/>
      <c r="I632" s="33"/>
      <c r="J632" s="34"/>
      <c r="K632" s="34"/>
      <c r="L632" s="34"/>
      <c r="M632" s="34"/>
      <c r="N632" s="34"/>
      <c r="O632" s="34"/>
      <c r="P632" s="34"/>
      <c r="Q632" s="34"/>
      <c r="R632" s="34"/>
      <c r="S632" s="34"/>
      <c r="T632" s="34"/>
      <c r="U632" s="34"/>
      <c r="V632" s="34"/>
      <c r="W632" s="34"/>
      <c r="X632" s="34"/>
      <c r="Y632" s="34"/>
      <c r="Z632" s="34"/>
    </row>
    <row r="633" spans="1:26" ht="13">
      <c r="A633" s="34"/>
      <c r="B633" s="34"/>
      <c r="C633" s="34"/>
      <c r="D633" s="34"/>
      <c r="E633" s="34"/>
      <c r="F633" s="33"/>
      <c r="G633" s="34"/>
      <c r="H633" s="34"/>
      <c r="I633" s="33"/>
      <c r="J633" s="34"/>
      <c r="K633" s="34"/>
      <c r="L633" s="34"/>
      <c r="M633" s="34"/>
      <c r="N633" s="34"/>
      <c r="O633" s="34"/>
      <c r="P633" s="34"/>
      <c r="Q633" s="34"/>
      <c r="R633" s="34"/>
      <c r="S633" s="34"/>
      <c r="T633" s="34"/>
      <c r="U633" s="34"/>
      <c r="V633" s="34"/>
      <c r="W633" s="34"/>
      <c r="X633" s="34"/>
      <c r="Y633" s="34"/>
      <c r="Z633" s="34"/>
    </row>
    <row r="634" spans="1:26" ht="13">
      <c r="A634" s="34"/>
      <c r="B634" s="34"/>
      <c r="C634" s="34"/>
      <c r="D634" s="34"/>
      <c r="E634" s="34"/>
      <c r="F634" s="33"/>
      <c r="G634" s="34"/>
      <c r="H634" s="34"/>
      <c r="I634" s="33"/>
      <c r="J634" s="34"/>
      <c r="K634" s="34"/>
      <c r="L634" s="34"/>
      <c r="M634" s="34"/>
      <c r="N634" s="34"/>
      <c r="O634" s="34"/>
      <c r="P634" s="34"/>
      <c r="Q634" s="34"/>
      <c r="R634" s="34"/>
      <c r="S634" s="34"/>
      <c r="T634" s="34"/>
      <c r="U634" s="34"/>
      <c r="V634" s="34"/>
      <c r="W634" s="34"/>
      <c r="X634" s="34"/>
      <c r="Y634" s="34"/>
      <c r="Z634" s="34"/>
    </row>
    <row r="635" spans="1:26" ht="13">
      <c r="A635" s="34"/>
      <c r="B635" s="34"/>
      <c r="C635" s="34"/>
      <c r="D635" s="34"/>
      <c r="E635" s="34"/>
      <c r="F635" s="33"/>
      <c r="G635" s="34"/>
      <c r="H635" s="34"/>
      <c r="I635" s="33"/>
      <c r="J635" s="34"/>
      <c r="K635" s="34"/>
      <c r="L635" s="34"/>
      <c r="M635" s="34"/>
      <c r="N635" s="34"/>
      <c r="O635" s="34"/>
      <c r="P635" s="34"/>
      <c r="Q635" s="34"/>
      <c r="R635" s="34"/>
      <c r="S635" s="34"/>
      <c r="T635" s="34"/>
      <c r="U635" s="34"/>
      <c r="V635" s="34"/>
      <c r="W635" s="34"/>
      <c r="X635" s="34"/>
      <c r="Y635" s="34"/>
      <c r="Z635" s="34"/>
    </row>
    <row r="636" spans="1:26" ht="13">
      <c r="A636" s="34"/>
      <c r="B636" s="34"/>
      <c r="C636" s="34"/>
      <c r="D636" s="34"/>
      <c r="E636" s="34"/>
      <c r="F636" s="33"/>
      <c r="G636" s="34"/>
      <c r="H636" s="34"/>
      <c r="I636" s="33"/>
      <c r="J636" s="34"/>
      <c r="K636" s="34"/>
      <c r="L636" s="34"/>
      <c r="M636" s="34"/>
      <c r="N636" s="34"/>
      <c r="O636" s="34"/>
      <c r="P636" s="34"/>
      <c r="Q636" s="34"/>
      <c r="R636" s="34"/>
      <c r="S636" s="34"/>
      <c r="T636" s="34"/>
      <c r="U636" s="34"/>
      <c r="V636" s="34"/>
      <c r="W636" s="34"/>
      <c r="X636" s="34"/>
      <c r="Y636" s="34"/>
      <c r="Z636" s="34"/>
    </row>
    <row r="637" spans="1:26" ht="13">
      <c r="A637" s="34"/>
      <c r="B637" s="34"/>
      <c r="C637" s="34"/>
      <c r="D637" s="34"/>
      <c r="E637" s="34"/>
      <c r="F637" s="33"/>
      <c r="G637" s="34"/>
      <c r="H637" s="34"/>
      <c r="I637" s="33"/>
      <c r="J637" s="34"/>
      <c r="K637" s="34"/>
      <c r="L637" s="34"/>
      <c r="M637" s="34"/>
      <c r="N637" s="34"/>
      <c r="O637" s="34"/>
      <c r="P637" s="34"/>
      <c r="Q637" s="34"/>
      <c r="R637" s="34"/>
      <c r="S637" s="34"/>
      <c r="T637" s="34"/>
      <c r="U637" s="34"/>
      <c r="V637" s="34"/>
      <c r="W637" s="34"/>
      <c r="X637" s="34"/>
      <c r="Y637" s="34"/>
      <c r="Z637" s="34"/>
    </row>
    <row r="638" spans="1:26" ht="13">
      <c r="A638" s="34"/>
      <c r="B638" s="34"/>
      <c r="C638" s="34"/>
      <c r="D638" s="34"/>
      <c r="E638" s="34"/>
      <c r="F638" s="33"/>
      <c r="G638" s="34"/>
      <c r="H638" s="34"/>
      <c r="I638" s="33"/>
      <c r="J638" s="34"/>
      <c r="K638" s="34"/>
      <c r="L638" s="34"/>
      <c r="M638" s="34"/>
      <c r="N638" s="34"/>
      <c r="O638" s="34"/>
      <c r="P638" s="34"/>
      <c r="Q638" s="34"/>
      <c r="R638" s="34"/>
      <c r="S638" s="34"/>
      <c r="T638" s="34"/>
      <c r="U638" s="34"/>
      <c r="V638" s="34"/>
      <c r="W638" s="34"/>
      <c r="X638" s="34"/>
      <c r="Y638" s="34"/>
      <c r="Z638" s="34"/>
    </row>
    <row r="639" spans="1:26" ht="13">
      <c r="A639" s="34"/>
      <c r="B639" s="34"/>
      <c r="C639" s="34"/>
      <c r="D639" s="34"/>
      <c r="E639" s="34"/>
      <c r="F639" s="33"/>
      <c r="G639" s="34"/>
      <c r="H639" s="34"/>
      <c r="I639" s="33"/>
      <c r="J639" s="34"/>
      <c r="K639" s="34"/>
      <c r="L639" s="34"/>
      <c r="M639" s="34"/>
      <c r="N639" s="34"/>
      <c r="O639" s="34"/>
      <c r="P639" s="34"/>
      <c r="Q639" s="34"/>
      <c r="R639" s="34"/>
      <c r="S639" s="34"/>
      <c r="T639" s="34"/>
      <c r="U639" s="34"/>
      <c r="V639" s="34"/>
      <c r="W639" s="34"/>
      <c r="X639" s="34"/>
      <c r="Y639" s="34"/>
      <c r="Z639" s="34"/>
    </row>
    <row r="640" spans="1:26" ht="13">
      <c r="A640" s="34"/>
      <c r="B640" s="34"/>
      <c r="C640" s="34"/>
      <c r="D640" s="34"/>
      <c r="E640" s="34"/>
      <c r="F640" s="33"/>
      <c r="G640" s="34"/>
      <c r="H640" s="34"/>
      <c r="I640" s="33"/>
      <c r="J640" s="34"/>
      <c r="K640" s="34"/>
      <c r="L640" s="34"/>
      <c r="M640" s="34"/>
      <c r="N640" s="34"/>
      <c r="O640" s="34"/>
      <c r="P640" s="34"/>
      <c r="Q640" s="34"/>
      <c r="R640" s="34"/>
      <c r="S640" s="34"/>
      <c r="T640" s="34"/>
      <c r="U640" s="34"/>
      <c r="V640" s="34"/>
      <c r="W640" s="34"/>
      <c r="X640" s="34"/>
      <c r="Y640" s="34"/>
      <c r="Z640" s="34"/>
    </row>
    <row r="641" spans="1:26" ht="13">
      <c r="A641" s="34"/>
      <c r="B641" s="34"/>
      <c r="C641" s="34"/>
      <c r="D641" s="34"/>
      <c r="E641" s="34"/>
      <c r="F641" s="33"/>
      <c r="G641" s="34"/>
      <c r="H641" s="34"/>
      <c r="I641" s="33"/>
      <c r="J641" s="34"/>
      <c r="K641" s="34"/>
      <c r="L641" s="34"/>
      <c r="M641" s="34"/>
      <c r="N641" s="34"/>
      <c r="O641" s="34"/>
      <c r="P641" s="34"/>
      <c r="Q641" s="34"/>
      <c r="R641" s="34"/>
      <c r="S641" s="34"/>
      <c r="T641" s="34"/>
      <c r="U641" s="34"/>
      <c r="V641" s="34"/>
      <c r="W641" s="34"/>
      <c r="X641" s="34"/>
      <c r="Y641" s="34"/>
      <c r="Z641" s="34"/>
    </row>
    <row r="642" spans="1:26" ht="13">
      <c r="A642" s="34"/>
      <c r="B642" s="34"/>
      <c r="C642" s="34"/>
      <c r="D642" s="34"/>
      <c r="E642" s="34"/>
      <c r="F642" s="33"/>
      <c r="G642" s="34"/>
      <c r="H642" s="34"/>
      <c r="I642" s="33"/>
      <c r="J642" s="34"/>
      <c r="K642" s="34"/>
      <c r="L642" s="34"/>
      <c r="M642" s="34"/>
      <c r="N642" s="34"/>
      <c r="O642" s="34"/>
      <c r="P642" s="34"/>
      <c r="Q642" s="34"/>
      <c r="R642" s="34"/>
      <c r="S642" s="34"/>
      <c r="T642" s="34"/>
      <c r="U642" s="34"/>
      <c r="V642" s="34"/>
      <c r="W642" s="34"/>
      <c r="X642" s="34"/>
      <c r="Y642" s="34"/>
      <c r="Z642" s="34"/>
    </row>
    <row r="643" spans="1:26" ht="13">
      <c r="A643" s="34"/>
      <c r="B643" s="34"/>
      <c r="C643" s="34"/>
      <c r="D643" s="34"/>
      <c r="E643" s="34"/>
      <c r="F643" s="33"/>
      <c r="G643" s="34"/>
      <c r="H643" s="34"/>
      <c r="I643" s="33"/>
      <c r="J643" s="34"/>
      <c r="K643" s="34"/>
      <c r="L643" s="34"/>
      <c r="M643" s="34"/>
      <c r="N643" s="34"/>
      <c r="O643" s="34"/>
      <c r="P643" s="34"/>
      <c r="Q643" s="34"/>
      <c r="R643" s="34"/>
      <c r="S643" s="34"/>
      <c r="T643" s="34"/>
      <c r="U643" s="34"/>
      <c r="V643" s="34"/>
      <c r="W643" s="34"/>
      <c r="X643" s="34"/>
      <c r="Y643" s="34"/>
      <c r="Z643" s="34"/>
    </row>
    <row r="644" spans="1:26" ht="13">
      <c r="A644" s="34"/>
      <c r="B644" s="34"/>
      <c r="C644" s="34"/>
      <c r="D644" s="34"/>
      <c r="E644" s="34"/>
      <c r="F644" s="33"/>
      <c r="G644" s="34"/>
      <c r="H644" s="34"/>
      <c r="I644" s="33"/>
      <c r="J644" s="34"/>
      <c r="K644" s="34"/>
      <c r="L644" s="34"/>
      <c r="M644" s="34"/>
      <c r="N644" s="34"/>
      <c r="O644" s="34"/>
      <c r="P644" s="34"/>
      <c r="Q644" s="34"/>
      <c r="R644" s="34"/>
      <c r="S644" s="34"/>
      <c r="T644" s="34"/>
      <c r="U644" s="34"/>
      <c r="V644" s="34"/>
      <c r="W644" s="34"/>
      <c r="X644" s="34"/>
      <c r="Y644" s="34"/>
      <c r="Z644" s="34"/>
    </row>
    <row r="645" spans="1:26" ht="13">
      <c r="A645" s="34"/>
      <c r="B645" s="34"/>
      <c r="C645" s="34"/>
      <c r="D645" s="34"/>
      <c r="E645" s="34"/>
      <c r="F645" s="33"/>
      <c r="G645" s="34"/>
      <c r="H645" s="34"/>
      <c r="I645" s="33"/>
      <c r="J645" s="34"/>
      <c r="K645" s="34"/>
      <c r="L645" s="34"/>
      <c r="M645" s="34"/>
      <c r="N645" s="34"/>
      <c r="O645" s="34"/>
      <c r="P645" s="34"/>
      <c r="Q645" s="34"/>
      <c r="R645" s="34"/>
      <c r="S645" s="34"/>
      <c r="T645" s="34"/>
      <c r="U645" s="34"/>
      <c r="V645" s="34"/>
      <c r="W645" s="34"/>
      <c r="X645" s="34"/>
      <c r="Y645" s="34"/>
      <c r="Z645" s="34"/>
    </row>
    <row r="646" spans="1:26" ht="13">
      <c r="A646" s="34"/>
      <c r="B646" s="34"/>
      <c r="C646" s="34"/>
      <c r="D646" s="34"/>
      <c r="E646" s="34"/>
      <c r="F646" s="33"/>
      <c r="G646" s="34"/>
      <c r="H646" s="34"/>
      <c r="I646" s="33"/>
      <c r="J646" s="34"/>
      <c r="K646" s="34"/>
      <c r="L646" s="34"/>
      <c r="M646" s="34"/>
      <c r="N646" s="34"/>
      <c r="O646" s="34"/>
      <c r="P646" s="34"/>
      <c r="Q646" s="34"/>
      <c r="R646" s="34"/>
      <c r="S646" s="34"/>
      <c r="T646" s="34"/>
      <c r="U646" s="34"/>
      <c r="V646" s="34"/>
      <c r="W646" s="34"/>
      <c r="X646" s="34"/>
      <c r="Y646" s="34"/>
      <c r="Z646" s="34"/>
    </row>
    <row r="647" spans="1:26" ht="13">
      <c r="A647" s="34"/>
      <c r="B647" s="34"/>
      <c r="C647" s="34"/>
      <c r="D647" s="34"/>
      <c r="E647" s="34"/>
      <c r="F647" s="33"/>
      <c r="G647" s="34"/>
      <c r="H647" s="34"/>
      <c r="I647" s="33"/>
      <c r="J647" s="34"/>
      <c r="K647" s="34"/>
      <c r="L647" s="34"/>
      <c r="M647" s="34"/>
      <c r="N647" s="34"/>
      <c r="O647" s="34"/>
      <c r="P647" s="34"/>
      <c r="Q647" s="34"/>
      <c r="R647" s="34"/>
      <c r="S647" s="34"/>
      <c r="T647" s="34"/>
      <c r="U647" s="34"/>
      <c r="V647" s="34"/>
      <c r="W647" s="34"/>
      <c r="X647" s="34"/>
      <c r="Y647" s="34"/>
      <c r="Z647" s="34"/>
    </row>
    <row r="648" spans="1:26" ht="13">
      <c r="A648" s="34"/>
      <c r="B648" s="34"/>
      <c r="C648" s="34"/>
      <c r="D648" s="34"/>
      <c r="E648" s="34"/>
      <c r="F648" s="33"/>
      <c r="G648" s="34"/>
      <c r="H648" s="34"/>
      <c r="I648" s="33"/>
      <c r="J648" s="34"/>
      <c r="K648" s="34"/>
      <c r="L648" s="34"/>
      <c r="M648" s="34"/>
      <c r="N648" s="34"/>
      <c r="O648" s="34"/>
      <c r="P648" s="34"/>
      <c r="Q648" s="34"/>
      <c r="R648" s="34"/>
      <c r="S648" s="34"/>
      <c r="T648" s="34"/>
      <c r="U648" s="34"/>
      <c r="V648" s="34"/>
      <c r="W648" s="34"/>
      <c r="X648" s="34"/>
      <c r="Y648" s="34"/>
      <c r="Z648" s="34"/>
    </row>
    <row r="649" spans="1:26" ht="13">
      <c r="A649" s="34"/>
      <c r="B649" s="34"/>
      <c r="C649" s="34"/>
      <c r="D649" s="34"/>
      <c r="E649" s="34"/>
      <c r="F649" s="33"/>
      <c r="G649" s="34"/>
      <c r="H649" s="34"/>
      <c r="I649" s="33"/>
      <c r="J649" s="34"/>
      <c r="K649" s="34"/>
      <c r="L649" s="34"/>
      <c r="M649" s="34"/>
      <c r="N649" s="34"/>
      <c r="O649" s="34"/>
      <c r="P649" s="34"/>
      <c r="Q649" s="34"/>
      <c r="R649" s="34"/>
      <c r="S649" s="34"/>
      <c r="T649" s="34"/>
      <c r="U649" s="34"/>
      <c r="V649" s="34"/>
      <c r="W649" s="34"/>
      <c r="X649" s="34"/>
      <c r="Y649" s="34"/>
      <c r="Z649" s="34"/>
    </row>
    <row r="650" spans="1:26" ht="13">
      <c r="A650" s="34"/>
      <c r="B650" s="34"/>
      <c r="C650" s="34"/>
      <c r="D650" s="34"/>
      <c r="E650" s="34"/>
      <c r="F650" s="33"/>
      <c r="G650" s="34"/>
      <c r="H650" s="34"/>
      <c r="I650" s="33"/>
      <c r="J650" s="34"/>
      <c r="K650" s="34"/>
      <c r="L650" s="34"/>
      <c r="M650" s="34"/>
      <c r="N650" s="34"/>
      <c r="O650" s="34"/>
      <c r="P650" s="34"/>
      <c r="Q650" s="34"/>
      <c r="R650" s="34"/>
      <c r="S650" s="34"/>
      <c r="T650" s="34"/>
      <c r="U650" s="34"/>
      <c r="V650" s="34"/>
      <c r="W650" s="34"/>
      <c r="X650" s="34"/>
      <c r="Y650" s="34"/>
      <c r="Z650" s="34"/>
    </row>
    <row r="651" spans="1:26" ht="13">
      <c r="A651" s="34"/>
      <c r="B651" s="34"/>
      <c r="C651" s="34"/>
      <c r="D651" s="34"/>
      <c r="E651" s="34"/>
      <c r="F651" s="33"/>
      <c r="G651" s="34"/>
      <c r="H651" s="34"/>
      <c r="I651" s="33"/>
      <c r="J651" s="34"/>
      <c r="K651" s="34"/>
      <c r="L651" s="34"/>
      <c r="M651" s="34"/>
      <c r="N651" s="34"/>
      <c r="O651" s="34"/>
      <c r="P651" s="34"/>
      <c r="Q651" s="34"/>
      <c r="R651" s="34"/>
      <c r="S651" s="34"/>
      <c r="T651" s="34"/>
      <c r="U651" s="34"/>
      <c r="V651" s="34"/>
      <c r="W651" s="34"/>
      <c r="X651" s="34"/>
      <c r="Y651" s="34"/>
      <c r="Z651" s="34"/>
    </row>
    <row r="652" spans="1:26" ht="13">
      <c r="A652" s="34"/>
      <c r="B652" s="34"/>
      <c r="C652" s="34"/>
      <c r="D652" s="34"/>
      <c r="E652" s="34"/>
      <c r="F652" s="33"/>
      <c r="G652" s="34"/>
      <c r="H652" s="34"/>
      <c r="I652" s="33"/>
      <c r="J652" s="34"/>
      <c r="K652" s="34"/>
      <c r="L652" s="34"/>
      <c r="M652" s="34"/>
      <c r="N652" s="34"/>
      <c r="O652" s="34"/>
      <c r="P652" s="34"/>
      <c r="Q652" s="34"/>
      <c r="R652" s="34"/>
      <c r="S652" s="34"/>
      <c r="T652" s="34"/>
      <c r="U652" s="34"/>
      <c r="V652" s="34"/>
      <c r="W652" s="34"/>
      <c r="X652" s="34"/>
      <c r="Y652" s="34"/>
      <c r="Z652" s="34"/>
    </row>
    <row r="653" spans="1:26" ht="13">
      <c r="A653" s="34"/>
      <c r="B653" s="34"/>
      <c r="C653" s="34"/>
      <c r="D653" s="34"/>
      <c r="E653" s="34"/>
      <c r="F653" s="33"/>
      <c r="G653" s="34"/>
      <c r="H653" s="34"/>
      <c r="I653" s="33"/>
      <c r="J653" s="34"/>
      <c r="K653" s="34"/>
      <c r="L653" s="34"/>
      <c r="M653" s="34"/>
      <c r="N653" s="34"/>
      <c r="O653" s="34"/>
      <c r="P653" s="34"/>
      <c r="Q653" s="34"/>
      <c r="R653" s="34"/>
      <c r="S653" s="34"/>
      <c r="T653" s="34"/>
      <c r="U653" s="34"/>
      <c r="V653" s="34"/>
      <c r="W653" s="34"/>
      <c r="X653" s="34"/>
      <c r="Y653" s="34"/>
      <c r="Z653" s="34"/>
    </row>
    <row r="654" spans="1:26" ht="13">
      <c r="A654" s="34"/>
      <c r="B654" s="34"/>
      <c r="C654" s="34"/>
      <c r="D654" s="34"/>
      <c r="E654" s="34"/>
      <c r="F654" s="33"/>
      <c r="G654" s="34"/>
      <c r="H654" s="34"/>
      <c r="I654" s="33"/>
      <c r="J654" s="34"/>
      <c r="K654" s="34"/>
      <c r="L654" s="34"/>
      <c r="M654" s="34"/>
      <c r="N654" s="34"/>
      <c r="O654" s="34"/>
      <c r="P654" s="34"/>
      <c r="Q654" s="34"/>
      <c r="R654" s="34"/>
      <c r="S654" s="34"/>
      <c r="T654" s="34"/>
      <c r="U654" s="34"/>
      <c r="V654" s="34"/>
      <c r="W654" s="34"/>
      <c r="X654" s="34"/>
      <c r="Y654" s="34"/>
      <c r="Z654" s="34"/>
    </row>
    <row r="655" spans="1:26" ht="13">
      <c r="A655" s="34"/>
      <c r="B655" s="34"/>
      <c r="C655" s="34"/>
      <c r="D655" s="34"/>
      <c r="E655" s="34"/>
      <c r="F655" s="33"/>
      <c r="G655" s="34"/>
      <c r="H655" s="34"/>
      <c r="I655" s="33"/>
      <c r="J655" s="34"/>
      <c r="K655" s="34"/>
      <c r="L655" s="34"/>
      <c r="M655" s="34"/>
      <c r="N655" s="34"/>
      <c r="O655" s="34"/>
      <c r="P655" s="34"/>
      <c r="Q655" s="34"/>
      <c r="R655" s="34"/>
      <c r="S655" s="34"/>
      <c r="T655" s="34"/>
      <c r="U655" s="34"/>
      <c r="V655" s="34"/>
      <c r="W655" s="34"/>
      <c r="X655" s="34"/>
      <c r="Y655" s="34"/>
      <c r="Z655" s="34"/>
    </row>
    <row r="656" spans="1:26" ht="13">
      <c r="A656" s="34"/>
      <c r="B656" s="34"/>
      <c r="C656" s="34"/>
      <c r="D656" s="34"/>
      <c r="E656" s="34"/>
      <c r="F656" s="33"/>
      <c r="G656" s="34"/>
      <c r="H656" s="34"/>
      <c r="I656" s="33"/>
      <c r="J656" s="34"/>
      <c r="K656" s="34"/>
      <c r="L656" s="34"/>
      <c r="M656" s="34"/>
      <c r="N656" s="34"/>
      <c r="O656" s="34"/>
      <c r="P656" s="34"/>
      <c r="Q656" s="34"/>
      <c r="R656" s="34"/>
      <c r="S656" s="34"/>
      <c r="T656" s="34"/>
      <c r="U656" s="34"/>
      <c r="V656" s="34"/>
      <c r="W656" s="34"/>
      <c r="X656" s="34"/>
      <c r="Y656" s="34"/>
      <c r="Z656" s="34"/>
    </row>
    <row r="657" spans="1:26" ht="13">
      <c r="A657" s="34"/>
      <c r="B657" s="34"/>
      <c r="C657" s="34"/>
      <c r="D657" s="34"/>
      <c r="E657" s="34"/>
      <c r="F657" s="33"/>
      <c r="G657" s="34"/>
      <c r="H657" s="34"/>
      <c r="I657" s="33"/>
      <c r="J657" s="34"/>
      <c r="K657" s="34"/>
      <c r="L657" s="34"/>
      <c r="M657" s="34"/>
      <c r="N657" s="34"/>
      <c r="O657" s="34"/>
      <c r="P657" s="34"/>
      <c r="Q657" s="34"/>
      <c r="R657" s="34"/>
      <c r="S657" s="34"/>
      <c r="T657" s="34"/>
      <c r="U657" s="34"/>
      <c r="V657" s="34"/>
      <c r="W657" s="34"/>
      <c r="X657" s="34"/>
      <c r="Y657" s="34"/>
      <c r="Z657" s="34"/>
    </row>
    <row r="658" spans="1:26" ht="13">
      <c r="A658" s="34"/>
      <c r="B658" s="34"/>
      <c r="C658" s="34"/>
      <c r="D658" s="34"/>
      <c r="E658" s="34"/>
      <c r="F658" s="33"/>
      <c r="G658" s="34"/>
      <c r="H658" s="34"/>
      <c r="I658" s="33"/>
      <c r="J658" s="34"/>
      <c r="K658" s="34"/>
      <c r="L658" s="34"/>
      <c r="M658" s="34"/>
      <c r="N658" s="34"/>
      <c r="O658" s="34"/>
      <c r="P658" s="34"/>
      <c r="Q658" s="34"/>
      <c r="R658" s="34"/>
      <c r="S658" s="34"/>
      <c r="T658" s="34"/>
      <c r="U658" s="34"/>
      <c r="V658" s="34"/>
      <c r="W658" s="34"/>
      <c r="X658" s="34"/>
      <c r="Y658" s="34"/>
      <c r="Z658" s="34"/>
    </row>
    <row r="659" spans="1:26" ht="13">
      <c r="A659" s="34"/>
      <c r="B659" s="34"/>
      <c r="C659" s="34"/>
      <c r="D659" s="34"/>
      <c r="E659" s="34"/>
      <c r="F659" s="33"/>
      <c r="G659" s="34"/>
      <c r="H659" s="34"/>
      <c r="I659" s="33"/>
      <c r="J659" s="34"/>
      <c r="K659" s="34"/>
      <c r="L659" s="34"/>
      <c r="M659" s="34"/>
      <c r="N659" s="34"/>
      <c r="O659" s="34"/>
      <c r="P659" s="34"/>
      <c r="Q659" s="34"/>
      <c r="R659" s="34"/>
      <c r="S659" s="34"/>
      <c r="T659" s="34"/>
      <c r="U659" s="34"/>
      <c r="V659" s="34"/>
      <c r="W659" s="34"/>
      <c r="X659" s="34"/>
      <c r="Y659" s="34"/>
      <c r="Z659" s="34"/>
    </row>
    <row r="660" spans="1:26" ht="13">
      <c r="A660" s="34"/>
      <c r="B660" s="34"/>
      <c r="C660" s="34"/>
      <c r="D660" s="34"/>
      <c r="E660" s="34"/>
      <c r="F660" s="33"/>
      <c r="G660" s="34"/>
      <c r="H660" s="34"/>
      <c r="I660" s="33"/>
      <c r="J660" s="34"/>
      <c r="K660" s="34"/>
      <c r="L660" s="34"/>
      <c r="M660" s="34"/>
      <c r="N660" s="34"/>
      <c r="O660" s="34"/>
      <c r="P660" s="34"/>
      <c r="Q660" s="34"/>
      <c r="R660" s="34"/>
      <c r="S660" s="34"/>
      <c r="T660" s="34"/>
      <c r="U660" s="34"/>
      <c r="V660" s="34"/>
      <c r="W660" s="34"/>
      <c r="X660" s="34"/>
      <c r="Y660" s="34"/>
      <c r="Z660" s="34"/>
    </row>
    <row r="661" spans="1:26" ht="13">
      <c r="A661" s="34"/>
      <c r="B661" s="34"/>
      <c r="C661" s="34"/>
      <c r="D661" s="34"/>
      <c r="E661" s="34"/>
      <c r="F661" s="33"/>
      <c r="G661" s="34"/>
      <c r="H661" s="34"/>
      <c r="I661" s="33"/>
      <c r="J661" s="34"/>
      <c r="K661" s="34"/>
      <c r="L661" s="34"/>
      <c r="M661" s="34"/>
      <c r="N661" s="34"/>
      <c r="O661" s="34"/>
      <c r="P661" s="34"/>
      <c r="Q661" s="34"/>
      <c r="R661" s="34"/>
      <c r="S661" s="34"/>
      <c r="T661" s="34"/>
      <c r="U661" s="34"/>
      <c r="V661" s="34"/>
      <c r="W661" s="34"/>
      <c r="X661" s="34"/>
      <c r="Y661" s="34"/>
      <c r="Z661" s="34"/>
    </row>
    <row r="662" spans="1:26" ht="13">
      <c r="A662" s="34"/>
      <c r="B662" s="34"/>
      <c r="C662" s="34"/>
      <c r="D662" s="34"/>
      <c r="E662" s="34"/>
      <c r="F662" s="33"/>
      <c r="G662" s="34"/>
      <c r="H662" s="34"/>
      <c r="I662" s="33"/>
      <c r="J662" s="34"/>
      <c r="K662" s="34"/>
      <c r="L662" s="34"/>
      <c r="M662" s="34"/>
      <c r="N662" s="34"/>
      <c r="O662" s="34"/>
      <c r="P662" s="34"/>
      <c r="Q662" s="34"/>
      <c r="R662" s="34"/>
      <c r="S662" s="34"/>
      <c r="T662" s="34"/>
      <c r="U662" s="34"/>
      <c r="V662" s="34"/>
      <c r="W662" s="34"/>
      <c r="X662" s="34"/>
      <c r="Y662" s="34"/>
      <c r="Z662" s="34"/>
    </row>
    <row r="663" spans="1:26" ht="13">
      <c r="A663" s="34"/>
      <c r="B663" s="34"/>
      <c r="C663" s="34"/>
      <c r="D663" s="34"/>
      <c r="E663" s="34"/>
      <c r="F663" s="33"/>
      <c r="G663" s="34"/>
      <c r="H663" s="34"/>
      <c r="I663" s="33"/>
      <c r="J663" s="34"/>
      <c r="K663" s="34"/>
      <c r="L663" s="34"/>
      <c r="M663" s="34"/>
      <c r="N663" s="34"/>
      <c r="O663" s="34"/>
      <c r="P663" s="34"/>
      <c r="Q663" s="34"/>
      <c r="R663" s="34"/>
      <c r="S663" s="34"/>
      <c r="T663" s="34"/>
      <c r="U663" s="34"/>
      <c r="V663" s="34"/>
      <c r="W663" s="34"/>
      <c r="X663" s="34"/>
      <c r="Y663" s="34"/>
      <c r="Z663" s="34"/>
    </row>
    <row r="664" spans="1:26" ht="13">
      <c r="A664" s="34"/>
      <c r="B664" s="34"/>
      <c r="C664" s="34"/>
      <c r="D664" s="34"/>
      <c r="E664" s="34"/>
      <c r="F664" s="33"/>
      <c r="G664" s="34"/>
      <c r="H664" s="34"/>
      <c r="I664" s="33"/>
      <c r="J664" s="34"/>
      <c r="K664" s="34"/>
      <c r="L664" s="34"/>
      <c r="M664" s="34"/>
      <c r="N664" s="34"/>
      <c r="O664" s="34"/>
      <c r="P664" s="34"/>
      <c r="Q664" s="34"/>
      <c r="R664" s="34"/>
      <c r="S664" s="34"/>
      <c r="T664" s="34"/>
      <c r="U664" s="34"/>
      <c r="V664" s="34"/>
      <c r="W664" s="34"/>
      <c r="X664" s="34"/>
      <c r="Y664" s="34"/>
      <c r="Z664" s="34"/>
    </row>
    <row r="665" spans="1:26" ht="13">
      <c r="A665" s="34"/>
      <c r="B665" s="34"/>
      <c r="C665" s="34"/>
      <c r="D665" s="34"/>
      <c r="E665" s="34"/>
      <c r="F665" s="33"/>
      <c r="G665" s="34"/>
      <c r="H665" s="34"/>
      <c r="I665" s="33"/>
      <c r="J665" s="34"/>
      <c r="K665" s="34"/>
      <c r="L665" s="34"/>
      <c r="M665" s="34"/>
      <c r="N665" s="34"/>
      <c r="O665" s="34"/>
      <c r="P665" s="34"/>
      <c r="Q665" s="34"/>
      <c r="R665" s="34"/>
      <c r="S665" s="34"/>
      <c r="T665" s="34"/>
      <c r="U665" s="34"/>
      <c r="V665" s="34"/>
      <c r="W665" s="34"/>
      <c r="X665" s="34"/>
      <c r="Y665" s="34"/>
      <c r="Z665" s="34"/>
    </row>
    <row r="666" spans="1:26" ht="13">
      <c r="A666" s="34"/>
      <c r="B666" s="34"/>
      <c r="C666" s="34"/>
      <c r="D666" s="34"/>
      <c r="E666" s="34"/>
      <c r="F666" s="33"/>
      <c r="G666" s="34"/>
      <c r="H666" s="34"/>
      <c r="I666" s="33"/>
      <c r="J666" s="34"/>
      <c r="K666" s="34"/>
      <c r="L666" s="34"/>
      <c r="M666" s="34"/>
      <c r="N666" s="34"/>
      <c r="O666" s="34"/>
      <c r="P666" s="34"/>
      <c r="Q666" s="34"/>
      <c r="R666" s="34"/>
      <c r="S666" s="34"/>
      <c r="T666" s="34"/>
      <c r="U666" s="34"/>
      <c r="V666" s="34"/>
      <c r="W666" s="34"/>
      <c r="X666" s="34"/>
      <c r="Y666" s="34"/>
      <c r="Z666" s="34"/>
    </row>
    <row r="667" spans="1:26" ht="13">
      <c r="A667" s="34"/>
      <c r="B667" s="34"/>
      <c r="C667" s="34"/>
      <c r="D667" s="34"/>
      <c r="E667" s="34"/>
      <c r="F667" s="33"/>
      <c r="G667" s="34"/>
      <c r="H667" s="34"/>
      <c r="I667" s="33"/>
      <c r="J667" s="34"/>
      <c r="K667" s="34"/>
      <c r="L667" s="34"/>
      <c r="M667" s="34"/>
      <c r="N667" s="34"/>
      <c r="O667" s="34"/>
      <c r="P667" s="34"/>
      <c r="Q667" s="34"/>
      <c r="R667" s="34"/>
      <c r="S667" s="34"/>
      <c r="T667" s="34"/>
      <c r="U667" s="34"/>
      <c r="V667" s="34"/>
      <c r="W667" s="34"/>
      <c r="X667" s="34"/>
      <c r="Y667" s="34"/>
      <c r="Z667" s="34"/>
    </row>
    <row r="668" spans="1:26" ht="13">
      <c r="A668" s="34"/>
      <c r="B668" s="34"/>
      <c r="C668" s="34"/>
      <c r="D668" s="34"/>
      <c r="E668" s="34"/>
      <c r="F668" s="33"/>
      <c r="G668" s="34"/>
      <c r="H668" s="34"/>
      <c r="I668" s="33"/>
      <c r="J668" s="34"/>
      <c r="K668" s="34"/>
      <c r="L668" s="34"/>
      <c r="M668" s="34"/>
      <c r="N668" s="34"/>
      <c r="O668" s="34"/>
      <c r="P668" s="34"/>
      <c r="Q668" s="34"/>
      <c r="R668" s="34"/>
      <c r="S668" s="34"/>
      <c r="T668" s="34"/>
      <c r="U668" s="34"/>
      <c r="V668" s="34"/>
      <c r="W668" s="34"/>
      <c r="X668" s="34"/>
      <c r="Y668" s="34"/>
      <c r="Z668" s="34"/>
    </row>
    <row r="669" spans="1:26" ht="13">
      <c r="A669" s="34"/>
      <c r="B669" s="34"/>
      <c r="C669" s="34"/>
      <c r="D669" s="34"/>
      <c r="E669" s="34"/>
      <c r="F669" s="33"/>
      <c r="G669" s="34"/>
      <c r="H669" s="34"/>
      <c r="I669" s="33"/>
      <c r="J669" s="34"/>
      <c r="K669" s="34"/>
      <c r="L669" s="34"/>
      <c r="M669" s="34"/>
      <c r="N669" s="34"/>
      <c r="O669" s="34"/>
      <c r="P669" s="34"/>
      <c r="Q669" s="34"/>
      <c r="R669" s="34"/>
      <c r="S669" s="34"/>
      <c r="T669" s="34"/>
      <c r="U669" s="34"/>
      <c r="V669" s="34"/>
      <c r="W669" s="34"/>
      <c r="X669" s="34"/>
      <c r="Y669" s="34"/>
      <c r="Z669" s="34"/>
    </row>
    <row r="670" spans="1:26" ht="13">
      <c r="A670" s="34"/>
      <c r="B670" s="34"/>
      <c r="C670" s="34"/>
      <c r="D670" s="34"/>
      <c r="E670" s="34"/>
      <c r="F670" s="33"/>
      <c r="G670" s="34"/>
      <c r="H670" s="34"/>
      <c r="I670" s="33"/>
      <c r="J670" s="34"/>
      <c r="K670" s="34"/>
      <c r="L670" s="34"/>
      <c r="M670" s="34"/>
      <c r="N670" s="34"/>
      <c r="O670" s="34"/>
      <c r="P670" s="34"/>
      <c r="Q670" s="34"/>
      <c r="R670" s="34"/>
      <c r="S670" s="34"/>
      <c r="T670" s="34"/>
      <c r="U670" s="34"/>
      <c r="V670" s="34"/>
      <c r="W670" s="34"/>
      <c r="X670" s="34"/>
      <c r="Y670" s="34"/>
      <c r="Z670" s="34"/>
    </row>
    <row r="671" spans="1:26" ht="13">
      <c r="A671" s="34"/>
      <c r="B671" s="34"/>
      <c r="C671" s="34"/>
      <c r="D671" s="34"/>
      <c r="E671" s="34"/>
      <c r="F671" s="33"/>
      <c r="G671" s="34"/>
      <c r="H671" s="34"/>
      <c r="I671" s="33"/>
      <c r="J671" s="34"/>
      <c r="K671" s="34"/>
      <c r="L671" s="34"/>
      <c r="M671" s="34"/>
      <c r="N671" s="34"/>
      <c r="O671" s="34"/>
      <c r="P671" s="34"/>
      <c r="Q671" s="34"/>
      <c r="R671" s="34"/>
      <c r="S671" s="34"/>
      <c r="T671" s="34"/>
      <c r="U671" s="34"/>
      <c r="V671" s="34"/>
      <c r="W671" s="34"/>
      <c r="X671" s="34"/>
      <c r="Y671" s="34"/>
      <c r="Z671" s="34"/>
    </row>
    <row r="672" spans="1:26" ht="13">
      <c r="A672" s="34"/>
      <c r="B672" s="34"/>
      <c r="C672" s="34"/>
      <c r="D672" s="34"/>
      <c r="E672" s="34"/>
      <c r="F672" s="33"/>
      <c r="G672" s="34"/>
      <c r="H672" s="34"/>
      <c r="I672" s="33"/>
      <c r="J672" s="34"/>
      <c r="K672" s="34"/>
      <c r="L672" s="34"/>
      <c r="M672" s="34"/>
      <c r="N672" s="34"/>
      <c r="O672" s="34"/>
      <c r="P672" s="34"/>
      <c r="Q672" s="34"/>
      <c r="R672" s="34"/>
      <c r="S672" s="34"/>
      <c r="T672" s="34"/>
      <c r="U672" s="34"/>
      <c r="V672" s="34"/>
      <c r="W672" s="34"/>
      <c r="X672" s="34"/>
      <c r="Y672" s="34"/>
      <c r="Z672" s="34"/>
    </row>
    <row r="673" spans="1:26" ht="13">
      <c r="A673" s="34"/>
      <c r="B673" s="34"/>
      <c r="C673" s="34"/>
      <c r="D673" s="34"/>
      <c r="E673" s="34"/>
      <c r="F673" s="33"/>
      <c r="G673" s="34"/>
      <c r="H673" s="34"/>
      <c r="I673" s="33"/>
      <c r="J673" s="34"/>
      <c r="K673" s="34"/>
      <c r="L673" s="34"/>
      <c r="M673" s="34"/>
      <c r="N673" s="34"/>
      <c r="O673" s="34"/>
      <c r="P673" s="34"/>
      <c r="Q673" s="34"/>
      <c r="R673" s="34"/>
      <c r="S673" s="34"/>
      <c r="T673" s="34"/>
      <c r="U673" s="34"/>
      <c r="V673" s="34"/>
      <c r="W673" s="34"/>
      <c r="X673" s="34"/>
      <c r="Y673" s="34"/>
      <c r="Z673" s="34"/>
    </row>
    <row r="674" spans="1:26" ht="13">
      <c r="A674" s="34"/>
      <c r="B674" s="34"/>
      <c r="C674" s="34"/>
      <c r="D674" s="34"/>
      <c r="E674" s="34"/>
      <c r="F674" s="33"/>
      <c r="G674" s="34"/>
      <c r="H674" s="34"/>
      <c r="I674" s="33"/>
      <c r="J674" s="34"/>
      <c r="K674" s="34"/>
      <c r="L674" s="34"/>
      <c r="M674" s="34"/>
      <c r="N674" s="34"/>
      <c r="O674" s="34"/>
      <c r="P674" s="34"/>
      <c r="Q674" s="34"/>
      <c r="R674" s="34"/>
      <c r="S674" s="34"/>
      <c r="T674" s="34"/>
      <c r="U674" s="34"/>
      <c r="V674" s="34"/>
      <c r="W674" s="34"/>
      <c r="X674" s="34"/>
      <c r="Y674" s="34"/>
      <c r="Z674" s="34"/>
    </row>
    <row r="675" spans="1:26" ht="13">
      <c r="A675" s="34"/>
      <c r="B675" s="34"/>
      <c r="C675" s="34"/>
      <c r="D675" s="34"/>
      <c r="E675" s="34"/>
      <c r="F675" s="33"/>
      <c r="G675" s="34"/>
      <c r="H675" s="34"/>
      <c r="I675" s="33"/>
      <c r="J675" s="34"/>
      <c r="K675" s="34"/>
      <c r="L675" s="34"/>
      <c r="M675" s="34"/>
      <c r="N675" s="34"/>
      <c r="O675" s="34"/>
      <c r="P675" s="34"/>
      <c r="Q675" s="34"/>
      <c r="R675" s="34"/>
      <c r="S675" s="34"/>
      <c r="T675" s="34"/>
      <c r="U675" s="34"/>
      <c r="V675" s="34"/>
      <c r="W675" s="34"/>
      <c r="X675" s="34"/>
      <c r="Y675" s="34"/>
      <c r="Z675" s="34"/>
    </row>
    <row r="676" spans="1:26" ht="13">
      <c r="A676" s="34"/>
      <c r="B676" s="34"/>
      <c r="C676" s="34"/>
      <c r="D676" s="34"/>
      <c r="E676" s="34"/>
      <c r="F676" s="33"/>
      <c r="G676" s="34"/>
      <c r="H676" s="34"/>
      <c r="I676" s="33"/>
      <c r="J676" s="34"/>
      <c r="K676" s="34"/>
      <c r="L676" s="34"/>
      <c r="M676" s="34"/>
      <c r="N676" s="34"/>
      <c r="O676" s="34"/>
      <c r="P676" s="34"/>
      <c r="Q676" s="34"/>
      <c r="R676" s="34"/>
      <c r="S676" s="34"/>
      <c r="T676" s="34"/>
      <c r="U676" s="34"/>
      <c r="V676" s="34"/>
      <c r="W676" s="34"/>
      <c r="X676" s="34"/>
      <c r="Y676" s="34"/>
      <c r="Z676" s="34"/>
    </row>
    <row r="677" spans="1:26" ht="13">
      <c r="A677" s="34"/>
      <c r="B677" s="34"/>
      <c r="C677" s="34"/>
      <c r="D677" s="34"/>
      <c r="E677" s="34"/>
      <c r="F677" s="33"/>
      <c r="G677" s="34"/>
      <c r="H677" s="34"/>
      <c r="I677" s="33"/>
      <c r="J677" s="34"/>
      <c r="K677" s="34"/>
      <c r="L677" s="34"/>
      <c r="M677" s="34"/>
      <c r="N677" s="34"/>
      <c r="O677" s="34"/>
      <c r="P677" s="34"/>
      <c r="Q677" s="34"/>
      <c r="R677" s="34"/>
      <c r="S677" s="34"/>
      <c r="T677" s="34"/>
      <c r="U677" s="34"/>
      <c r="V677" s="34"/>
      <c r="W677" s="34"/>
      <c r="X677" s="34"/>
      <c r="Y677" s="34"/>
      <c r="Z677" s="34"/>
    </row>
    <row r="678" spans="1:26" ht="13">
      <c r="A678" s="34"/>
      <c r="B678" s="34"/>
      <c r="C678" s="34"/>
      <c r="D678" s="34"/>
      <c r="E678" s="34"/>
      <c r="F678" s="33"/>
      <c r="G678" s="34"/>
      <c r="H678" s="34"/>
      <c r="I678" s="33"/>
      <c r="J678" s="34"/>
      <c r="K678" s="34"/>
      <c r="L678" s="34"/>
      <c r="M678" s="34"/>
      <c r="N678" s="34"/>
      <c r="O678" s="34"/>
      <c r="P678" s="34"/>
      <c r="Q678" s="34"/>
      <c r="R678" s="34"/>
      <c r="S678" s="34"/>
      <c r="T678" s="34"/>
      <c r="U678" s="34"/>
      <c r="V678" s="34"/>
      <c r="W678" s="34"/>
      <c r="X678" s="34"/>
      <c r="Y678" s="34"/>
      <c r="Z678" s="34"/>
    </row>
    <row r="679" spans="1:26" ht="13">
      <c r="A679" s="34"/>
      <c r="B679" s="34"/>
      <c r="C679" s="34"/>
      <c r="D679" s="34"/>
      <c r="E679" s="34"/>
      <c r="F679" s="33"/>
      <c r="G679" s="34"/>
      <c r="H679" s="34"/>
      <c r="I679" s="33"/>
      <c r="J679" s="34"/>
      <c r="K679" s="34"/>
      <c r="L679" s="34"/>
      <c r="M679" s="34"/>
      <c r="N679" s="34"/>
      <c r="O679" s="34"/>
      <c r="P679" s="34"/>
      <c r="Q679" s="34"/>
      <c r="R679" s="34"/>
      <c r="S679" s="34"/>
      <c r="T679" s="34"/>
      <c r="U679" s="34"/>
      <c r="V679" s="34"/>
      <c r="W679" s="34"/>
      <c r="X679" s="34"/>
      <c r="Y679" s="34"/>
      <c r="Z679" s="34"/>
    </row>
    <row r="680" spans="1:26" ht="13">
      <c r="A680" s="34"/>
      <c r="B680" s="34"/>
      <c r="C680" s="34"/>
      <c r="D680" s="34"/>
      <c r="E680" s="34"/>
      <c r="F680" s="33"/>
      <c r="G680" s="34"/>
      <c r="H680" s="34"/>
      <c r="I680" s="33"/>
      <c r="J680" s="34"/>
      <c r="K680" s="34"/>
      <c r="L680" s="34"/>
      <c r="M680" s="34"/>
      <c r="N680" s="34"/>
      <c r="O680" s="34"/>
      <c r="P680" s="34"/>
      <c r="Q680" s="34"/>
      <c r="R680" s="34"/>
      <c r="S680" s="34"/>
      <c r="T680" s="34"/>
      <c r="U680" s="34"/>
      <c r="V680" s="34"/>
      <c r="W680" s="34"/>
      <c r="X680" s="34"/>
      <c r="Y680" s="34"/>
      <c r="Z680" s="34"/>
    </row>
    <row r="681" spans="1:26" ht="13">
      <c r="A681" s="34"/>
      <c r="B681" s="34"/>
      <c r="C681" s="34"/>
      <c r="D681" s="34"/>
      <c r="E681" s="34"/>
      <c r="F681" s="33"/>
      <c r="G681" s="34"/>
      <c r="H681" s="34"/>
      <c r="I681" s="33"/>
      <c r="J681" s="34"/>
      <c r="K681" s="34"/>
      <c r="L681" s="34"/>
      <c r="M681" s="34"/>
      <c r="N681" s="34"/>
      <c r="O681" s="34"/>
      <c r="P681" s="34"/>
      <c r="Q681" s="34"/>
      <c r="R681" s="34"/>
      <c r="S681" s="34"/>
      <c r="T681" s="34"/>
      <c r="U681" s="34"/>
      <c r="V681" s="34"/>
      <c r="W681" s="34"/>
      <c r="X681" s="34"/>
      <c r="Y681" s="34"/>
      <c r="Z681" s="34"/>
    </row>
    <row r="682" spans="1:26" ht="13">
      <c r="A682" s="34"/>
      <c r="B682" s="34"/>
      <c r="C682" s="34"/>
      <c r="D682" s="34"/>
      <c r="E682" s="34"/>
      <c r="F682" s="33"/>
      <c r="G682" s="34"/>
      <c r="H682" s="34"/>
      <c r="I682" s="33"/>
      <c r="J682" s="34"/>
      <c r="K682" s="34"/>
      <c r="L682" s="34"/>
      <c r="M682" s="34"/>
      <c r="N682" s="34"/>
      <c r="O682" s="34"/>
      <c r="P682" s="34"/>
      <c r="Q682" s="34"/>
      <c r="R682" s="34"/>
      <c r="S682" s="34"/>
      <c r="T682" s="34"/>
      <c r="U682" s="34"/>
      <c r="V682" s="34"/>
      <c r="W682" s="34"/>
      <c r="X682" s="34"/>
      <c r="Y682" s="34"/>
      <c r="Z682" s="34"/>
    </row>
    <row r="683" spans="1:26" ht="13">
      <c r="A683" s="34"/>
      <c r="B683" s="34"/>
      <c r="C683" s="34"/>
      <c r="D683" s="34"/>
      <c r="E683" s="34"/>
      <c r="F683" s="33"/>
      <c r="G683" s="34"/>
      <c r="H683" s="34"/>
      <c r="I683" s="33"/>
      <c r="J683" s="34"/>
      <c r="K683" s="34"/>
      <c r="L683" s="34"/>
      <c r="M683" s="34"/>
      <c r="N683" s="34"/>
      <c r="O683" s="34"/>
      <c r="P683" s="34"/>
      <c r="Q683" s="34"/>
      <c r="R683" s="34"/>
      <c r="S683" s="34"/>
      <c r="T683" s="34"/>
      <c r="U683" s="34"/>
      <c r="V683" s="34"/>
      <c r="W683" s="34"/>
      <c r="X683" s="34"/>
      <c r="Y683" s="34"/>
      <c r="Z683" s="34"/>
    </row>
    <row r="684" spans="1:26" ht="13">
      <c r="A684" s="34"/>
      <c r="B684" s="34"/>
      <c r="C684" s="34"/>
      <c r="D684" s="34"/>
      <c r="E684" s="34"/>
      <c r="F684" s="33"/>
      <c r="G684" s="34"/>
      <c r="H684" s="34"/>
      <c r="I684" s="33"/>
      <c r="J684" s="34"/>
      <c r="K684" s="34"/>
      <c r="L684" s="34"/>
      <c r="M684" s="34"/>
      <c r="N684" s="34"/>
      <c r="O684" s="34"/>
      <c r="P684" s="34"/>
      <c r="Q684" s="34"/>
      <c r="R684" s="34"/>
      <c r="S684" s="34"/>
      <c r="T684" s="34"/>
      <c r="U684" s="34"/>
      <c r="V684" s="34"/>
      <c r="W684" s="34"/>
      <c r="X684" s="34"/>
      <c r="Y684" s="34"/>
      <c r="Z684" s="34"/>
    </row>
    <row r="685" spans="1:26" ht="13">
      <c r="A685" s="34"/>
      <c r="B685" s="34"/>
      <c r="C685" s="34"/>
      <c r="D685" s="34"/>
      <c r="E685" s="34"/>
      <c r="F685" s="33"/>
      <c r="G685" s="34"/>
      <c r="H685" s="34"/>
      <c r="I685" s="33"/>
      <c r="J685" s="34"/>
      <c r="K685" s="34"/>
      <c r="L685" s="34"/>
      <c r="M685" s="34"/>
      <c r="N685" s="34"/>
      <c r="O685" s="34"/>
      <c r="P685" s="34"/>
      <c r="Q685" s="34"/>
      <c r="R685" s="34"/>
      <c r="S685" s="34"/>
      <c r="T685" s="34"/>
      <c r="U685" s="34"/>
      <c r="V685" s="34"/>
      <c r="W685" s="34"/>
      <c r="X685" s="34"/>
      <c r="Y685" s="34"/>
      <c r="Z685" s="34"/>
    </row>
    <row r="686" spans="1:26" ht="13">
      <c r="A686" s="34"/>
      <c r="B686" s="34"/>
      <c r="C686" s="34"/>
      <c r="D686" s="34"/>
      <c r="E686" s="34"/>
      <c r="F686" s="33"/>
      <c r="G686" s="34"/>
      <c r="H686" s="34"/>
      <c r="I686" s="33"/>
      <c r="J686" s="34"/>
      <c r="K686" s="34"/>
      <c r="L686" s="34"/>
      <c r="M686" s="34"/>
      <c r="N686" s="34"/>
      <c r="O686" s="34"/>
      <c r="P686" s="34"/>
      <c r="Q686" s="34"/>
      <c r="R686" s="34"/>
      <c r="S686" s="34"/>
      <c r="T686" s="34"/>
      <c r="U686" s="34"/>
      <c r="V686" s="34"/>
      <c r="W686" s="34"/>
      <c r="X686" s="34"/>
      <c r="Y686" s="34"/>
      <c r="Z686" s="34"/>
    </row>
    <row r="687" spans="1:26" ht="13">
      <c r="A687" s="34"/>
      <c r="B687" s="34"/>
      <c r="C687" s="34"/>
      <c r="D687" s="34"/>
      <c r="E687" s="34"/>
      <c r="F687" s="33"/>
      <c r="G687" s="34"/>
      <c r="H687" s="34"/>
      <c r="I687" s="33"/>
      <c r="J687" s="34"/>
      <c r="K687" s="34"/>
      <c r="L687" s="34"/>
      <c r="M687" s="34"/>
      <c r="N687" s="34"/>
      <c r="O687" s="34"/>
      <c r="P687" s="34"/>
      <c r="Q687" s="34"/>
      <c r="R687" s="34"/>
      <c r="S687" s="34"/>
      <c r="T687" s="34"/>
      <c r="U687" s="34"/>
      <c r="V687" s="34"/>
      <c r="W687" s="34"/>
      <c r="X687" s="34"/>
      <c r="Y687" s="34"/>
      <c r="Z687" s="34"/>
    </row>
    <row r="688" spans="1:26" ht="13">
      <c r="A688" s="34"/>
      <c r="B688" s="34"/>
      <c r="C688" s="34"/>
      <c r="D688" s="34"/>
      <c r="E688" s="34"/>
      <c r="F688" s="33"/>
      <c r="G688" s="34"/>
      <c r="H688" s="34"/>
      <c r="I688" s="33"/>
      <c r="J688" s="34"/>
      <c r="K688" s="34"/>
      <c r="L688" s="34"/>
      <c r="M688" s="34"/>
      <c r="N688" s="34"/>
      <c r="O688" s="34"/>
      <c r="P688" s="34"/>
      <c r="Q688" s="34"/>
      <c r="R688" s="34"/>
      <c r="S688" s="34"/>
      <c r="T688" s="34"/>
      <c r="U688" s="34"/>
      <c r="V688" s="34"/>
      <c r="W688" s="34"/>
      <c r="X688" s="34"/>
      <c r="Y688" s="34"/>
      <c r="Z688" s="34"/>
    </row>
    <row r="689" spans="1:26" ht="13">
      <c r="A689" s="34"/>
      <c r="B689" s="34"/>
      <c r="C689" s="34"/>
      <c r="D689" s="34"/>
      <c r="E689" s="34"/>
      <c r="F689" s="33"/>
      <c r="G689" s="34"/>
      <c r="H689" s="34"/>
      <c r="I689" s="33"/>
      <c r="J689" s="34"/>
      <c r="K689" s="34"/>
      <c r="L689" s="34"/>
      <c r="M689" s="34"/>
      <c r="N689" s="34"/>
      <c r="O689" s="34"/>
      <c r="P689" s="34"/>
      <c r="Q689" s="34"/>
      <c r="R689" s="34"/>
      <c r="S689" s="34"/>
      <c r="T689" s="34"/>
      <c r="U689" s="34"/>
      <c r="V689" s="34"/>
      <c r="W689" s="34"/>
      <c r="X689" s="34"/>
      <c r="Y689" s="34"/>
      <c r="Z689" s="34"/>
    </row>
    <row r="690" spans="1:26" ht="13">
      <c r="A690" s="34"/>
      <c r="B690" s="34"/>
      <c r="C690" s="34"/>
      <c r="D690" s="34"/>
      <c r="E690" s="34"/>
      <c r="F690" s="33"/>
      <c r="G690" s="34"/>
      <c r="H690" s="34"/>
      <c r="I690" s="33"/>
      <c r="J690" s="34"/>
      <c r="K690" s="34"/>
      <c r="L690" s="34"/>
      <c r="M690" s="34"/>
      <c r="N690" s="34"/>
      <c r="O690" s="34"/>
      <c r="P690" s="34"/>
      <c r="Q690" s="34"/>
      <c r="R690" s="34"/>
      <c r="S690" s="34"/>
      <c r="T690" s="34"/>
      <c r="U690" s="34"/>
      <c r="V690" s="34"/>
      <c r="W690" s="34"/>
      <c r="X690" s="34"/>
      <c r="Y690" s="34"/>
      <c r="Z690" s="34"/>
    </row>
    <row r="691" spans="1:26" ht="13">
      <c r="A691" s="34"/>
      <c r="B691" s="34"/>
      <c r="C691" s="34"/>
      <c r="D691" s="34"/>
      <c r="E691" s="34"/>
      <c r="F691" s="33"/>
      <c r="G691" s="34"/>
      <c r="H691" s="34"/>
      <c r="I691" s="33"/>
      <c r="J691" s="34"/>
      <c r="K691" s="34"/>
      <c r="L691" s="34"/>
      <c r="M691" s="34"/>
      <c r="N691" s="34"/>
      <c r="O691" s="34"/>
      <c r="P691" s="34"/>
      <c r="Q691" s="34"/>
      <c r="R691" s="34"/>
      <c r="S691" s="34"/>
      <c r="T691" s="34"/>
      <c r="U691" s="34"/>
      <c r="V691" s="34"/>
      <c r="W691" s="34"/>
      <c r="X691" s="34"/>
      <c r="Y691" s="34"/>
      <c r="Z691" s="34"/>
    </row>
    <row r="692" spans="1:26" ht="13">
      <c r="A692" s="34"/>
      <c r="B692" s="34"/>
      <c r="C692" s="34"/>
      <c r="D692" s="34"/>
      <c r="E692" s="34"/>
      <c r="F692" s="33"/>
      <c r="G692" s="34"/>
      <c r="H692" s="34"/>
      <c r="I692" s="33"/>
      <c r="J692" s="34"/>
      <c r="K692" s="34"/>
      <c r="L692" s="34"/>
      <c r="M692" s="34"/>
      <c r="N692" s="34"/>
      <c r="O692" s="34"/>
      <c r="P692" s="34"/>
      <c r="Q692" s="34"/>
      <c r="R692" s="34"/>
      <c r="S692" s="34"/>
      <c r="T692" s="34"/>
      <c r="U692" s="34"/>
      <c r="V692" s="34"/>
      <c r="W692" s="34"/>
      <c r="X692" s="34"/>
      <c r="Y692" s="34"/>
      <c r="Z692" s="34"/>
    </row>
    <row r="693" spans="1:26" ht="13">
      <c r="A693" s="34"/>
      <c r="B693" s="34"/>
      <c r="C693" s="34"/>
      <c r="D693" s="34"/>
      <c r="E693" s="34"/>
      <c r="F693" s="33"/>
      <c r="G693" s="34"/>
      <c r="H693" s="34"/>
      <c r="I693" s="33"/>
      <c r="J693" s="34"/>
      <c r="K693" s="34"/>
      <c r="L693" s="34"/>
      <c r="M693" s="34"/>
      <c r="N693" s="34"/>
      <c r="O693" s="34"/>
      <c r="P693" s="34"/>
      <c r="Q693" s="34"/>
      <c r="R693" s="34"/>
      <c r="S693" s="34"/>
      <c r="T693" s="34"/>
      <c r="U693" s="34"/>
      <c r="V693" s="34"/>
      <c r="W693" s="34"/>
      <c r="X693" s="34"/>
      <c r="Y693" s="34"/>
      <c r="Z693" s="34"/>
    </row>
    <row r="694" spans="1:26" ht="13">
      <c r="A694" s="34"/>
      <c r="B694" s="34"/>
      <c r="C694" s="34"/>
      <c r="D694" s="34"/>
      <c r="E694" s="34"/>
      <c r="F694" s="33"/>
      <c r="G694" s="34"/>
      <c r="H694" s="34"/>
      <c r="I694" s="33"/>
      <c r="J694" s="34"/>
      <c r="K694" s="34"/>
      <c r="L694" s="34"/>
      <c r="M694" s="34"/>
      <c r="N694" s="34"/>
      <c r="O694" s="34"/>
      <c r="P694" s="34"/>
      <c r="Q694" s="34"/>
      <c r="R694" s="34"/>
      <c r="S694" s="34"/>
      <c r="T694" s="34"/>
      <c r="U694" s="34"/>
      <c r="V694" s="34"/>
      <c r="W694" s="34"/>
      <c r="X694" s="34"/>
      <c r="Y694" s="34"/>
      <c r="Z694" s="34"/>
    </row>
    <row r="695" spans="1:26" ht="13">
      <c r="A695" s="34"/>
      <c r="B695" s="34"/>
      <c r="C695" s="34"/>
      <c r="D695" s="34"/>
      <c r="E695" s="34"/>
      <c r="F695" s="33"/>
      <c r="G695" s="34"/>
      <c r="H695" s="34"/>
      <c r="I695" s="33"/>
      <c r="J695" s="34"/>
      <c r="K695" s="34"/>
      <c r="L695" s="34"/>
      <c r="M695" s="34"/>
      <c r="N695" s="34"/>
      <c r="O695" s="34"/>
      <c r="P695" s="34"/>
      <c r="Q695" s="34"/>
      <c r="R695" s="34"/>
      <c r="S695" s="34"/>
      <c r="T695" s="34"/>
      <c r="U695" s="34"/>
      <c r="V695" s="34"/>
      <c r="W695" s="34"/>
      <c r="X695" s="34"/>
      <c r="Y695" s="34"/>
      <c r="Z695" s="34"/>
    </row>
    <row r="696" spans="1:26" ht="13">
      <c r="A696" s="34"/>
      <c r="B696" s="34"/>
      <c r="C696" s="34"/>
      <c r="D696" s="34"/>
      <c r="E696" s="34"/>
      <c r="F696" s="33"/>
      <c r="G696" s="34"/>
      <c r="H696" s="34"/>
      <c r="I696" s="33"/>
      <c r="J696" s="34"/>
      <c r="K696" s="34"/>
      <c r="L696" s="34"/>
      <c r="M696" s="34"/>
      <c r="N696" s="34"/>
      <c r="O696" s="34"/>
      <c r="P696" s="34"/>
      <c r="Q696" s="34"/>
      <c r="R696" s="34"/>
      <c r="S696" s="34"/>
      <c r="T696" s="34"/>
      <c r="U696" s="34"/>
      <c r="V696" s="34"/>
      <c r="W696" s="34"/>
      <c r="X696" s="34"/>
      <c r="Y696" s="34"/>
      <c r="Z696" s="34"/>
    </row>
    <row r="697" spans="1:26" ht="13">
      <c r="A697" s="34"/>
      <c r="B697" s="34"/>
      <c r="C697" s="34"/>
      <c r="D697" s="34"/>
      <c r="E697" s="34"/>
      <c r="F697" s="33"/>
      <c r="G697" s="34"/>
      <c r="H697" s="34"/>
      <c r="I697" s="33"/>
      <c r="J697" s="34"/>
      <c r="K697" s="34"/>
      <c r="L697" s="34"/>
      <c r="M697" s="34"/>
      <c r="N697" s="34"/>
      <c r="O697" s="34"/>
      <c r="P697" s="34"/>
      <c r="Q697" s="34"/>
      <c r="R697" s="34"/>
      <c r="S697" s="34"/>
      <c r="T697" s="34"/>
      <c r="U697" s="34"/>
      <c r="V697" s="34"/>
      <c r="W697" s="34"/>
      <c r="X697" s="34"/>
      <c r="Y697" s="34"/>
      <c r="Z697" s="34"/>
    </row>
    <row r="698" spans="1:26" ht="13">
      <c r="A698" s="34"/>
      <c r="B698" s="34"/>
      <c r="C698" s="34"/>
      <c r="D698" s="34"/>
      <c r="E698" s="34"/>
      <c r="F698" s="33"/>
      <c r="G698" s="34"/>
      <c r="H698" s="34"/>
      <c r="I698" s="33"/>
      <c r="J698" s="34"/>
      <c r="K698" s="34"/>
      <c r="L698" s="34"/>
      <c r="M698" s="34"/>
      <c r="N698" s="34"/>
      <c r="O698" s="34"/>
      <c r="P698" s="34"/>
      <c r="Q698" s="34"/>
      <c r="R698" s="34"/>
      <c r="S698" s="34"/>
      <c r="T698" s="34"/>
      <c r="U698" s="34"/>
      <c r="V698" s="34"/>
      <c r="W698" s="34"/>
      <c r="X698" s="34"/>
      <c r="Y698" s="34"/>
      <c r="Z698" s="34"/>
    </row>
    <row r="699" spans="1:26" ht="13">
      <c r="A699" s="34"/>
      <c r="B699" s="34"/>
      <c r="C699" s="34"/>
      <c r="D699" s="34"/>
      <c r="E699" s="34"/>
      <c r="F699" s="33"/>
      <c r="G699" s="34"/>
      <c r="H699" s="34"/>
      <c r="I699" s="33"/>
      <c r="J699" s="34"/>
      <c r="K699" s="34"/>
      <c r="L699" s="34"/>
      <c r="M699" s="34"/>
      <c r="N699" s="34"/>
      <c r="O699" s="34"/>
      <c r="P699" s="34"/>
      <c r="Q699" s="34"/>
      <c r="R699" s="34"/>
      <c r="S699" s="34"/>
      <c r="T699" s="34"/>
      <c r="U699" s="34"/>
      <c r="V699" s="34"/>
      <c r="W699" s="34"/>
      <c r="X699" s="34"/>
      <c r="Y699" s="34"/>
      <c r="Z699" s="34"/>
    </row>
    <row r="700" spans="1:26" ht="13">
      <c r="A700" s="34"/>
      <c r="B700" s="34"/>
      <c r="C700" s="34"/>
      <c r="D700" s="34"/>
      <c r="E700" s="34"/>
      <c r="F700" s="33"/>
      <c r="G700" s="34"/>
      <c r="H700" s="34"/>
      <c r="I700" s="33"/>
      <c r="J700" s="34"/>
      <c r="K700" s="34"/>
      <c r="L700" s="34"/>
      <c r="M700" s="34"/>
      <c r="N700" s="34"/>
      <c r="O700" s="34"/>
      <c r="P700" s="34"/>
      <c r="Q700" s="34"/>
      <c r="R700" s="34"/>
      <c r="S700" s="34"/>
      <c r="T700" s="34"/>
      <c r="U700" s="34"/>
      <c r="V700" s="34"/>
      <c r="W700" s="34"/>
      <c r="X700" s="34"/>
      <c r="Y700" s="34"/>
      <c r="Z700" s="34"/>
    </row>
    <row r="701" spans="1:26" ht="13">
      <c r="A701" s="34"/>
      <c r="B701" s="34"/>
      <c r="C701" s="34"/>
      <c r="D701" s="34"/>
      <c r="E701" s="34"/>
      <c r="F701" s="33"/>
      <c r="G701" s="34"/>
      <c r="H701" s="34"/>
      <c r="I701" s="33"/>
      <c r="J701" s="34"/>
      <c r="K701" s="34"/>
      <c r="L701" s="34"/>
      <c r="M701" s="34"/>
      <c r="N701" s="34"/>
      <c r="O701" s="34"/>
      <c r="P701" s="34"/>
      <c r="Q701" s="34"/>
      <c r="R701" s="34"/>
      <c r="S701" s="34"/>
      <c r="T701" s="34"/>
      <c r="U701" s="34"/>
      <c r="V701" s="34"/>
      <c r="W701" s="34"/>
      <c r="X701" s="34"/>
      <c r="Y701" s="34"/>
      <c r="Z701" s="34"/>
    </row>
    <row r="702" spans="1:26" ht="13">
      <c r="A702" s="34"/>
      <c r="B702" s="34"/>
      <c r="C702" s="34"/>
      <c r="D702" s="34"/>
      <c r="E702" s="34"/>
      <c r="F702" s="33"/>
      <c r="G702" s="34"/>
      <c r="H702" s="34"/>
      <c r="I702" s="33"/>
      <c r="J702" s="34"/>
      <c r="K702" s="34"/>
      <c r="L702" s="34"/>
      <c r="M702" s="34"/>
      <c r="N702" s="34"/>
      <c r="O702" s="34"/>
      <c r="P702" s="34"/>
      <c r="Q702" s="34"/>
      <c r="R702" s="34"/>
      <c r="S702" s="34"/>
      <c r="T702" s="34"/>
      <c r="U702" s="34"/>
      <c r="V702" s="34"/>
      <c r="W702" s="34"/>
      <c r="X702" s="34"/>
      <c r="Y702" s="34"/>
      <c r="Z702" s="34"/>
    </row>
    <row r="703" spans="1:26" ht="13">
      <c r="A703" s="34"/>
      <c r="B703" s="34"/>
      <c r="C703" s="34"/>
      <c r="D703" s="34"/>
      <c r="E703" s="34"/>
      <c r="F703" s="33"/>
      <c r="G703" s="34"/>
      <c r="H703" s="34"/>
      <c r="I703" s="33"/>
      <c r="J703" s="34"/>
      <c r="K703" s="34"/>
      <c r="L703" s="34"/>
      <c r="M703" s="34"/>
      <c r="N703" s="34"/>
      <c r="O703" s="34"/>
      <c r="P703" s="34"/>
      <c r="Q703" s="34"/>
      <c r="R703" s="34"/>
      <c r="S703" s="34"/>
      <c r="T703" s="34"/>
      <c r="U703" s="34"/>
      <c r="V703" s="34"/>
      <c r="W703" s="34"/>
      <c r="X703" s="34"/>
      <c r="Y703" s="34"/>
      <c r="Z703" s="34"/>
    </row>
    <row r="704" spans="1:26" ht="13">
      <c r="A704" s="34"/>
      <c r="B704" s="34"/>
      <c r="C704" s="34"/>
      <c r="D704" s="34"/>
      <c r="E704" s="34"/>
      <c r="F704" s="33"/>
      <c r="G704" s="34"/>
      <c r="H704" s="34"/>
      <c r="I704" s="33"/>
      <c r="J704" s="34"/>
      <c r="K704" s="34"/>
      <c r="L704" s="34"/>
      <c r="M704" s="34"/>
      <c r="N704" s="34"/>
      <c r="O704" s="34"/>
      <c r="P704" s="34"/>
      <c r="Q704" s="34"/>
      <c r="R704" s="34"/>
      <c r="S704" s="34"/>
      <c r="T704" s="34"/>
      <c r="U704" s="34"/>
      <c r="V704" s="34"/>
      <c r="W704" s="34"/>
      <c r="X704" s="34"/>
      <c r="Y704" s="34"/>
      <c r="Z704" s="34"/>
    </row>
    <row r="705" spans="1:26" ht="13">
      <c r="A705" s="34"/>
      <c r="B705" s="34"/>
      <c r="C705" s="34"/>
      <c r="D705" s="34"/>
      <c r="E705" s="34"/>
      <c r="F705" s="33"/>
      <c r="G705" s="34"/>
      <c r="H705" s="34"/>
      <c r="I705" s="33"/>
      <c r="J705" s="34"/>
      <c r="K705" s="34"/>
      <c r="L705" s="34"/>
      <c r="M705" s="34"/>
      <c r="N705" s="34"/>
      <c r="O705" s="34"/>
      <c r="P705" s="34"/>
      <c r="Q705" s="34"/>
      <c r="R705" s="34"/>
      <c r="S705" s="34"/>
      <c r="T705" s="34"/>
      <c r="U705" s="34"/>
      <c r="V705" s="34"/>
      <c r="W705" s="34"/>
      <c r="X705" s="34"/>
      <c r="Y705" s="34"/>
      <c r="Z705" s="34"/>
    </row>
    <row r="706" spans="1:26" ht="13">
      <c r="A706" s="34"/>
      <c r="B706" s="34"/>
      <c r="C706" s="34"/>
      <c r="D706" s="34"/>
      <c r="E706" s="34"/>
      <c r="F706" s="33"/>
      <c r="G706" s="34"/>
      <c r="H706" s="34"/>
      <c r="I706" s="33"/>
      <c r="J706" s="34"/>
      <c r="K706" s="34"/>
      <c r="L706" s="34"/>
      <c r="M706" s="34"/>
      <c r="N706" s="34"/>
      <c r="O706" s="34"/>
      <c r="P706" s="34"/>
      <c r="Q706" s="34"/>
      <c r="R706" s="34"/>
      <c r="S706" s="34"/>
      <c r="T706" s="34"/>
      <c r="U706" s="34"/>
      <c r="V706" s="34"/>
      <c r="W706" s="34"/>
      <c r="X706" s="34"/>
      <c r="Y706" s="34"/>
      <c r="Z706" s="34"/>
    </row>
    <row r="707" spans="1:26" ht="13">
      <c r="A707" s="34"/>
      <c r="B707" s="34"/>
      <c r="C707" s="34"/>
      <c r="D707" s="34"/>
      <c r="E707" s="34"/>
      <c r="F707" s="33"/>
      <c r="G707" s="34"/>
      <c r="H707" s="34"/>
      <c r="I707" s="33"/>
      <c r="J707" s="34"/>
      <c r="K707" s="34"/>
      <c r="L707" s="34"/>
      <c r="M707" s="34"/>
      <c r="N707" s="34"/>
      <c r="O707" s="34"/>
      <c r="P707" s="34"/>
      <c r="Q707" s="34"/>
      <c r="R707" s="34"/>
      <c r="S707" s="34"/>
      <c r="T707" s="34"/>
      <c r="U707" s="34"/>
      <c r="V707" s="34"/>
      <c r="W707" s="34"/>
      <c r="X707" s="34"/>
      <c r="Y707" s="34"/>
      <c r="Z707" s="34"/>
    </row>
    <row r="708" spans="1:26" ht="13">
      <c r="A708" s="34"/>
      <c r="B708" s="34"/>
      <c r="C708" s="34"/>
      <c r="D708" s="34"/>
      <c r="E708" s="34"/>
      <c r="F708" s="33"/>
      <c r="G708" s="34"/>
      <c r="H708" s="34"/>
      <c r="I708" s="33"/>
      <c r="J708" s="34"/>
      <c r="K708" s="34"/>
      <c r="L708" s="34"/>
      <c r="M708" s="34"/>
      <c r="N708" s="34"/>
      <c r="O708" s="34"/>
      <c r="P708" s="34"/>
      <c r="Q708" s="34"/>
      <c r="R708" s="34"/>
      <c r="S708" s="34"/>
      <c r="T708" s="34"/>
      <c r="U708" s="34"/>
      <c r="V708" s="34"/>
      <c r="W708" s="34"/>
      <c r="X708" s="34"/>
      <c r="Y708" s="34"/>
      <c r="Z708" s="34"/>
    </row>
    <row r="709" spans="1:26" ht="13">
      <c r="A709" s="34"/>
      <c r="B709" s="34"/>
      <c r="C709" s="34"/>
      <c r="D709" s="34"/>
      <c r="E709" s="34"/>
      <c r="F709" s="33"/>
      <c r="G709" s="34"/>
      <c r="H709" s="34"/>
      <c r="I709" s="33"/>
      <c r="J709" s="34"/>
      <c r="K709" s="34"/>
      <c r="L709" s="34"/>
      <c r="M709" s="34"/>
      <c r="N709" s="34"/>
      <c r="O709" s="34"/>
      <c r="P709" s="34"/>
      <c r="Q709" s="34"/>
      <c r="R709" s="34"/>
      <c r="S709" s="34"/>
      <c r="T709" s="34"/>
      <c r="U709" s="34"/>
      <c r="V709" s="34"/>
      <c r="W709" s="34"/>
      <c r="X709" s="34"/>
      <c r="Y709" s="34"/>
      <c r="Z709" s="34"/>
    </row>
    <row r="710" spans="1:26" ht="13">
      <c r="A710" s="34"/>
      <c r="B710" s="34"/>
      <c r="C710" s="34"/>
      <c r="D710" s="34"/>
      <c r="E710" s="34"/>
      <c r="F710" s="33"/>
      <c r="G710" s="34"/>
      <c r="H710" s="34"/>
      <c r="I710" s="33"/>
      <c r="J710" s="34"/>
      <c r="K710" s="34"/>
      <c r="L710" s="34"/>
      <c r="M710" s="34"/>
      <c r="N710" s="34"/>
      <c r="O710" s="34"/>
      <c r="P710" s="34"/>
      <c r="Q710" s="34"/>
      <c r="R710" s="34"/>
      <c r="S710" s="34"/>
      <c r="T710" s="34"/>
      <c r="U710" s="34"/>
      <c r="V710" s="34"/>
      <c r="W710" s="34"/>
      <c r="X710" s="34"/>
      <c r="Y710" s="34"/>
      <c r="Z710" s="34"/>
    </row>
    <row r="711" spans="1:26" ht="13">
      <c r="A711" s="34"/>
      <c r="B711" s="34"/>
      <c r="C711" s="34"/>
      <c r="D711" s="34"/>
      <c r="E711" s="34"/>
      <c r="F711" s="33"/>
      <c r="G711" s="34"/>
      <c r="H711" s="34"/>
      <c r="I711" s="33"/>
      <c r="J711" s="34"/>
      <c r="K711" s="34"/>
      <c r="L711" s="34"/>
      <c r="M711" s="34"/>
      <c r="N711" s="34"/>
      <c r="O711" s="34"/>
      <c r="P711" s="34"/>
      <c r="Q711" s="34"/>
      <c r="R711" s="34"/>
      <c r="S711" s="34"/>
      <c r="T711" s="34"/>
      <c r="U711" s="34"/>
      <c r="V711" s="34"/>
      <c r="W711" s="34"/>
      <c r="X711" s="34"/>
      <c r="Y711" s="34"/>
      <c r="Z711" s="34"/>
    </row>
    <row r="712" spans="1:26" ht="13">
      <c r="A712" s="34"/>
      <c r="B712" s="34"/>
      <c r="C712" s="34"/>
      <c r="D712" s="34"/>
      <c r="E712" s="34"/>
      <c r="F712" s="33"/>
      <c r="G712" s="34"/>
      <c r="H712" s="34"/>
      <c r="I712" s="33"/>
      <c r="J712" s="34"/>
      <c r="K712" s="34"/>
      <c r="L712" s="34"/>
      <c r="M712" s="34"/>
      <c r="N712" s="34"/>
      <c r="O712" s="34"/>
      <c r="P712" s="34"/>
      <c r="Q712" s="34"/>
      <c r="R712" s="34"/>
      <c r="S712" s="34"/>
      <c r="T712" s="34"/>
      <c r="U712" s="34"/>
      <c r="V712" s="34"/>
      <c r="W712" s="34"/>
      <c r="X712" s="34"/>
      <c r="Y712" s="34"/>
      <c r="Z712" s="34"/>
    </row>
    <row r="713" spans="1:26" ht="13">
      <c r="A713" s="34"/>
      <c r="B713" s="34"/>
      <c r="C713" s="34"/>
      <c r="D713" s="34"/>
      <c r="E713" s="34"/>
      <c r="F713" s="33"/>
      <c r="G713" s="34"/>
      <c r="H713" s="34"/>
      <c r="I713" s="33"/>
      <c r="J713" s="34"/>
      <c r="K713" s="34"/>
      <c r="L713" s="34"/>
      <c r="M713" s="34"/>
      <c r="N713" s="34"/>
      <c r="O713" s="34"/>
      <c r="P713" s="34"/>
      <c r="Q713" s="34"/>
      <c r="R713" s="34"/>
      <c r="S713" s="34"/>
      <c r="T713" s="34"/>
      <c r="U713" s="34"/>
      <c r="V713" s="34"/>
      <c r="W713" s="34"/>
      <c r="X713" s="34"/>
      <c r="Y713" s="34"/>
      <c r="Z713" s="34"/>
    </row>
    <row r="714" spans="1:26" ht="13">
      <c r="A714" s="34"/>
      <c r="B714" s="34"/>
      <c r="C714" s="34"/>
      <c r="D714" s="34"/>
      <c r="E714" s="34"/>
      <c r="F714" s="33"/>
      <c r="G714" s="34"/>
      <c r="H714" s="34"/>
      <c r="I714" s="33"/>
      <c r="J714" s="34"/>
      <c r="K714" s="34"/>
      <c r="L714" s="34"/>
      <c r="M714" s="34"/>
      <c r="N714" s="34"/>
      <c r="O714" s="34"/>
      <c r="P714" s="34"/>
      <c r="Q714" s="34"/>
      <c r="R714" s="34"/>
      <c r="S714" s="34"/>
      <c r="T714" s="34"/>
      <c r="U714" s="34"/>
      <c r="V714" s="34"/>
      <c r="W714" s="34"/>
      <c r="X714" s="34"/>
      <c r="Y714" s="34"/>
      <c r="Z714" s="34"/>
    </row>
    <row r="715" spans="1:26" ht="13">
      <c r="A715" s="34"/>
      <c r="B715" s="34"/>
      <c r="C715" s="34"/>
      <c r="D715" s="34"/>
      <c r="E715" s="34"/>
      <c r="F715" s="33"/>
      <c r="G715" s="34"/>
      <c r="H715" s="34"/>
      <c r="I715" s="33"/>
      <c r="J715" s="34"/>
      <c r="K715" s="34"/>
      <c r="L715" s="34"/>
      <c r="M715" s="34"/>
      <c r="N715" s="34"/>
      <c r="O715" s="34"/>
      <c r="P715" s="34"/>
      <c r="Q715" s="34"/>
      <c r="R715" s="34"/>
      <c r="S715" s="34"/>
      <c r="T715" s="34"/>
      <c r="U715" s="34"/>
      <c r="V715" s="34"/>
      <c r="W715" s="34"/>
      <c r="X715" s="34"/>
      <c r="Y715" s="34"/>
      <c r="Z715" s="34"/>
    </row>
    <row r="716" spans="1:26" ht="13">
      <c r="A716" s="34"/>
      <c r="B716" s="34"/>
      <c r="C716" s="34"/>
      <c r="D716" s="34"/>
      <c r="E716" s="34"/>
      <c r="F716" s="33"/>
      <c r="G716" s="34"/>
      <c r="H716" s="34"/>
      <c r="I716" s="33"/>
      <c r="J716" s="34"/>
      <c r="K716" s="34"/>
      <c r="L716" s="34"/>
      <c r="M716" s="34"/>
      <c r="N716" s="34"/>
      <c r="O716" s="34"/>
      <c r="P716" s="34"/>
      <c r="Q716" s="34"/>
      <c r="R716" s="34"/>
      <c r="S716" s="34"/>
      <c r="T716" s="34"/>
      <c r="U716" s="34"/>
      <c r="V716" s="34"/>
      <c r="W716" s="34"/>
      <c r="X716" s="34"/>
      <c r="Y716" s="34"/>
      <c r="Z716" s="34"/>
    </row>
    <row r="717" spans="1:26" ht="13">
      <c r="A717" s="34"/>
      <c r="B717" s="34"/>
      <c r="C717" s="34"/>
      <c r="D717" s="34"/>
      <c r="E717" s="34"/>
      <c r="F717" s="33"/>
      <c r="G717" s="34"/>
      <c r="H717" s="34"/>
      <c r="I717" s="33"/>
      <c r="J717" s="34"/>
      <c r="K717" s="34"/>
      <c r="L717" s="34"/>
      <c r="M717" s="34"/>
      <c r="N717" s="34"/>
      <c r="O717" s="34"/>
      <c r="P717" s="34"/>
      <c r="Q717" s="34"/>
      <c r="R717" s="34"/>
      <c r="S717" s="34"/>
      <c r="T717" s="34"/>
      <c r="U717" s="34"/>
      <c r="V717" s="34"/>
      <c r="W717" s="34"/>
      <c r="X717" s="34"/>
      <c r="Y717" s="34"/>
      <c r="Z717" s="34"/>
    </row>
    <row r="718" spans="1:26" ht="13">
      <c r="A718" s="34"/>
      <c r="B718" s="34"/>
      <c r="C718" s="34"/>
      <c r="D718" s="34"/>
      <c r="E718" s="34"/>
      <c r="F718" s="33"/>
      <c r="G718" s="34"/>
      <c r="H718" s="34"/>
      <c r="I718" s="33"/>
      <c r="J718" s="34"/>
      <c r="K718" s="34"/>
      <c r="L718" s="34"/>
      <c r="M718" s="34"/>
      <c r="N718" s="34"/>
      <c r="O718" s="34"/>
      <c r="P718" s="34"/>
      <c r="Q718" s="34"/>
      <c r="R718" s="34"/>
      <c r="S718" s="34"/>
      <c r="T718" s="34"/>
      <c r="U718" s="34"/>
      <c r="V718" s="34"/>
      <c r="W718" s="34"/>
      <c r="X718" s="34"/>
      <c r="Y718" s="34"/>
      <c r="Z718" s="34"/>
    </row>
    <row r="719" spans="1:26" ht="13">
      <c r="A719" s="34"/>
      <c r="B719" s="34"/>
      <c r="C719" s="34"/>
      <c r="D719" s="34"/>
      <c r="E719" s="34"/>
      <c r="F719" s="33"/>
      <c r="G719" s="34"/>
      <c r="H719" s="34"/>
      <c r="I719" s="33"/>
      <c r="J719" s="34"/>
      <c r="K719" s="34"/>
      <c r="L719" s="34"/>
      <c r="M719" s="34"/>
      <c r="N719" s="34"/>
      <c r="O719" s="34"/>
      <c r="P719" s="34"/>
      <c r="Q719" s="34"/>
      <c r="R719" s="34"/>
      <c r="S719" s="34"/>
      <c r="T719" s="34"/>
      <c r="U719" s="34"/>
      <c r="V719" s="34"/>
      <c r="W719" s="34"/>
      <c r="X719" s="34"/>
      <c r="Y719" s="34"/>
      <c r="Z719" s="34"/>
    </row>
    <row r="720" spans="1:26" ht="13">
      <c r="A720" s="34"/>
      <c r="B720" s="34"/>
      <c r="C720" s="34"/>
      <c r="D720" s="34"/>
      <c r="E720" s="34"/>
      <c r="F720" s="33"/>
      <c r="G720" s="34"/>
      <c r="H720" s="34"/>
      <c r="I720" s="33"/>
      <c r="J720" s="34"/>
      <c r="K720" s="34"/>
      <c r="L720" s="34"/>
      <c r="M720" s="34"/>
      <c r="N720" s="34"/>
      <c r="O720" s="34"/>
      <c r="P720" s="34"/>
      <c r="Q720" s="34"/>
      <c r="R720" s="34"/>
      <c r="S720" s="34"/>
      <c r="T720" s="34"/>
      <c r="U720" s="34"/>
      <c r="V720" s="34"/>
      <c r="W720" s="34"/>
      <c r="X720" s="34"/>
      <c r="Y720" s="34"/>
      <c r="Z720" s="34"/>
    </row>
    <row r="721" spans="1:26" ht="13">
      <c r="A721" s="34"/>
      <c r="B721" s="34"/>
      <c r="C721" s="34"/>
      <c r="D721" s="34"/>
      <c r="E721" s="34"/>
      <c r="F721" s="33"/>
      <c r="G721" s="34"/>
      <c r="H721" s="34"/>
      <c r="I721" s="33"/>
      <c r="J721" s="34"/>
      <c r="K721" s="34"/>
      <c r="L721" s="34"/>
      <c r="M721" s="34"/>
      <c r="N721" s="34"/>
      <c r="O721" s="34"/>
      <c r="P721" s="34"/>
      <c r="Q721" s="34"/>
      <c r="R721" s="34"/>
      <c r="S721" s="34"/>
      <c r="T721" s="34"/>
      <c r="U721" s="34"/>
      <c r="V721" s="34"/>
      <c r="W721" s="34"/>
      <c r="X721" s="34"/>
      <c r="Y721" s="34"/>
      <c r="Z721" s="34"/>
    </row>
    <row r="722" spans="1:26" ht="13">
      <c r="A722" s="34"/>
      <c r="B722" s="34"/>
      <c r="C722" s="34"/>
      <c r="D722" s="34"/>
      <c r="E722" s="34"/>
      <c r="F722" s="33"/>
      <c r="G722" s="34"/>
      <c r="H722" s="34"/>
      <c r="I722" s="33"/>
      <c r="J722" s="34"/>
      <c r="K722" s="34"/>
      <c r="L722" s="34"/>
      <c r="M722" s="34"/>
      <c r="N722" s="34"/>
      <c r="O722" s="34"/>
      <c r="P722" s="34"/>
      <c r="Q722" s="34"/>
      <c r="R722" s="34"/>
      <c r="S722" s="34"/>
      <c r="T722" s="34"/>
      <c r="U722" s="34"/>
      <c r="V722" s="34"/>
      <c r="W722" s="34"/>
      <c r="X722" s="34"/>
      <c r="Y722" s="34"/>
      <c r="Z722" s="34"/>
    </row>
    <row r="723" spans="1:26" ht="13">
      <c r="A723" s="34"/>
      <c r="B723" s="34"/>
      <c r="C723" s="34"/>
      <c r="D723" s="34"/>
      <c r="E723" s="34"/>
      <c r="F723" s="33"/>
      <c r="G723" s="34"/>
      <c r="H723" s="34"/>
      <c r="I723" s="33"/>
      <c r="J723" s="34"/>
      <c r="K723" s="34"/>
      <c r="L723" s="34"/>
      <c r="M723" s="34"/>
      <c r="N723" s="34"/>
      <c r="O723" s="34"/>
      <c r="P723" s="34"/>
      <c r="Q723" s="34"/>
      <c r="R723" s="34"/>
      <c r="S723" s="34"/>
      <c r="T723" s="34"/>
      <c r="U723" s="34"/>
      <c r="V723" s="34"/>
      <c r="W723" s="34"/>
      <c r="X723" s="34"/>
      <c r="Y723" s="34"/>
      <c r="Z723" s="34"/>
    </row>
    <row r="724" spans="1:26" ht="13">
      <c r="A724" s="34"/>
      <c r="B724" s="34"/>
      <c r="C724" s="34"/>
      <c r="D724" s="34"/>
      <c r="E724" s="34"/>
      <c r="F724" s="33"/>
      <c r="G724" s="34"/>
      <c r="H724" s="34"/>
      <c r="I724" s="33"/>
      <c r="J724" s="34"/>
      <c r="K724" s="34"/>
      <c r="L724" s="34"/>
      <c r="M724" s="34"/>
      <c r="N724" s="34"/>
      <c r="O724" s="34"/>
      <c r="P724" s="34"/>
      <c r="Q724" s="34"/>
      <c r="R724" s="34"/>
      <c r="S724" s="34"/>
      <c r="T724" s="34"/>
      <c r="U724" s="34"/>
      <c r="V724" s="34"/>
      <c r="W724" s="34"/>
      <c r="X724" s="34"/>
      <c r="Y724" s="34"/>
      <c r="Z724" s="34"/>
    </row>
    <row r="725" spans="1:26" ht="13">
      <c r="A725" s="34"/>
      <c r="B725" s="34"/>
      <c r="C725" s="34"/>
      <c r="D725" s="34"/>
      <c r="E725" s="34"/>
      <c r="F725" s="33"/>
      <c r="G725" s="34"/>
      <c r="H725" s="34"/>
      <c r="I725" s="33"/>
      <c r="J725" s="34"/>
      <c r="K725" s="34"/>
      <c r="L725" s="34"/>
      <c r="M725" s="34"/>
      <c r="N725" s="34"/>
      <c r="O725" s="34"/>
      <c r="P725" s="34"/>
      <c r="Q725" s="34"/>
      <c r="R725" s="34"/>
      <c r="S725" s="34"/>
      <c r="T725" s="34"/>
      <c r="U725" s="34"/>
      <c r="V725" s="34"/>
      <c r="W725" s="34"/>
      <c r="X725" s="34"/>
      <c r="Y725" s="34"/>
      <c r="Z725" s="34"/>
    </row>
    <row r="726" spans="1:26" ht="13">
      <c r="A726" s="34"/>
      <c r="B726" s="34"/>
      <c r="C726" s="34"/>
      <c r="D726" s="34"/>
      <c r="E726" s="34"/>
      <c r="F726" s="33"/>
      <c r="G726" s="34"/>
      <c r="H726" s="34"/>
      <c r="I726" s="33"/>
      <c r="J726" s="34"/>
      <c r="K726" s="34"/>
      <c r="L726" s="34"/>
      <c r="M726" s="34"/>
      <c r="N726" s="34"/>
      <c r="O726" s="34"/>
      <c r="P726" s="34"/>
      <c r="Q726" s="34"/>
      <c r="R726" s="34"/>
      <c r="S726" s="34"/>
      <c r="T726" s="34"/>
      <c r="U726" s="34"/>
      <c r="V726" s="34"/>
      <c r="W726" s="34"/>
      <c r="X726" s="34"/>
      <c r="Y726" s="34"/>
      <c r="Z726" s="34"/>
    </row>
    <row r="727" spans="1:26" ht="13">
      <c r="A727" s="34"/>
      <c r="B727" s="34"/>
      <c r="C727" s="34"/>
      <c r="D727" s="34"/>
      <c r="E727" s="34"/>
      <c r="F727" s="33"/>
      <c r="G727" s="34"/>
      <c r="H727" s="34"/>
      <c r="I727" s="33"/>
      <c r="J727" s="34"/>
      <c r="K727" s="34"/>
      <c r="L727" s="34"/>
      <c r="M727" s="34"/>
      <c r="N727" s="34"/>
      <c r="O727" s="34"/>
      <c r="P727" s="34"/>
      <c r="Q727" s="34"/>
      <c r="R727" s="34"/>
      <c r="S727" s="34"/>
      <c r="T727" s="34"/>
      <c r="U727" s="34"/>
      <c r="V727" s="34"/>
      <c r="W727" s="34"/>
      <c r="X727" s="34"/>
      <c r="Y727" s="34"/>
      <c r="Z727" s="34"/>
    </row>
    <row r="728" spans="1:26" ht="13">
      <c r="A728" s="34"/>
      <c r="B728" s="34"/>
      <c r="C728" s="34"/>
      <c r="D728" s="34"/>
      <c r="E728" s="34"/>
      <c r="F728" s="33"/>
      <c r="G728" s="34"/>
      <c r="H728" s="34"/>
      <c r="I728" s="33"/>
      <c r="J728" s="34"/>
      <c r="K728" s="34"/>
      <c r="L728" s="34"/>
      <c r="M728" s="34"/>
      <c r="N728" s="34"/>
      <c r="O728" s="34"/>
      <c r="P728" s="34"/>
      <c r="Q728" s="34"/>
      <c r="R728" s="34"/>
      <c r="S728" s="34"/>
      <c r="T728" s="34"/>
      <c r="U728" s="34"/>
      <c r="V728" s="34"/>
      <c r="W728" s="34"/>
      <c r="X728" s="34"/>
      <c r="Y728" s="34"/>
      <c r="Z728" s="34"/>
    </row>
    <row r="729" spans="1:26" ht="13">
      <c r="A729" s="34"/>
      <c r="B729" s="34"/>
      <c r="C729" s="34"/>
      <c r="D729" s="34"/>
      <c r="E729" s="34"/>
      <c r="F729" s="33"/>
      <c r="G729" s="34"/>
      <c r="H729" s="34"/>
      <c r="I729" s="33"/>
      <c r="J729" s="34"/>
      <c r="K729" s="34"/>
      <c r="L729" s="34"/>
      <c r="M729" s="34"/>
      <c r="N729" s="34"/>
      <c r="O729" s="34"/>
      <c r="P729" s="34"/>
      <c r="Q729" s="34"/>
      <c r="R729" s="34"/>
      <c r="S729" s="34"/>
      <c r="T729" s="34"/>
      <c r="U729" s="34"/>
      <c r="V729" s="34"/>
      <c r="W729" s="34"/>
      <c r="X729" s="34"/>
      <c r="Y729" s="34"/>
      <c r="Z729" s="34"/>
    </row>
    <row r="730" spans="1:26" ht="13">
      <c r="A730" s="34"/>
      <c r="B730" s="34"/>
      <c r="C730" s="34"/>
      <c r="D730" s="34"/>
      <c r="E730" s="34"/>
      <c r="F730" s="33"/>
      <c r="G730" s="34"/>
      <c r="H730" s="34"/>
      <c r="I730" s="33"/>
      <c r="J730" s="34"/>
      <c r="K730" s="34"/>
      <c r="L730" s="34"/>
      <c r="M730" s="34"/>
      <c r="N730" s="34"/>
      <c r="O730" s="34"/>
      <c r="P730" s="34"/>
      <c r="Q730" s="34"/>
      <c r="R730" s="34"/>
      <c r="S730" s="34"/>
      <c r="T730" s="34"/>
      <c r="U730" s="34"/>
      <c r="V730" s="34"/>
      <c r="W730" s="34"/>
      <c r="X730" s="34"/>
      <c r="Y730" s="34"/>
      <c r="Z730" s="34"/>
    </row>
    <row r="731" spans="1:26" ht="13">
      <c r="A731" s="34"/>
      <c r="B731" s="34"/>
      <c r="C731" s="34"/>
      <c r="D731" s="34"/>
      <c r="E731" s="34"/>
      <c r="F731" s="33"/>
      <c r="G731" s="34"/>
      <c r="H731" s="34"/>
      <c r="I731" s="33"/>
      <c r="J731" s="34"/>
      <c r="K731" s="34"/>
      <c r="L731" s="34"/>
      <c r="M731" s="34"/>
      <c r="N731" s="34"/>
      <c r="O731" s="34"/>
      <c r="P731" s="34"/>
      <c r="Q731" s="34"/>
      <c r="R731" s="34"/>
      <c r="S731" s="34"/>
      <c r="T731" s="34"/>
      <c r="U731" s="34"/>
      <c r="V731" s="34"/>
      <c r="W731" s="34"/>
      <c r="X731" s="34"/>
      <c r="Y731" s="34"/>
      <c r="Z731" s="34"/>
    </row>
    <row r="732" spans="1:26" ht="13">
      <c r="A732" s="34"/>
      <c r="B732" s="34"/>
      <c r="C732" s="34"/>
      <c r="D732" s="34"/>
      <c r="E732" s="34"/>
      <c r="F732" s="33"/>
      <c r="G732" s="34"/>
      <c r="H732" s="34"/>
      <c r="I732" s="33"/>
      <c r="J732" s="34"/>
      <c r="K732" s="34"/>
      <c r="L732" s="34"/>
      <c r="M732" s="34"/>
      <c r="N732" s="34"/>
      <c r="O732" s="34"/>
      <c r="P732" s="34"/>
      <c r="Q732" s="34"/>
      <c r="R732" s="34"/>
      <c r="S732" s="34"/>
      <c r="T732" s="34"/>
      <c r="U732" s="34"/>
      <c r="V732" s="34"/>
      <c r="W732" s="34"/>
      <c r="X732" s="34"/>
      <c r="Y732" s="34"/>
      <c r="Z732" s="34"/>
    </row>
    <row r="733" spans="1:26" ht="13">
      <c r="A733" s="34"/>
      <c r="B733" s="34"/>
      <c r="C733" s="34"/>
      <c r="D733" s="34"/>
      <c r="E733" s="34"/>
      <c r="F733" s="33"/>
      <c r="G733" s="34"/>
      <c r="H733" s="34"/>
      <c r="I733" s="33"/>
      <c r="J733" s="34"/>
      <c r="K733" s="34"/>
      <c r="L733" s="34"/>
      <c r="M733" s="34"/>
      <c r="N733" s="34"/>
      <c r="O733" s="34"/>
      <c r="P733" s="34"/>
      <c r="Q733" s="34"/>
      <c r="R733" s="34"/>
      <c r="S733" s="34"/>
      <c r="T733" s="34"/>
      <c r="U733" s="34"/>
      <c r="V733" s="34"/>
      <c r="W733" s="34"/>
      <c r="X733" s="34"/>
      <c r="Y733" s="34"/>
      <c r="Z733" s="34"/>
    </row>
    <row r="734" spans="1:26" ht="13">
      <c r="A734" s="34"/>
      <c r="B734" s="34"/>
      <c r="C734" s="34"/>
      <c r="D734" s="34"/>
      <c r="E734" s="34"/>
      <c r="F734" s="33"/>
      <c r="G734" s="34"/>
      <c r="H734" s="34"/>
      <c r="I734" s="33"/>
      <c r="J734" s="34"/>
      <c r="K734" s="34"/>
      <c r="L734" s="34"/>
      <c r="M734" s="34"/>
      <c r="N734" s="34"/>
      <c r="O734" s="34"/>
      <c r="P734" s="34"/>
      <c r="Q734" s="34"/>
      <c r="R734" s="34"/>
      <c r="S734" s="34"/>
      <c r="T734" s="34"/>
      <c r="U734" s="34"/>
      <c r="V734" s="34"/>
      <c r="W734" s="34"/>
      <c r="X734" s="34"/>
      <c r="Y734" s="34"/>
      <c r="Z734" s="34"/>
    </row>
    <row r="735" spans="1:26" ht="13">
      <c r="A735" s="34"/>
      <c r="B735" s="34"/>
      <c r="C735" s="34"/>
      <c r="D735" s="34"/>
      <c r="E735" s="34"/>
      <c r="F735" s="33"/>
      <c r="G735" s="34"/>
      <c r="H735" s="34"/>
      <c r="I735" s="33"/>
      <c r="J735" s="34"/>
      <c r="K735" s="34"/>
      <c r="L735" s="34"/>
      <c r="M735" s="34"/>
      <c r="N735" s="34"/>
      <c r="O735" s="34"/>
      <c r="P735" s="34"/>
      <c r="Q735" s="34"/>
      <c r="R735" s="34"/>
      <c r="S735" s="34"/>
      <c r="T735" s="34"/>
      <c r="U735" s="34"/>
      <c r="V735" s="34"/>
      <c r="W735" s="34"/>
      <c r="X735" s="34"/>
      <c r="Y735" s="34"/>
      <c r="Z735" s="34"/>
    </row>
    <row r="736" spans="1:26" ht="13">
      <c r="A736" s="34"/>
      <c r="B736" s="34"/>
      <c r="C736" s="34"/>
      <c r="D736" s="34"/>
      <c r="E736" s="34"/>
      <c r="F736" s="33"/>
      <c r="G736" s="34"/>
      <c r="H736" s="34"/>
      <c r="I736" s="33"/>
      <c r="J736" s="34"/>
      <c r="K736" s="34"/>
      <c r="L736" s="34"/>
      <c r="M736" s="34"/>
      <c r="N736" s="34"/>
      <c r="O736" s="34"/>
      <c r="P736" s="34"/>
      <c r="Q736" s="34"/>
      <c r="R736" s="34"/>
      <c r="S736" s="34"/>
      <c r="T736" s="34"/>
      <c r="U736" s="34"/>
      <c r="V736" s="34"/>
      <c r="W736" s="34"/>
      <c r="X736" s="34"/>
      <c r="Y736" s="34"/>
      <c r="Z736" s="34"/>
    </row>
    <row r="737" spans="1:26" ht="13">
      <c r="A737" s="34"/>
      <c r="B737" s="34"/>
      <c r="C737" s="34"/>
      <c r="D737" s="34"/>
      <c r="E737" s="34"/>
      <c r="F737" s="33"/>
      <c r="G737" s="34"/>
      <c r="H737" s="34"/>
      <c r="I737" s="33"/>
      <c r="J737" s="34"/>
      <c r="K737" s="34"/>
      <c r="L737" s="34"/>
      <c r="M737" s="34"/>
      <c r="N737" s="34"/>
      <c r="O737" s="34"/>
      <c r="P737" s="34"/>
      <c r="Q737" s="34"/>
      <c r="R737" s="34"/>
      <c r="S737" s="34"/>
      <c r="T737" s="34"/>
      <c r="U737" s="34"/>
      <c r="V737" s="34"/>
      <c r="W737" s="34"/>
      <c r="X737" s="34"/>
      <c r="Y737" s="34"/>
      <c r="Z737" s="34"/>
    </row>
    <row r="738" spans="1:26" ht="13">
      <c r="A738" s="34"/>
      <c r="B738" s="34"/>
      <c r="C738" s="34"/>
      <c r="D738" s="34"/>
      <c r="E738" s="34"/>
      <c r="F738" s="33"/>
      <c r="G738" s="34"/>
      <c r="H738" s="34"/>
      <c r="I738" s="33"/>
      <c r="J738" s="34"/>
      <c r="K738" s="34"/>
      <c r="L738" s="34"/>
      <c r="M738" s="34"/>
      <c r="N738" s="34"/>
      <c r="O738" s="34"/>
      <c r="P738" s="34"/>
      <c r="Q738" s="34"/>
      <c r="R738" s="34"/>
      <c r="S738" s="34"/>
      <c r="T738" s="34"/>
      <c r="U738" s="34"/>
      <c r="V738" s="34"/>
      <c r="W738" s="34"/>
      <c r="X738" s="34"/>
      <c r="Y738" s="34"/>
      <c r="Z738" s="34"/>
    </row>
    <row r="739" spans="1:26" ht="13">
      <c r="A739" s="34"/>
      <c r="B739" s="34"/>
      <c r="C739" s="34"/>
      <c r="D739" s="34"/>
      <c r="E739" s="34"/>
      <c r="F739" s="33"/>
      <c r="G739" s="34"/>
      <c r="H739" s="34"/>
      <c r="I739" s="33"/>
      <c r="J739" s="34"/>
      <c r="K739" s="34"/>
      <c r="L739" s="34"/>
      <c r="M739" s="34"/>
      <c r="N739" s="34"/>
      <c r="O739" s="34"/>
      <c r="P739" s="34"/>
      <c r="Q739" s="34"/>
      <c r="R739" s="34"/>
      <c r="S739" s="34"/>
      <c r="T739" s="34"/>
      <c r="U739" s="34"/>
      <c r="V739" s="34"/>
      <c r="W739" s="34"/>
      <c r="X739" s="34"/>
      <c r="Y739" s="34"/>
      <c r="Z739" s="34"/>
    </row>
    <row r="740" spans="1:26" ht="13">
      <c r="A740" s="34"/>
      <c r="B740" s="34"/>
      <c r="C740" s="34"/>
      <c r="D740" s="34"/>
      <c r="E740" s="34"/>
      <c r="F740" s="33"/>
      <c r="G740" s="34"/>
      <c r="H740" s="34"/>
      <c r="I740" s="33"/>
      <c r="J740" s="34"/>
      <c r="K740" s="34"/>
      <c r="L740" s="34"/>
      <c r="M740" s="34"/>
      <c r="N740" s="34"/>
      <c r="O740" s="34"/>
      <c r="P740" s="34"/>
      <c r="Q740" s="34"/>
      <c r="R740" s="34"/>
      <c r="S740" s="34"/>
      <c r="T740" s="34"/>
      <c r="U740" s="34"/>
      <c r="V740" s="34"/>
      <c r="W740" s="34"/>
      <c r="X740" s="34"/>
      <c r="Y740" s="34"/>
      <c r="Z740" s="34"/>
    </row>
    <row r="741" spans="1:26" ht="13">
      <c r="A741" s="34"/>
      <c r="B741" s="34"/>
      <c r="C741" s="34"/>
      <c r="D741" s="34"/>
      <c r="E741" s="34"/>
      <c r="F741" s="33"/>
      <c r="G741" s="34"/>
      <c r="H741" s="34"/>
      <c r="I741" s="33"/>
      <c r="J741" s="34"/>
      <c r="K741" s="34"/>
      <c r="L741" s="34"/>
      <c r="M741" s="34"/>
      <c r="N741" s="34"/>
      <c r="O741" s="34"/>
      <c r="P741" s="34"/>
      <c r="Q741" s="34"/>
      <c r="R741" s="34"/>
      <c r="S741" s="34"/>
      <c r="T741" s="34"/>
      <c r="U741" s="34"/>
      <c r="V741" s="34"/>
      <c r="W741" s="34"/>
      <c r="X741" s="34"/>
      <c r="Y741" s="34"/>
      <c r="Z741" s="34"/>
    </row>
    <row r="742" spans="1:26" ht="13">
      <c r="A742" s="34"/>
      <c r="B742" s="34"/>
      <c r="C742" s="34"/>
      <c r="D742" s="34"/>
      <c r="E742" s="34"/>
      <c r="F742" s="33"/>
      <c r="G742" s="34"/>
      <c r="H742" s="34"/>
      <c r="I742" s="33"/>
      <c r="J742" s="34"/>
      <c r="K742" s="34"/>
      <c r="L742" s="34"/>
      <c r="M742" s="34"/>
      <c r="N742" s="34"/>
      <c r="O742" s="34"/>
      <c r="P742" s="34"/>
      <c r="Q742" s="34"/>
      <c r="R742" s="34"/>
      <c r="S742" s="34"/>
      <c r="T742" s="34"/>
      <c r="U742" s="34"/>
      <c r="V742" s="34"/>
      <c r="W742" s="34"/>
      <c r="X742" s="34"/>
      <c r="Y742" s="34"/>
      <c r="Z742" s="34"/>
    </row>
    <row r="743" spans="1:26" ht="13">
      <c r="A743" s="34"/>
      <c r="B743" s="34"/>
      <c r="C743" s="34"/>
      <c r="D743" s="34"/>
      <c r="E743" s="34"/>
      <c r="F743" s="33"/>
      <c r="G743" s="34"/>
      <c r="H743" s="34"/>
      <c r="I743" s="33"/>
      <c r="J743" s="34"/>
      <c r="K743" s="34"/>
      <c r="L743" s="34"/>
      <c r="M743" s="34"/>
      <c r="N743" s="34"/>
      <c r="O743" s="34"/>
      <c r="P743" s="34"/>
      <c r="Q743" s="34"/>
      <c r="R743" s="34"/>
      <c r="S743" s="34"/>
      <c r="T743" s="34"/>
      <c r="U743" s="34"/>
      <c r="V743" s="34"/>
      <c r="W743" s="34"/>
      <c r="X743" s="34"/>
      <c r="Y743" s="34"/>
      <c r="Z743" s="34"/>
    </row>
    <row r="744" spans="1:26" ht="13">
      <c r="A744" s="34"/>
      <c r="B744" s="34"/>
      <c r="C744" s="34"/>
      <c r="D744" s="34"/>
      <c r="E744" s="34"/>
      <c r="F744" s="33"/>
      <c r="G744" s="34"/>
      <c r="H744" s="34"/>
      <c r="I744" s="33"/>
      <c r="J744" s="34"/>
      <c r="K744" s="34"/>
      <c r="L744" s="34"/>
      <c r="M744" s="34"/>
      <c r="N744" s="34"/>
      <c r="O744" s="34"/>
      <c r="P744" s="34"/>
      <c r="Q744" s="34"/>
      <c r="R744" s="34"/>
      <c r="S744" s="34"/>
      <c r="T744" s="34"/>
      <c r="U744" s="34"/>
      <c r="V744" s="34"/>
      <c r="W744" s="34"/>
      <c r="X744" s="34"/>
      <c r="Y744" s="34"/>
      <c r="Z744" s="34"/>
    </row>
    <row r="745" spans="1:26" ht="13">
      <c r="A745" s="34"/>
      <c r="B745" s="34"/>
      <c r="C745" s="34"/>
      <c r="D745" s="34"/>
      <c r="E745" s="34"/>
      <c r="F745" s="33"/>
      <c r="G745" s="34"/>
      <c r="H745" s="34"/>
      <c r="I745" s="33"/>
      <c r="J745" s="34"/>
      <c r="K745" s="34"/>
      <c r="L745" s="34"/>
      <c r="M745" s="34"/>
      <c r="N745" s="34"/>
      <c r="O745" s="34"/>
      <c r="P745" s="34"/>
      <c r="Q745" s="34"/>
      <c r="R745" s="34"/>
      <c r="S745" s="34"/>
      <c r="T745" s="34"/>
      <c r="U745" s="34"/>
      <c r="V745" s="34"/>
      <c r="W745" s="34"/>
      <c r="X745" s="34"/>
      <c r="Y745" s="34"/>
      <c r="Z745" s="34"/>
    </row>
    <row r="746" spans="1:26" ht="13">
      <c r="A746" s="34"/>
      <c r="B746" s="34"/>
      <c r="C746" s="34"/>
      <c r="D746" s="34"/>
      <c r="E746" s="34"/>
      <c r="F746" s="33"/>
      <c r="G746" s="34"/>
      <c r="H746" s="34"/>
      <c r="I746" s="33"/>
      <c r="J746" s="34"/>
      <c r="K746" s="34"/>
      <c r="L746" s="34"/>
      <c r="M746" s="34"/>
      <c r="N746" s="34"/>
      <c r="O746" s="34"/>
      <c r="P746" s="34"/>
      <c r="Q746" s="34"/>
      <c r="R746" s="34"/>
      <c r="S746" s="34"/>
      <c r="T746" s="34"/>
      <c r="U746" s="34"/>
      <c r="V746" s="34"/>
      <c r="W746" s="34"/>
      <c r="X746" s="34"/>
      <c r="Y746" s="34"/>
      <c r="Z746" s="34"/>
    </row>
    <row r="747" spans="1:26" ht="13">
      <c r="A747" s="34"/>
      <c r="B747" s="34"/>
      <c r="C747" s="34"/>
      <c r="D747" s="34"/>
      <c r="E747" s="34"/>
      <c r="F747" s="33"/>
      <c r="G747" s="34"/>
      <c r="H747" s="34"/>
      <c r="I747" s="33"/>
      <c r="J747" s="34"/>
      <c r="K747" s="34"/>
      <c r="L747" s="34"/>
      <c r="M747" s="34"/>
      <c r="N747" s="34"/>
      <c r="O747" s="34"/>
      <c r="P747" s="34"/>
      <c r="Q747" s="34"/>
      <c r="R747" s="34"/>
      <c r="S747" s="34"/>
      <c r="T747" s="34"/>
      <c r="U747" s="34"/>
      <c r="V747" s="34"/>
      <c r="W747" s="34"/>
      <c r="X747" s="34"/>
      <c r="Y747" s="34"/>
      <c r="Z747" s="34"/>
    </row>
    <row r="748" spans="1:26" ht="13">
      <c r="A748" s="34"/>
      <c r="B748" s="34"/>
      <c r="C748" s="34"/>
      <c r="D748" s="34"/>
      <c r="E748" s="34"/>
      <c r="F748" s="33"/>
      <c r="G748" s="34"/>
      <c r="H748" s="34"/>
      <c r="I748" s="33"/>
      <c r="J748" s="34"/>
      <c r="K748" s="34"/>
      <c r="L748" s="34"/>
      <c r="M748" s="34"/>
      <c r="N748" s="34"/>
      <c r="O748" s="34"/>
      <c r="P748" s="34"/>
      <c r="Q748" s="34"/>
      <c r="R748" s="34"/>
      <c r="S748" s="34"/>
      <c r="T748" s="34"/>
      <c r="U748" s="34"/>
      <c r="V748" s="34"/>
      <c r="W748" s="34"/>
      <c r="X748" s="34"/>
      <c r="Y748" s="34"/>
      <c r="Z748" s="34"/>
    </row>
    <row r="749" spans="1:26" ht="13">
      <c r="A749" s="34"/>
      <c r="B749" s="34"/>
      <c r="C749" s="34"/>
      <c r="D749" s="34"/>
      <c r="E749" s="34"/>
      <c r="F749" s="33"/>
      <c r="G749" s="34"/>
      <c r="H749" s="34"/>
      <c r="I749" s="33"/>
      <c r="J749" s="34"/>
      <c r="K749" s="34"/>
      <c r="L749" s="34"/>
      <c r="M749" s="34"/>
      <c r="N749" s="34"/>
      <c r="O749" s="34"/>
      <c r="P749" s="34"/>
      <c r="Q749" s="34"/>
      <c r="R749" s="34"/>
      <c r="S749" s="34"/>
      <c r="T749" s="34"/>
      <c r="U749" s="34"/>
      <c r="V749" s="34"/>
      <c r="W749" s="34"/>
      <c r="X749" s="34"/>
      <c r="Y749" s="34"/>
      <c r="Z749" s="34"/>
    </row>
    <row r="750" spans="1:26" ht="13">
      <c r="A750" s="34"/>
      <c r="B750" s="34"/>
      <c r="C750" s="34"/>
      <c r="D750" s="34"/>
      <c r="E750" s="34"/>
      <c r="F750" s="33"/>
      <c r="G750" s="34"/>
      <c r="H750" s="34"/>
      <c r="I750" s="33"/>
      <c r="J750" s="34"/>
      <c r="K750" s="34"/>
      <c r="L750" s="34"/>
      <c r="M750" s="34"/>
      <c r="N750" s="34"/>
      <c r="O750" s="34"/>
      <c r="P750" s="34"/>
      <c r="Q750" s="34"/>
      <c r="R750" s="34"/>
      <c r="S750" s="34"/>
      <c r="T750" s="34"/>
      <c r="U750" s="34"/>
      <c r="V750" s="34"/>
      <c r="W750" s="34"/>
      <c r="X750" s="34"/>
      <c r="Y750" s="34"/>
      <c r="Z750" s="34"/>
    </row>
    <row r="751" spans="1:26" ht="13">
      <c r="A751" s="34"/>
      <c r="B751" s="34"/>
      <c r="C751" s="34"/>
      <c r="D751" s="34"/>
      <c r="E751" s="34"/>
      <c r="F751" s="33"/>
      <c r="G751" s="34"/>
      <c r="H751" s="34"/>
      <c r="I751" s="33"/>
      <c r="J751" s="34"/>
      <c r="K751" s="34"/>
      <c r="L751" s="34"/>
      <c r="M751" s="34"/>
      <c r="N751" s="34"/>
      <c r="O751" s="34"/>
      <c r="P751" s="34"/>
      <c r="Q751" s="34"/>
      <c r="R751" s="34"/>
      <c r="S751" s="34"/>
      <c r="T751" s="34"/>
      <c r="U751" s="34"/>
      <c r="V751" s="34"/>
      <c r="W751" s="34"/>
      <c r="X751" s="34"/>
      <c r="Y751" s="34"/>
      <c r="Z751" s="34"/>
    </row>
    <row r="752" spans="1:26" ht="13">
      <c r="A752" s="34"/>
      <c r="B752" s="34"/>
      <c r="C752" s="34"/>
      <c r="D752" s="34"/>
      <c r="E752" s="34"/>
      <c r="F752" s="33"/>
      <c r="G752" s="34"/>
      <c r="H752" s="34"/>
      <c r="I752" s="33"/>
      <c r="J752" s="34"/>
      <c r="K752" s="34"/>
      <c r="L752" s="34"/>
      <c r="M752" s="34"/>
      <c r="N752" s="34"/>
      <c r="O752" s="34"/>
      <c r="P752" s="34"/>
      <c r="Q752" s="34"/>
      <c r="R752" s="34"/>
      <c r="S752" s="34"/>
      <c r="T752" s="34"/>
      <c r="U752" s="34"/>
      <c r="V752" s="34"/>
      <c r="W752" s="34"/>
      <c r="X752" s="34"/>
      <c r="Y752" s="34"/>
      <c r="Z752" s="34"/>
    </row>
    <row r="753" spans="1:26" ht="13">
      <c r="A753" s="34"/>
      <c r="B753" s="34"/>
      <c r="C753" s="34"/>
      <c r="D753" s="34"/>
      <c r="E753" s="34"/>
      <c r="F753" s="33"/>
      <c r="G753" s="34"/>
      <c r="H753" s="34"/>
      <c r="I753" s="33"/>
      <c r="J753" s="34"/>
      <c r="K753" s="34"/>
      <c r="L753" s="34"/>
      <c r="M753" s="34"/>
      <c r="N753" s="34"/>
      <c r="O753" s="34"/>
      <c r="P753" s="34"/>
      <c r="Q753" s="34"/>
      <c r="R753" s="34"/>
      <c r="S753" s="34"/>
      <c r="T753" s="34"/>
      <c r="U753" s="34"/>
      <c r="V753" s="34"/>
      <c r="W753" s="34"/>
      <c r="X753" s="34"/>
      <c r="Y753" s="34"/>
      <c r="Z753" s="34"/>
    </row>
    <row r="754" spans="1:26" ht="13">
      <c r="A754" s="34"/>
      <c r="B754" s="34"/>
      <c r="C754" s="34"/>
      <c r="D754" s="34"/>
      <c r="E754" s="34"/>
      <c r="F754" s="33"/>
      <c r="G754" s="34"/>
      <c r="H754" s="34"/>
      <c r="I754" s="33"/>
      <c r="J754" s="34"/>
      <c r="K754" s="34"/>
      <c r="L754" s="34"/>
      <c r="M754" s="34"/>
      <c r="N754" s="34"/>
      <c r="O754" s="34"/>
      <c r="P754" s="34"/>
      <c r="Q754" s="34"/>
      <c r="R754" s="34"/>
      <c r="S754" s="34"/>
      <c r="T754" s="34"/>
      <c r="U754" s="34"/>
      <c r="V754" s="34"/>
      <c r="W754" s="34"/>
      <c r="X754" s="34"/>
      <c r="Y754" s="34"/>
      <c r="Z754" s="34"/>
    </row>
    <row r="755" spans="1:26" ht="13">
      <c r="A755" s="34"/>
      <c r="B755" s="34"/>
      <c r="C755" s="34"/>
      <c r="D755" s="34"/>
      <c r="E755" s="34"/>
      <c r="F755" s="33"/>
      <c r="G755" s="34"/>
      <c r="H755" s="34"/>
      <c r="I755" s="33"/>
      <c r="J755" s="34"/>
      <c r="K755" s="34"/>
      <c r="L755" s="34"/>
      <c r="M755" s="34"/>
      <c r="N755" s="34"/>
      <c r="O755" s="34"/>
      <c r="P755" s="34"/>
      <c r="Q755" s="34"/>
      <c r="R755" s="34"/>
      <c r="S755" s="34"/>
      <c r="T755" s="34"/>
      <c r="U755" s="34"/>
      <c r="V755" s="34"/>
      <c r="W755" s="34"/>
      <c r="X755" s="34"/>
      <c r="Y755" s="34"/>
      <c r="Z755" s="34"/>
    </row>
    <row r="756" spans="1:26" ht="13">
      <c r="A756" s="34"/>
      <c r="B756" s="34"/>
      <c r="C756" s="34"/>
      <c r="D756" s="34"/>
      <c r="E756" s="34"/>
      <c r="F756" s="33"/>
      <c r="G756" s="34"/>
      <c r="H756" s="34"/>
      <c r="I756" s="33"/>
      <c r="J756" s="34"/>
      <c r="K756" s="34"/>
      <c r="L756" s="34"/>
      <c r="M756" s="34"/>
      <c r="N756" s="34"/>
      <c r="O756" s="34"/>
      <c r="P756" s="34"/>
      <c r="Q756" s="34"/>
      <c r="R756" s="34"/>
      <c r="S756" s="34"/>
      <c r="T756" s="34"/>
      <c r="U756" s="34"/>
      <c r="V756" s="34"/>
      <c r="W756" s="34"/>
      <c r="X756" s="34"/>
      <c r="Y756" s="34"/>
      <c r="Z756" s="34"/>
    </row>
    <row r="757" spans="1:26" ht="13">
      <c r="A757" s="34"/>
      <c r="B757" s="34"/>
      <c r="C757" s="34"/>
      <c r="D757" s="34"/>
      <c r="E757" s="34"/>
      <c r="F757" s="33"/>
      <c r="G757" s="34"/>
      <c r="H757" s="34"/>
      <c r="I757" s="33"/>
      <c r="J757" s="34"/>
      <c r="K757" s="34"/>
      <c r="L757" s="34"/>
      <c r="M757" s="34"/>
      <c r="N757" s="34"/>
      <c r="O757" s="34"/>
      <c r="P757" s="34"/>
      <c r="Q757" s="34"/>
      <c r="R757" s="34"/>
      <c r="S757" s="34"/>
      <c r="T757" s="34"/>
      <c r="U757" s="34"/>
      <c r="V757" s="34"/>
      <c r="W757" s="34"/>
      <c r="X757" s="34"/>
      <c r="Y757" s="34"/>
      <c r="Z757" s="34"/>
    </row>
    <row r="758" spans="1:26" ht="13">
      <c r="A758" s="34"/>
      <c r="B758" s="34"/>
      <c r="C758" s="34"/>
      <c r="D758" s="34"/>
      <c r="E758" s="34"/>
      <c r="F758" s="33"/>
      <c r="G758" s="34"/>
      <c r="H758" s="34"/>
      <c r="I758" s="33"/>
      <c r="J758" s="34"/>
      <c r="K758" s="34"/>
      <c r="L758" s="34"/>
      <c r="M758" s="34"/>
      <c r="N758" s="34"/>
      <c r="O758" s="34"/>
      <c r="P758" s="34"/>
      <c r="Q758" s="34"/>
      <c r="R758" s="34"/>
      <c r="S758" s="34"/>
      <c r="T758" s="34"/>
      <c r="U758" s="34"/>
      <c r="V758" s="34"/>
      <c r="W758" s="34"/>
      <c r="X758" s="34"/>
      <c r="Y758" s="34"/>
      <c r="Z758" s="34"/>
    </row>
    <row r="759" spans="1:26" ht="13">
      <c r="A759" s="34"/>
      <c r="B759" s="34"/>
      <c r="C759" s="34"/>
      <c r="D759" s="34"/>
      <c r="E759" s="34"/>
      <c r="F759" s="33"/>
      <c r="G759" s="34"/>
      <c r="H759" s="34"/>
      <c r="I759" s="33"/>
      <c r="J759" s="34"/>
      <c r="K759" s="34"/>
      <c r="L759" s="34"/>
      <c r="M759" s="34"/>
      <c r="N759" s="34"/>
      <c r="O759" s="34"/>
      <c r="P759" s="34"/>
      <c r="Q759" s="34"/>
      <c r="R759" s="34"/>
      <c r="S759" s="34"/>
      <c r="T759" s="34"/>
      <c r="U759" s="34"/>
      <c r="V759" s="34"/>
      <c r="W759" s="34"/>
      <c r="X759" s="34"/>
      <c r="Y759" s="34"/>
      <c r="Z759" s="34"/>
    </row>
    <row r="760" spans="1:26" ht="13">
      <c r="A760" s="34"/>
      <c r="B760" s="34"/>
      <c r="C760" s="34"/>
      <c r="D760" s="34"/>
      <c r="E760" s="34"/>
      <c r="F760" s="33"/>
      <c r="G760" s="34"/>
      <c r="H760" s="34"/>
      <c r="I760" s="33"/>
      <c r="J760" s="34"/>
      <c r="K760" s="34"/>
      <c r="L760" s="34"/>
      <c r="M760" s="34"/>
      <c r="N760" s="34"/>
      <c r="O760" s="34"/>
      <c r="P760" s="34"/>
      <c r="Q760" s="34"/>
      <c r="R760" s="34"/>
      <c r="S760" s="34"/>
      <c r="T760" s="34"/>
      <c r="U760" s="34"/>
      <c r="V760" s="34"/>
      <c r="W760" s="34"/>
      <c r="X760" s="34"/>
      <c r="Y760" s="34"/>
      <c r="Z760" s="34"/>
    </row>
    <row r="761" spans="1:26" ht="13">
      <c r="A761" s="34"/>
      <c r="B761" s="34"/>
      <c r="C761" s="34"/>
      <c r="D761" s="34"/>
      <c r="E761" s="34"/>
      <c r="F761" s="33"/>
      <c r="G761" s="34"/>
      <c r="H761" s="34"/>
      <c r="I761" s="33"/>
      <c r="J761" s="34"/>
      <c r="K761" s="34"/>
      <c r="L761" s="34"/>
      <c r="M761" s="34"/>
      <c r="N761" s="34"/>
      <c r="O761" s="34"/>
      <c r="P761" s="34"/>
      <c r="Q761" s="34"/>
      <c r="R761" s="34"/>
      <c r="S761" s="34"/>
      <c r="T761" s="34"/>
      <c r="U761" s="34"/>
      <c r="V761" s="34"/>
      <c r="W761" s="34"/>
      <c r="X761" s="34"/>
      <c r="Y761" s="34"/>
      <c r="Z761" s="34"/>
    </row>
    <row r="762" spans="1:26" ht="13">
      <c r="A762" s="34"/>
      <c r="B762" s="34"/>
      <c r="C762" s="34"/>
      <c r="D762" s="34"/>
      <c r="E762" s="34"/>
      <c r="F762" s="33"/>
      <c r="G762" s="34"/>
      <c r="H762" s="34"/>
      <c r="I762" s="33"/>
      <c r="J762" s="34"/>
      <c r="K762" s="34"/>
      <c r="L762" s="34"/>
      <c r="M762" s="34"/>
      <c r="N762" s="34"/>
      <c r="O762" s="34"/>
      <c r="P762" s="34"/>
      <c r="Q762" s="34"/>
      <c r="R762" s="34"/>
      <c r="S762" s="34"/>
      <c r="T762" s="34"/>
      <c r="U762" s="34"/>
      <c r="V762" s="34"/>
      <c r="W762" s="34"/>
      <c r="X762" s="34"/>
      <c r="Y762" s="34"/>
      <c r="Z762" s="34"/>
    </row>
    <row r="763" spans="1:26" ht="13">
      <c r="A763" s="34"/>
      <c r="B763" s="34"/>
      <c r="C763" s="34"/>
      <c r="D763" s="34"/>
      <c r="E763" s="34"/>
      <c r="F763" s="33"/>
      <c r="G763" s="34"/>
      <c r="H763" s="34"/>
      <c r="I763" s="33"/>
      <c r="J763" s="34"/>
      <c r="K763" s="34"/>
      <c r="L763" s="34"/>
      <c r="M763" s="34"/>
      <c r="N763" s="34"/>
      <c r="O763" s="34"/>
      <c r="P763" s="34"/>
      <c r="Q763" s="34"/>
      <c r="R763" s="34"/>
      <c r="S763" s="34"/>
      <c r="T763" s="34"/>
      <c r="U763" s="34"/>
      <c r="V763" s="34"/>
      <c r="W763" s="34"/>
      <c r="X763" s="34"/>
      <c r="Y763" s="34"/>
      <c r="Z763" s="34"/>
    </row>
    <row r="764" spans="1:26" ht="13">
      <c r="A764" s="34"/>
      <c r="B764" s="34"/>
      <c r="C764" s="34"/>
      <c r="D764" s="34"/>
      <c r="E764" s="34"/>
      <c r="F764" s="33"/>
      <c r="G764" s="34"/>
      <c r="H764" s="34"/>
      <c r="I764" s="33"/>
      <c r="J764" s="34"/>
      <c r="K764" s="34"/>
      <c r="L764" s="34"/>
      <c r="M764" s="34"/>
      <c r="N764" s="34"/>
      <c r="O764" s="34"/>
      <c r="P764" s="34"/>
      <c r="Q764" s="34"/>
      <c r="R764" s="34"/>
      <c r="S764" s="34"/>
      <c r="T764" s="34"/>
      <c r="U764" s="34"/>
      <c r="V764" s="34"/>
      <c r="W764" s="34"/>
      <c r="X764" s="34"/>
      <c r="Y764" s="34"/>
      <c r="Z764" s="34"/>
    </row>
    <row r="765" spans="1:26" ht="13">
      <c r="A765" s="34"/>
      <c r="B765" s="34"/>
      <c r="C765" s="34"/>
      <c r="D765" s="34"/>
      <c r="E765" s="34"/>
      <c r="F765" s="33"/>
      <c r="G765" s="34"/>
      <c r="H765" s="34"/>
      <c r="I765" s="33"/>
      <c r="J765" s="34"/>
      <c r="K765" s="34"/>
      <c r="L765" s="34"/>
      <c r="M765" s="34"/>
      <c r="N765" s="34"/>
      <c r="O765" s="34"/>
      <c r="P765" s="34"/>
      <c r="Q765" s="34"/>
      <c r="R765" s="34"/>
      <c r="S765" s="34"/>
      <c r="T765" s="34"/>
      <c r="U765" s="34"/>
      <c r="V765" s="34"/>
      <c r="W765" s="34"/>
      <c r="X765" s="34"/>
      <c r="Y765" s="34"/>
      <c r="Z765" s="34"/>
    </row>
    <row r="766" spans="1:26" ht="13">
      <c r="A766" s="34"/>
      <c r="B766" s="34"/>
      <c r="C766" s="34"/>
      <c r="D766" s="34"/>
      <c r="E766" s="34"/>
      <c r="F766" s="33"/>
      <c r="G766" s="34"/>
      <c r="H766" s="34"/>
      <c r="I766" s="33"/>
      <c r="J766" s="34"/>
      <c r="K766" s="34"/>
      <c r="L766" s="34"/>
      <c r="M766" s="34"/>
      <c r="N766" s="34"/>
      <c r="O766" s="34"/>
      <c r="P766" s="34"/>
      <c r="Q766" s="34"/>
      <c r="R766" s="34"/>
      <c r="S766" s="34"/>
      <c r="T766" s="34"/>
      <c r="U766" s="34"/>
      <c r="V766" s="34"/>
      <c r="W766" s="34"/>
      <c r="X766" s="34"/>
      <c r="Y766" s="34"/>
      <c r="Z766" s="34"/>
    </row>
    <row r="767" spans="1:26" ht="13">
      <c r="A767" s="34"/>
      <c r="B767" s="34"/>
      <c r="C767" s="34"/>
      <c r="D767" s="34"/>
      <c r="E767" s="34"/>
      <c r="F767" s="33"/>
      <c r="G767" s="34"/>
      <c r="H767" s="34"/>
      <c r="I767" s="33"/>
      <c r="J767" s="34"/>
      <c r="K767" s="34"/>
      <c r="L767" s="34"/>
      <c r="M767" s="34"/>
      <c r="N767" s="34"/>
      <c r="O767" s="34"/>
      <c r="P767" s="34"/>
      <c r="Q767" s="34"/>
      <c r="R767" s="34"/>
      <c r="S767" s="34"/>
      <c r="T767" s="34"/>
      <c r="U767" s="34"/>
      <c r="V767" s="34"/>
      <c r="W767" s="34"/>
      <c r="X767" s="34"/>
      <c r="Y767" s="34"/>
      <c r="Z767" s="34"/>
    </row>
    <row r="768" spans="1:26" ht="13">
      <c r="A768" s="34"/>
      <c r="B768" s="34"/>
      <c r="C768" s="34"/>
      <c r="D768" s="34"/>
      <c r="E768" s="34"/>
      <c r="F768" s="33"/>
      <c r="G768" s="34"/>
      <c r="H768" s="34"/>
      <c r="I768" s="33"/>
      <c r="J768" s="34"/>
      <c r="K768" s="34"/>
      <c r="L768" s="34"/>
      <c r="M768" s="34"/>
      <c r="N768" s="34"/>
      <c r="O768" s="34"/>
      <c r="P768" s="34"/>
      <c r="Q768" s="34"/>
      <c r="R768" s="34"/>
      <c r="S768" s="34"/>
      <c r="T768" s="34"/>
      <c r="U768" s="34"/>
      <c r="V768" s="34"/>
      <c r="W768" s="34"/>
      <c r="X768" s="34"/>
      <c r="Y768" s="34"/>
      <c r="Z768" s="34"/>
    </row>
    <row r="769" spans="1:26" ht="13">
      <c r="A769" s="34"/>
      <c r="B769" s="34"/>
      <c r="C769" s="34"/>
      <c r="D769" s="34"/>
      <c r="E769" s="34"/>
      <c r="F769" s="33"/>
      <c r="G769" s="34"/>
      <c r="H769" s="34"/>
      <c r="I769" s="33"/>
      <c r="J769" s="34"/>
      <c r="K769" s="34"/>
      <c r="L769" s="34"/>
      <c r="M769" s="34"/>
      <c r="N769" s="34"/>
      <c r="O769" s="34"/>
      <c r="P769" s="34"/>
      <c r="Q769" s="34"/>
      <c r="R769" s="34"/>
      <c r="S769" s="34"/>
      <c r="T769" s="34"/>
      <c r="U769" s="34"/>
      <c r="V769" s="34"/>
      <c r="W769" s="34"/>
      <c r="X769" s="34"/>
      <c r="Y769" s="34"/>
      <c r="Z769" s="34"/>
    </row>
    <row r="770" spans="1:26" ht="13">
      <c r="A770" s="34"/>
      <c r="B770" s="34"/>
      <c r="C770" s="34"/>
      <c r="D770" s="34"/>
      <c r="E770" s="34"/>
      <c r="F770" s="33"/>
      <c r="G770" s="34"/>
      <c r="H770" s="34"/>
      <c r="I770" s="33"/>
      <c r="J770" s="34"/>
      <c r="K770" s="34"/>
      <c r="L770" s="34"/>
      <c r="M770" s="34"/>
      <c r="N770" s="34"/>
      <c r="O770" s="34"/>
      <c r="P770" s="34"/>
      <c r="Q770" s="34"/>
      <c r="R770" s="34"/>
      <c r="S770" s="34"/>
      <c r="T770" s="34"/>
      <c r="U770" s="34"/>
      <c r="V770" s="34"/>
      <c r="W770" s="34"/>
      <c r="X770" s="34"/>
      <c r="Y770" s="34"/>
      <c r="Z770" s="34"/>
    </row>
    <row r="771" spans="1:26" ht="13">
      <c r="A771" s="34"/>
      <c r="B771" s="34"/>
      <c r="C771" s="34"/>
      <c r="D771" s="34"/>
      <c r="E771" s="34"/>
      <c r="F771" s="33"/>
      <c r="G771" s="34"/>
      <c r="H771" s="34"/>
      <c r="I771" s="33"/>
      <c r="J771" s="34"/>
      <c r="K771" s="34"/>
      <c r="L771" s="34"/>
      <c r="M771" s="34"/>
      <c r="N771" s="34"/>
      <c r="O771" s="34"/>
      <c r="P771" s="34"/>
      <c r="Q771" s="34"/>
      <c r="R771" s="34"/>
      <c r="S771" s="34"/>
      <c r="T771" s="34"/>
      <c r="U771" s="34"/>
      <c r="V771" s="34"/>
      <c r="W771" s="34"/>
      <c r="X771" s="34"/>
      <c r="Y771" s="34"/>
      <c r="Z771" s="34"/>
    </row>
    <row r="772" spans="1:26" ht="13">
      <c r="A772" s="34"/>
      <c r="B772" s="34"/>
      <c r="C772" s="34"/>
      <c r="D772" s="34"/>
      <c r="E772" s="34"/>
      <c r="F772" s="33"/>
      <c r="G772" s="34"/>
      <c r="H772" s="34"/>
      <c r="I772" s="33"/>
      <c r="J772" s="34"/>
      <c r="K772" s="34"/>
      <c r="L772" s="34"/>
      <c r="M772" s="34"/>
      <c r="N772" s="34"/>
      <c r="O772" s="34"/>
      <c r="P772" s="34"/>
      <c r="Q772" s="34"/>
      <c r="R772" s="34"/>
      <c r="S772" s="34"/>
      <c r="T772" s="34"/>
      <c r="U772" s="34"/>
      <c r="V772" s="34"/>
      <c r="W772" s="34"/>
      <c r="X772" s="34"/>
      <c r="Y772" s="34"/>
      <c r="Z772" s="34"/>
    </row>
    <row r="773" spans="1:26" ht="13">
      <c r="A773" s="34"/>
      <c r="B773" s="34"/>
      <c r="C773" s="34"/>
      <c r="D773" s="34"/>
      <c r="E773" s="34"/>
      <c r="F773" s="33"/>
      <c r="G773" s="34"/>
      <c r="H773" s="34"/>
      <c r="I773" s="33"/>
      <c r="J773" s="34"/>
      <c r="K773" s="34"/>
      <c r="L773" s="34"/>
      <c r="M773" s="34"/>
      <c r="N773" s="34"/>
      <c r="O773" s="34"/>
      <c r="P773" s="34"/>
      <c r="Q773" s="34"/>
      <c r="R773" s="34"/>
      <c r="S773" s="34"/>
      <c r="T773" s="34"/>
      <c r="U773" s="34"/>
      <c r="V773" s="34"/>
      <c r="W773" s="34"/>
      <c r="X773" s="34"/>
      <c r="Y773" s="34"/>
      <c r="Z773" s="34"/>
    </row>
    <row r="774" spans="1:26" ht="13">
      <c r="A774" s="34"/>
      <c r="B774" s="34"/>
      <c r="C774" s="34"/>
      <c r="D774" s="34"/>
      <c r="E774" s="34"/>
      <c r="F774" s="33"/>
      <c r="G774" s="34"/>
      <c r="H774" s="34"/>
      <c r="I774" s="33"/>
      <c r="J774" s="34"/>
      <c r="K774" s="34"/>
      <c r="L774" s="34"/>
      <c r="M774" s="34"/>
      <c r="N774" s="34"/>
      <c r="O774" s="34"/>
      <c r="P774" s="34"/>
      <c r="Q774" s="34"/>
      <c r="R774" s="34"/>
      <c r="S774" s="34"/>
      <c r="T774" s="34"/>
      <c r="U774" s="34"/>
      <c r="V774" s="34"/>
      <c r="W774" s="34"/>
      <c r="X774" s="34"/>
      <c r="Y774" s="34"/>
      <c r="Z774" s="34"/>
    </row>
    <row r="775" spans="1:26" ht="13">
      <c r="A775" s="34"/>
      <c r="B775" s="34"/>
      <c r="C775" s="34"/>
      <c r="D775" s="34"/>
      <c r="E775" s="34"/>
      <c r="F775" s="33"/>
      <c r="G775" s="34"/>
      <c r="H775" s="34"/>
      <c r="I775" s="33"/>
      <c r="J775" s="34"/>
      <c r="K775" s="34"/>
      <c r="L775" s="34"/>
      <c r="M775" s="34"/>
      <c r="N775" s="34"/>
      <c r="O775" s="34"/>
      <c r="P775" s="34"/>
      <c r="Q775" s="34"/>
      <c r="R775" s="34"/>
      <c r="S775" s="34"/>
      <c r="T775" s="34"/>
      <c r="U775" s="34"/>
      <c r="V775" s="34"/>
      <c r="W775" s="34"/>
      <c r="X775" s="34"/>
      <c r="Y775" s="34"/>
      <c r="Z775" s="34"/>
    </row>
    <row r="776" spans="1:26" ht="13">
      <c r="A776" s="34"/>
      <c r="B776" s="34"/>
      <c r="C776" s="34"/>
      <c r="D776" s="34"/>
      <c r="E776" s="34"/>
      <c r="F776" s="33"/>
      <c r="G776" s="34"/>
      <c r="H776" s="34"/>
      <c r="I776" s="33"/>
      <c r="J776" s="34"/>
      <c r="K776" s="34"/>
      <c r="L776" s="34"/>
      <c r="M776" s="34"/>
      <c r="N776" s="34"/>
      <c r="O776" s="34"/>
      <c r="P776" s="34"/>
      <c r="Q776" s="34"/>
      <c r="R776" s="34"/>
      <c r="S776" s="34"/>
      <c r="T776" s="34"/>
      <c r="U776" s="34"/>
      <c r="V776" s="34"/>
      <c r="W776" s="34"/>
      <c r="X776" s="34"/>
      <c r="Y776" s="34"/>
      <c r="Z776" s="34"/>
    </row>
    <row r="777" spans="1:26" ht="13">
      <c r="A777" s="34"/>
      <c r="B777" s="34"/>
      <c r="C777" s="34"/>
      <c r="D777" s="34"/>
      <c r="E777" s="34"/>
      <c r="F777" s="33"/>
      <c r="G777" s="34"/>
      <c r="H777" s="34"/>
      <c r="I777" s="33"/>
      <c r="J777" s="34"/>
      <c r="K777" s="34"/>
      <c r="L777" s="34"/>
      <c r="M777" s="34"/>
      <c r="N777" s="34"/>
      <c r="O777" s="34"/>
      <c r="P777" s="34"/>
      <c r="Q777" s="34"/>
      <c r="R777" s="34"/>
      <c r="S777" s="34"/>
      <c r="T777" s="34"/>
      <c r="U777" s="34"/>
      <c r="V777" s="34"/>
      <c r="W777" s="34"/>
      <c r="X777" s="34"/>
      <c r="Y777" s="34"/>
      <c r="Z777" s="34"/>
    </row>
    <row r="778" spans="1:26" ht="13">
      <c r="A778" s="34"/>
      <c r="B778" s="34"/>
      <c r="C778" s="34"/>
      <c r="D778" s="34"/>
      <c r="E778" s="34"/>
      <c r="F778" s="33"/>
      <c r="G778" s="34"/>
      <c r="H778" s="34"/>
      <c r="I778" s="33"/>
      <c r="J778" s="34"/>
      <c r="K778" s="34"/>
      <c r="L778" s="34"/>
      <c r="M778" s="34"/>
      <c r="N778" s="34"/>
      <c r="O778" s="34"/>
      <c r="P778" s="34"/>
      <c r="Q778" s="34"/>
      <c r="R778" s="34"/>
      <c r="S778" s="34"/>
      <c r="T778" s="34"/>
      <c r="U778" s="34"/>
      <c r="V778" s="34"/>
      <c r="W778" s="34"/>
      <c r="X778" s="34"/>
      <c r="Y778" s="34"/>
      <c r="Z778" s="34"/>
    </row>
    <row r="779" spans="1:26" ht="13">
      <c r="A779" s="34"/>
      <c r="B779" s="34"/>
      <c r="C779" s="34"/>
      <c r="D779" s="34"/>
      <c r="E779" s="34"/>
      <c r="F779" s="33"/>
      <c r="G779" s="34"/>
      <c r="H779" s="34"/>
      <c r="I779" s="33"/>
      <c r="J779" s="34"/>
      <c r="K779" s="34"/>
      <c r="L779" s="34"/>
      <c r="M779" s="34"/>
      <c r="N779" s="34"/>
      <c r="O779" s="34"/>
      <c r="P779" s="34"/>
      <c r="Q779" s="34"/>
      <c r="R779" s="34"/>
      <c r="S779" s="34"/>
      <c r="T779" s="34"/>
      <c r="U779" s="34"/>
      <c r="V779" s="34"/>
      <c r="W779" s="34"/>
      <c r="X779" s="34"/>
      <c r="Y779" s="34"/>
      <c r="Z779" s="34"/>
    </row>
    <row r="780" spans="1:26" ht="13">
      <c r="A780" s="34"/>
      <c r="B780" s="34"/>
      <c r="C780" s="34"/>
      <c r="D780" s="34"/>
      <c r="E780" s="34"/>
      <c r="F780" s="33"/>
      <c r="G780" s="34"/>
      <c r="H780" s="34"/>
      <c r="I780" s="33"/>
      <c r="J780" s="34"/>
      <c r="K780" s="34"/>
      <c r="L780" s="34"/>
      <c r="M780" s="34"/>
      <c r="N780" s="34"/>
      <c r="O780" s="34"/>
      <c r="P780" s="34"/>
      <c r="Q780" s="34"/>
      <c r="R780" s="34"/>
      <c r="S780" s="34"/>
      <c r="T780" s="34"/>
      <c r="U780" s="34"/>
      <c r="V780" s="34"/>
      <c r="W780" s="34"/>
      <c r="X780" s="34"/>
      <c r="Y780" s="34"/>
      <c r="Z780" s="34"/>
    </row>
    <row r="781" spans="1:26" ht="13">
      <c r="A781" s="34"/>
      <c r="B781" s="34"/>
      <c r="C781" s="34"/>
      <c r="D781" s="34"/>
      <c r="E781" s="34"/>
      <c r="F781" s="33"/>
      <c r="G781" s="34"/>
      <c r="H781" s="34"/>
      <c r="I781" s="33"/>
      <c r="J781" s="34"/>
      <c r="K781" s="34"/>
      <c r="L781" s="34"/>
      <c r="M781" s="34"/>
      <c r="N781" s="34"/>
      <c r="O781" s="34"/>
      <c r="P781" s="34"/>
      <c r="Q781" s="34"/>
      <c r="R781" s="34"/>
      <c r="S781" s="34"/>
      <c r="T781" s="34"/>
      <c r="U781" s="34"/>
      <c r="V781" s="34"/>
      <c r="W781" s="34"/>
      <c r="X781" s="34"/>
      <c r="Y781" s="34"/>
      <c r="Z781" s="34"/>
    </row>
    <row r="782" spans="1:26" ht="13">
      <c r="A782" s="34"/>
      <c r="B782" s="34"/>
      <c r="C782" s="34"/>
      <c r="D782" s="34"/>
      <c r="E782" s="34"/>
      <c r="F782" s="33"/>
      <c r="G782" s="34"/>
      <c r="H782" s="34"/>
      <c r="I782" s="33"/>
      <c r="J782" s="34"/>
      <c r="K782" s="34"/>
      <c r="L782" s="34"/>
      <c r="M782" s="34"/>
      <c r="N782" s="34"/>
      <c r="O782" s="34"/>
      <c r="P782" s="34"/>
      <c r="Q782" s="34"/>
      <c r="R782" s="34"/>
      <c r="S782" s="34"/>
      <c r="T782" s="34"/>
      <c r="U782" s="34"/>
      <c r="V782" s="34"/>
      <c r="W782" s="34"/>
      <c r="X782" s="34"/>
      <c r="Y782" s="34"/>
      <c r="Z782" s="34"/>
    </row>
    <row r="783" spans="1:26" ht="13">
      <c r="A783" s="34"/>
      <c r="B783" s="34"/>
      <c r="C783" s="34"/>
      <c r="D783" s="34"/>
      <c r="E783" s="34"/>
      <c r="F783" s="33"/>
      <c r="G783" s="34"/>
      <c r="H783" s="34"/>
      <c r="I783" s="33"/>
      <c r="J783" s="34"/>
      <c r="K783" s="34"/>
      <c r="L783" s="34"/>
      <c r="M783" s="34"/>
      <c r="N783" s="34"/>
      <c r="O783" s="34"/>
      <c r="P783" s="34"/>
      <c r="Q783" s="34"/>
      <c r="R783" s="34"/>
      <c r="S783" s="34"/>
      <c r="T783" s="34"/>
      <c r="U783" s="34"/>
      <c r="V783" s="34"/>
      <c r="W783" s="34"/>
      <c r="X783" s="34"/>
      <c r="Y783" s="34"/>
      <c r="Z783" s="34"/>
    </row>
    <row r="784" spans="1:26" ht="13">
      <c r="A784" s="34"/>
      <c r="B784" s="34"/>
      <c r="C784" s="34"/>
      <c r="D784" s="34"/>
      <c r="E784" s="34"/>
      <c r="F784" s="33"/>
      <c r="G784" s="34"/>
      <c r="H784" s="34"/>
      <c r="I784" s="33"/>
      <c r="J784" s="34"/>
      <c r="K784" s="34"/>
      <c r="L784" s="34"/>
      <c r="M784" s="34"/>
      <c r="N784" s="34"/>
      <c r="O784" s="34"/>
      <c r="P784" s="34"/>
      <c r="Q784" s="34"/>
      <c r="R784" s="34"/>
      <c r="S784" s="34"/>
      <c r="T784" s="34"/>
      <c r="U784" s="34"/>
      <c r="V784" s="34"/>
      <c r="W784" s="34"/>
      <c r="X784" s="34"/>
      <c r="Y784" s="34"/>
      <c r="Z784" s="34"/>
    </row>
    <row r="785" spans="1:26" ht="13">
      <c r="A785" s="34"/>
      <c r="B785" s="34"/>
      <c r="C785" s="34"/>
      <c r="D785" s="34"/>
      <c r="E785" s="34"/>
      <c r="F785" s="33"/>
      <c r="G785" s="34"/>
      <c r="H785" s="34"/>
      <c r="I785" s="33"/>
      <c r="J785" s="34"/>
      <c r="K785" s="34"/>
      <c r="L785" s="34"/>
      <c r="M785" s="34"/>
      <c r="N785" s="34"/>
      <c r="O785" s="34"/>
      <c r="P785" s="34"/>
      <c r="Q785" s="34"/>
      <c r="R785" s="34"/>
      <c r="S785" s="34"/>
      <c r="T785" s="34"/>
      <c r="U785" s="34"/>
      <c r="V785" s="34"/>
      <c r="W785" s="34"/>
      <c r="X785" s="34"/>
      <c r="Y785" s="34"/>
      <c r="Z785" s="34"/>
    </row>
    <row r="786" spans="1:26" ht="13">
      <c r="A786" s="34"/>
      <c r="B786" s="34"/>
      <c r="C786" s="34"/>
      <c r="D786" s="34"/>
      <c r="E786" s="34"/>
      <c r="F786" s="33"/>
      <c r="G786" s="34"/>
      <c r="H786" s="34"/>
      <c r="I786" s="33"/>
      <c r="J786" s="34"/>
      <c r="K786" s="34"/>
      <c r="L786" s="34"/>
      <c r="M786" s="34"/>
      <c r="N786" s="34"/>
      <c r="O786" s="34"/>
      <c r="P786" s="34"/>
      <c r="Q786" s="34"/>
      <c r="R786" s="34"/>
      <c r="S786" s="34"/>
      <c r="T786" s="34"/>
      <c r="U786" s="34"/>
      <c r="V786" s="34"/>
      <c r="W786" s="34"/>
      <c r="X786" s="34"/>
      <c r="Y786" s="34"/>
      <c r="Z786" s="34"/>
    </row>
    <row r="787" spans="1:26" ht="13">
      <c r="A787" s="34"/>
      <c r="B787" s="34"/>
      <c r="C787" s="34"/>
      <c r="D787" s="34"/>
      <c r="E787" s="34"/>
      <c r="F787" s="33"/>
      <c r="G787" s="34"/>
      <c r="H787" s="34"/>
      <c r="I787" s="33"/>
      <c r="J787" s="34"/>
      <c r="K787" s="34"/>
      <c r="L787" s="34"/>
      <c r="M787" s="34"/>
      <c r="N787" s="34"/>
      <c r="O787" s="34"/>
      <c r="P787" s="34"/>
      <c r="Q787" s="34"/>
      <c r="R787" s="34"/>
      <c r="S787" s="34"/>
      <c r="T787" s="34"/>
      <c r="U787" s="34"/>
      <c r="V787" s="34"/>
      <c r="W787" s="34"/>
      <c r="X787" s="34"/>
      <c r="Y787" s="34"/>
      <c r="Z787" s="34"/>
    </row>
    <row r="788" spans="1:26" ht="13">
      <c r="A788" s="34"/>
      <c r="B788" s="34"/>
      <c r="C788" s="34"/>
      <c r="D788" s="34"/>
      <c r="E788" s="34"/>
      <c r="F788" s="33"/>
      <c r="G788" s="34"/>
      <c r="H788" s="34"/>
      <c r="I788" s="33"/>
      <c r="J788" s="34"/>
      <c r="K788" s="34"/>
      <c r="L788" s="34"/>
      <c r="M788" s="34"/>
      <c r="N788" s="34"/>
      <c r="O788" s="34"/>
      <c r="P788" s="34"/>
      <c r="Q788" s="34"/>
      <c r="R788" s="34"/>
      <c r="S788" s="34"/>
      <c r="T788" s="34"/>
      <c r="U788" s="34"/>
      <c r="V788" s="34"/>
      <c r="W788" s="34"/>
      <c r="X788" s="34"/>
      <c r="Y788" s="34"/>
      <c r="Z788" s="34"/>
    </row>
    <row r="789" spans="1:26" ht="13">
      <c r="A789" s="34"/>
      <c r="B789" s="34"/>
      <c r="C789" s="34"/>
      <c r="D789" s="34"/>
      <c r="E789" s="34"/>
      <c r="F789" s="33"/>
      <c r="G789" s="34"/>
      <c r="H789" s="34"/>
      <c r="I789" s="33"/>
      <c r="J789" s="34"/>
      <c r="K789" s="34"/>
      <c r="L789" s="34"/>
      <c r="M789" s="34"/>
      <c r="N789" s="34"/>
      <c r="O789" s="34"/>
      <c r="P789" s="34"/>
      <c r="Q789" s="34"/>
      <c r="R789" s="34"/>
      <c r="S789" s="34"/>
      <c r="T789" s="34"/>
      <c r="U789" s="34"/>
      <c r="V789" s="34"/>
      <c r="W789" s="34"/>
      <c r="X789" s="34"/>
      <c r="Y789" s="34"/>
      <c r="Z789" s="34"/>
    </row>
    <row r="790" spans="1:26" ht="13">
      <c r="A790" s="34"/>
      <c r="B790" s="34"/>
      <c r="C790" s="34"/>
      <c r="D790" s="34"/>
      <c r="E790" s="34"/>
      <c r="F790" s="33"/>
      <c r="G790" s="34"/>
      <c r="H790" s="34"/>
      <c r="I790" s="33"/>
      <c r="J790" s="34"/>
      <c r="K790" s="34"/>
      <c r="L790" s="34"/>
      <c r="M790" s="34"/>
      <c r="N790" s="34"/>
      <c r="O790" s="34"/>
      <c r="P790" s="34"/>
      <c r="Q790" s="34"/>
      <c r="R790" s="34"/>
      <c r="S790" s="34"/>
      <c r="T790" s="34"/>
      <c r="U790" s="34"/>
      <c r="V790" s="34"/>
      <c r="W790" s="34"/>
      <c r="X790" s="34"/>
      <c r="Y790" s="34"/>
      <c r="Z790" s="34"/>
    </row>
    <row r="791" spans="1:26" ht="13">
      <c r="A791" s="34"/>
      <c r="B791" s="34"/>
      <c r="C791" s="34"/>
      <c r="D791" s="34"/>
      <c r="E791" s="34"/>
      <c r="F791" s="33"/>
      <c r="G791" s="34"/>
      <c r="H791" s="34"/>
      <c r="I791" s="33"/>
      <c r="J791" s="34"/>
      <c r="K791" s="34"/>
      <c r="L791" s="34"/>
      <c r="M791" s="34"/>
      <c r="N791" s="34"/>
      <c r="O791" s="34"/>
      <c r="P791" s="34"/>
      <c r="Q791" s="34"/>
      <c r="R791" s="34"/>
      <c r="S791" s="34"/>
      <c r="T791" s="34"/>
      <c r="U791" s="34"/>
      <c r="V791" s="34"/>
      <c r="W791" s="34"/>
      <c r="X791" s="34"/>
      <c r="Y791" s="34"/>
      <c r="Z791" s="34"/>
    </row>
    <row r="792" spans="1:26" ht="13">
      <c r="A792" s="34"/>
      <c r="B792" s="34"/>
      <c r="C792" s="34"/>
      <c r="D792" s="34"/>
      <c r="E792" s="34"/>
      <c r="F792" s="33"/>
      <c r="G792" s="34"/>
      <c r="H792" s="34"/>
      <c r="I792" s="33"/>
      <c r="J792" s="34"/>
      <c r="K792" s="34"/>
      <c r="L792" s="34"/>
      <c r="M792" s="34"/>
      <c r="N792" s="34"/>
      <c r="O792" s="34"/>
      <c r="P792" s="34"/>
      <c r="Q792" s="34"/>
      <c r="R792" s="34"/>
      <c r="S792" s="34"/>
      <c r="T792" s="34"/>
      <c r="U792" s="34"/>
      <c r="V792" s="34"/>
      <c r="W792" s="34"/>
      <c r="X792" s="34"/>
      <c r="Y792" s="34"/>
      <c r="Z792" s="34"/>
    </row>
    <row r="793" spans="1:26" ht="13">
      <c r="A793" s="34"/>
      <c r="B793" s="34"/>
      <c r="C793" s="34"/>
      <c r="D793" s="34"/>
      <c r="E793" s="34"/>
      <c r="F793" s="33"/>
      <c r="G793" s="34"/>
      <c r="H793" s="34"/>
      <c r="I793" s="33"/>
      <c r="J793" s="34"/>
      <c r="K793" s="34"/>
      <c r="L793" s="34"/>
      <c r="M793" s="34"/>
      <c r="N793" s="34"/>
      <c r="O793" s="34"/>
      <c r="P793" s="34"/>
      <c r="Q793" s="34"/>
      <c r="R793" s="34"/>
      <c r="S793" s="34"/>
      <c r="T793" s="34"/>
      <c r="U793" s="34"/>
      <c r="V793" s="34"/>
      <c r="W793" s="34"/>
      <c r="X793" s="34"/>
      <c r="Y793" s="34"/>
      <c r="Z793" s="34"/>
    </row>
    <row r="794" spans="1:26" ht="13">
      <c r="A794" s="34"/>
      <c r="B794" s="34"/>
      <c r="C794" s="34"/>
      <c r="D794" s="34"/>
      <c r="E794" s="34"/>
      <c r="F794" s="33"/>
      <c r="G794" s="34"/>
      <c r="H794" s="34"/>
      <c r="I794" s="33"/>
      <c r="J794" s="34"/>
      <c r="K794" s="34"/>
      <c r="L794" s="34"/>
      <c r="M794" s="34"/>
      <c r="N794" s="34"/>
      <c r="O794" s="34"/>
      <c r="P794" s="34"/>
      <c r="Q794" s="34"/>
      <c r="R794" s="34"/>
      <c r="S794" s="34"/>
      <c r="T794" s="34"/>
      <c r="U794" s="34"/>
      <c r="V794" s="34"/>
      <c r="W794" s="34"/>
      <c r="X794" s="34"/>
      <c r="Y794" s="34"/>
      <c r="Z794" s="34"/>
    </row>
    <row r="795" spans="1:26" ht="13">
      <c r="A795" s="34"/>
      <c r="B795" s="34"/>
      <c r="C795" s="34"/>
      <c r="D795" s="34"/>
      <c r="E795" s="34"/>
      <c r="F795" s="33"/>
      <c r="G795" s="34"/>
      <c r="H795" s="34"/>
      <c r="I795" s="33"/>
      <c r="J795" s="34"/>
      <c r="K795" s="34"/>
      <c r="L795" s="34"/>
      <c r="M795" s="34"/>
      <c r="N795" s="34"/>
      <c r="O795" s="34"/>
      <c r="P795" s="34"/>
      <c r="Q795" s="34"/>
      <c r="R795" s="34"/>
      <c r="S795" s="34"/>
      <c r="T795" s="34"/>
      <c r="U795" s="34"/>
      <c r="V795" s="34"/>
      <c r="W795" s="34"/>
      <c r="X795" s="34"/>
      <c r="Y795" s="34"/>
      <c r="Z795" s="34"/>
    </row>
    <row r="796" spans="1:26" ht="13">
      <c r="A796" s="34"/>
      <c r="B796" s="34"/>
      <c r="C796" s="34"/>
      <c r="D796" s="34"/>
      <c r="E796" s="34"/>
      <c r="F796" s="33"/>
      <c r="G796" s="34"/>
      <c r="H796" s="34"/>
      <c r="I796" s="33"/>
      <c r="J796" s="34"/>
      <c r="K796" s="34"/>
      <c r="L796" s="34"/>
      <c r="M796" s="34"/>
      <c r="N796" s="34"/>
      <c r="O796" s="34"/>
      <c r="P796" s="34"/>
      <c r="Q796" s="34"/>
      <c r="R796" s="34"/>
      <c r="S796" s="34"/>
      <c r="T796" s="34"/>
      <c r="U796" s="34"/>
      <c r="V796" s="34"/>
      <c r="W796" s="34"/>
      <c r="X796" s="34"/>
      <c r="Y796" s="34"/>
      <c r="Z796" s="34"/>
    </row>
    <row r="797" spans="1:26" ht="13">
      <c r="A797" s="34"/>
      <c r="B797" s="34"/>
      <c r="C797" s="34"/>
      <c r="D797" s="34"/>
      <c r="E797" s="34"/>
      <c r="F797" s="33"/>
      <c r="G797" s="34"/>
      <c r="H797" s="34"/>
      <c r="I797" s="33"/>
      <c r="J797" s="34"/>
      <c r="K797" s="34"/>
      <c r="L797" s="34"/>
      <c r="M797" s="34"/>
      <c r="N797" s="34"/>
      <c r="O797" s="34"/>
      <c r="P797" s="34"/>
      <c r="Q797" s="34"/>
      <c r="R797" s="34"/>
      <c r="S797" s="34"/>
      <c r="T797" s="34"/>
      <c r="U797" s="34"/>
      <c r="V797" s="34"/>
      <c r="W797" s="34"/>
      <c r="X797" s="34"/>
      <c r="Y797" s="34"/>
      <c r="Z797" s="34"/>
    </row>
    <row r="798" spans="1:26" ht="13">
      <c r="A798" s="34"/>
      <c r="B798" s="34"/>
      <c r="C798" s="34"/>
      <c r="D798" s="34"/>
      <c r="E798" s="34"/>
      <c r="F798" s="33"/>
      <c r="G798" s="34"/>
      <c r="H798" s="34"/>
      <c r="I798" s="33"/>
      <c r="J798" s="34"/>
      <c r="K798" s="34"/>
      <c r="L798" s="34"/>
      <c r="M798" s="34"/>
      <c r="N798" s="34"/>
      <c r="O798" s="34"/>
      <c r="P798" s="34"/>
      <c r="Q798" s="34"/>
      <c r="R798" s="34"/>
      <c r="S798" s="34"/>
      <c r="T798" s="34"/>
      <c r="U798" s="34"/>
      <c r="V798" s="34"/>
      <c r="W798" s="34"/>
      <c r="X798" s="34"/>
      <c r="Y798" s="34"/>
      <c r="Z798" s="34"/>
    </row>
    <row r="799" spans="1:26" ht="13">
      <c r="A799" s="34"/>
      <c r="B799" s="34"/>
      <c r="C799" s="34"/>
      <c r="D799" s="34"/>
      <c r="E799" s="34"/>
      <c r="F799" s="33"/>
      <c r="G799" s="34"/>
      <c r="H799" s="34"/>
      <c r="I799" s="33"/>
      <c r="J799" s="34"/>
      <c r="K799" s="34"/>
      <c r="L799" s="34"/>
      <c r="M799" s="34"/>
      <c r="N799" s="34"/>
      <c r="O799" s="34"/>
      <c r="P799" s="34"/>
      <c r="Q799" s="34"/>
      <c r="R799" s="34"/>
      <c r="S799" s="34"/>
      <c r="T799" s="34"/>
      <c r="U799" s="34"/>
      <c r="V799" s="34"/>
      <c r="W799" s="34"/>
      <c r="X799" s="34"/>
      <c r="Y799" s="34"/>
      <c r="Z799" s="34"/>
    </row>
    <row r="800" spans="1:26" ht="13">
      <c r="A800" s="34"/>
      <c r="B800" s="34"/>
      <c r="C800" s="34"/>
      <c r="D800" s="34"/>
      <c r="E800" s="34"/>
      <c r="F800" s="33"/>
      <c r="G800" s="34"/>
      <c r="H800" s="34"/>
      <c r="I800" s="33"/>
      <c r="J800" s="34"/>
      <c r="K800" s="34"/>
      <c r="L800" s="34"/>
      <c r="M800" s="34"/>
      <c r="N800" s="34"/>
      <c r="O800" s="34"/>
      <c r="P800" s="34"/>
      <c r="Q800" s="34"/>
      <c r="R800" s="34"/>
      <c r="S800" s="34"/>
      <c r="T800" s="34"/>
      <c r="U800" s="34"/>
      <c r="V800" s="34"/>
      <c r="W800" s="34"/>
      <c r="X800" s="34"/>
      <c r="Y800" s="34"/>
      <c r="Z800" s="34"/>
    </row>
    <row r="801" spans="1:26" ht="13">
      <c r="A801" s="34"/>
      <c r="B801" s="34"/>
      <c r="C801" s="34"/>
      <c r="D801" s="34"/>
      <c r="E801" s="34"/>
      <c r="F801" s="33"/>
      <c r="G801" s="34"/>
      <c r="H801" s="34"/>
      <c r="I801" s="33"/>
      <c r="J801" s="34"/>
      <c r="K801" s="34"/>
      <c r="L801" s="34"/>
      <c r="M801" s="34"/>
      <c r="N801" s="34"/>
      <c r="O801" s="34"/>
      <c r="P801" s="34"/>
      <c r="Q801" s="34"/>
      <c r="R801" s="34"/>
      <c r="S801" s="34"/>
      <c r="T801" s="34"/>
      <c r="U801" s="34"/>
      <c r="V801" s="34"/>
      <c r="W801" s="34"/>
      <c r="X801" s="34"/>
      <c r="Y801" s="34"/>
      <c r="Z801" s="34"/>
    </row>
    <row r="802" spans="1:26" ht="13">
      <c r="A802" s="34"/>
      <c r="B802" s="34"/>
      <c r="C802" s="34"/>
      <c r="D802" s="34"/>
      <c r="E802" s="34"/>
      <c r="F802" s="33"/>
      <c r="G802" s="34"/>
      <c r="H802" s="34"/>
      <c r="I802" s="33"/>
      <c r="J802" s="34"/>
      <c r="K802" s="34"/>
      <c r="L802" s="34"/>
      <c r="M802" s="34"/>
      <c r="N802" s="34"/>
      <c r="O802" s="34"/>
      <c r="P802" s="34"/>
      <c r="Q802" s="34"/>
      <c r="R802" s="34"/>
      <c r="S802" s="34"/>
      <c r="T802" s="34"/>
      <c r="U802" s="34"/>
      <c r="V802" s="34"/>
      <c r="W802" s="34"/>
      <c r="X802" s="34"/>
      <c r="Y802" s="34"/>
      <c r="Z802" s="34"/>
    </row>
    <row r="803" spans="1:26" ht="13">
      <c r="A803" s="34"/>
      <c r="B803" s="34"/>
      <c r="C803" s="34"/>
      <c r="D803" s="34"/>
      <c r="E803" s="34"/>
      <c r="F803" s="33"/>
      <c r="G803" s="34"/>
      <c r="H803" s="34"/>
      <c r="I803" s="33"/>
      <c r="J803" s="34"/>
      <c r="K803" s="34"/>
      <c r="L803" s="34"/>
      <c r="M803" s="34"/>
      <c r="N803" s="34"/>
      <c r="O803" s="34"/>
      <c r="P803" s="34"/>
      <c r="Q803" s="34"/>
      <c r="R803" s="34"/>
      <c r="S803" s="34"/>
      <c r="T803" s="34"/>
      <c r="U803" s="34"/>
      <c r="V803" s="34"/>
      <c r="W803" s="34"/>
      <c r="X803" s="34"/>
      <c r="Y803" s="34"/>
      <c r="Z803" s="34"/>
    </row>
    <row r="804" spans="1:26" ht="13">
      <c r="A804" s="34"/>
      <c r="B804" s="34"/>
      <c r="C804" s="34"/>
      <c r="D804" s="34"/>
      <c r="E804" s="34"/>
      <c r="F804" s="33"/>
      <c r="G804" s="34"/>
      <c r="H804" s="34"/>
      <c r="I804" s="33"/>
      <c r="J804" s="34"/>
      <c r="K804" s="34"/>
      <c r="L804" s="34"/>
      <c r="M804" s="34"/>
      <c r="N804" s="34"/>
      <c r="O804" s="34"/>
      <c r="P804" s="34"/>
      <c r="Q804" s="34"/>
      <c r="R804" s="34"/>
      <c r="S804" s="34"/>
      <c r="T804" s="34"/>
      <c r="U804" s="34"/>
      <c r="V804" s="34"/>
      <c r="W804" s="34"/>
      <c r="X804" s="34"/>
      <c r="Y804" s="34"/>
      <c r="Z804" s="34"/>
    </row>
    <row r="805" spans="1:26" ht="13">
      <c r="A805" s="34"/>
      <c r="B805" s="34"/>
      <c r="C805" s="34"/>
      <c r="D805" s="34"/>
      <c r="E805" s="34"/>
      <c r="F805" s="33"/>
      <c r="G805" s="34"/>
      <c r="H805" s="34"/>
      <c r="I805" s="33"/>
      <c r="J805" s="34"/>
      <c r="K805" s="34"/>
      <c r="L805" s="34"/>
      <c r="M805" s="34"/>
      <c r="N805" s="34"/>
      <c r="O805" s="34"/>
      <c r="P805" s="34"/>
      <c r="Q805" s="34"/>
      <c r="R805" s="34"/>
      <c r="S805" s="34"/>
      <c r="T805" s="34"/>
      <c r="U805" s="34"/>
      <c r="V805" s="34"/>
      <c r="W805" s="34"/>
      <c r="X805" s="34"/>
      <c r="Y805" s="34"/>
      <c r="Z805" s="34"/>
    </row>
    <row r="806" spans="1:26" ht="13">
      <c r="A806" s="34"/>
      <c r="B806" s="34"/>
      <c r="C806" s="34"/>
      <c r="D806" s="34"/>
      <c r="E806" s="34"/>
      <c r="F806" s="33"/>
      <c r="G806" s="34"/>
      <c r="H806" s="34"/>
      <c r="I806" s="33"/>
      <c r="J806" s="34"/>
      <c r="K806" s="34"/>
      <c r="L806" s="34"/>
      <c r="M806" s="34"/>
      <c r="N806" s="34"/>
      <c r="O806" s="34"/>
      <c r="P806" s="34"/>
      <c r="Q806" s="34"/>
      <c r="R806" s="34"/>
      <c r="S806" s="34"/>
      <c r="T806" s="34"/>
      <c r="U806" s="34"/>
      <c r="V806" s="34"/>
      <c r="W806" s="34"/>
      <c r="X806" s="34"/>
      <c r="Y806" s="34"/>
      <c r="Z806" s="34"/>
    </row>
    <row r="807" spans="1:26" ht="13">
      <c r="A807" s="34"/>
      <c r="B807" s="34"/>
      <c r="C807" s="34"/>
      <c r="D807" s="34"/>
      <c r="E807" s="34"/>
      <c r="F807" s="33"/>
      <c r="G807" s="34"/>
      <c r="H807" s="34"/>
      <c r="I807" s="33"/>
      <c r="J807" s="34"/>
      <c r="K807" s="34"/>
      <c r="L807" s="34"/>
      <c r="M807" s="34"/>
      <c r="N807" s="34"/>
      <c r="O807" s="34"/>
      <c r="P807" s="34"/>
      <c r="Q807" s="34"/>
      <c r="R807" s="34"/>
      <c r="S807" s="34"/>
      <c r="T807" s="34"/>
      <c r="U807" s="34"/>
      <c r="V807" s="34"/>
      <c r="W807" s="34"/>
      <c r="X807" s="34"/>
      <c r="Y807" s="34"/>
      <c r="Z807" s="34"/>
    </row>
    <row r="808" spans="1:26" ht="13">
      <c r="A808" s="34"/>
      <c r="B808" s="34"/>
      <c r="C808" s="34"/>
      <c r="D808" s="34"/>
      <c r="E808" s="34"/>
      <c r="F808" s="33"/>
      <c r="G808" s="34"/>
      <c r="H808" s="34"/>
      <c r="I808" s="33"/>
      <c r="J808" s="34"/>
      <c r="K808" s="34"/>
      <c r="L808" s="34"/>
      <c r="M808" s="34"/>
      <c r="N808" s="34"/>
      <c r="O808" s="34"/>
      <c r="P808" s="34"/>
      <c r="Q808" s="34"/>
      <c r="R808" s="34"/>
      <c r="S808" s="34"/>
      <c r="T808" s="34"/>
      <c r="U808" s="34"/>
      <c r="V808" s="34"/>
      <c r="W808" s="34"/>
      <c r="X808" s="34"/>
      <c r="Y808" s="34"/>
      <c r="Z808" s="34"/>
    </row>
    <row r="809" spans="1:26" ht="13">
      <c r="A809" s="34"/>
      <c r="B809" s="34"/>
      <c r="C809" s="34"/>
      <c r="D809" s="34"/>
      <c r="E809" s="34"/>
      <c r="F809" s="33"/>
      <c r="G809" s="34"/>
      <c r="H809" s="34"/>
      <c r="I809" s="33"/>
      <c r="J809" s="34"/>
      <c r="K809" s="34"/>
      <c r="L809" s="34"/>
      <c r="M809" s="34"/>
      <c r="N809" s="34"/>
      <c r="O809" s="34"/>
      <c r="P809" s="34"/>
      <c r="Q809" s="34"/>
      <c r="R809" s="34"/>
      <c r="S809" s="34"/>
      <c r="T809" s="34"/>
      <c r="U809" s="34"/>
      <c r="V809" s="34"/>
      <c r="W809" s="34"/>
      <c r="X809" s="34"/>
      <c r="Y809" s="34"/>
      <c r="Z809" s="34"/>
    </row>
    <row r="810" spans="1:26" ht="13">
      <c r="A810" s="34"/>
      <c r="B810" s="34"/>
      <c r="C810" s="34"/>
      <c r="D810" s="34"/>
      <c r="E810" s="34"/>
      <c r="F810" s="33"/>
      <c r="G810" s="34"/>
      <c r="H810" s="34"/>
      <c r="I810" s="33"/>
      <c r="J810" s="34"/>
      <c r="K810" s="34"/>
      <c r="L810" s="34"/>
      <c r="M810" s="34"/>
      <c r="N810" s="34"/>
      <c r="O810" s="34"/>
      <c r="P810" s="34"/>
      <c r="Q810" s="34"/>
      <c r="R810" s="34"/>
      <c r="S810" s="34"/>
      <c r="T810" s="34"/>
      <c r="U810" s="34"/>
      <c r="V810" s="34"/>
      <c r="W810" s="34"/>
      <c r="X810" s="34"/>
      <c r="Y810" s="34"/>
      <c r="Z810" s="34"/>
    </row>
    <row r="811" spans="1:26" ht="13">
      <c r="A811" s="34"/>
      <c r="B811" s="34"/>
      <c r="C811" s="34"/>
      <c r="D811" s="34"/>
      <c r="E811" s="34"/>
      <c r="F811" s="33"/>
      <c r="G811" s="34"/>
      <c r="H811" s="34"/>
      <c r="I811" s="33"/>
      <c r="J811" s="34"/>
      <c r="K811" s="34"/>
      <c r="L811" s="34"/>
      <c r="M811" s="34"/>
      <c r="N811" s="34"/>
      <c r="O811" s="34"/>
      <c r="P811" s="34"/>
      <c r="Q811" s="34"/>
      <c r="R811" s="34"/>
      <c r="S811" s="34"/>
      <c r="T811" s="34"/>
      <c r="U811" s="34"/>
      <c r="V811" s="34"/>
      <c r="W811" s="34"/>
      <c r="X811" s="34"/>
      <c r="Y811" s="34"/>
      <c r="Z811" s="34"/>
    </row>
    <row r="812" spans="1:26" ht="13">
      <c r="A812" s="34"/>
      <c r="B812" s="34"/>
      <c r="C812" s="34"/>
      <c r="D812" s="34"/>
      <c r="E812" s="34"/>
      <c r="F812" s="33"/>
      <c r="G812" s="34"/>
      <c r="H812" s="34"/>
      <c r="I812" s="33"/>
      <c r="J812" s="34"/>
      <c r="K812" s="34"/>
      <c r="L812" s="34"/>
      <c r="M812" s="34"/>
      <c r="N812" s="34"/>
      <c r="O812" s="34"/>
      <c r="P812" s="34"/>
      <c r="Q812" s="34"/>
      <c r="R812" s="34"/>
      <c r="S812" s="34"/>
      <c r="T812" s="34"/>
      <c r="U812" s="34"/>
      <c r="V812" s="34"/>
      <c r="W812" s="34"/>
      <c r="X812" s="34"/>
      <c r="Y812" s="34"/>
      <c r="Z812" s="34"/>
    </row>
    <row r="813" spans="1:26" ht="13">
      <c r="A813" s="34"/>
      <c r="B813" s="34"/>
      <c r="C813" s="34"/>
      <c r="D813" s="34"/>
      <c r="E813" s="34"/>
      <c r="F813" s="33"/>
      <c r="G813" s="34"/>
      <c r="H813" s="34"/>
      <c r="I813" s="33"/>
      <c r="J813" s="34"/>
      <c r="K813" s="34"/>
      <c r="L813" s="34"/>
      <c r="M813" s="34"/>
      <c r="N813" s="34"/>
      <c r="O813" s="34"/>
      <c r="P813" s="34"/>
      <c r="Q813" s="34"/>
      <c r="R813" s="34"/>
      <c r="S813" s="34"/>
      <c r="T813" s="34"/>
      <c r="U813" s="34"/>
      <c r="V813" s="34"/>
      <c r="W813" s="34"/>
      <c r="X813" s="34"/>
      <c r="Y813" s="34"/>
      <c r="Z813" s="34"/>
    </row>
    <row r="814" spans="1:26" ht="13">
      <c r="A814" s="34"/>
      <c r="B814" s="34"/>
      <c r="C814" s="34"/>
      <c r="D814" s="34"/>
      <c r="E814" s="34"/>
      <c r="F814" s="33"/>
      <c r="G814" s="34"/>
      <c r="H814" s="34"/>
      <c r="I814" s="33"/>
      <c r="J814" s="34"/>
      <c r="K814" s="34"/>
      <c r="L814" s="34"/>
      <c r="M814" s="34"/>
      <c r="N814" s="34"/>
      <c r="O814" s="34"/>
      <c r="P814" s="34"/>
      <c r="Q814" s="34"/>
      <c r="R814" s="34"/>
      <c r="S814" s="34"/>
      <c r="T814" s="34"/>
      <c r="U814" s="34"/>
      <c r="V814" s="34"/>
      <c r="W814" s="34"/>
      <c r="X814" s="34"/>
      <c r="Y814" s="34"/>
      <c r="Z814" s="34"/>
    </row>
    <row r="815" spans="1:26" ht="13">
      <c r="A815" s="34"/>
      <c r="B815" s="34"/>
      <c r="C815" s="34"/>
      <c r="D815" s="34"/>
      <c r="E815" s="34"/>
      <c r="F815" s="33"/>
      <c r="G815" s="34"/>
      <c r="H815" s="34"/>
      <c r="I815" s="33"/>
      <c r="J815" s="34"/>
      <c r="K815" s="34"/>
      <c r="L815" s="34"/>
      <c r="M815" s="34"/>
      <c r="N815" s="34"/>
      <c r="O815" s="34"/>
      <c r="P815" s="34"/>
      <c r="Q815" s="34"/>
      <c r="R815" s="34"/>
      <c r="S815" s="34"/>
      <c r="T815" s="34"/>
      <c r="U815" s="34"/>
      <c r="V815" s="34"/>
      <c r="W815" s="34"/>
      <c r="X815" s="34"/>
      <c r="Y815" s="34"/>
      <c r="Z815" s="34"/>
    </row>
    <row r="816" spans="1:26" ht="13">
      <c r="A816" s="34"/>
      <c r="B816" s="34"/>
      <c r="C816" s="34"/>
      <c r="D816" s="34"/>
      <c r="E816" s="34"/>
      <c r="F816" s="33"/>
      <c r="G816" s="34"/>
      <c r="H816" s="34"/>
      <c r="I816" s="33"/>
      <c r="J816" s="34"/>
      <c r="K816" s="34"/>
      <c r="L816" s="34"/>
      <c r="M816" s="34"/>
      <c r="N816" s="34"/>
      <c r="O816" s="34"/>
      <c r="P816" s="34"/>
      <c r="Q816" s="34"/>
      <c r="R816" s="34"/>
      <c r="S816" s="34"/>
      <c r="T816" s="34"/>
      <c r="U816" s="34"/>
      <c r="V816" s="34"/>
      <c r="W816" s="34"/>
      <c r="X816" s="34"/>
      <c r="Y816" s="34"/>
      <c r="Z816" s="34"/>
    </row>
    <row r="817" spans="1:26" ht="13">
      <c r="A817" s="34"/>
      <c r="B817" s="34"/>
      <c r="C817" s="34"/>
      <c r="D817" s="34"/>
      <c r="E817" s="34"/>
      <c r="F817" s="33"/>
      <c r="G817" s="34"/>
      <c r="H817" s="34"/>
      <c r="I817" s="33"/>
      <c r="J817" s="34"/>
      <c r="K817" s="34"/>
      <c r="L817" s="34"/>
      <c r="M817" s="34"/>
      <c r="N817" s="34"/>
      <c r="O817" s="34"/>
      <c r="P817" s="34"/>
      <c r="Q817" s="34"/>
      <c r="R817" s="34"/>
      <c r="S817" s="34"/>
      <c r="T817" s="34"/>
      <c r="U817" s="34"/>
      <c r="V817" s="34"/>
      <c r="W817" s="34"/>
      <c r="X817" s="34"/>
      <c r="Y817" s="34"/>
      <c r="Z817" s="34"/>
    </row>
    <row r="818" spans="1:26" ht="13">
      <c r="A818" s="34"/>
      <c r="B818" s="34"/>
      <c r="C818" s="34"/>
      <c r="D818" s="34"/>
      <c r="E818" s="34"/>
      <c r="F818" s="33"/>
      <c r="G818" s="34"/>
      <c r="H818" s="34"/>
      <c r="I818" s="33"/>
      <c r="J818" s="34"/>
      <c r="K818" s="34"/>
      <c r="L818" s="34"/>
      <c r="M818" s="34"/>
      <c r="N818" s="34"/>
      <c r="O818" s="34"/>
      <c r="P818" s="34"/>
      <c r="Q818" s="34"/>
      <c r="R818" s="34"/>
      <c r="S818" s="34"/>
      <c r="T818" s="34"/>
      <c r="U818" s="34"/>
      <c r="V818" s="34"/>
      <c r="W818" s="34"/>
      <c r="X818" s="34"/>
      <c r="Y818" s="34"/>
      <c r="Z818" s="34"/>
    </row>
    <row r="819" spans="1:26" ht="13">
      <c r="A819" s="34"/>
      <c r="B819" s="34"/>
      <c r="C819" s="34"/>
      <c r="D819" s="34"/>
      <c r="E819" s="34"/>
      <c r="F819" s="33"/>
      <c r="G819" s="34"/>
      <c r="H819" s="34"/>
      <c r="I819" s="33"/>
      <c r="J819" s="34"/>
      <c r="K819" s="34"/>
      <c r="L819" s="34"/>
      <c r="M819" s="34"/>
      <c r="N819" s="34"/>
      <c r="O819" s="34"/>
      <c r="P819" s="34"/>
      <c r="Q819" s="34"/>
      <c r="R819" s="34"/>
      <c r="S819" s="34"/>
      <c r="T819" s="34"/>
      <c r="U819" s="34"/>
      <c r="V819" s="34"/>
      <c r="W819" s="34"/>
      <c r="X819" s="34"/>
      <c r="Y819" s="34"/>
      <c r="Z819" s="34"/>
    </row>
    <row r="820" spans="1:26" ht="13">
      <c r="A820" s="34"/>
      <c r="B820" s="34"/>
      <c r="C820" s="34"/>
      <c r="D820" s="34"/>
      <c r="E820" s="34"/>
      <c r="F820" s="33"/>
      <c r="G820" s="34"/>
      <c r="H820" s="34"/>
      <c r="I820" s="33"/>
      <c r="J820" s="34"/>
      <c r="K820" s="34"/>
      <c r="L820" s="34"/>
      <c r="M820" s="34"/>
      <c r="N820" s="34"/>
      <c r="O820" s="34"/>
      <c r="P820" s="34"/>
      <c r="Q820" s="34"/>
      <c r="R820" s="34"/>
      <c r="S820" s="34"/>
      <c r="T820" s="34"/>
      <c r="U820" s="34"/>
      <c r="V820" s="34"/>
      <c r="W820" s="34"/>
      <c r="X820" s="34"/>
      <c r="Y820" s="34"/>
      <c r="Z820" s="34"/>
    </row>
    <row r="821" spans="1:26" ht="13">
      <c r="A821" s="34"/>
      <c r="B821" s="34"/>
      <c r="C821" s="34"/>
      <c r="D821" s="34"/>
      <c r="E821" s="34"/>
      <c r="F821" s="33"/>
      <c r="G821" s="34"/>
      <c r="H821" s="34"/>
      <c r="I821" s="33"/>
      <c r="J821" s="34"/>
      <c r="K821" s="34"/>
      <c r="L821" s="34"/>
      <c r="M821" s="34"/>
      <c r="N821" s="34"/>
      <c r="O821" s="34"/>
      <c r="P821" s="34"/>
      <c r="Q821" s="34"/>
      <c r="R821" s="34"/>
      <c r="S821" s="34"/>
      <c r="T821" s="34"/>
      <c r="U821" s="34"/>
      <c r="V821" s="34"/>
      <c r="W821" s="34"/>
      <c r="X821" s="34"/>
      <c r="Y821" s="34"/>
      <c r="Z821" s="34"/>
    </row>
    <row r="822" spans="1:26" ht="13">
      <c r="A822" s="34"/>
      <c r="B822" s="34"/>
      <c r="C822" s="34"/>
      <c r="D822" s="34"/>
      <c r="E822" s="34"/>
      <c r="F822" s="33"/>
      <c r="G822" s="34"/>
      <c r="H822" s="34"/>
      <c r="I822" s="33"/>
      <c r="J822" s="34"/>
      <c r="K822" s="34"/>
      <c r="L822" s="34"/>
      <c r="M822" s="34"/>
      <c r="N822" s="34"/>
      <c r="O822" s="34"/>
      <c r="P822" s="34"/>
      <c r="Q822" s="34"/>
      <c r="R822" s="34"/>
      <c r="S822" s="34"/>
      <c r="T822" s="34"/>
      <c r="U822" s="34"/>
      <c r="V822" s="34"/>
      <c r="W822" s="34"/>
      <c r="X822" s="34"/>
      <c r="Y822" s="34"/>
      <c r="Z822" s="34"/>
    </row>
    <row r="823" spans="1:26" ht="13">
      <c r="A823" s="34"/>
      <c r="B823" s="34"/>
      <c r="C823" s="34"/>
      <c r="D823" s="34"/>
      <c r="E823" s="34"/>
      <c r="F823" s="33"/>
      <c r="G823" s="34"/>
      <c r="H823" s="34"/>
      <c r="I823" s="33"/>
      <c r="J823" s="34"/>
      <c r="K823" s="34"/>
      <c r="L823" s="34"/>
      <c r="M823" s="34"/>
      <c r="N823" s="34"/>
      <c r="O823" s="34"/>
      <c r="P823" s="34"/>
      <c r="Q823" s="34"/>
      <c r="R823" s="34"/>
      <c r="S823" s="34"/>
      <c r="T823" s="34"/>
      <c r="U823" s="34"/>
      <c r="V823" s="34"/>
      <c r="W823" s="34"/>
      <c r="X823" s="34"/>
      <c r="Y823" s="34"/>
      <c r="Z823" s="34"/>
    </row>
    <row r="824" spans="1:26" ht="13">
      <c r="A824" s="34"/>
      <c r="B824" s="34"/>
      <c r="C824" s="34"/>
      <c r="D824" s="34"/>
      <c r="E824" s="34"/>
      <c r="F824" s="33"/>
      <c r="G824" s="34"/>
      <c r="H824" s="34"/>
      <c r="I824" s="33"/>
      <c r="J824" s="34"/>
      <c r="K824" s="34"/>
      <c r="L824" s="34"/>
      <c r="M824" s="34"/>
      <c r="N824" s="34"/>
      <c r="O824" s="34"/>
      <c r="P824" s="34"/>
      <c r="Q824" s="34"/>
      <c r="R824" s="34"/>
      <c r="S824" s="34"/>
      <c r="T824" s="34"/>
      <c r="U824" s="34"/>
      <c r="V824" s="34"/>
      <c r="W824" s="34"/>
      <c r="X824" s="34"/>
      <c r="Y824" s="34"/>
      <c r="Z824" s="34"/>
    </row>
    <row r="825" spans="1:26" ht="13">
      <c r="A825" s="34"/>
      <c r="B825" s="34"/>
      <c r="C825" s="34"/>
      <c r="D825" s="34"/>
      <c r="E825" s="34"/>
      <c r="F825" s="33"/>
      <c r="G825" s="34"/>
      <c r="H825" s="34"/>
      <c r="I825" s="33"/>
      <c r="J825" s="34"/>
      <c r="K825" s="34"/>
      <c r="L825" s="34"/>
      <c r="M825" s="34"/>
      <c r="N825" s="34"/>
      <c r="O825" s="34"/>
      <c r="P825" s="34"/>
      <c r="Q825" s="34"/>
      <c r="R825" s="34"/>
      <c r="S825" s="34"/>
      <c r="T825" s="34"/>
      <c r="U825" s="34"/>
      <c r="V825" s="34"/>
      <c r="W825" s="34"/>
      <c r="X825" s="34"/>
      <c r="Y825" s="34"/>
      <c r="Z825" s="34"/>
    </row>
    <row r="826" spans="1:26" ht="13">
      <c r="A826" s="34"/>
      <c r="B826" s="34"/>
      <c r="C826" s="34"/>
      <c r="D826" s="34"/>
      <c r="E826" s="34"/>
      <c r="F826" s="33"/>
      <c r="G826" s="34"/>
      <c r="H826" s="34"/>
      <c r="I826" s="33"/>
      <c r="J826" s="34"/>
      <c r="K826" s="34"/>
      <c r="L826" s="34"/>
      <c r="M826" s="34"/>
      <c r="N826" s="34"/>
      <c r="O826" s="34"/>
      <c r="P826" s="34"/>
      <c r="Q826" s="34"/>
      <c r="R826" s="34"/>
      <c r="S826" s="34"/>
      <c r="T826" s="34"/>
      <c r="U826" s="34"/>
      <c r="V826" s="34"/>
      <c r="W826" s="34"/>
      <c r="X826" s="34"/>
      <c r="Y826" s="34"/>
      <c r="Z826" s="34"/>
    </row>
    <row r="827" spans="1:26" ht="13">
      <c r="A827" s="34"/>
      <c r="B827" s="34"/>
      <c r="C827" s="34"/>
      <c r="D827" s="34"/>
      <c r="E827" s="34"/>
      <c r="F827" s="33"/>
      <c r="G827" s="34"/>
      <c r="H827" s="34"/>
      <c r="I827" s="33"/>
      <c r="J827" s="34"/>
      <c r="K827" s="34"/>
      <c r="L827" s="34"/>
      <c r="M827" s="34"/>
      <c r="N827" s="34"/>
      <c r="O827" s="34"/>
      <c r="P827" s="34"/>
      <c r="Q827" s="34"/>
      <c r="R827" s="34"/>
      <c r="S827" s="34"/>
      <c r="T827" s="34"/>
      <c r="U827" s="34"/>
      <c r="V827" s="34"/>
      <c r="W827" s="34"/>
      <c r="X827" s="34"/>
      <c r="Y827" s="34"/>
      <c r="Z827" s="34"/>
    </row>
    <row r="828" spans="1:26" ht="13">
      <c r="A828" s="34"/>
      <c r="B828" s="34"/>
      <c r="C828" s="34"/>
      <c r="D828" s="34"/>
      <c r="E828" s="34"/>
      <c r="F828" s="33"/>
      <c r="G828" s="34"/>
      <c r="H828" s="34"/>
      <c r="I828" s="33"/>
      <c r="J828" s="34"/>
      <c r="K828" s="34"/>
      <c r="L828" s="34"/>
      <c r="M828" s="34"/>
      <c r="N828" s="34"/>
      <c r="O828" s="34"/>
      <c r="P828" s="34"/>
      <c r="Q828" s="34"/>
      <c r="R828" s="34"/>
      <c r="S828" s="34"/>
      <c r="T828" s="34"/>
      <c r="U828" s="34"/>
      <c r="V828" s="34"/>
      <c r="W828" s="34"/>
      <c r="X828" s="34"/>
      <c r="Y828" s="34"/>
      <c r="Z828" s="34"/>
    </row>
    <row r="829" spans="1:26" ht="13">
      <c r="A829" s="34"/>
      <c r="B829" s="34"/>
      <c r="C829" s="34"/>
      <c r="D829" s="34"/>
      <c r="E829" s="34"/>
      <c r="F829" s="33"/>
      <c r="G829" s="34"/>
      <c r="H829" s="34"/>
      <c r="I829" s="33"/>
      <c r="J829" s="34"/>
      <c r="K829" s="34"/>
      <c r="L829" s="34"/>
      <c r="M829" s="34"/>
      <c r="N829" s="34"/>
      <c r="O829" s="34"/>
      <c r="P829" s="34"/>
      <c r="Q829" s="34"/>
      <c r="R829" s="34"/>
      <c r="S829" s="34"/>
      <c r="T829" s="34"/>
      <c r="U829" s="34"/>
      <c r="V829" s="34"/>
      <c r="W829" s="34"/>
      <c r="X829" s="34"/>
      <c r="Y829" s="34"/>
      <c r="Z829" s="34"/>
    </row>
    <row r="830" spans="1:26" ht="13">
      <c r="A830" s="34"/>
      <c r="B830" s="34"/>
      <c r="C830" s="34"/>
      <c r="D830" s="34"/>
      <c r="E830" s="34"/>
      <c r="F830" s="33"/>
      <c r="G830" s="34"/>
      <c r="H830" s="34"/>
      <c r="I830" s="33"/>
      <c r="J830" s="34"/>
      <c r="K830" s="34"/>
      <c r="L830" s="34"/>
      <c r="M830" s="34"/>
      <c r="N830" s="34"/>
      <c r="O830" s="34"/>
      <c r="P830" s="34"/>
      <c r="Q830" s="34"/>
      <c r="R830" s="34"/>
      <c r="S830" s="34"/>
      <c r="T830" s="34"/>
      <c r="U830" s="34"/>
      <c r="V830" s="34"/>
      <c r="W830" s="34"/>
      <c r="X830" s="34"/>
      <c r="Y830" s="34"/>
      <c r="Z830" s="34"/>
    </row>
    <row r="831" spans="1:26" ht="13">
      <c r="A831" s="34"/>
      <c r="B831" s="34"/>
      <c r="C831" s="34"/>
      <c r="D831" s="34"/>
      <c r="E831" s="34"/>
      <c r="F831" s="33"/>
      <c r="G831" s="34"/>
      <c r="H831" s="34"/>
      <c r="I831" s="33"/>
      <c r="J831" s="34"/>
      <c r="K831" s="34"/>
      <c r="L831" s="34"/>
      <c r="M831" s="34"/>
      <c r="N831" s="34"/>
      <c r="O831" s="34"/>
      <c r="P831" s="34"/>
      <c r="Q831" s="34"/>
      <c r="R831" s="34"/>
      <c r="S831" s="34"/>
      <c r="T831" s="34"/>
      <c r="U831" s="34"/>
      <c r="V831" s="34"/>
      <c r="W831" s="34"/>
      <c r="X831" s="34"/>
      <c r="Y831" s="34"/>
      <c r="Z831" s="34"/>
    </row>
    <row r="832" spans="1:26" ht="13">
      <c r="A832" s="34"/>
      <c r="B832" s="34"/>
      <c r="C832" s="34"/>
      <c r="D832" s="34"/>
      <c r="E832" s="34"/>
      <c r="F832" s="33"/>
      <c r="G832" s="34"/>
      <c r="H832" s="34"/>
      <c r="I832" s="33"/>
      <c r="J832" s="34"/>
      <c r="K832" s="34"/>
      <c r="L832" s="34"/>
      <c r="M832" s="34"/>
      <c r="N832" s="34"/>
      <c r="O832" s="34"/>
      <c r="P832" s="34"/>
      <c r="Q832" s="34"/>
      <c r="R832" s="34"/>
      <c r="S832" s="34"/>
      <c r="T832" s="34"/>
      <c r="U832" s="34"/>
      <c r="V832" s="34"/>
      <c r="W832" s="34"/>
      <c r="X832" s="34"/>
      <c r="Y832" s="34"/>
      <c r="Z832" s="34"/>
    </row>
    <row r="833" spans="1:26" ht="13">
      <c r="A833" s="34"/>
      <c r="B833" s="34"/>
      <c r="C833" s="34"/>
      <c r="D833" s="34"/>
      <c r="E833" s="34"/>
      <c r="F833" s="33"/>
      <c r="G833" s="34"/>
      <c r="H833" s="34"/>
      <c r="I833" s="33"/>
      <c r="J833" s="34"/>
      <c r="K833" s="34"/>
      <c r="L833" s="34"/>
      <c r="M833" s="34"/>
      <c r="N833" s="34"/>
      <c r="O833" s="34"/>
      <c r="P833" s="34"/>
      <c r="Q833" s="34"/>
      <c r="R833" s="34"/>
      <c r="S833" s="34"/>
      <c r="T833" s="34"/>
      <c r="U833" s="34"/>
      <c r="V833" s="34"/>
      <c r="W833" s="34"/>
      <c r="X833" s="34"/>
      <c r="Y833" s="34"/>
      <c r="Z833" s="34"/>
    </row>
    <row r="834" spans="1:26" ht="13">
      <c r="A834" s="34"/>
      <c r="B834" s="34"/>
      <c r="C834" s="34"/>
      <c r="D834" s="34"/>
      <c r="E834" s="34"/>
      <c r="F834" s="33"/>
      <c r="G834" s="34"/>
      <c r="H834" s="34"/>
      <c r="I834" s="33"/>
      <c r="J834" s="34"/>
      <c r="K834" s="34"/>
      <c r="L834" s="34"/>
      <c r="M834" s="34"/>
      <c r="N834" s="34"/>
      <c r="O834" s="34"/>
      <c r="P834" s="34"/>
      <c r="Q834" s="34"/>
      <c r="R834" s="34"/>
      <c r="S834" s="34"/>
      <c r="T834" s="34"/>
      <c r="U834" s="34"/>
      <c r="V834" s="34"/>
      <c r="W834" s="34"/>
      <c r="X834" s="34"/>
      <c r="Y834" s="34"/>
      <c r="Z834" s="34"/>
    </row>
    <row r="835" spans="1:26" ht="13">
      <c r="A835" s="34"/>
      <c r="B835" s="34"/>
      <c r="C835" s="34"/>
      <c r="D835" s="34"/>
      <c r="E835" s="34"/>
      <c r="F835" s="33"/>
      <c r="G835" s="34"/>
      <c r="H835" s="34"/>
      <c r="I835" s="33"/>
      <c r="J835" s="34"/>
      <c r="K835" s="34"/>
      <c r="L835" s="34"/>
      <c r="M835" s="34"/>
      <c r="N835" s="34"/>
      <c r="O835" s="34"/>
      <c r="P835" s="34"/>
      <c r="Q835" s="34"/>
      <c r="R835" s="34"/>
      <c r="S835" s="34"/>
      <c r="T835" s="34"/>
      <c r="U835" s="34"/>
      <c r="V835" s="34"/>
      <c r="W835" s="34"/>
      <c r="X835" s="34"/>
      <c r="Y835" s="34"/>
      <c r="Z835" s="34"/>
    </row>
    <row r="836" spans="1:26" ht="13">
      <c r="A836" s="34"/>
      <c r="B836" s="34"/>
      <c r="C836" s="34"/>
      <c r="D836" s="34"/>
      <c r="E836" s="34"/>
      <c r="F836" s="33"/>
      <c r="G836" s="34"/>
      <c r="H836" s="34"/>
      <c r="I836" s="33"/>
      <c r="J836" s="34"/>
      <c r="K836" s="34"/>
      <c r="L836" s="34"/>
      <c r="M836" s="34"/>
      <c r="N836" s="34"/>
      <c r="O836" s="34"/>
      <c r="P836" s="34"/>
      <c r="Q836" s="34"/>
      <c r="R836" s="34"/>
      <c r="S836" s="34"/>
      <c r="T836" s="34"/>
      <c r="U836" s="34"/>
      <c r="V836" s="34"/>
      <c r="W836" s="34"/>
      <c r="X836" s="34"/>
      <c r="Y836" s="34"/>
      <c r="Z836" s="34"/>
    </row>
    <row r="837" spans="1:26" ht="13">
      <c r="A837" s="34"/>
      <c r="B837" s="34"/>
      <c r="C837" s="34"/>
      <c r="D837" s="34"/>
      <c r="E837" s="34"/>
      <c r="F837" s="33"/>
      <c r="G837" s="34"/>
      <c r="H837" s="34"/>
      <c r="I837" s="33"/>
      <c r="J837" s="34"/>
      <c r="K837" s="34"/>
      <c r="L837" s="34"/>
      <c r="M837" s="34"/>
      <c r="N837" s="34"/>
      <c r="O837" s="34"/>
      <c r="P837" s="34"/>
      <c r="Q837" s="34"/>
      <c r="R837" s="34"/>
      <c r="S837" s="34"/>
      <c r="T837" s="34"/>
      <c r="U837" s="34"/>
      <c r="V837" s="34"/>
      <c r="W837" s="34"/>
      <c r="X837" s="34"/>
      <c r="Y837" s="34"/>
      <c r="Z837" s="34"/>
    </row>
    <row r="838" spans="1:26" ht="13">
      <c r="A838" s="34"/>
      <c r="B838" s="34"/>
      <c r="C838" s="34"/>
      <c r="D838" s="34"/>
      <c r="E838" s="34"/>
      <c r="F838" s="33"/>
      <c r="G838" s="34"/>
      <c r="H838" s="34"/>
      <c r="I838" s="33"/>
      <c r="J838" s="34"/>
      <c r="K838" s="34"/>
      <c r="L838" s="34"/>
      <c r="M838" s="34"/>
      <c r="N838" s="34"/>
      <c r="O838" s="34"/>
      <c r="P838" s="34"/>
      <c r="Q838" s="34"/>
      <c r="R838" s="34"/>
      <c r="S838" s="34"/>
      <c r="T838" s="34"/>
      <c r="U838" s="34"/>
      <c r="V838" s="34"/>
      <c r="W838" s="34"/>
      <c r="X838" s="34"/>
      <c r="Y838" s="34"/>
      <c r="Z838" s="34"/>
    </row>
    <row r="839" spans="1:26" ht="13">
      <c r="A839" s="34"/>
      <c r="B839" s="34"/>
      <c r="C839" s="34"/>
      <c r="D839" s="34"/>
      <c r="E839" s="34"/>
      <c r="F839" s="33"/>
      <c r="G839" s="34"/>
      <c r="H839" s="34"/>
      <c r="I839" s="33"/>
      <c r="J839" s="34"/>
      <c r="K839" s="34"/>
      <c r="L839" s="34"/>
      <c r="M839" s="34"/>
      <c r="N839" s="34"/>
      <c r="O839" s="34"/>
      <c r="P839" s="34"/>
      <c r="Q839" s="34"/>
      <c r="R839" s="34"/>
      <c r="S839" s="34"/>
      <c r="T839" s="34"/>
      <c r="U839" s="34"/>
      <c r="V839" s="34"/>
      <c r="W839" s="34"/>
      <c r="X839" s="34"/>
      <c r="Y839" s="34"/>
      <c r="Z839" s="34"/>
    </row>
    <row r="840" spans="1:26" ht="13">
      <c r="A840" s="34"/>
      <c r="B840" s="34"/>
      <c r="C840" s="34"/>
      <c r="D840" s="34"/>
      <c r="E840" s="34"/>
      <c r="F840" s="33"/>
      <c r="G840" s="34"/>
      <c r="H840" s="34"/>
      <c r="I840" s="33"/>
      <c r="J840" s="34"/>
      <c r="K840" s="34"/>
      <c r="L840" s="34"/>
      <c r="M840" s="34"/>
      <c r="N840" s="34"/>
      <c r="O840" s="34"/>
      <c r="P840" s="34"/>
      <c r="Q840" s="34"/>
      <c r="R840" s="34"/>
      <c r="S840" s="34"/>
      <c r="T840" s="34"/>
      <c r="U840" s="34"/>
      <c r="V840" s="34"/>
      <c r="W840" s="34"/>
      <c r="X840" s="34"/>
      <c r="Y840" s="34"/>
      <c r="Z840" s="34"/>
    </row>
    <row r="841" spans="1:26" ht="13">
      <c r="A841" s="34"/>
      <c r="B841" s="34"/>
      <c r="C841" s="34"/>
      <c r="D841" s="34"/>
      <c r="E841" s="34"/>
      <c r="F841" s="33"/>
      <c r="G841" s="34"/>
      <c r="H841" s="34"/>
      <c r="I841" s="33"/>
      <c r="J841" s="34"/>
      <c r="K841" s="34"/>
      <c r="L841" s="34"/>
      <c r="M841" s="34"/>
      <c r="N841" s="34"/>
      <c r="O841" s="34"/>
      <c r="P841" s="34"/>
      <c r="Q841" s="34"/>
      <c r="R841" s="34"/>
      <c r="S841" s="34"/>
      <c r="T841" s="34"/>
      <c r="U841" s="34"/>
      <c r="V841" s="34"/>
      <c r="W841" s="34"/>
      <c r="X841" s="34"/>
      <c r="Y841" s="34"/>
      <c r="Z841" s="34"/>
    </row>
    <row r="842" spans="1:26" ht="13">
      <c r="A842" s="34"/>
      <c r="B842" s="34"/>
      <c r="C842" s="34"/>
      <c r="D842" s="34"/>
      <c r="E842" s="34"/>
      <c r="F842" s="33"/>
      <c r="G842" s="34"/>
      <c r="H842" s="34"/>
      <c r="I842" s="33"/>
      <c r="J842" s="34"/>
      <c r="K842" s="34"/>
      <c r="L842" s="34"/>
      <c r="M842" s="34"/>
      <c r="N842" s="34"/>
      <c r="O842" s="34"/>
      <c r="P842" s="34"/>
      <c r="Q842" s="34"/>
      <c r="R842" s="34"/>
      <c r="S842" s="34"/>
      <c r="T842" s="34"/>
      <c r="U842" s="34"/>
      <c r="V842" s="34"/>
      <c r="W842" s="34"/>
      <c r="X842" s="34"/>
      <c r="Y842" s="34"/>
      <c r="Z842" s="34"/>
    </row>
    <row r="843" spans="1:26" ht="13">
      <c r="A843" s="34"/>
      <c r="B843" s="34"/>
      <c r="C843" s="34"/>
      <c r="D843" s="34"/>
      <c r="E843" s="34"/>
      <c r="F843" s="33"/>
      <c r="G843" s="34"/>
      <c r="H843" s="34"/>
      <c r="I843" s="33"/>
      <c r="J843" s="34"/>
      <c r="K843" s="34"/>
      <c r="L843" s="34"/>
      <c r="M843" s="34"/>
      <c r="N843" s="34"/>
      <c r="O843" s="34"/>
      <c r="P843" s="34"/>
      <c r="Q843" s="34"/>
      <c r="R843" s="34"/>
      <c r="S843" s="34"/>
      <c r="T843" s="34"/>
      <c r="U843" s="34"/>
      <c r="V843" s="34"/>
      <c r="W843" s="34"/>
      <c r="X843" s="34"/>
      <c r="Y843" s="34"/>
      <c r="Z843" s="34"/>
    </row>
    <row r="844" spans="1:26" ht="13">
      <c r="A844" s="34"/>
      <c r="B844" s="34"/>
      <c r="C844" s="34"/>
      <c r="D844" s="34"/>
      <c r="E844" s="34"/>
      <c r="F844" s="33"/>
      <c r="G844" s="34"/>
      <c r="H844" s="34"/>
      <c r="I844" s="33"/>
      <c r="J844" s="34"/>
      <c r="K844" s="34"/>
      <c r="L844" s="34"/>
      <c r="M844" s="34"/>
      <c r="N844" s="34"/>
      <c r="O844" s="34"/>
      <c r="P844" s="34"/>
      <c r="Q844" s="34"/>
      <c r="R844" s="34"/>
      <c r="S844" s="34"/>
      <c r="T844" s="34"/>
      <c r="U844" s="34"/>
      <c r="V844" s="34"/>
      <c r="W844" s="34"/>
      <c r="X844" s="34"/>
      <c r="Y844" s="34"/>
      <c r="Z844" s="34"/>
    </row>
    <row r="845" spans="1:26" ht="13">
      <c r="A845" s="34"/>
      <c r="B845" s="34"/>
      <c r="C845" s="34"/>
      <c r="D845" s="34"/>
      <c r="E845" s="34"/>
      <c r="F845" s="33"/>
      <c r="G845" s="34"/>
      <c r="H845" s="34"/>
      <c r="I845" s="33"/>
      <c r="J845" s="34"/>
      <c r="K845" s="34"/>
      <c r="L845" s="34"/>
      <c r="M845" s="34"/>
      <c r="N845" s="34"/>
      <c r="O845" s="34"/>
      <c r="P845" s="34"/>
      <c r="Q845" s="34"/>
      <c r="R845" s="34"/>
      <c r="S845" s="34"/>
      <c r="T845" s="34"/>
      <c r="U845" s="34"/>
      <c r="V845" s="34"/>
      <c r="W845" s="34"/>
      <c r="X845" s="34"/>
      <c r="Y845" s="34"/>
      <c r="Z845" s="34"/>
    </row>
    <row r="846" spans="1:26" ht="13">
      <c r="A846" s="34"/>
      <c r="B846" s="34"/>
      <c r="C846" s="34"/>
      <c r="D846" s="34"/>
      <c r="E846" s="34"/>
      <c r="F846" s="33"/>
      <c r="G846" s="34"/>
      <c r="H846" s="34"/>
      <c r="I846" s="33"/>
      <c r="J846" s="34"/>
      <c r="K846" s="34"/>
      <c r="L846" s="34"/>
      <c r="M846" s="34"/>
      <c r="N846" s="34"/>
      <c r="O846" s="34"/>
      <c r="P846" s="34"/>
      <c r="Q846" s="34"/>
      <c r="R846" s="34"/>
      <c r="S846" s="34"/>
      <c r="T846" s="34"/>
      <c r="U846" s="34"/>
      <c r="V846" s="34"/>
      <c r="W846" s="34"/>
      <c r="X846" s="34"/>
      <c r="Y846" s="34"/>
      <c r="Z846" s="34"/>
    </row>
    <row r="847" spans="1:26" ht="13">
      <c r="A847" s="34"/>
      <c r="B847" s="34"/>
      <c r="C847" s="34"/>
      <c r="D847" s="34"/>
      <c r="E847" s="34"/>
      <c r="F847" s="33"/>
      <c r="G847" s="34"/>
      <c r="H847" s="34"/>
      <c r="I847" s="33"/>
      <c r="J847" s="34"/>
      <c r="K847" s="34"/>
      <c r="L847" s="34"/>
      <c r="M847" s="34"/>
      <c r="N847" s="34"/>
      <c r="O847" s="34"/>
      <c r="P847" s="34"/>
      <c r="Q847" s="34"/>
      <c r="R847" s="34"/>
      <c r="S847" s="34"/>
      <c r="T847" s="34"/>
      <c r="U847" s="34"/>
      <c r="V847" s="34"/>
      <c r="W847" s="34"/>
      <c r="X847" s="34"/>
      <c r="Y847" s="34"/>
      <c r="Z847" s="34"/>
    </row>
    <row r="848" spans="1:26" ht="13">
      <c r="A848" s="34"/>
      <c r="B848" s="34"/>
      <c r="C848" s="34"/>
      <c r="D848" s="34"/>
      <c r="E848" s="34"/>
      <c r="F848" s="33"/>
      <c r="G848" s="34"/>
      <c r="H848" s="34"/>
      <c r="I848" s="33"/>
      <c r="J848" s="34"/>
      <c r="K848" s="34"/>
      <c r="L848" s="34"/>
      <c r="M848" s="34"/>
      <c r="N848" s="34"/>
      <c r="O848" s="34"/>
      <c r="P848" s="34"/>
      <c r="Q848" s="34"/>
      <c r="R848" s="34"/>
      <c r="S848" s="34"/>
      <c r="T848" s="34"/>
      <c r="U848" s="34"/>
      <c r="V848" s="34"/>
      <c r="W848" s="34"/>
      <c r="X848" s="34"/>
      <c r="Y848" s="34"/>
      <c r="Z848" s="34"/>
    </row>
    <row r="849" spans="1:26" ht="13">
      <c r="A849" s="34"/>
      <c r="B849" s="34"/>
      <c r="C849" s="34"/>
      <c r="D849" s="34"/>
      <c r="E849" s="34"/>
      <c r="F849" s="33"/>
      <c r="G849" s="34"/>
      <c r="H849" s="34"/>
      <c r="I849" s="33"/>
      <c r="J849" s="34"/>
      <c r="K849" s="34"/>
      <c r="L849" s="34"/>
      <c r="M849" s="34"/>
      <c r="N849" s="34"/>
      <c r="O849" s="34"/>
      <c r="P849" s="34"/>
      <c r="Q849" s="34"/>
      <c r="R849" s="34"/>
      <c r="S849" s="34"/>
      <c r="T849" s="34"/>
      <c r="U849" s="34"/>
      <c r="V849" s="34"/>
      <c r="W849" s="34"/>
      <c r="X849" s="34"/>
      <c r="Y849" s="34"/>
      <c r="Z849" s="34"/>
    </row>
    <row r="850" spans="1:26" ht="13">
      <c r="A850" s="34"/>
      <c r="B850" s="34"/>
      <c r="C850" s="34"/>
      <c r="D850" s="34"/>
      <c r="E850" s="34"/>
      <c r="F850" s="33"/>
      <c r="G850" s="34"/>
      <c r="H850" s="34"/>
      <c r="I850" s="33"/>
      <c r="J850" s="34"/>
      <c r="K850" s="34"/>
      <c r="L850" s="34"/>
      <c r="M850" s="34"/>
      <c r="N850" s="34"/>
      <c r="O850" s="34"/>
      <c r="P850" s="34"/>
      <c r="Q850" s="34"/>
      <c r="R850" s="34"/>
      <c r="S850" s="34"/>
      <c r="T850" s="34"/>
      <c r="U850" s="34"/>
      <c r="V850" s="34"/>
      <c r="W850" s="34"/>
      <c r="X850" s="34"/>
      <c r="Y850" s="34"/>
      <c r="Z850" s="34"/>
    </row>
    <row r="851" spans="1:26" ht="13">
      <c r="A851" s="34"/>
      <c r="B851" s="34"/>
      <c r="C851" s="34"/>
      <c r="D851" s="34"/>
      <c r="E851" s="34"/>
      <c r="F851" s="33"/>
      <c r="G851" s="34"/>
      <c r="H851" s="34"/>
      <c r="I851" s="33"/>
      <c r="J851" s="34"/>
      <c r="K851" s="34"/>
      <c r="L851" s="34"/>
      <c r="M851" s="34"/>
      <c r="N851" s="34"/>
      <c r="O851" s="34"/>
      <c r="P851" s="34"/>
      <c r="Q851" s="34"/>
      <c r="R851" s="34"/>
      <c r="S851" s="34"/>
      <c r="T851" s="34"/>
      <c r="U851" s="34"/>
      <c r="V851" s="34"/>
      <c r="W851" s="34"/>
      <c r="X851" s="34"/>
      <c r="Y851" s="34"/>
      <c r="Z851" s="34"/>
    </row>
    <row r="852" spans="1:26" ht="13">
      <c r="A852" s="34"/>
      <c r="B852" s="34"/>
      <c r="C852" s="34"/>
      <c r="D852" s="34"/>
      <c r="E852" s="34"/>
      <c r="F852" s="33"/>
      <c r="G852" s="34"/>
      <c r="H852" s="34"/>
      <c r="I852" s="33"/>
      <c r="J852" s="34"/>
      <c r="K852" s="34"/>
      <c r="L852" s="34"/>
      <c r="M852" s="34"/>
      <c r="N852" s="34"/>
      <c r="O852" s="34"/>
      <c r="P852" s="34"/>
      <c r="Q852" s="34"/>
      <c r="R852" s="34"/>
      <c r="S852" s="34"/>
      <c r="T852" s="34"/>
      <c r="U852" s="34"/>
      <c r="V852" s="34"/>
      <c r="W852" s="34"/>
      <c r="X852" s="34"/>
      <c r="Y852" s="34"/>
      <c r="Z852" s="34"/>
    </row>
    <row r="853" spans="1:26" ht="13">
      <c r="A853" s="34"/>
      <c r="B853" s="34"/>
      <c r="C853" s="34"/>
      <c r="D853" s="34"/>
      <c r="E853" s="34"/>
      <c r="F853" s="33"/>
      <c r="G853" s="34"/>
      <c r="H853" s="34"/>
      <c r="I853" s="33"/>
      <c r="J853" s="34"/>
      <c r="K853" s="34"/>
      <c r="L853" s="34"/>
      <c r="M853" s="34"/>
      <c r="N853" s="34"/>
      <c r="O853" s="34"/>
      <c r="P853" s="34"/>
      <c r="Q853" s="34"/>
      <c r="R853" s="34"/>
      <c r="S853" s="34"/>
      <c r="T853" s="34"/>
      <c r="U853" s="34"/>
      <c r="V853" s="34"/>
      <c r="W853" s="34"/>
      <c r="X853" s="34"/>
      <c r="Y853" s="34"/>
      <c r="Z853" s="34"/>
    </row>
    <row r="854" spans="1:26" ht="13">
      <c r="A854" s="34"/>
      <c r="B854" s="34"/>
      <c r="C854" s="34"/>
      <c r="D854" s="34"/>
      <c r="E854" s="34"/>
      <c r="F854" s="33"/>
      <c r="G854" s="34"/>
      <c r="H854" s="34"/>
      <c r="I854" s="33"/>
      <c r="J854" s="34"/>
      <c r="K854" s="34"/>
      <c r="L854" s="34"/>
      <c r="M854" s="34"/>
      <c r="N854" s="34"/>
      <c r="O854" s="34"/>
      <c r="P854" s="34"/>
      <c r="Q854" s="34"/>
      <c r="R854" s="34"/>
      <c r="S854" s="34"/>
      <c r="T854" s="34"/>
      <c r="U854" s="34"/>
      <c r="V854" s="34"/>
      <c r="W854" s="34"/>
      <c r="X854" s="34"/>
      <c r="Y854" s="34"/>
      <c r="Z854" s="34"/>
    </row>
    <row r="855" spans="1:26" ht="13">
      <c r="A855" s="34"/>
      <c r="B855" s="34"/>
      <c r="C855" s="34"/>
      <c r="D855" s="34"/>
      <c r="E855" s="34"/>
      <c r="F855" s="33"/>
      <c r="G855" s="34"/>
      <c r="H855" s="34"/>
      <c r="I855" s="33"/>
      <c r="J855" s="34"/>
      <c r="K855" s="34"/>
      <c r="L855" s="34"/>
      <c r="M855" s="34"/>
      <c r="N855" s="34"/>
      <c r="O855" s="34"/>
      <c r="P855" s="34"/>
      <c r="Q855" s="34"/>
      <c r="R855" s="34"/>
      <c r="S855" s="34"/>
      <c r="T855" s="34"/>
      <c r="U855" s="34"/>
      <c r="V855" s="34"/>
      <c r="W855" s="34"/>
      <c r="X855" s="34"/>
      <c r="Y855" s="34"/>
      <c r="Z855" s="34"/>
    </row>
    <row r="856" spans="1:26" ht="13">
      <c r="A856" s="34"/>
      <c r="B856" s="34"/>
      <c r="C856" s="34"/>
      <c r="D856" s="34"/>
      <c r="E856" s="34"/>
      <c r="F856" s="33"/>
      <c r="G856" s="34"/>
      <c r="H856" s="34"/>
      <c r="I856" s="33"/>
      <c r="J856" s="34"/>
      <c r="K856" s="34"/>
      <c r="L856" s="34"/>
      <c r="M856" s="34"/>
      <c r="N856" s="34"/>
      <c r="O856" s="34"/>
      <c r="P856" s="34"/>
      <c r="Q856" s="34"/>
      <c r="R856" s="34"/>
      <c r="S856" s="34"/>
      <c r="T856" s="34"/>
      <c r="U856" s="34"/>
      <c r="V856" s="34"/>
      <c r="W856" s="34"/>
      <c r="X856" s="34"/>
      <c r="Y856" s="34"/>
      <c r="Z856" s="34"/>
    </row>
    <row r="857" spans="1:26" ht="13">
      <c r="A857" s="34"/>
      <c r="B857" s="34"/>
      <c r="C857" s="34"/>
      <c r="D857" s="34"/>
      <c r="E857" s="34"/>
      <c r="F857" s="33"/>
      <c r="G857" s="34"/>
      <c r="H857" s="34"/>
      <c r="I857" s="33"/>
      <c r="J857" s="34"/>
      <c r="K857" s="34"/>
      <c r="L857" s="34"/>
      <c r="M857" s="34"/>
      <c r="N857" s="34"/>
      <c r="O857" s="34"/>
      <c r="P857" s="34"/>
      <c r="Q857" s="34"/>
      <c r="R857" s="34"/>
      <c r="S857" s="34"/>
      <c r="T857" s="34"/>
      <c r="U857" s="34"/>
      <c r="V857" s="34"/>
      <c r="W857" s="34"/>
      <c r="X857" s="34"/>
      <c r="Y857" s="34"/>
      <c r="Z857" s="34"/>
    </row>
    <row r="858" spans="1:26" ht="13">
      <c r="A858" s="34"/>
      <c r="B858" s="34"/>
      <c r="C858" s="34"/>
      <c r="D858" s="34"/>
      <c r="E858" s="34"/>
      <c r="F858" s="33"/>
      <c r="G858" s="34"/>
      <c r="H858" s="34"/>
      <c r="I858" s="33"/>
      <c r="J858" s="34"/>
      <c r="K858" s="34"/>
      <c r="L858" s="34"/>
      <c r="M858" s="34"/>
      <c r="N858" s="34"/>
      <c r="O858" s="34"/>
      <c r="P858" s="34"/>
      <c r="Q858" s="34"/>
      <c r="R858" s="34"/>
      <c r="S858" s="34"/>
      <c r="T858" s="34"/>
      <c r="U858" s="34"/>
      <c r="V858" s="34"/>
      <c r="W858" s="34"/>
      <c r="X858" s="34"/>
      <c r="Y858" s="34"/>
      <c r="Z858" s="34"/>
    </row>
    <row r="859" spans="1:26" ht="13">
      <c r="A859" s="34"/>
      <c r="B859" s="34"/>
      <c r="C859" s="34"/>
      <c r="D859" s="34"/>
      <c r="E859" s="34"/>
      <c r="F859" s="33"/>
      <c r="G859" s="34"/>
      <c r="H859" s="34"/>
      <c r="I859" s="33"/>
      <c r="J859" s="34"/>
      <c r="K859" s="34"/>
      <c r="L859" s="34"/>
      <c r="M859" s="34"/>
      <c r="N859" s="34"/>
      <c r="O859" s="34"/>
      <c r="P859" s="34"/>
      <c r="Q859" s="34"/>
      <c r="R859" s="34"/>
      <c r="S859" s="34"/>
      <c r="T859" s="34"/>
      <c r="U859" s="34"/>
      <c r="V859" s="34"/>
      <c r="W859" s="34"/>
      <c r="X859" s="34"/>
      <c r="Y859" s="34"/>
      <c r="Z859" s="34"/>
    </row>
    <row r="860" spans="1:26" ht="13">
      <c r="A860" s="34"/>
      <c r="B860" s="34"/>
      <c r="C860" s="34"/>
      <c r="D860" s="34"/>
      <c r="E860" s="34"/>
      <c r="F860" s="33"/>
      <c r="G860" s="34"/>
      <c r="H860" s="34"/>
      <c r="I860" s="33"/>
      <c r="J860" s="34"/>
      <c r="K860" s="34"/>
      <c r="L860" s="34"/>
      <c r="M860" s="34"/>
      <c r="N860" s="34"/>
      <c r="O860" s="34"/>
      <c r="P860" s="34"/>
      <c r="Q860" s="34"/>
      <c r="R860" s="34"/>
      <c r="S860" s="34"/>
      <c r="T860" s="34"/>
      <c r="U860" s="34"/>
      <c r="V860" s="34"/>
      <c r="W860" s="34"/>
      <c r="X860" s="34"/>
      <c r="Y860" s="34"/>
      <c r="Z860" s="34"/>
    </row>
    <row r="861" spans="1:26" ht="13">
      <c r="A861" s="34"/>
      <c r="B861" s="34"/>
      <c r="C861" s="34"/>
      <c r="D861" s="34"/>
      <c r="E861" s="34"/>
      <c r="F861" s="33"/>
      <c r="G861" s="34"/>
      <c r="H861" s="34"/>
      <c r="I861" s="33"/>
      <c r="J861" s="34"/>
      <c r="K861" s="34"/>
      <c r="L861" s="34"/>
      <c r="M861" s="34"/>
      <c r="N861" s="34"/>
      <c r="O861" s="34"/>
      <c r="P861" s="34"/>
      <c r="Q861" s="34"/>
      <c r="R861" s="34"/>
      <c r="S861" s="34"/>
      <c r="T861" s="34"/>
      <c r="U861" s="34"/>
      <c r="V861" s="34"/>
      <c r="W861" s="34"/>
      <c r="X861" s="34"/>
      <c r="Y861" s="34"/>
      <c r="Z861" s="34"/>
    </row>
    <row r="862" spans="1:26" ht="13">
      <c r="A862" s="34"/>
      <c r="B862" s="34"/>
      <c r="C862" s="34"/>
      <c r="D862" s="34"/>
      <c r="E862" s="34"/>
      <c r="F862" s="33"/>
      <c r="G862" s="34"/>
      <c r="H862" s="34"/>
      <c r="I862" s="33"/>
      <c r="J862" s="34"/>
      <c r="K862" s="34"/>
      <c r="L862" s="34"/>
      <c r="M862" s="34"/>
      <c r="N862" s="34"/>
      <c r="O862" s="34"/>
      <c r="P862" s="34"/>
      <c r="Q862" s="34"/>
      <c r="R862" s="34"/>
      <c r="S862" s="34"/>
      <c r="T862" s="34"/>
      <c r="U862" s="34"/>
      <c r="V862" s="34"/>
      <c r="W862" s="34"/>
      <c r="X862" s="34"/>
      <c r="Y862" s="34"/>
      <c r="Z862" s="34"/>
    </row>
    <row r="863" spans="1:26" ht="13">
      <c r="A863" s="34"/>
      <c r="B863" s="34"/>
      <c r="C863" s="34"/>
      <c r="D863" s="34"/>
      <c r="E863" s="34"/>
      <c r="F863" s="33"/>
      <c r="G863" s="34"/>
      <c r="H863" s="34"/>
      <c r="I863" s="33"/>
      <c r="J863" s="34"/>
      <c r="K863" s="34"/>
      <c r="L863" s="34"/>
      <c r="M863" s="34"/>
      <c r="N863" s="34"/>
      <c r="O863" s="34"/>
      <c r="P863" s="34"/>
      <c r="Q863" s="34"/>
      <c r="R863" s="34"/>
      <c r="S863" s="34"/>
      <c r="T863" s="34"/>
      <c r="U863" s="34"/>
      <c r="V863" s="34"/>
      <c r="W863" s="34"/>
      <c r="X863" s="34"/>
      <c r="Y863" s="34"/>
      <c r="Z863" s="34"/>
    </row>
    <row r="864" spans="1:26" ht="13">
      <c r="A864" s="34"/>
      <c r="B864" s="34"/>
      <c r="C864" s="34"/>
      <c r="D864" s="34"/>
      <c r="E864" s="34"/>
      <c r="F864" s="33"/>
      <c r="G864" s="34"/>
      <c r="H864" s="34"/>
      <c r="I864" s="33"/>
      <c r="J864" s="34"/>
      <c r="K864" s="34"/>
      <c r="L864" s="34"/>
      <c r="M864" s="34"/>
      <c r="N864" s="34"/>
      <c r="O864" s="34"/>
      <c r="P864" s="34"/>
      <c r="Q864" s="34"/>
      <c r="R864" s="34"/>
      <c r="S864" s="34"/>
      <c r="T864" s="34"/>
      <c r="U864" s="34"/>
      <c r="V864" s="34"/>
      <c r="W864" s="34"/>
      <c r="X864" s="34"/>
      <c r="Y864" s="34"/>
      <c r="Z864" s="34"/>
    </row>
    <row r="865" spans="1:26" ht="13">
      <c r="A865" s="34"/>
      <c r="B865" s="34"/>
      <c r="C865" s="34"/>
      <c r="D865" s="34"/>
      <c r="E865" s="34"/>
      <c r="F865" s="33"/>
      <c r="G865" s="34"/>
      <c r="H865" s="34"/>
      <c r="I865" s="33"/>
      <c r="J865" s="34"/>
      <c r="K865" s="34"/>
      <c r="L865" s="34"/>
      <c r="M865" s="34"/>
      <c r="N865" s="34"/>
      <c r="O865" s="34"/>
      <c r="P865" s="34"/>
      <c r="Q865" s="34"/>
      <c r="R865" s="34"/>
      <c r="S865" s="34"/>
      <c r="T865" s="34"/>
      <c r="U865" s="34"/>
      <c r="V865" s="34"/>
      <c r="W865" s="34"/>
      <c r="X865" s="34"/>
      <c r="Y865" s="34"/>
      <c r="Z865" s="34"/>
    </row>
    <row r="866" spans="1:26" ht="13">
      <c r="A866" s="34"/>
      <c r="B866" s="34"/>
      <c r="C866" s="34"/>
      <c r="D866" s="34"/>
      <c r="E866" s="34"/>
      <c r="F866" s="33"/>
      <c r="G866" s="34"/>
      <c r="H866" s="34"/>
      <c r="I866" s="33"/>
      <c r="J866" s="34"/>
      <c r="K866" s="34"/>
      <c r="L866" s="34"/>
      <c r="M866" s="34"/>
      <c r="N866" s="34"/>
      <c r="O866" s="34"/>
      <c r="P866" s="34"/>
      <c r="Q866" s="34"/>
      <c r="R866" s="34"/>
      <c r="S866" s="34"/>
      <c r="T866" s="34"/>
      <c r="U866" s="34"/>
      <c r="V866" s="34"/>
      <c r="W866" s="34"/>
      <c r="X866" s="34"/>
      <c r="Y866" s="34"/>
      <c r="Z866" s="34"/>
    </row>
    <row r="867" spans="1:26" ht="13">
      <c r="A867" s="34"/>
      <c r="B867" s="34"/>
      <c r="C867" s="34"/>
      <c r="D867" s="34"/>
      <c r="E867" s="34"/>
      <c r="F867" s="33"/>
      <c r="G867" s="34"/>
      <c r="H867" s="34"/>
      <c r="I867" s="33"/>
      <c r="J867" s="34"/>
      <c r="K867" s="34"/>
      <c r="L867" s="34"/>
      <c r="M867" s="34"/>
      <c r="N867" s="34"/>
      <c r="O867" s="34"/>
      <c r="P867" s="34"/>
      <c r="Q867" s="34"/>
      <c r="R867" s="34"/>
      <c r="S867" s="34"/>
      <c r="T867" s="34"/>
      <c r="U867" s="34"/>
      <c r="V867" s="34"/>
      <c r="W867" s="34"/>
      <c r="X867" s="34"/>
      <c r="Y867" s="34"/>
      <c r="Z867" s="34"/>
    </row>
    <row r="868" spans="1:26" ht="13">
      <c r="A868" s="34"/>
      <c r="B868" s="34"/>
      <c r="C868" s="34"/>
      <c r="D868" s="34"/>
      <c r="E868" s="34"/>
      <c r="F868" s="33"/>
      <c r="G868" s="34"/>
      <c r="H868" s="34"/>
      <c r="I868" s="33"/>
      <c r="J868" s="34"/>
      <c r="K868" s="34"/>
      <c r="L868" s="34"/>
      <c r="M868" s="34"/>
      <c r="N868" s="34"/>
      <c r="O868" s="34"/>
      <c r="P868" s="34"/>
      <c r="Q868" s="34"/>
      <c r="R868" s="34"/>
      <c r="S868" s="34"/>
      <c r="T868" s="34"/>
      <c r="U868" s="34"/>
      <c r="V868" s="34"/>
      <c r="W868" s="34"/>
      <c r="X868" s="34"/>
      <c r="Y868" s="34"/>
      <c r="Z868" s="34"/>
    </row>
    <row r="869" spans="1:26" ht="13">
      <c r="A869" s="34"/>
      <c r="B869" s="34"/>
      <c r="C869" s="34"/>
      <c r="D869" s="34"/>
      <c r="E869" s="34"/>
      <c r="F869" s="33"/>
      <c r="G869" s="34"/>
      <c r="H869" s="34"/>
      <c r="I869" s="33"/>
      <c r="J869" s="34"/>
      <c r="K869" s="34"/>
      <c r="L869" s="34"/>
      <c r="M869" s="34"/>
      <c r="N869" s="34"/>
      <c r="O869" s="34"/>
      <c r="P869" s="34"/>
      <c r="Q869" s="34"/>
      <c r="R869" s="34"/>
      <c r="S869" s="34"/>
      <c r="T869" s="34"/>
      <c r="U869" s="34"/>
      <c r="V869" s="34"/>
      <c r="W869" s="34"/>
      <c r="X869" s="34"/>
      <c r="Y869" s="34"/>
      <c r="Z869" s="34"/>
    </row>
    <row r="870" spans="1:26" ht="13">
      <c r="A870" s="34"/>
      <c r="B870" s="34"/>
      <c r="C870" s="34"/>
      <c r="D870" s="34"/>
      <c r="E870" s="34"/>
      <c r="F870" s="33"/>
      <c r="G870" s="34"/>
      <c r="H870" s="34"/>
      <c r="I870" s="33"/>
      <c r="J870" s="34"/>
      <c r="K870" s="34"/>
      <c r="L870" s="34"/>
      <c r="M870" s="34"/>
      <c r="N870" s="34"/>
      <c r="O870" s="34"/>
      <c r="P870" s="34"/>
      <c r="Q870" s="34"/>
      <c r="R870" s="34"/>
      <c r="S870" s="34"/>
      <c r="T870" s="34"/>
      <c r="U870" s="34"/>
      <c r="V870" s="34"/>
      <c r="W870" s="34"/>
      <c r="X870" s="34"/>
      <c r="Y870" s="34"/>
      <c r="Z870" s="34"/>
    </row>
    <row r="871" spans="1:26" ht="13">
      <c r="A871" s="34"/>
      <c r="B871" s="34"/>
      <c r="C871" s="34"/>
      <c r="D871" s="34"/>
      <c r="E871" s="34"/>
      <c r="F871" s="33"/>
      <c r="G871" s="34"/>
      <c r="H871" s="34"/>
      <c r="I871" s="33"/>
      <c r="J871" s="34"/>
      <c r="K871" s="34"/>
      <c r="L871" s="34"/>
      <c r="M871" s="34"/>
      <c r="N871" s="34"/>
      <c r="O871" s="34"/>
      <c r="P871" s="34"/>
      <c r="Q871" s="34"/>
      <c r="R871" s="34"/>
      <c r="S871" s="34"/>
      <c r="T871" s="34"/>
      <c r="U871" s="34"/>
      <c r="V871" s="34"/>
      <c r="W871" s="34"/>
      <c r="X871" s="34"/>
      <c r="Y871" s="34"/>
      <c r="Z871" s="34"/>
    </row>
    <row r="872" spans="1:26" ht="13">
      <c r="A872" s="34"/>
      <c r="B872" s="34"/>
      <c r="C872" s="34"/>
      <c r="D872" s="34"/>
      <c r="E872" s="34"/>
      <c r="F872" s="33"/>
      <c r="G872" s="34"/>
      <c r="H872" s="34"/>
      <c r="I872" s="33"/>
      <c r="J872" s="34"/>
      <c r="K872" s="34"/>
      <c r="L872" s="34"/>
      <c r="M872" s="34"/>
      <c r="N872" s="34"/>
      <c r="O872" s="34"/>
      <c r="P872" s="34"/>
      <c r="Q872" s="34"/>
      <c r="R872" s="34"/>
      <c r="S872" s="34"/>
      <c r="T872" s="34"/>
      <c r="U872" s="34"/>
      <c r="V872" s="34"/>
      <c r="W872" s="34"/>
      <c r="X872" s="34"/>
      <c r="Y872" s="34"/>
      <c r="Z872" s="34"/>
    </row>
    <row r="873" spans="1:26" ht="13">
      <c r="A873" s="34"/>
      <c r="B873" s="34"/>
      <c r="C873" s="34"/>
      <c r="D873" s="34"/>
      <c r="E873" s="34"/>
      <c r="F873" s="33"/>
      <c r="G873" s="34"/>
      <c r="H873" s="34"/>
      <c r="I873" s="33"/>
      <c r="J873" s="34"/>
      <c r="K873" s="34"/>
      <c r="L873" s="34"/>
      <c r="M873" s="34"/>
      <c r="N873" s="34"/>
      <c r="O873" s="34"/>
      <c r="P873" s="34"/>
      <c r="Q873" s="34"/>
      <c r="R873" s="34"/>
      <c r="S873" s="34"/>
      <c r="T873" s="34"/>
      <c r="U873" s="34"/>
      <c r="V873" s="34"/>
      <c r="W873" s="34"/>
      <c r="X873" s="34"/>
      <c r="Y873" s="34"/>
      <c r="Z873" s="34"/>
    </row>
    <row r="874" spans="1:26" ht="13">
      <c r="A874" s="34"/>
      <c r="B874" s="34"/>
      <c r="C874" s="34"/>
      <c r="D874" s="34"/>
      <c r="E874" s="34"/>
      <c r="F874" s="33"/>
      <c r="G874" s="34"/>
      <c r="H874" s="34"/>
      <c r="I874" s="33"/>
      <c r="J874" s="34"/>
      <c r="K874" s="34"/>
      <c r="L874" s="34"/>
      <c r="M874" s="34"/>
      <c r="N874" s="34"/>
      <c r="O874" s="34"/>
      <c r="P874" s="34"/>
      <c r="Q874" s="34"/>
      <c r="R874" s="34"/>
      <c r="S874" s="34"/>
      <c r="T874" s="34"/>
      <c r="U874" s="34"/>
      <c r="V874" s="34"/>
      <c r="W874" s="34"/>
      <c r="X874" s="34"/>
      <c r="Y874" s="34"/>
      <c r="Z874" s="34"/>
    </row>
    <row r="875" spans="1:26" ht="13">
      <c r="A875" s="34"/>
      <c r="B875" s="34"/>
      <c r="C875" s="34"/>
      <c r="D875" s="34"/>
      <c r="E875" s="34"/>
      <c r="F875" s="33"/>
      <c r="G875" s="34"/>
      <c r="H875" s="34"/>
      <c r="I875" s="33"/>
      <c r="J875" s="34"/>
      <c r="K875" s="34"/>
      <c r="L875" s="34"/>
      <c r="M875" s="34"/>
      <c r="N875" s="34"/>
      <c r="O875" s="34"/>
      <c r="P875" s="34"/>
      <c r="Q875" s="34"/>
      <c r="R875" s="34"/>
      <c r="S875" s="34"/>
      <c r="T875" s="34"/>
      <c r="U875" s="34"/>
      <c r="V875" s="34"/>
      <c r="W875" s="34"/>
      <c r="X875" s="34"/>
      <c r="Y875" s="34"/>
      <c r="Z875" s="34"/>
    </row>
    <row r="876" spans="1:26" ht="13">
      <c r="A876" s="34"/>
      <c r="B876" s="34"/>
      <c r="C876" s="34"/>
      <c r="D876" s="34"/>
      <c r="E876" s="34"/>
      <c r="F876" s="33"/>
      <c r="G876" s="34"/>
      <c r="H876" s="34"/>
      <c r="I876" s="33"/>
      <c r="J876" s="34"/>
      <c r="K876" s="34"/>
      <c r="L876" s="34"/>
      <c r="M876" s="34"/>
      <c r="N876" s="34"/>
      <c r="O876" s="34"/>
      <c r="P876" s="34"/>
      <c r="Q876" s="34"/>
      <c r="R876" s="34"/>
      <c r="S876" s="34"/>
      <c r="T876" s="34"/>
      <c r="U876" s="34"/>
      <c r="V876" s="34"/>
      <c r="W876" s="34"/>
      <c r="X876" s="34"/>
      <c r="Y876" s="34"/>
      <c r="Z876" s="34"/>
    </row>
    <row r="877" spans="1:26" ht="13">
      <c r="A877" s="34"/>
      <c r="B877" s="34"/>
      <c r="C877" s="34"/>
      <c r="D877" s="34"/>
      <c r="E877" s="34"/>
      <c r="F877" s="33"/>
      <c r="G877" s="34"/>
      <c r="H877" s="34"/>
      <c r="I877" s="33"/>
      <c r="J877" s="34"/>
      <c r="K877" s="34"/>
      <c r="L877" s="34"/>
      <c r="M877" s="34"/>
      <c r="N877" s="34"/>
      <c r="O877" s="34"/>
      <c r="P877" s="34"/>
      <c r="Q877" s="34"/>
      <c r="R877" s="34"/>
      <c r="S877" s="34"/>
      <c r="T877" s="34"/>
      <c r="U877" s="34"/>
      <c r="V877" s="34"/>
      <c r="W877" s="34"/>
      <c r="X877" s="34"/>
      <c r="Y877" s="34"/>
      <c r="Z877" s="34"/>
    </row>
    <row r="878" spans="1:26" ht="13">
      <c r="A878" s="34"/>
      <c r="B878" s="34"/>
      <c r="C878" s="34"/>
      <c r="D878" s="34"/>
      <c r="E878" s="34"/>
      <c r="F878" s="33"/>
      <c r="G878" s="34"/>
      <c r="H878" s="34"/>
      <c r="I878" s="33"/>
      <c r="J878" s="34"/>
      <c r="K878" s="34"/>
      <c r="L878" s="34"/>
      <c r="M878" s="34"/>
      <c r="N878" s="34"/>
      <c r="O878" s="34"/>
      <c r="P878" s="34"/>
      <c r="Q878" s="34"/>
      <c r="R878" s="34"/>
      <c r="S878" s="34"/>
      <c r="T878" s="34"/>
      <c r="U878" s="34"/>
      <c r="V878" s="34"/>
      <c r="W878" s="34"/>
      <c r="X878" s="34"/>
      <c r="Y878" s="34"/>
      <c r="Z878" s="34"/>
    </row>
    <row r="879" spans="1:26" ht="13">
      <c r="A879" s="34"/>
      <c r="B879" s="34"/>
      <c r="C879" s="34"/>
      <c r="D879" s="34"/>
      <c r="E879" s="34"/>
      <c r="F879" s="33"/>
      <c r="G879" s="34"/>
      <c r="H879" s="34"/>
      <c r="I879" s="33"/>
      <c r="J879" s="34"/>
      <c r="K879" s="34"/>
      <c r="L879" s="34"/>
      <c r="M879" s="34"/>
      <c r="N879" s="34"/>
      <c r="O879" s="34"/>
      <c r="P879" s="34"/>
      <c r="Q879" s="34"/>
      <c r="R879" s="34"/>
      <c r="S879" s="34"/>
      <c r="T879" s="34"/>
      <c r="U879" s="34"/>
      <c r="V879" s="34"/>
      <c r="W879" s="34"/>
      <c r="X879" s="34"/>
      <c r="Y879" s="34"/>
      <c r="Z879" s="34"/>
    </row>
    <row r="880" spans="1:26" ht="13">
      <c r="A880" s="34"/>
      <c r="B880" s="34"/>
      <c r="C880" s="34"/>
      <c r="D880" s="34"/>
      <c r="E880" s="34"/>
      <c r="F880" s="33"/>
      <c r="G880" s="34"/>
      <c r="H880" s="34"/>
      <c r="I880" s="33"/>
      <c r="J880" s="34"/>
      <c r="K880" s="34"/>
      <c r="L880" s="34"/>
      <c r="M880" s="34"/>
      <c r="N880" s="34"/>
      <c r="O880" s="34"/>
      <c r="P880" s="34"/>
      <c r="Q880" s="34"/>
      <c r="R880" s="34"/>
      <c r="S880" s="34"/>
      <c r="T880" s="34"/>
      <c r="U880" s="34"/>
      <c r="V880" s="34"/>
      <c r="W880" s="34"/>
      <c r="X880" s="34"/>
      <c r="Y880" s="34"/>
      <c r="Z880" s="34"/>
    </row>
    <row r="881" spans="1:26" ht="13">
      <c r="A881" s="34"/>
      <c r="B881" s="34"/>
      <c r="C881" s="34"/>
      <c r="D881" s="34"/>
      <c r="E881" s="34"/>
      <c r="F881" s="33"/>
      <c r="G881" s="34"/>
      <c r="H881" s="34"/>
      <c r="I881" s="33"/>
      <c r="J881" s="34"/>
      <c r="K881" s="34"/>
      <c r="L881" s="34"/>
      <c r="M881" s="34"/>
      <c r="N881" s="34"/>
      <c r="O881" s="34"/>
      <c r="P881" s="34"/>
      <c r="Q881" s="34"/>
      <c r="R881" s="34"/>
      <c r="S881" s="34"/>
      <c r="T881" s="34"/>
      <c r="U881" s="34"/>
      <c r="V881" s="34"/>
      <c r="W881" s="34"/>
      <c r="X881" s="34"/>
      <c r="Y881" s="34"/>
      <c r="Z881" s="34"/>
    </row>
    <row r="882" spans="1:26" ht="13">
      <c r="A882" s="34"/>
      <c r="B882" s="34"/>
      <c r="C882" s="34"/>
      <c r="D882" s="34"/>
      <c r="E882" s="34"/>
      <c r="F882" s="33"/>
      <c r="G882" s="34"/>
      <c r="H882" s="34"/>
      <c r="I882" s="33"/>
      <c r="J882" s="34"/>
      <c r="K882" s="34"/>
      <c r="L882" s="34"/>
      <c r="M882" s="34"/>
      <c r="N882" s="34"/>
      <c r="O882" s="34"/>
      <c r="P882" s="34"/>
      <c r="Q882" s="34"/>
      <c r="R882" s="34"/>
      <c r="S882" s="34"/>
      <c r="T882" s="34"/>
      <c r="U882" s="34"/>
      <c r="V882" s="34"/>
      <c r="W882" s="34"/>
      <c r="X882" s="34"/>
      <c r="Y882" s="34"/>
      <c r="Z882" s="34"/>
    </row>
    <row r="883" spans="1:26" ht="13">
      <c r="A883" s="34"/>
      <c r="B883" s="34"/>
      <c r="C883" s="34"/>
      <c r="D883" s="34"/>
      <c r="E883" s="34"/>
      <c r="F883" s="33"/>
      <c r="G883" s="34"/>
      <c r="H883" s="34"/>
      <c r="I883" s="33"/>
      <c r="J883" s="34"/>
      <c r="K883" s="34"/>
      <c r="L883" s="34"/>
      <c r="M883" s="34"/>
      <c r="N883" s="34"/>
      <c r="O883" s="34"/>
      <c r="P883" s="34"/>
      <c r="Q883" s="34"/>
      <c r="R883" s="34"/>
      <c r="S883" s="34"/>
      <c r="T883" s="34"/>
      <c r="U883" s="34"/>
      <c r="V883" s="34"/>
      <c r="W883" s="34"/>
      <c r="X883" s="34"/>
      <c r="Y883" s="34"/>
      <c r="Z883" s="34"/>
    </row>
    <row r="884" spans="1:26" ht="13">
      <c r="A884" s="34"/>
      <c r="B884" s="34"/>
      <c r="C884" s="34"/>
      <c r="D884" s="34"/>
      <c r="E884" s="34"/>
      <c r="F884" s="33"/>
      <c r="G884" s="34"/>
      <c r="H884" s="34"/>
      <c r="I884" s="33"/>
      <c r="J884" s="34"/>
      <c r="K884" s="34"/>
      <c r="L884" s="34"/>
      <c r="M884" s="34"/>
      <c r="N884" s="34"/>
      <c r="O884" s="34"/>
      <c r="P884" s="34"/>
      <c r="Q884" s="34"/>
      <c r="R884" s="34"/>
      <c r="S884" s="34"/>
      <c r="T884" s="34"/>
      <c r="U884" s="34"/>
      <c r="V884" s="34"/>
      <c r="W884" s="34"/>
      <c r="X884" s="34"/>
      <c r="Y884" s="34"/>
      <c r="Z884" s="34"/>
    </row>
    <row r="885" spans="1:26" ht="13">
      <c r="A885" s="34"/>
      <c r="B885" s="34"/>
      <c r="C885" s="34"/>
      <c r="D885" s="34"/>
      <c r="E885" s="34"/>
      <c r="F885" s="33"/>
      <c r="G885" s="34"/>
      <c r="H885" s="34"/>
      <c r="I885" s="33"/>
      <c r="J885" s="34"/>
      <c r="K885" s="34"/>
      <c r="L885" s="34"/>
      <c r="M885" s="34"/>
      <c r="N885" s="34"/>
      <c r="O885" s="34"/>
      <c r="P885" s="34"/>
      <c r="Q885" s="34"/>
      <c r="R885" s="34"/>
      <c r="S885" s="34"/>
      <c r="T885" s="34"/>
      <c r="U885" s="34"/>
      <c r="V885" s="34"/>
      <c r="W885" s="34"/>
      <c r="X885" s="34"/>
      <c r="Y885" s="34"/>
      <c r="Z885" s="34"/>
    </row>
    <row r="886" spans="1:26" ht="13">
      <c r="A886" s="34"/>
      <c r="B886" s="34"/>
      <c r="C886" s="34"/>
      <c r="D886" s="34"/>
      <c r="E886" s="34"/>
      <c r="F886" s="33"/>
      <c r="G886" s="34"/>
      <c r="H886" s="34"/>
      <c r="I886" s="33"/>
      <c r="J886" s="34"/>
      <c r="K886" s="34"/>
      <c r="L886" s="34"/>
      <c r="M886" s="34"/>
      <c r="N886" s="34"/>
      <c r="O886" s="34"/>
      <c r="P886" s="34"/>
      <c r="Q886" s="34"/>
      <c r="R886" s="34"/>
      <c r="S886" s="34"/>
      <c r="T886" s="34"/>
      <c r="U886" s="34"/>
      <c r="V886" s="34"/>
      <c r="W886" s="34"/>
      <c r="X886" s="34"/>
      <c r="Y886" s="34"/>
      <c r="Z886" s="34"/>
    </row>
    <row r="887" spans="1:26" ht="13">
      <c r="A887" s="34"/>
      <c r="B887" s="34"/>
      <c r="C887" s="34"/>
      <c r="D887" s="34"/>
      <c r="E887" s="34"/>
      <c r="F887" s="33"/>
      <c r="G887" s="34"/>
      <c r="H887" s="34"/>
      <c r="I887" s="33"/>
      <c r="J887" s="34"/>
      <c r="K887" s="34"/>
      <c r="L887" s="34"/>
      <c r="M887" s="34"/>
      <c r="N887" s="34"/>
      <c r="O887" s="34"/>
      <c r="P887" s="34"/>
      <c r="Q887" s="34"/>
      <c r="R887" s="34"/>
      <c r="S887" s="34"/>
      <c r="T887" s="34"/>
      <c r="U887" s="34"/>
      <c r="V887" s="34"/>
      <c r="W887" s="34"/>
      <c r="X887" s="34"/>
      <c r="Y887" s="34"/>
      <c r="Z887" s="34"/>
    </row>
    <row r="888" spans="1:26" ht="13">
      <c r="A888" s="34"/>
      <c r="B888" s="34"/>
      <c r="C888" s="34"/>
      <c r="D888" s="34"/>
      <c r="E888" s="34"/>
      <c r="F888" s="33"/>
      <c r="G888" s="34"/>
      <c r="H888" s="34"/>
      <c r="I888" s="33"/>
      <c r="J888" s="34"/>
      <c r="K888" s="34"/>
      <c r="L888" s="34"/>
      <c r="M888" s="34"/>
      <c r="N888" s="34"/>
      <c r="O888" s="34"/>
      <c r="P888" s="34"/>
      <c r="Q888" s="34"/>
      <c r="R888" s="34"/>
      <c r="S888" s="34"/>
      <c r="T888" s="34"/>
      <c r="U888" s="34"/>
      <c r="V888" s="34"/>
      <c r="W888" s="34"/>
      <c r="X888" s="34"/>
      <c r="Y888" s="34"/>
      <c r="Z888" s="34"/>
    </row>
    <row r="889" spans="1:26" ht="13">
      <c r="A889" s="34"/>
      <c r="B889" s="34"/>
      <c r="C889" s="34"/>
      <c r="D889" s="34"/>
      <c r="E889" s="34"/>
      <c r="F889" s="33"/>
      <c r="G889" s="34"/>
      <c r="H889" s="34"/>
      <c r="I889" s="33"/>
      <c r="J889" s="34"/>
      <c r="K889" s="34"/>
      <c r="L889" s="34"/>
      <c r="M889" s="34"/>
      <c r="N889" s="34"/>
      <c r="O889" s="34"/>
      <c r="P889" s="34"/>
      <c r="Q889" s="34"/>
      <c r="R889" s="34"/>
      <c r="S889" s="34"/>
      <c r="T889" s="34"/>
      <c r="U889" s="34"/>
      <c r="V889" s="34"/>
      <c r="W889" s="34"/>
      <c r="X889" s="34"/>
      <c r="Y889" s="34"/>
      <c r="Z889" s="34"/>
    </row>
    <row r="890" spans="1:26" ht="13">
      <c r="A890" s="34"/>
      <c r="B890" s="34"/>
      <c r="C890" s="34"/>
      <c r="D890" s="34"/>
      <c r="E890" s="34"/>
      <c r="F890" s="33"/>
      <c r="G890" s="34"/>
      <c r="H890" s="34"/>
      <c r="I890" s="33"/>
      <c r="J890" s="34"/>
      <c r="K890" s="34"/>
      <c r="L890" s="34"/>
      <c r="M890" s="34"/>
      <c r="N890" s="34"/>
      <c r="O890" s="34"/>
      <c r="P890" s="34"/>
      <c r="Q890" s="34"/>
      <c r="R890" s="34"/>
      <c r="S890" s="34"/>
      <c r="T890" s="34"/>
      <c r="U890" s="34"/>
      <c r="V890" s="34"/>
      <c r="W890" s="34"/>
      <c r="X890" s="34"/>
      <c r="Y890" s="34"/>
      <c r="Z890" s="34"/>
    </row>
    <row r="891" spans="1:26" ht="13">
      <c r="A891" s="34"/>
      <c r="B891" s="34"/>
      <c r="C891" s="34"/>
      <c r="D891" s="34"/>
      <c r="E891" s="34"/>
      <c r="F891" s="33"/>
      <c r="G891" s="34"/>
      <c r="H891" s="34"/>
      <c r="I891" s="33"/>
      <c r="J891" s="34"/>
      <c r="K891" s="34"/>
      <c r="L891" s="34"/>
      <c r="M891" s="34"/>
      <c r="N891" s="34"/>
      <c r="O891" s="34"/>
      <c r="P891" s="34"/>
      <c r="Q891" s="34"/>
      <c r="R891" s="34"/>
      <c r="S891" s="34"/>
      <c r="T891" s="34"/>
      <c r="U891" s="34"/>
      <c r="V891" s="34"/>
      <c r="W891" s="34"/>
      <c r="X891" s="34"/>
      <c r="Y891" s="34"/>
      <c r="Z891" s="34"/>
    </row>
    <row r="892" spans="1:26" ht="13">
      <c r="A892" s="34"/>
      <c r="B892" s="34"/>
      <c r="C892" s="34"/>
      <c r="D892" s="34"/>
      <c r="E892" s="34"/>
      <c r="F892" s="33"/>
      <c r="G892" s="34"/>
      <c r="H892" s="34"/>
      <c r="I892" s="33"/>
      <c r="J892" s="34"/>
      <c r="K892" s="34"/>
      <c r="L892" s="34"/>
      <c r="M892" s="34"/>
      <c r="N892" s="34"/>
      <c r="O892" s="34"/>
      <c r="P892" s="34"/>
      <c r="Q892" s="34"/>
      <c r="R892" s="34"/>
      <c r="S892" s="34"/>
      <c r="T892" s="34"/>
      <c r="U892" s="34"/>
      <c r="V892" s="34"/>
      <c r="W892" s="34"/>
      <c r="X892" s="34"/>
      <c r="Y892" s="34"/>
      <c r="Z892" s="34"/>
    </row>
    <row r="893" spans="1:26" ht="13">
      <c r="A893" s="34"/>
      <c r="B893" s="34"/>
      <c r="C893" s="34"/>
      <c r="D893" s="34"/>
      <c r="E893" s="34"/>
      <c r="F893" s="33"/>
      <c r="G893" s="34"/>
      <c r="H893" s="34"/>
      <c r="I893" s="33"/>
      <c r="J893" s="34"/>
      <c r="K893" s="34"/>
      <c r="L893" s="34"/>
      <c r="M893" s="34"/>
      <c r="N893" s="34"/>
      <c r="O893" s="34"/>
      <c r="P893" s="34"/>
      <c r="Q893" s="34"/>
      <c r="R893" s="34"/>
      <c r="S893" s="34"/>
      <c r="T893" s="34"/>
      <c r="U893" s="34"/>
      <c r="V893" s="34"/>
      <c r="W893" s="34"/>
      <c r="X893" s="34"/>
      <c r="Y893" s="34"/>
      <c r="Z893" s="34"/>
    </row>
    <row r="894" spans="1:26" ht="13">
      <c r="A894" s="34"/>
      <c r="B894" s="34"/>
      <c r="C894" s="34"/>
      <c r="D894" s="34"/>
      <c r="E894" s="34"/>
      <c r="F894" s="33"/>
      <c r="G894" s="34"/>
      <c r="H894" s="34"/>
      <c r="I894" s="33"/>
      <c r="J894" s="34"/>
      <c r="K894" s="34"/>
      <c r="L894" s="34"/>
      <c r="M894" s="34"/>
      <c r="N894" s="34"/>
      <c r="O894" s="34"/>
      <c r="P894" s="34"/>
      <c r="Q894" s="34"/>
      <c r="R894" s="34"/>
      <c r="S894" s="34"/>
      <c r="T894" s="34"/>
      <c r="U894" s="34"/>
      <c r="V894" s="34"/>
      <c r="W894" s="34"/>
      <c r="X894" s="34"/>
      <c r="Y894" s="34"/>
      <c r="Z894" s="34"/>
    </row>
    <row r="895" spans="1:26" ht="13">
      <c r="A895" s="34"/>
      <c r="B895" s="34"/>
      <c r="C895" s="34"/>
      <c r="D895" s="34"/>
      <c r="E895" s="34"/>
      <c r="F895" s="33"/>
      <c r="G895" s="34"/>
      <c r="H895" s="34"/>
      <c r="I895" s="33"/>
      <c r="J895" s="34"/>
      <c r="K895" s="34"/>
      <c r="L895" s="34"/>
      <c r="M895" s="34"/>
      <c r="N895" s="34"/>
      <c r="O895" s="34"/>
      <c r="P895" s="34"/>
      <c r="Q895" s="34"/>
      <c r="R895" s="34"/>
      <c r="S895" s="34"/>
      <c r="T895" s="34"/>
      <c r="U895" s="34"/>
      <c r="V895" s="34"/>
      <c r="W895" s="34"/>
      <c r="X895" s="34"/>
      <c r="Y895" s="34"/>
      <c r="Z895" s="34"/>
    </row>
    <row r="896" spans="1:26" ht="13">
      <c r="A896" s="34"/>
      <c r="B896" s="34"/>
      <c r="C896" s="34"/>
      <c r="D896" s="34"/>
      <c r="E896" s="34"/>
      <c r="F896" s="33"/>
      <c r="G896" s="34"/>
      <c r="H896" s="34"/>
      <c r="I896" s="33"/>
      <c r="J896" s="34"/>
      <c r="K896" s="34"/>
      <c r="L896" s="34"/>
      <c r="M896" s="34"/>
      <c r="N896" s="34"/>
      <c r="O896" s="34"/>
      <c r="P896" s="34"/>
      <c r="Q896" s="34"/>
      <c r="R896" s="34"/>
      <c r="S896" s="34"/>
      <c r="T896" s="34"/>
      <c r="U896" s="34"/>
      <c r="V896" s="34"/>
      <c r="W896" s="34"/>
      <c r="X896" s="34"/>
      <c r="Y896" s="34"/>
      <c r="Z896" s="34"/>
    </row>
    <row r="897" spans="1:26" ht="13">
      <c r="A897" s="34"/>
      <c r="B897" s="34"/>
      <c r="C897" s="34"/>
      <c r="D897" s="34"/>
      <c r="E897" s="34"/>
      <c r="F897" s="33"/>
      <c r="G897" s="34"/>
      <c r="H897" s="34"/>
      <c r="I897" s="33"/>
      <c r="J897" s="34"/>
      <c r="K897" s="34"/>
      <c r="L897" s="34"/>
      <c r="M897" s="34"/>
      <c r="N897" s="34"/>
      <c r="O897" s="34"/>
      <c r="P897" s="34"/>
      <c r="Q897" s="34"/>
      <c r="R897" s="34"/>
      <c r="S897" s="34"/>
      <c r="T897" s="34"/>
      <c r="U897" s="34"/>
      <c r="V897" s="34"/>
      <c r="W897" s="34"/>
      <c r="X897" s="34"/>
      <c r="Y897" s="34"/>
      <c r="Z897" s="34"/>
    </row>
    <row r="898" spans="1:26" ht="13">
      <c r="A898" s="34"/>
      <c r="B898" s="34"/>
      <c r="C898" s="34"/>
      <c r="D898" s="34"/>
      <c r="E898" s="34"/>
      <c r="F898" s="33"/>
      <c r="G898" s="34"/>
      <c r="H898" s="34"/>
      <c r="I898" s="33"/>
      <c r="J898" s="34"/>
      <c r="K898" s="34"/>
      <c r="L898" s="34"/>
      <c r="M898" s="34"/>
      <c r="N898" s="34"/>
      <c r="O898" s="34"/>
      <c r="P898" s="34"/>
      <c r="Q898" s="34"/>
      <c r="R898" s="34"/>
      <c r="S898" s="34"/>
      <c r="T898" s="34"/>
      <c r="U898" s="34"/>
      <c r="V898" s="34"/>
      <c r="W898" s="34"/>
      <c r="X898" s="34"/>
      <c r="Y898" s="34"/>
      <c r="Z898" s="34"/>
    </row>
    <row r="899" spans="1:26" ht="13">
      <c r="A899" s="34"/>
      <c r="B899" s="34"/>
      <c r="C899" s="34"/>
      <c r="D899" s="34"/>
      <c r="E899" s="34"/>
      <c r="F899" s="33"/>
      <c r="G899" s="34"/>
      <c r="H899" s="34"/>
      <c r="I899" s="33"/>
      <c r="J899" s="34"/>
      <c r="K899" s="34"/>
      <c r="L899" s="34"/>
      <c r="M899" s="34"/>
      <c r="N899" s="34"/>
      <c r="O899" s="34"/>
      <c r="P899" s="34"/>
      <c r="Q899" s="34"/>
      <c r="R899" s="34"/>
      <c r="S899" s="34"/>
      <c r="T899" s="34"/>
      <c r="U899" s="34"/>
      <c r="V899" s="34"/>
      <c r="W899" s="34"/>
      <c r="X899" s="34"/>
      <c r="Y899" s="34"/>
      <c r="Z899" s="34"/>
    </row>
    <row r="900" spans="1:26" ht="13">
      <c r="A900" s="34"/>
      <c r="B900" s="34"/>
      <c r="C900" s="34"/>
      <c r="D900" s="34"/>
      <c r="E900" s="34"/>
      <c r="F900" s="33"/>
      <c r="G900" s="34"/>
      <c r="H900" s="34"/>
      <c r="I900" s="33"/>
      <c r="J900" s="34"/>
      <c r="K900" s="34"/>
      <c r="L900" s="34"/>
      <c r="M900" s="34"/>
      <c r="N900" s="34"/>
      <c r="O900" s="34"/>
      <c r="P900" s="34"/>
      <c r="Q900" s="34"/>
      <c r="R900" s="34"/>
      <c r="S900" s="34"/>
      <c r="T900" s="34"/>
      <c r="U900" s="34"/>
      <c r="V900" s="34"/>
      <c r="W900" s="34"/>
      <c r="X900" s="34"/>
      <c r="Y900" s="34"/>
      <c r="Z900" s="34"/>
    </row>
    <row r="901" spans="1:26" ht="13">
      <c r="A901" s="34"/>
      <c r="B901" s="34"/>
      <c r="C901" s="34"/>
      <c r="D901" s="34"/>
      <c r="E901" s="34"/>
      <c r="F901" s="33"/>
      <c r="G901" s="34"/>
      <c r="H901" s="34"/>
      <c r="I901" s="33"/>
      <c r="J901" s="34"/>
      <c r="K901" s="34"/>
      <c r="L901" s="34"/>
      <c r="M901" s="34"/>
      <c r="N901" s="34"/>
      <c r="O901" s="34"/>
      <c r="P901" s="34"/>
      <c r="Q901" s="34"/>
      <c r="R901" s="34"/>
      <c r="S901" s="34"/>
      <c r="T901" s="34"/>
      <c r="U901" s="34"/>
      <c r="V901" s="34"/>
      <c r="W901" s="34"/>
      <c r="X901" s="34"/>
      <c r="Y901" s="34"/>
      <c r="Z901" s="34"/>
    </row>
    <row r="902" spans="1:26" ht="13">
      <c r="A902" s="34"/>
      <c r="B902" s="34"/>
      <c r="C902" s="34"/>
      <c r="D902" s="34"/>
      <c r="E902" s="34"/>
      <c r="F902" s="33"/>
      <c r="G902" s="34"/>
      <c r="H902" s="34"/>
      <c r="I902" s="33"/>
      <c r="J902" s="34"/>
      <c r="K902" s="34"/>
      <c r="L902" s="34"/>
      <c r="M902" s="34"/>
      <c r="N902" s="34"/>
      <c r="O902" s="34"/>
      <c r="P902" s="34"/>
      <c r="Q902" s="34"/>
      <c r="R902" s="34"/>
      <c r="S902" s="34"/>
      <c r="T902" s="34"/>
      <c r="U902" s="34"/>
      <c r="V902" s="34"/>
      <c r="W902" s="34"/>
      <c r="X902" s="34"/>
      <c r="Y902" s="34"/>
      <c r="Z902" s="34"/>
    </row>
    <row r="903" spans="1:26" ht="13">
      <c r="A903" s="34"/>
      <c r="B903" s="34"/>
      <c r="C903" s="34"/>
      <c r="D903" s="34"/>
      <c r="E903" s="34"/>
      <c r="F903" s="33"/>
      <c r="G903" s="34"/>
      <c r="H903" s="34"/>
      <c r="I903" s="33"/>
      <c r="J903" s="34"/>
      <c r="K903" s="34"/>
      <c r="L903" s="34"/>
      <c r="M903" s="34"/>
      <c r="N903" s="34"/>
      <c r="O903" s="34"/>
      <c r="P903" s="34"/>
      <c r="Q903" s="34"/>
      <c r="R903" s="34"/>
      <c r="S903" s="34"/>
      <c r="T903" s="34"/>
      <c r="U903" s="34"/>
      <c r="V903" s="34"/>
      <c r="W903" s="34"/>
      <c r="X903" s="34"/>
      <c r="Y903" s="34"/>
      <c r="Z903" s="34"/>
    </row>
    <row r="904" spans="1:26" ht="13">
      <c r="A904" s="34"/>
      <c r="B904" s="34"/>
      <c r="C904" s="34"/>
      <c r="D904" s="34"/>
      <c r="E904" s="34"/>
      <c r="F904" s="33"/>
      <c r="G904" s="34"/>
      <c r="H904" s="34"/>
      <c r="I904" s="33"/>
      <c r="J904" s="34"/>
      <c r="K904" s="34"/>
      <c r="L904" s="34"/>
      <c r="M904" s="34"/>
      <c r="N904" s="34"/>
      <c r="O904" s="34"/>
      <c r="P904" s="34"/>
      <c r="Q904" s="34"/>
      <c r="R904" s="34"/>
      <c r="S904" s="34"/>
      <c r="T904" s="34"/>
      <c r="U904" s="34"/>
      <c r="V904" s="34"/>
      <c r="W904" s="34"/>
      <c r="X904" s="34"/>
      <c r="Y904" s="34"/>
      <c r="Z904" s="34"/>
    </row>
    <row r="905" spans="1:26" ht="13">
      <c r="A905" s="34"/>
      <c r="B905" s="34"/>
      <c r="C905" s="34"/>
      <c r="D905" s="34"/>
      <c r="E905" s="34"/>
      <c r="F905" s="33"/>
      <c r="G905" s="34"/>
      <c r="H905" s="34"/>
      <c r="I905" s="33"/>
      <c r="J905" s="34"/>
      <c r="K905" s="34"/>
      <c r="L905" s="34"/>
      <c r="M905" s="34"/>
      <c r="N905" s="34"/>
      <c r="O905" s="34"/>
      <c r="P905" s="34"/>
      <c r="Q905" s="34"/>
      <c r="R905" s="34"/>
      <c r="S905" s="34"/>
      <c r="T905" s="34"/>
      <c r="U905" s="34"/>
      <c r="V905" s="34"/>
      <c r="W905" s="34"/>
      <c r="X905" s="34"/>
      <c r="Y905" s="34"/>
      <c r="Z905" s="34"/>
    </row>
    <row r="906" spans="1:26" ht="13">
      <c r="A906" s="34"/>
      <c r="B906" s="34"/>
      <c r="C906" s="34"/>
      <c r="D906" s="34"/>
      <c r="E906" s="34"/>
      <c r="F906" s="33"/>
      <c r="G906" s="34"/>
      <c r="H906" s="34"/>
      <c r="I906" s="33"/>
      <c r="J906" s="34"/>
      <c r="K906" s="34"/>
      <c r="L906" s="34"/>
      <c r="M906" s="34"/>
      <c r="N906" s="34"/>
      <c r="O906" s="34"/>
      <c r="P906" s="34"/>
      <c r="Q906" s="34"/>
      <c r="R906" s="34"/>
      <c r="S906" s="34"/>
      <c r="T906" s="34"/>
      <c r="U906" s="34"/>
      <c r="V906" s="34"/>
      <c r="W906" s="34"/>
      <c r="X906" s="34"/>
      <c r="Y906" s="34"/>
      <c r="Z906" s="34"/>
    </row>
    <row r="907" spans="1:26" ht="13">
      <c r="A907" s="34"/>
      <c r="B907" s="34"/>
      <c r="C907" s="34"/>
      <c r="D907" s="34"/>
      <c r="E907" s="34"/>
      <c r="F907" s="33"/>
      <c r="G907" s="34"/>
      <c r="H907" s="34"/>
      <c r="I907" s="33"/>
      <c r="J907" s="34"/>
      <c r="K907" s="34"/>
      <c r="L907" s="34"/>
      <c r="M907" s="34"/>
      <c r="N907" s="34"/>
      <c r="O907" s="34"/>
      <c r="P907" s="34"/>
      <c r="Q907" s="34"/>
      <c r="R907" s="34"/>
      <c r="S907" s="34"/>
      <c r="T907" s="34"/>
      <c r="U907" s="34"/>
      <c r="V907" s="34"/>
      <c r="W907" s="34"/>
      <c r="X907" s="34"/>
      <c r="Y907" s="34"/>
      <c r="Z907" s="34"/>
    </row>
    <row r="908" spans="1:26" ht="13">
      <c r="A908" s="34"/>
      <c r="B908" s="34"/>
      <c r="C908" s="34"/>
      <c r="D908" s="34"/>
      <c r="E908" s="34"/>
      <c r="F908" s="33"/>
      <c r="G908" s="34"/>
      <c r="H908" s="34"/>
      <c r="I908" s="33"/>
      <c r="J908" s="34"/>
      <c r="K908" s="34"/>
      <c r="L908" s="34"/>
      <c r="M908" s="34"/>
      <c r="N908" s="34"/>
      <c r="O908" s="34"/>
      <c r="P908" s="34"/>
      <c r="Q908" s="34"/>
      <c r="R908" s="34"/>
      <c r="S908" s="34"/>
      <c r="T908" s="34"/>
      <c r="U908" s="34"/>
      <c r="V908" s="34"/>
      <c r="W908" s="34"/>
      <c r="X908" s="34"/>
      <c r="Y908" s="34"/>
      <c r="Z908" s="34"/>
    </row>
    <row r="909" spans="1:26" ht="13">
      <c r="A909" s="34"/>
      <c r="B909" s="34"/>
      <c r="C909" s="34"/>
      <c r="D909" s="34"/>
      <c r="E909" s="34"/>
      <c r="F909" s="33"/>
      <c r="G909" s="34"/>
      <c r="H909" s="34"/>
      <c r="I909" s="33"/>
      <c r="J909" s="34"/>
      <c r="K909" s="34"/>
      <c r="L909" s="34"/>
      <c r="M909" s="34"/>
      <c r="N909" s="34"/>
      <c r="O909" s="34"/>
      <c r="P909" s="34"/>
      <c r="Q909" s="34"/>
      <c r="R909" s="34"/>
      <c r="S909" s="34"/>
      <c r="T909" s="34"/>
      <c r="U909" s="34"/>
      <c r="V909" s="34"/>
      <c r="W909" s="34"/>
      <c r="X909" s="34"/>
      <c r="Y909" s="34"/>
      <c r="Z909" s="34"/>
    </row>
    <row r="910" spans="1:26" ht="13">
      <c r="A910" s="34"/>
      <c r="B910" s="34"/>
      <c r="C910" s="34"/>
      <c r="D910" s="34"/>
      <c r="E910" s="34"/>
      <c r="F910" s="33"/>
      <c r="G910" s="34"/>
      <c r="H910" s="34"/>
      <c r="I910" s="33"/>
      <c r="J910" s="34"/>
      <c r="K910" s="34"/>
      <c r="L910" s="34"/>
      <c r="M910" s="34"/>
      <c r="N910" s="34"/>
      <c r="O910" s="34"/>
      <c r="P910" s="34"/>
      <c r="Q910" s="34"/>
      <c r="R910" s="34"/>
      <c r="S910" s="34"/>
      <c r="T910" s="34"/>
      <c r="U910" s="34"/>
      <c r="V910" s="34"/>
      <c r="W910" s="34"/>
      <c r="X910" s="34"/>
      <c r="Y910" s="34"/>
      <c r="Z910" s="34"/>
    </row>
    <row r="911" spans="1:26" ht="13">
      <c r="A911" s="34"/>
      <c r="B911" s="34"/>
      <c r="C911" s="34"/>
      <c r="D911" s="34"/>
      <c r="E911" s="34"/>
      <c r="F911" s="33"/>
      <c r="G911" s="34"/>
      <c r="H911" s="34"/>
      <c r="I911" s="33"/>
      <c r="J911" s="34"/>
      <c r="K911" s="34"/>
      <c r="L911" s="34"/>
      <c r="M911" s="34"/>
      <c r="N911" s="34"/>
      <c r="O911" s="34"/>
      <c r="P911" s="34"/>
      <c r="Q911" s="34"/>
      <c r="R911" s="34"/>
      <c r="S911" s="34"/>
      <c r="T911" s="34"/>
      <c r="U911" s="34"/>
      <c r="V911" s="34"/>
      <c r="W911" s="34"/>
      <c r="X911" s="34"/>
      <c r="Y911" s="34"/>
      <c r="Z911" s="34"/>
    </row>
    <row r="912" spans="1:26" ht="13">
      <c r="A912" s="34"/>
      <c r="B912" s="34"/>
      <c r="C912" s="34"/>
      <c r="D912" s="34"/>
      <c r="E912" s="34"/>
      <c r="F912" s="33"/>
      <c r="G912" s="34"/>
      <c r="H912" s="34"/>
      <c r="I912" s="33"/>
      <c r="J912" s="34"/>
      <c r="K912" s="34"/>
      <c r="L912" s="34"/>
      <c r="M912" s="34"/>
      <c r="N912" s="34"/>
      <c r="O912" s="34"/>
      <c r="P912" s="34"/>
      <c r="Q912" s="34"/>
      <c r="R912" s="34"/>
      <c r="S912" s="34"/>
      <c r="T912" s="34"/>
      <c r="U912" s="34"/>
      <c r="V912" s="34"/>
      <c r="W912" s="34"/>
      <c r="X912" s="34"/>
      <c r="Y912" s="34"/>
      <c r="Z912" s="34"/>
    </row>
    <row r="913" spans="1:26" ht="13">
      <c r="A913" s="34"/>
      <c r="B913" s="34"/>
      <c r="C913" s="34"/>
      <c r="D913" s="34"/>
      <c r="E913" s="34"/>
      <c r="F913" s="33"/>
      <c r="G913" s="34"/>
      <c r="H913" s="34"/>
      <c r="I913" s="33"/>
      <c r="J913" s="34"/>
      <c r="K913" s="34"/>
      <c r="L913" s="34"/>
      <c r="M913" s="34"/>
      <c r="N913" s="34"/>
      <c r="O913" s="34"/>
      <c r="P913" s="34"/>
      <c r="Q913" s="34"/>
      <c r="R913" s="34"/>
      <c r="S913" s="34"/>
      <c r="T913" s="34"/>
      <c r="U913" s="34"/>
      <c r="V913" s="34"/>
      <c r="W913" s="34"/>
      <c r="X913" s="34"/>
      <c r="Y913" s="34"/>
      <c r="Z913" s="34"/>
    </row>
    <row r="914" spans="1:26" ht="13">
      <c r="A914" s="34"/>
      <c r="B914" s="34"/>
      <c r="C914" s="34"/>
      <c r="D914" s="34"/>
      <c r="E914" s="34"/>
      <c r="F914" s="33"/>
      <c r="G914" s="34"/>
      <c r="H914" s="34"/>
      <c r="I914" s="33"/>
      <c r="J914" s="34"/>
      <c r="K914" s="34"/>
      <c r="L914" s="34"/>
      <c r="M914" s="34"/>
      <c r="N914" s="34"/>
      <c r="O914" s="34"/>
      <c r="P914" s="34"/>
      <c r="Q914" s="34"/>
      <c r="R914" s="34"/>
      <c r="S914" s="34"/>
      <c r="T914" s="34"/>
      <c r="U914" s="34"/>
      <c r="V914" s="34"/>
      <c r="W914" s="34"/>
      <c r="X914" s="34"/>
      <c r="Y914" s="34"/>
      <c r="Z914" s="34"/>
    </row>
    <row r="915" spans="1:26" ht="13">
      <c r="A915" s="34"/>
      <c r="B915" s="34"/>
      <c r="C915" s="34"/>
      <c r="D915" s="34"/>
      <c r="E915" s="34"/>
      <c r="F915" s="33"/>
      <c r="G915" s="34"/>
      <c r="H915" s="34"/>
      <c r="I915" s="33"/>
      <c r="J915" s="34"/>
      <c r="K915" s="34"/>
      <c r="L915" s="34"/>
      <c r="M915" s="34"/>
      <c r="N915" s="34"/>
      <c r="O915" s="34"/>
      <c r="P915" s="34"/>
      <c r="Q915" s="34"/>
      <c r="R915" s="34"/>
      <c r="S915" s="34"/>
      <c r="T915" s="34"/>
      <c r="U915" s="34"/>
      <c r="V915" s="34"/>
      <c r="W915" s="34"/>
      <c r="X915" s="34"/>
      <c r="Y915" s="34"/>
      <c r="Z915" s="34"/>
    </row>
    <row r="916" spans="1:26" ht="13">
      <c r="A916" s="34"/>
      <c r="B916" s="34"/>
      <c r="C916" s="34"/>
      <c r="D916" s="34"/>
      <c r="E916" s="34"/>
      <c r="F916" s="33"/>
      <c r="G916" s="34"/>
      <c r="H916" s="34"/>
      <c r="I916" s="33"/>
      <c r="J916" s="34"/>
      <c r="K916" s="34"/>
      <c r="L916" s="34"/>
      <c r="M916" s="34"/>
      <c r="N916" s="34"/>
      <c r="O916" s="34"/>
      <c r="P916" s="34"/>
      <c r="Q916" s="34"/>
      <c r="R916" s="34"/>
      <c r="S916" s="34"/>
      <c r="T916" s="34"/>
      <c r="U916" s="34"/>
      <c r="V916" s="34"/>
      <c r="W916" s="34"/>
      <c r="X916" s="34"/>
      <c r="Y916" s="34"/>
      <c r="Z916" s="34"/>
    </row>
    <row r="917" spans="1:26" ht="13">
      <c r="A917" s="34"/>
      <c r="B917" s="34"/>
      <c r="C917" s="34"/>
      <c r="D917" s="34"/>
      <c r="E917" s="34"/>
      <c r="F917" s="33"/>
      <c r="G917" s="34"/>
      <c r="H917" s="34"/>
      <c r="I917" s="33"/>
      <c r="J917" s="34"/>
      <c r="K917" s="34"/>
      <c r="L917" s="34"/>
      <c r="M917" s="34"/>
      <c r="N917" s="34"/>
      <c r="O917" s="34"/>
      <c r="P917" s="34"/>
      <c r="Q917" s="34"/>
      <c r="R917" s="34"/>
      <c r="S917" s="34"/>
      <c r="T917" s="34"/>
      <c r="U917" s="34"/>
      <c r="V917" s="34"/>
      <c r="W917" s="34"/>
      <c r="X917" s="34"/>
      <c r="Y917" s="34"/>
      <c r="Z917" s="34"/>
    </row>
    <row r="918" spans="1:26" ht="13">
      <c r="A918" s="34"/>
      <c r="B918" s="34"/>
      <c r="C918" s="34"/>
      <c r="D918" s="34"/>
      <c r="E918" s="34"/>
      <c r="F918" s="33"/>
      <c r="G918" s="34"/>
      <c r="H918" s="34"/>
      <c r="I918" s="33"/>
      <c r="J918" s="34"/>
      <c r="K918" s="34"/>
      <c r="L918" s="34"/>
      <c r="M918" s="34"/>
      <c r="N918" s="34"/>
      <c r="O918" s="34"/>
      <c r="P918" s="34"/>
      <c r="Q918" s="34"/>
      <c r="R918" s="34"/>
      <c r="S918" s="34"/>
      <c r="T918" s="34"/>
      <c r="U918" s="34"/>
      <c r="V918" s="34"/>
      <c r="W918" s="34"/>
      <c r="X918" s="34"/>
      <c r="Y918" s="34"/>
      <c r="Z918" s="34"/>
    </row>
    <row r="919" spans="1:26" ht="13">
      <c r="A919" s="34"/>
      <c r="B919" s="34"/>
      <c r="C919" s="34"/>
      <c r="D919" s="34"/>
      <c r="E919" s="34"/>
      <c r="F919" s="33"/>
      <c r="G919" s="34"/>
      <c r="H919" s="34"/>
      <c r="I919" s="33"/>
      <c r="J919" s="34"/>
      <c r="K919" s="34"/>
      <c r="L919" s="34"/>
      <c r="M919" s="34"/>
      <c r="N919" s="34"/>
      <c r="O919" s="34"/>
      <c r="P919" s="34"/>
      <c r="Q919" s="34"/>
      <c r="R919" s="34"/>
      <c r="S919" s="34"/>
      <c r="T919" s="34"/>
      <c r="U919" s="34"/>
      <c r="V919" s="34"/>
      <c r="W919" s="34"/>
      <c r="X919" s="34"/>
      <c r="Y919" s="34"/>
      <c r="Z919" s="34"/>
    </row>
    <row r="920" spans="1:26" ht="13">
      <c r="A920" s="34"/>
      <c r="B920" s="34"/>
      <c r="C920" s="34"/>
      <c r="D920" s="34"/>
      <c r="E920" s="34"/>
      <c r="F920" s="33"/>
      <c r="G920" s="34"/>
      <c r="H920" s="34"/>
      <c r="I920" s="33"/>
      <c r="J920" s="34"/>
      <c r="K920" s="34"/>
      <c r="L920" s="34"/>
      <c r="M920" s="34"/>
      <c r="N920" s="34"/>
      <c r="O920" s="34"/>
      <c r="P920" s="34"/>
      <c r="Q920" s="34"/>
      <c r="R920" s="34"/>
      <c r="S920" s="34"/>
      <c r="T920" s="34"/>
      <c r="U920" s="34"/>
      <c r="V920" s="34"/>
      <c r="W920" s="34"/>
      <c r="X920" s="34"/>
      <c r="Y920" s="34"/>
      <c r="Z920" s="34"/>
    </row>
    <row r="921" spans="1:26" ht="13">
      <c r="A921" s="34"/>
      <c r="B921" s="34"/>
      <c r="C921" s="34"/>
      <c r="D921" s="34"/>
      <c r="E921" s="34"/>
      <c r="F921" s="33"/>
      <c r="G921" s="34"/>
      <c r="H921" s="34"/>
      <c r="I921" s="33"/>
      <c r="J921" s="34"/>
      <c r="K921" s="34"/>
      <c r="L921" s="34"/>
      <c r="M921" s="34"/>
      <c r="N921" s="34"/>
      <c r="O921" s="34"/>
      <c r="P921" s="34"/>
      <c r="Q921" s="34"/>
      <c r="R921" s="34"/>
      <c r="S921" s="34"/>
      <c r="T921" s="34"/>
      <c r="U921" s="34"/>
      <c r="V921" s="34"/>
      <c r="W921" s="34"/>
      <c r="X921" s="34"/>
      <c r="Y921" s="34"/>
      <c r="Z921" s="34"/>
    </row>
    <row r="922" spans="1:26" ht="13">
      <c r="A922" s="34"/>
      <c r="B922" s="34"/>
      <c r="C922" s="34"/>
      <c r="D922" s="34"/>
      <c r="E922" s="34"/>
      <c r="F922" s="33"/>
      <c r="G922" s="34"/>
      <c r="H922" s="34"/>
      <c r="I922" s="33"/>
      <c r="J922" s="34"/>
      <c r="K922" s="34"/>
      <c r="L922" s="34"/>
      <c r="M922" s="34"/>
      <c r="N922" s="34"/>
      <c r="O922" s="34"/>
      <c r="P922" s="34"/>
      <c r="Q922" s="34"/>
      <c r="R922" s="34"/>
      <c r="S922" s="34"/>
      <c r="T922" s="34"/>
      <c r="U922" s="34"/>
      <c r="V922" s="34"/>
      <c r="W922" s="34"/>
      <c r="X922" s="34"/>
      <c r="Y922" s="34"/>
      <c r="Z922" s="34"/>
    </row>
    <row r="923" spans="1:26" ht="13">
      <c r="A923" s="34"/>
      <c r="B923" s="34"/>
      <c r="C923" s="34"/>
      <c r="D923" s="34"/>
      <c r="E923" s="34"/>
      <c r="F923" s="33"/>
      <c r="G923" s="34"/>
      <c r="H923" s="34"/>
      <c r="I923" s="33"/>
      <c r="J923" s="34"/>
      <c r="K923" s="34"/>
      <c r="L923" s="34"/>
      <c r="M923" s="34"/>
      <c r="N923" s="34"/>
      <c r="O923" s="34"/>
      <c r="P923" s="34"/>
      <c r="Q923" s="34"/>
      <c r="R923" s="34"/>
      <c r="S923" s="34"/>
      <c r="T923" s="34"/>
      <c r="U923" s="34"/>
      <c r="V923" s="34"/>
      <c r="W923" s="34"/>
      <c r="X923" s="34"/>
      <c r="Y923" s="34"/>
      <c r="Z923" s="34"/>
    </row>
    <row r="924" spans="1:26" ht="13">
      <c r="A924" s="34"/>
      <c r="B924" s="34"/>
      <c r="C924" s="34"/>
      <c r="D924" s="34"/>
      <c r="E924" s="34"/>
      <c r="F924" s="33"/>
      <c r="G924" s="34"/>
      <c r="H924" s="34"/>
      <c r="I924" s="33"/>
      <c r="J924" s="34"/>
      <c r="K924" s="34"/>
      <c r="L924" s="34"/>
      <c r="M924" s="34"/>
      <c r="N924" s="34"/>
      <c r="O924" s="34"/>
      <c r="P924" s="34"/>
      <c r="Q924" s="34"/>
      <c r="R924" s="34"/>
      <c r="S924" s="34"/>
      <c r="T924" s="34"/>
      <c r="U924" s="34"/>
      <c r="V924" s="34"/>
      <c r="W924" s="34"/>
      <c r="X924" s="34"/>
      <c r="Y924" s="34"/>
      <c r="Z924" s="34"/>
    </row>
    <row r="925" spans="1:26" ht="13">
      <c r="A925" s="34"/>
      <c r="B925" s="34"/>
      <c r="C925" s="34"/>
      <c r="D925" s="34"/>
      <c r="E925" s="34"/>
      <c r="F925" s="33"/>
      <c r="G925" s="34"/>
      <c r="H925" s="34"/>
      <c r="I925" s="33"/>
      <c r="J925" s="34"/>
      <c r="K925" s="34"/>
      <c r="L925" s="34"/>
      <c r="M925" s="34"/>
      <c r="N925" s="34"/>
      <c r="O925" s="34"/>
      <c r="P925" s="34"/>
      <c r="Q925" s="34"/>
      <c r="R925" s="34"/>
      <c r="S925" s="34"/>
      <c r="T925" s="34"/>
      <c r="U925" s="34"/>
      <c r="V925" s="34"/>
      <c r="W925" s="34"/>
      <c r="X925" s="34"/>
      <c r="Y925" s="34"/>
      <c r="Z925" s="34"/>
    </row>
    <row r="926" spans="1:26" ht="13">
      <c r="A926" s="34"/>
      <c r="B926" s="34"/>
      <c r="C926" s="34"/>
      <c r="D926" s="34"/>
      <c r="E926" s="34"/>
      <c r="F926" s="33"/>
      <c r="G926" s="34"/>
      <c r="H926" s="34"/>
      <c r="I926" s="33"/>
      <c r="J926" s="34"/>
      <c r="K926" s="34"/>
      <c r="L926" s="34"/>
      <c r="M926" s="34"/>
      <c r="N926" s="34"/>
      <c r="O926" s="34"/>
      <c r="P926" s="34"/>
      <c r="Q926" s="34"/>
      <c r="R926" s="34"/>
      <c r="S926" s="34"/>
      <c r="T926" s="34"/>
      <c r="U926" s="34"/>
      <c r="V926" s="34"/>
      <c r="W926" s="34"/>
      <c r="X926" s="34"/>
      <c r="Y926" s="34"/>
      <c r="Z926" s="34"/>
    </row>
    <row r="927" spans="1:26" ht="13">
      <c r="A927" s="34"/>
      <c r="B927" s="34"/>
      <c r="C927" s="34"/>
      <c r="D927" s="34"/>
      <c r="E927" s="34"/>
      <c r="F927" s="33"/>
      <c r="G927" s="34"/>
      <c r="H927" s="34"/>
      <c r="I927" s="33"/>
      <c r="J927" s="34"/>
      <c r="K927" s="34"/>
      <c r="L927" s="34"/>
      <c r="M927" s="34"/>
      <c r="N927" s="34"/>
      <c r="O927" s="34"/>
      <c r="P927" s="34"/>
      <c r="Q927" s="34"/>
      <c r="R927" s="34"/>
      <c r="S927" s="34"/>
      <c r="T927" s="34"/>
      <c r="U927" s="34"/>
      <c r="V927" s="34"/>
      <c r="W927" s="34"/>
      <c r="X927" s="34"/>
      <c r="Y927" s="34"/>
      <c r="Z927" s="34"/>
    </row>
    <row r="928" spans="1:26" ht="13">
      <c r="A928" s="34"/>
      <c r="B928" s="34"/>
      <c r="C928" s="34"/>
      <c r="D928" s="34"/>
      <c r="E928" s="34"/>
      <c r="F928" s="33"/>
      <c r="G928" s="34"/>
      <c r="H928" s="34"/>
      <c r="I928" s="33"/>
      <c r="J928" s="34"/>
      <c r="K928" s="34"/>
      <c r="L928" s="34"/>
      <c r="M928" s="34"/>
      <c r="N928" s="34"/>
      <c r="O928" s="34"/>
      <c r="P928" s="34"/>
      <c r="Q928" s="34"/>
      <c r="R928" s="34"/>
      <c r="S928" s="34"/>
      <c r="T928" s="34"/>
      <c r="U928" s="34"/>
      <c r="V928" s="34"/>
      <c r="W928" s="34"/>
      <c r="X928" s="34"/>
      <c r="Y928" s="34"/>
      <c r="Z928" s="34"/>
    </row>
    <row r="929" spans="1:26" ht="13">
      <c r="A929" s="34"/>
      <c r="B929" s="34"/>
      <c r="C929" s="34"/>
      <c r="D929" s="34"/>
      <c r="E929" s="34"/>
      <c r="F929" s="33"/>
      <c r="G929" s="34"/>
      <c r="H929" s="34"/>
      <c r="I929" s="33"/>
      <c r="J929" s="34"/>
      <c r="K929" s="34"/>
      <c r="L929" s="34"/>
      <c r="M929" s="34"/>
      <c r="N929" s="34"/>
      <c r="O929" s="34"/>
      <c r="P929" s="34"/>
      <c r="Q929" s="34"/>
      <c r="R929" s="34"/>
      <c r="S929" s="34"/>
      <c r="T929" s="34"/>
      <c r="U929" s="34"/>
      <c r="V929" s="34"/>
      <c r="W929" s="34"/>
      <c r="X929" s="34"/>
      <c r="Y929" s="34"/>
      <c r="Z929" s="34"/>
    </row>
    <row r="930" spans="1:26" ht="13">
      <c r="A930" s="34"/>
      <c r="B930" s="34"/>
      <c r="C930" s="34"/>
      <c r="D930" s="34"/>
      <c r="E930" s="34"/>
      <c r="F930" s="33"/>
      <c r="G930" s="34"/>
      <c r="H930" s="34"/>
      <c r="I930" s="33"/>
      <c r="J930" s="34"/>
      <c r="K930" s="34"/>
      <c r="L930" s="34"/>
      <c r="M930" s="34"/>
      <c r="N930" s="34"/>
      <c r="O930" s="34"/>
      <c r="P930" s="34"/>
      <c r="Q930" s="34"/>
      <c r="R930" s="34"/>
      <c r="S930" s="34"/>
      <c r="T930" s="34"/>
      <c r="U930" s="34"/>
      <c r="V930" s="34"/>
      <c r="W930" s="34"/>
      <c r="X930" s="34"/>
      <c r="Y930" s="34"/>
      <c r="Z930" s="34"/>
    </row>
    <row r="931" spans="1:26" ht="13">
      <c r="A931" s="34"/>
      <c r="B931" s="34"/>
      <c r="C931" s="34"/>
      <c r="D931" s="34"/>
      <c r="E931" s="34"/>
      <c r="F931" s="33"/>
      <c r="G931" s="34"/>
      <c r="H931" s="34"/>
      <c r="I931" s="33"/>
      <c r="J931" s="34"/>
      <c r="K931" s="34"/>
      <c r="L931" s="34"/>
      <c r="M931" s="34"/>
      <c r="N931" s="34"/>
      <c r="O931" s="34"/>
      <c r="P931" s="34"/>
      <c r="Q931" s="34"/>
      <c r="R931" s="34"/>
      <c r="S931" s="34"/>
      <c r="T931" s="34"/>
      <c r="U931" s="34"/>
      <c r="V931" s="34"/>
      <c r="W931" s="34"/>
      <c r="X931" s="34"/>
      <c r="Y931" s="34"/>
      <c r="Z931" s="34"/>
    </row>
    <row r="932" spans="1:26" ht="13">
      <c r="A932" s="34"/>
      <c r="B932" s="34"/>
      <c r="C932" s="34"/>
      <c r="D932" s="34"/>
      <c r="E932" s="34"/>
      <c r="F932" s="33"/>
      <c r="G932" s="34"/>
      <c r="H932" s="34"/>
      <c r="I932" s="33"/>
      <c r="J932" s="34"/>
      <c r="K932" s="34"/>
      <c r="L932" s="34"/>
      <c r="M932" s="34"/>
      <c r="N932" s="34"/>
      <c r="O932" s="34"/>
      <c r="P932" s="34"/>
      <c r="Q932" s="34"/>
      <c r="R932" s="34"/>
      <c r="S932" s="34"/>
      <c r="T932" s="34"/>
      <c r="U932" s="34"/>
      <c r="V932" s="34"/>
      <c r="W932" s="34"/>
      <c r="X932" s="34"/>
      <c r="Y932" s="34"/>
      <c r="Z932" s="34"/>
    </row>
    <row r="933" spans="1:26" ht="13">
      <c r="A933" s="34"/>
      <c r="B933" s="34"/>
      <c r="C933" s="34"/>
      <c r="D933" s="34"/>
      <c r="E933" s="34"/>
      <c r="F933" s="33"/>
      <c r="G933" s="34"/>
      <c r="H933" s="34"/>
      <c r="I933" s="33"/>
      <c r="J933" s="34"/>
      <c r="K933" s="34"/>
      <c r="L933" s="34"/>
      <c r="M933" s="34"/>
      <c r="N933" s="34"/>
      <c r="O933" s="34"/>
      <c r="P933" s="34"/>
      <c r="Q933" s="34"/>
      <c r="R933" s="34"/>
      <c r="S933" s="34"/>
      <c r="T933" s="34"/>
      <c r="U933" s="34"/>
      <c r="V933" s="34"/>
      <c r="W933" s="34"/>
      <c r="X933" s="34"/>
      <c r="Y933" s="34"/>
      <c r="Z933" s="34"/>
    </row>
    <row r="934" spans="1:26" ht="13">
      <c r="A934" s="34"/>
      <c r="B934" s="34"/>
      <c r="C934" s="34"/>
      <c r="D934" s="34"/>
      <c r="E934" s="34"/>
      <c r="F934" s="33"/>
      <c r="G934" s="34"/>
      <c r="H934" s="34"/>
      <c r="I934" s="33"/>
      <c r="J934" s="34"/>
      <c r="K934" s="34"/>
      <c r="L934" s="34"/>
      <c r="M934" s="34"/>
      <c r="N934" s="34"/>
      <c r="O934" s="34"/>
      <c r="P934" s="34"/>
      <c r="Q934" s="34"/>
      <c r="R934" s="34"/>
      <c r="S934" s="34"/>
      <c r="T934" s="34"/>
      <c r="U934" s="34"/>
      <c r="V934" s="34"/>
      <c r="W934" s="34"/>
      <c r="X934" s="34"/>
      <c r="Y934" s="34"/>
      <c r="Z934" s="34"/>
    </row>
    <row r="935" spans="1:26" ht="13">
      <c r="A935" s="34"/>
      <c r="B935" s="34"/>
      <c r="C935" s="34"/>
      <c r="D935" s="34"/>
      <c r="E935" s="34"/>
      <c r="F935" s="33"/>
      <c r="G935" s="34"/>
      <c r="H935" s="34"/>
      <c r="I935" s="33"/>
      <c r="J935" s="34"/>
      <c r="K935" s="34"/>
      <c r="L935" s="34"/>
      <c r="M935" s="34"/>
      <c r="N935" s="34"/>
      <c r="O935" s="34"/>
      <c r="P935" s="34"/>
      <c r="Q935" s="34"/>
      <c r="R935" s="34"/>
      <c r="S935" s="34"/>
      <c r="T935" s="34"/>
      <c r="U935" s="34"/>
      <c r="V935" s="34"/>
      <c r="W935" s="34"/>
      <c r="X935" s="34"/>
      <c r="Y935" s="34"/>
      <c r="Z935" s="34"/>
    </row>
    <row r="936" spans="1:26" ht="13">
      <c r="A936" s="34"/>
      <c r="B936" s="34"/>
      <c r="C936" s="34"/>
      <c r="D936" s="34"/>
      <c r="E936" s="34"/>
      <c r="F936" s="33"/>
      <c r="G936" s="34"/>
      <c r="H936" s="34"/>
      <c r="I936" s="33"/>
      <c r="J936" s="34"/>
      <c r="K936" s="34"/>
      <c r="L936" s="34"/>
      <c r="M936" s="34"/>
      <c r="N936" s="34"/>
      <c r="O936" s="34"/>
      <c r="P936" s="34"/>
      <c r="Q936" s="34"/>
      <c r="R936" s="34"/>
      <c r="S936" s="34"/>
      <c r="T936" s="34"/>
      <c r="U936" s="34"/>
      <c r="V936" s="34"/>
      <c r="W936" s="34"/>
      <c r="X936" s="34"/>
      <c r="Y936" s="34"/>
      <c r="Z936" s="34"/>
    </row>
    <row r="937" spans="1:26" ht="13">
      <c r="A937" s="34"/>
      <c r="B937" s="34"/>
      <c r="C937" s="34"/>
      <c r="D937" s="34"/>
      <c r="E937" s="34"/>
      <c r="F937" s="33"/>
      <c r="G937" s="34"/>
      <c r="H937" s="34"/>
      <c r="I937" s="33"/>
      <c r="J937" s="34"/>
      <c r="K937" s="34"/>
      <c r="L937" s="34"/>
      <c r="M937" s="34"/>
      <c r="N937" s="34"/>
      <c r="O937" s="34"/>
      <c r="P937" s="34"/>
      <c r="Q937" s="34"/>
      <c r="R937" s="34"/>
      <c r="S937" s="34"/>
      <c r="T937" s="34"/>
      <c r="U937" s="34"/>
      <c r="V937" s="34"/>
      <c r="W937" s="34"/>
      <c r="X937" s="34"/>
      <c r="Y937" s="34"/>
      <c r="Z937" s="34"/>
    </row>
    <row r="938" spans="1:26" ht="13">
      <c r="A938" s="34"/>
      <c r="B938" s="34"/>
      <c r="C938" s="34"/>
      <c r="D938" s="34"/>
      <c r="E938" s="34"/>
      <c r="F938" s="33"/>
      <c r="G938" s="34"/>
      <c r="H938" s="34"/>
      <c r="I938" s="33"/>
      <c r="J938" s="34"/>
      <c r="K938" s="34"/>
      <c r="L938" s="34"/>
      <c r="M938" s="34"/>
      <c r="N938" s="34"/>
      <c r="O938" s="34"/>
      <c r="P938" s="34"/>
      <c r="Q938" s="34"/>
      <c r="R938" s="34"/>
      <c r="S938" s="34"/>
      <c r="T938" s="34"/>
      <c r="U938" s="34"/>
      <c r="V938" s="34"/>
      <c r="W938" s="34"/>
      <c r="X938" s="34"/>
      <c r="Y938" s="34"/>
      <c r="Z938" s="34"/>
    </row>
    <row r="939" spans="1:26" ht="13">
      <c r="A939" s="34"/>
      <c r="B939" s="34"/>
      <c r="C939" s="34"/>
      <c r="D939" s="34"/>
      <c r="E939" s="34"/>
      <c r="F939" s="33"/>
      <c r="G939" s="34"/>
      <c r="H939" s="34"/>
      <c r="I939" s="33"/>
      <c r="J939" s="34"/>
      <c r="K939" s="34"/>
      <c r="L939" s="34"/>
      <c r="M939" s="34"/>
      <c r="N939" s="34"/>
      <c r="O939" s="34"/>
      <c r="P939" s="34"/>
      <c r="Q939" s="34"/>
      <c r="R939" s="34"/>
      <c r="S939" s="34"/>
      <c r="T939" s="34"/>
      <c r="U939" s="34"/>
      <c r="V939" s="34"/>
      <c r="W939" s="34"/>
      <c r="X939" s="34"/>
      <c r="Y939" s="34"/>
      <c r="Z939" s="34"/>
    </row>
    <row r="940" spans="1:26" ht="13">
      <c r="A940" s="34"/>
      <c r="B940" s="34"/>
      <c r="C940" s="34"/>
      <c r="D940" s="34"/>
      <c r="E940" s="34"/>
      <c r="F940" s="33"/>
      <c r="G940" s="34"/>
      <c r="H940" s="34"/>
      <c r="I940" s="33"/>
      <c r="J940" s="34"/>
      <c r="K940" s="34"/>
      <c r="L940" s="34"/>
      <c r="M940" s="34"/>
      <c r="N940" s="34"/>
      <c r="O940" s="34"/>
      <c r="P940" s="34"/>
      <c r="Q940" s="34"/>
      <c r="R940" s="34"/>
      <c r="S940" s="34"/>
      <c r="T940" s="34"/>
      <c r="U940" s="34"/>
      <c r="V940" s="34"/>
      <c r="W940" s="34"/>
      <c r="X940" s="34"/>
      <c r="Y940" s="34"/>
      <c r="Z940" s="34"/>
    </row>
    <row r="941" spans="1:26" ht="13">
      <c r="A941" s="34"/>
      <c r="B941" s="34"/>
      <c r="C941" s="34"/>
      <c r="D941" s="34"/>
      <c r="E941" s="34"/>
      <c r="F941" s="33"/>
      <c r="G941" s="34"/>
      <c r="H941" s="34"/>
      <c r="I941" s="33"/>
      <c r="J941" s="34"/>
      <c r="K941" s="34"/>
      <c r="L941" s="34"/>
      <c r="M941" s="34"/>
      <c r="N941" s="34"/>
      <c r="O941" s="34"/>
      <c r="P941" s="34"/>
      <c r="Q941" s="34"/>
      <c r="R941" s="34"/>
      <c r="S941" s="34"/>
      <c r="T941" s="34"/>
      <c r="U941" s="34"/>
      <c r="V941" s="34"/>
      <c r="W941" s="34"/>
      <c r="X941" s="34"/>
      <c r="Y941" s="34"/>
      <c r="Z941" s="34"/>
    </row>
    <row r="942" spans="1:26" ht="13">
      <c r="A942" s="34"/>
      <c r="B942" s="34"/>
      <c r="C942" s="34"/>
      <c r="D942" s="34"/>
      <c r="E942" s="34"/>
      <c r="F942" s="33"/>
      <c r="G942" s="34"/>
      <c r="H942" s="34"/>
      <c r="I942" s="33"/>
      <c r="J942" s="34"/>
      <c r="K942" s="34"/>
      <c r="L942" s="34"/>
      <c r="M942" s="34"/>
      <c r="N942" s="34"/>
      <c r="O942" s="34"/>
      <c r="P942" s="34"/>
      <c r="Q942" s="34"/>
      <c r="R942" s="34"/>
      <c r="S942" s="34"/>
      <c r="T942" s="34"/>
      <c r="U942" s="34"/>
      <c r="V942" s="34"/>
      <c r="W942" s="34"/>
      <c r="X942" s="34"/>
      <c r="Y942" s="34"/>
      <c r="Z942" s="34"/>
    </row>
    <row r="943" spans="1:26" ht="13">
      <c r="A943" s="34"/>
      <c r="B943" s="34"/>
      <c r="C943" s="34"/>
      <c r="D943" s="34"/>
      <c r="E943" s="34"/>
      <c r="F943" s="33"/>
      <c r="G943" s="34"/>
      <c r="H943" s="34"/>
      <c r="I943" s="33"/>
      <c r="J943" s="34"/>
      <c r="K943" s="34"/>
      <c r="L943" s="34"/>
      <c r="M943" s="34"/>
      <c r="N943" s="34"/>
      <c r="O943" s="34"/>
      <c r="P943" s="34"/>
      <c r="Q943" s="34"/>
      <c r="R943" s="34"/>
      <c r="S943" s="34"/>
      <c r="T943" s="34"/>
      <c r="U943" s="34"/>
      <c r="V943" s="34"/>
      <c r="W943" s="34"/>
      <c r="X943" s="34"/>
      <c r="Y943" s="34"/>
      <c r="Z943" s="34"/>
    </row>
    <row r="944" spans="1:26" ht="13">
      <c r="A944" s="34"/>
      <c r="B944" s="34"/>
      <c r="C944" s="34"/>
      <c r="D944" s="34"/>
      <c r="E944" s="34"/>
      <c r="F944" s="33"/>
      <c r="G944" s="34"/>
      <c r="H944" s="34"/>
      <c r="I944" s="33"/>
      <c r="J944" s="34"/>
      <c r="K944" s="34"/>
      <c r="L944" s="34"/>
      <c r="M944" s="34"/>
      <c r="N944" s="34"/>
      <c r="O944" s="34"/>
      <c r="P944" s="34"/>
      <c r="Q944" s="34"/>
      <c r="R944" s="34"/>
      <c r="S944" s="34"/>
      <c r="T944" s="34"/>
      <c r="U944" s="34"/>
      <c r="V944" s="34"/>
      <c r="W944" s="34"/>
      <c r="X944" s="34"/>
      <c r="Y944" s="34"/>
      <c r="Z944" s="34"/>
    </row>
    <row r="945" spans="1:26" ht="13">
      <c r="A945" s="34"/>
      <c r="B945" s="34"/>
      <c r="C945" s="34"/>
      <c r="D945" s="34"/>
      <c r="E945" s="34"/>
      <c r="F945" s="33"/>
      <c r="G945" s="34"/>
      <c r="H945" s="34"/>
      <c r="I945" s="33"/>
      <c r="J945" s="34"/>
      <c r="K945" s="34"/>
      <c r="L945" s="34"/>
      <c r="M945" s="34"/>
      <c r="N945" s="34"/>
      <c r="O945" s="34"/>
      <c r="P945" s="34"/>
      <c r="Q945" s="34"/>
      <c r="R945" s="34"/>
      <c r="S945" s="34"/>
      <c r="T945" s="34"/>
      <c r="U945" s="34"/>
      <c r="V945" s="34"/>
      <c r="W945" s="34"/>
      <c r="X945" s="34"/>
      <c r="Y945" s="34"/>
      <c r="Z945" s="34"/>
    </row>
    <row r="946" spans="1:26" ht="13">
      <c r="A946" s="34"/>
      <c r="B946" s="34"/>
      <c r="C946" s="34"/>
      <c r="D946" s="34"/>
      <c r="E946" s="34"/>
      <c r="F946" s="33"/>
      <c r="G946" s="34"/>
      <c r="H946" s="34"/>
      <c r="I946" s="33"/>
      <c r="J946" s="34"/>
      <c r="K946" s="34"/>
      <c r="L946" s="34"/>
      <c r="M946" s="34"/>
      <c r="N946" s="34"/>
      <c r="O946" s="34"/>
      <c r="P946" s="34"/>
      <c r="Q946" s="34"/>
      <c r="R946" s="34"/>
      <c r="S946" s="34"/>
      <c r="T946" s="34"/>
      <c r="U946" s="34"/>
      <c r="V946" s="34"/>
      <c r="W946" s="34"/>
      <c r="X946" s="34"/>
      <c r="Y946" s="34"/>
      <c r="Z946" s="34"/>
    </row>
    <row r="947" spans="1:26" ht="13">
      <c r="A947" s="34"/>
      <c r="B947" s="34"/>
      <c r="C947" s="34"/>
      <c r="D947" s="34"/>
      <c r="E947" s="34"/>
      <c r="F947" s="33"/>
      <c r="G947" s="34"/>
      <c r="H947" s="34"/>
      <c r="I947" s="33"/>
      <c r="J947" s="34"/>
      <c r="K947" s="34"/>
      <c r="L947" s="34"/>
      <c r="M947" s="34"/>
      <c r="N947" s="34"/>
      <c r="O947" s="34"/>
      <c r="P947" s="34"/>
      <c r="Q947" s="34"/>
      <c r="R947" s="34"/>
      <c r="S947" s="34"/>
      <c r="T947" s="34"/>
      <c r="U947" s="34"/>
      <c r="V947" s="34"/>
      <c r="W947" s="34"/>
      <c r="X947" s="34"/>
      <c r="Y947" s="34"/>
      <c r="Z947" s="34"/>
    </row>
    <row r="948" spans="1:26" ht="13">
      <c r="A948" s="34"/>
      <c r="B948" s="34"/>
      <c r="C948" s="34"/>
      <c r="D948" s="34"/>
      <c r="E948" s="34"/>
      <c r="F948" s="33"/>
      <c r="G948" s="34"/>
      <c r="H948" s="34"/>
      <c r="I948" s="33"/>
      <c r="J948" s="34"/>
      <c r="K948" s="34"/>
      <c r="L948" s="34"/>
      <c r="M948" s="34"/>
      <c r="N948" s="34"/>
      <c r="O948" s="34"/>
      <c r="P948" s="34"/>
      <c r="Q948" s="34"/>
      <c r="R948" s="34"/>
      <c r="S948" s="34"/>
      <c r="T948" s="34"/>
      <c r="U948" s="34"/>
      <c r="V948" s="34"/>
      <c r="W948" s="34"/>
      <c r="X948" s="34"/>
      <c r="Y948" s="34"/>
      <c r="Z948" s="34"/>
    </row>
    <row r="949" spans="1:26" ht="13">
      <c r="A949" s="34"/>
      <c r="B949" s="34"/>
      <c r="C949" s="34"/>
      <c r="D949" s="34"/>
      <c r="E949" s="34"/>
      <c r="F949" s="33"/>
      <c r="G949" s="34"/>
      <c r="H949" s="34"/>
      <c r="I949" s="33"/>
      <c r="J949" s="34"/>
      <c r="K949" s="34"/>
      <c r="L949" s="34"/>
      <c r="M949" s="34"/>
      <c r="N949" s="34"/>
      <c r="O949" s="34"/>
      <c r="P949" s="34"/>
      <c r="Q949" s="34"/>
      <c r="R949" s="34"/>
      <c r="S949" s="34"/>
      <c r="T949" s="34"/>
      <c r="U949" s="34"/>
      <c r="V949" s="34"/>
      <c r="W949" s="34"/>
      <c r="X949" s="34"/>
      <c r="Y949" s="34"/>
      <c r="Z949" s="34"/>
    </row>
    <row r="950" spans="1:26" ht="13">
      <c r="A950" s="34"/>
      <c r="B950" s="34"/>
      <c r="C950" s="34"/>
      <c r="D950" s="34"/>
      <c r="E950" s="34"/>
      <c r="F950" s="33"/>
      <c r="G950" s="34"/>
      <c r="H950" s="34"/>
      <c r="I950" s="33"/>
      <c r="J950" s="34"/>
      <c r="K950" s="34"/>
      <c r="L950" s="34"/>
      <c r="M950" s="34"/>
      <c r="N950" s="34"/>
      <c r="O950" s="34"/>
      <c r="P950" s="34"/>
      <c r="Q950" s="34"/>
      <c r="R950" s="34"/>
      <c r="S950" s="34"/>
      <c r="T950" s="34"/>
      <c r="U950" s="34"/>
      <c r="V950" s="34"/>
      <c r="W950" s="34"/>
      <c r="X950" s="34"/>
      <c r="Y950" s="34"/>
      <c r="Z950" s="34"/>
    </row>
    <row r="951" spans="1:26" ht="13">
      <c r="A951" s="34"/>
      <c r="B951" s="34"/>
      <c r="C951" s="34"/>
      <c r="D951" s="34"/>
      <c r="E951" s="34"/>
      <c r="F951" s="33"/>
      <c r="G951" s="34"/>
      <c r="H951" s="34"/>
      <c r="I951" s="33"/>
      <c r="J951" s="34"/>
      <c r="K951" s="34"/>
      <c r="L951" s="34"/>
      <c r="M951" s="34"/>
      <c r="N951" s="34"/>
      <c r="O951" s="34"/>
      <c r="P951" s="34"/>
      <c r="Q951" s="34"/>
      <c r="R951" s="34"/>
      <c r="S951" s="34"/>
      <c r="T951" s="34"/>
      <c r="U951" s="34"/>
      <c r="V951" s="34"/>
      <c r="W951" s="34"/>
      <c r="X951" s="34"/>
      <c r="Y951" s="34"/>
      <c r="Z951" s="34"/>
    </row>
    <row r="952" spans="1:26" ht="13">
      <c r="A952" s="34"/>
      <c r="B952" s="34"/>
      <c r="C952" s="34"/>
      <c r="D952" s="34"/>
      <c r="E952" s="34"/>
      <c r="F952" s="33"/>
      <c r="G952" s="34"/>
      <c r="H952" s="34"/>
      <c r="I952" s="33"/>
      <c r="J952" s="34"/>
      <c r="K952" s="34"/>
      <c r="L952" s="34"/>
      <c r="M952" s="34"/>
      <c r="N952" s="34"/>
      <c r="O952" s="34"/>
      <c r="P952" s="34"/>
      <c r="Q952" s="34"/>
      <c r="R952" s="34"/>
      <c r="S952" s="34"/>
      <c r="T952" s="34"/>
      <c r="U952" s="34"/>
      <c r="V952" s="34"/>
      <c r="W952" s="34"/>
      <c r="X952" s="34"/>
      <c r="Y952" s="34"/>
      <c r="Z952" s="34"/>
    </row>
    <row r="953" spans="1:26" ht="13">
      <c r="A953" s="34"/>
      <c r="B953" s="34"/>
      <c r="C953" s="34"/>
      <c r="D953" s="34"/>
      <c r="E953" s="34"/>
      <c r="F953" s="33"/>
      <c r="G953" s="34"/>
      <c r="H953" s="34"/>
      <c r="I953" s="33"/>
      <c r="J953" s="34"/>
      <c r="K953" s="34"/>
      <c r="L953" s="34"/>
      <c r="M953" s="34"/>
      <c r="N953" s="34"/>
      <c r="O953" s="34"/>
      <c r="P953" s="34"/>
      <c r="Q953" s="34"/>
      <c r="R953" s="34"/>
      <c r="S953" s="34"/>
      <c r="T953" s="34"/>
      <c r="U953" s="34"/>
      <c r="V953" s="34"/>
      <c r="W953" s="34"/>
      <c r="X953" s="34"/>
      <c r="Y953" s="34"/>
      <c r="Z953" s="34"/>
    </row>
    <row r="954" spans="1:26" ht="13">
      <c r="A954" s="34"/>
      <c r="B954" s="34"/>
      <c r="C954" s="34"/>
      <c r="D954" s="34"/>
      <c r="E954" s="34"/>
      <c r="F954" s="33"/>
      <c r="G954" s="34"/>
      <c r="H954" s="34"/>
      <c r="I954" s="33"/>
      <c r="J954" s="34"/>
      <c r="K954" s="34"/>
      <c r="L954" s="34"/>
      <c r="M954" s="34"/>
      <c r="N954" s="34"/>
      <c r="O954" s="34"/>
      <c r="P954" s="34"/>
      <c r="Q954" s="34"/>
      <c r="R954" s="34"/>
      <c r="S954" s="34"/>
      <c r="T954" s="34"/>
      <c r="U954" s="34"/>
      <c r="V954" s="34"/>
      <c r="W954" s="34"/>
      <c r="X954" s="34"/>
      <c r="Y954" s="34"/>
      <c r="Z954" s="34"/>
    </row>
    <row r="955" spans="1:26" ht="13">
      <c r="A955" s="34"/>
      <c r="B955" s="34"/>
      <c r="C955" s="34"/>
      <c r="D955" s="34"/>
      <c r="E955" s="34"/>
      <c r="F955" s="33"/>
      <c r="G955" s="34"/>
      <c r="H955" s="34"/>
      <c r="I955" s="33"/>
      <c r="J955" s="34"/>
      <c r="K955" s="34"/>
      <c r="L955" s="34"/>
      <c r="M955" s="34"/>
      <c r="N955" s="34"/>
      <c r="O955" s="34"/>
      <c r="P955" s="34"/>
      <c r="Q955" s="34"/>
      <c r="R955" s="34"/>
      <c r="S955" s="34"/>
      <c r="T955" s="34"/>
      <c r="U955" s="34"/>
      <c r="V955" s="34"/>
      <c r="W955" s="34"/>
      <c r="X955" s="34"/>
      <c r="Y955" s="34"/>
      <c r="Z955" s="34"/>
    </row>
    <row r="956" spans="1:26" ht="13">
      <c r="A956" s="34"/>
      <c r="B956" s="34"/>
      <c r="C956" s="34"/>
      <c r="D956" s="34"/>
      <c r="E956" s="34"/>
      <c r="F956" s="33"/>
      <c r="G956" s="34"/>
      <c r="H956" s="34"/>
      <c r="I956" s="33"/>
      <c r="J956" s="34"/>
      <c r="K956" s="34"/>
      <c r="L956" s="34"/>
      <c r="M956" s="34"/>
      <c r="N956" s="34"/>
      <c r="O956" s="34"/>
      <c r="P956" s="34"/>
      <c r="Q956" s="34"/>
      <c r="R956" s="34"/>
      <c r="S956" s="34"/>
      <c r="T956" s="34"/>
      <c r="U956" s="34"/>
      <c r="V956" s="34"/>
      <c r="W956" s="34"/>
      <c r="X956" s="34"/>
      <c r="Y956" s="34"/>
      <c r="Z956" s="34"/>
    </row>
    <row r="957" spans="1:26" ht="13">
      <c r="A957" s="34"/>
      <c r="B957" s="34"/>
      <c r="C957" s="34"/>
      <c r="D957" s="34"/>
      <c r="E957" s="34"/>
      <c r="F957" s="33"/>
      <c r="G957" s="34"/>
      <c r="H957" s="34"/>
      <c r="I957" s="33"/>
      <c r="J957" s="34"/>
      <c r="K957" s="34"/>
      <c r="L957" s="34"/>
      <c r="M957" s="34"/>
      <c r="N957" s="34"/>
      <c r="O957" s="34"/>
      <c r="P957" s="34"/>
      <c r="Q957" s="34"/>
      <c r="R957" s="34"/>
      <c r="S957" s="34"/>
      <c r="T957" s="34"/>
      <c r="U957" s="34"/>
      <c r="V957" s="34"/>
      <c r="W957" s="34"/>
      <c r="X957" s="34"/>
      <c r="Y957" s="34"/>
      <c r="Z957" s="34"/>
    </row>
    <row r="958" spans="1:26" ht="13">
      <c r="A958" s="34"/>
      <c r="B958" s="34"/>
      <c r="C958" s="34"/>
      <c r="D958" s="34"/>
      <c r="E958" s="34"/>
      <c r="F958" s="33"/>
      <c r="G958" s="34"/>
      <c r="H958" s="34"/>
      <c r="I958" s="33"/>
      <c r="J958" s="34"/>
      <c r="K958" s="34"/>
      <c r="L958" s="34"/>
      <c r="M958" s="34"/>
      <c r="N958" s="34"/>
      <c r="O958" s="34"/>
      <c r="P958" s="34"/>
      <c r="Q958" s="34"/>
      <c r="R958" s="34"/>
      <c r="S958" s="34"/>
      <c r="T958" s="34"/>
      <c r="U958" s="34"/>
      <c r="V958" s="34"/>
      <c r="W958" s="34"/>
      <c r="X958" s="34"/>
      <c r="Y958" s="34"/>
      <c r="Z958" s="34"/>
    </row>
    <row r="959" spans="1:26" ht="13">
      <c r="A959" s="34"/>
      <c r="B959" s="34"/>
      <c r="C959" s="34"/>
      <c r="D959" s="34"/>
      <c r="E959" s="34"/>
      <c r="F959" s="33"/>
      <c r="G959" s="34"/>
      <c r="H959" s="34"/>
      <c r="I959" s="33"/>
      <c r="J959" s="34"/>
      <c r="K959" s="34"/>
      <c r="L959" s="34"/>
      <c r="M959" s="34"/>
      <c r="N959" s="34"/>
      <c r="O959" s="34"/>
      <c r="P959" s="34"/>
      <c r="Q959" s="34"/>
      <c r="R959" s="34"/>
      <c r="S959" s="34"/>
      <c r="T959" s="34"/>
      <c r="U959" s="34"/>
      <c r="V959" s="34"/>
      <c r="W959" s="34"/>
      <c r="X959" s="34"/>
      <c r="Y959" s="34"/>
      <c r="Z959" s="34"/>
    </row>
    <row r="960" spans="1:26" ht="13">
      <c r="A960" s="34"/>
      <c r="B960" s="34"/>
      <c r="C960" s="34"/>
      <c r="D960" s="34"/>
      <c r="E960" s="34"/>
      <c r="F960" s="33"/>
      <c r="G960" s="34"/>
      <c r="H960" s="34"/>
      <c r="I960" s="33"/>
      <c r="J960" s="34"/>
      <c r="K960" s="34"/>
      <c r="L960" s="34"/>
      <c r="M960" s="34"/>
      <c r="N960" s="34"/>
      <c r="O960" s="34"/>
      <c r="P960" s="34"/>
      <c r="Q960" s="34"/>
      <c r="R960" s="34"/>
      <c r="S960" s="34"/>
      <c r="T960" s="34"/>
      <c r="U960" s="34"/>
      <c r="V960" s="34"/>
      <c r="W960" s="34"/>
      <c r="X960" s="34"/>
      <c r="Y960" s="34"/>
      <c r="Z960" s="34"/>
    </row>
    <row r="961" spans="1:26" ht="13">
      <c r="A961" s="34"/>
      <c r="B961" s="34"/>
      <c r="C961" s="34"/>
      <c r="D961" s="34"/>
      <c r="E961" s="34"/>
      <c r="F961" s="33"/>
      <c r="G961" s="34"/>
      <c r="H961" s="34"/>
      <c r="I961" s="33"/>
      <c r="J961" s="34"/>
      <c r="K961" s="34"/>
      <c r="L961" s="34"/>
      <c r="M961" s="34"/>
      <c r="N961" s="34"/>
      <c r="O961" s="34"/>
      <c r="P961" s="34"/>
      <c r="Q961" s="34"/>
      <c r="R961" s="34"/>
      <c r="S961" s="34"/>
      <c r="T961" s="34"/>
      <c r="U961" s="34"/>
      <c r="V961" s="34"/>
      <c r="W961" s="34"/>
      <c r="X961" s="34"/>
      <c r="Y961" s="34"/>
      <c r="Z961" s="34"/>
    </row>
    <row r="962" spans="1:26" ht="13">
      <c r="A962" s="34"/>
      <c r="B962" s="34"/>
      <c r="C962" s="34"/>
      <c r="D962" s="34"/>
      <c r="E962" s="34"/>
      <c r="F962" s="33"/>
      <c r="G962" s="34"/>
      <c r="H962" s="34"/>
      <c r="I962" s="33"/>
      <c r="J962" s="34"/>
      <c r="K962" s="34"/>
      <c r="L962" s="34"/>
      <c r="M962" s="34"/>
      <c r="N962" s="34"/>
      <c r="O962" s="34"/>
      <c r="P962" s="34"/>
      <c r="Q962" s="34"/>
      <c r="R962" s="34"/>
      <c r="S962" s="34"/>
      <c r="T962" s="34"/>
      <c r="U962" s="34"/>
      <c r="V962" s="34"/>
      <c r="W962" s="34"/>
      <c r="X962" s="34"/>
      <c r="Y962" s="34"/>
      <c r="Z962" s="34"/>
    </row>
    <row r="963" spans="1:26" ht="13">
      <c r="A963" s="34"/>
      <c r="B963" s="34"/>
      <c r="C963" s="34"/>
      <c r="D963" s="34"/>
      <c r="E963" s="34"/>
      <c r="F963" s="33"/>
      <c r="G963" s="34"/>
      <c r="H963" s="34"/>
      <c r="I963" s="33"/>
      <c r="J963" s="34"/>
      <c r="K963" s="34"/>
      <c r="L963" s="34"/>
      <c r="M963" s="34"/>
      <c r="N963" s="34"/>
      <c r="O963" s="34"/>
      <c r="P963" s="34"/>
      <c r="Q963" s="34"/>
      <c r="R963" s="34"/>
      <c r="S963" s="34"/>
      <c r="T963" s="34"/>
      <c r="U963" s="34"/>
      <c r="V963" s="34"/>
      <c r="W963" s="34"/>
      <c r="X963" s="34"/>
      <c r="Y963" s="34"/>
      <c r="Z963" s="34"/>
    </row>
    <row r="964" spans="1:26" ht="13">
      <c r="A964" s="34"/>
      <c r="B964" s="34"/>
      <c r="C964" s="34"/>
      <c r="D964" s="34"/>
      <c r="E964" s="34"/>
      <c r="F964" s="33"/>
      <c r="G964" s="34"/>
      <c r="H964" s="34"/>
      <c r="I964" s="33"/>
      <c r="J964" s="34"/>
      <c r="K964" s="34"/>
      <c r="L964" s="34"/>
      <c r="M964" s="34"/>
      <c r="N964" s="34"/>
      <c r="O964" s="34"/>
      <c r="P964" s="34"/>
      <c r="Q964" s="34"/>
      <c r="R964" s="34"/>
      <c r="S964" s="34"/>
      <c r="T964" s="34"/>
      <c r="U964" s="34"/>
      <c r="V964" s="34"/>
      <c r="W964" s="34"/>
      <c r="X964" s="34"/>
      <c r="Y964" s="34"/>
      <c r="Z964" s="34"/>
    </row>
    <row r="965" spans="1:26" ht="13">
      <c r="A965" s="34"/>
      <c r="B965" s="34"/>
      <c r="C965" s="34"/>
      <c r="D965" s="34"/>
      <c r="E965" s="34"/>
      <c r="F965" s="33"/>
      <c r="G965" s="34"/>
      <c r="H965" s="34"/>
      <c r="I965" s="33"/>
      <c r="J965" s="34"/>
      <c r="K965" s="34"/>
      <c r="L965" s="34"/>
      <c r="M965" s="34"/>
      <c r="N965" s="34"/>
      <c r="O965" s="34"/>
      <c r="P965" s="34"/>
      <c r="Q965" s="34"/>
      <c r="R965" s="34"/>
      <c r="S965" s="34"/>
      <c r="T965" s="34"/>
      <c r="U965" s="34"/>
      <c r="V965" s="34"/>
      <c r="W965" s="34"/>
      <c r="X965" s="34"/>
      <c r="Y965" s="34"/>
      <c r="Z965" s="34"/>
    </row>
    <row r="966" spans="1:26" ht="13">
      <c r="A966" s="34"/>
      <c r="B966" s="34"/>
      <c r="C966" s="34"/>
      <c r="D966" s="34"/>
      <c r="E966" s="34"/>
      <c r="F966" s="33"/>
      <c r="G966" s="34"/>
      <c r="H966" s="34"/>
      <c r="I966" s="33"/>
      <c r="J966" s="34"/>
      <c r="K966" s="34"/>
      <c r="L966" s="34"/>
      <c r="M966" s="34"/>
      <c r="N966" s="34"/>
      <c r="O966" s="34"/>
      <c r="P966" s="34"/>
      <c r="Q966" s="34"/>
      <c r="R966" s="34"/>
      <c r="S966" s="34"/>
      <c r="T966" s="34"/>
      <c r="U966" s="34"/>
      <c r="V966" s="34"/>
      <c r="W966" s="34"/>
      <c r="X966" s="34"/>
      <c r="Y966" s="34"/>
      <c r="Z966" s="34"/>
    </row>
    <row r="967" spans="1:26" ht="13">
      <c r="A967" s="34"/>
      <c r="B967" s="34"/>
      <c r="C967" s="34"/>
      <c r="D967" s="34"/>
      <c r="E967" s="34"/>
      <c r="F967" s="33"/>
      <c r="G967" s="34"/>
      <c r="H967" s="34"/>
      <c r="I967" s="33"/>
      <c r="J967" s="34"/>
      <c r="K967" s="34"/>
      <c r="L967" s="34"/>
      <c r="M967" s="34"/>
      <c r="N967" s="34"/>
      <c r="O967" s="34"/>
      <c r="P967" s="34"/>
      <c r="Q967" s="34"/>
      <c r="R967" s="34"/>
      <c r="S967" s="34"/>
      <c r="T967" s="34"/>
      <c r="U967" s="34"/>
      <c r="V967" s="34"/>
      <c r="W967" s="34"/>
      <c r="X967" s="34"/>
      <c r="Y967" s="34"/>
      <c r="Z967" s="34"/>
    </row>
    <row r="968" spans="1:26" ht="13">
      <c r="A968" s="34"/>
      <c r="B968" s="34"/>
      <c r="C968" s="34"/>
      <c r="D968" s="34"/>
      <c r="E968" s="34"/>
      <c r="F968" s="33"/>
      <c r="G968" s="34"/>
      <c r="H968" s="34"/>
      <c r="I968" s="33"/>
      <c r="J968" s="34"/>
      <c r="K968" s="34"/>
      <c r="L968" s="34"/>
      <c r="M968" s="34"/>
      <c r="N968" s="34"/>
      <c r="O968" s="34"/>
      <c r="P968" s="34"/>
      <c r="Q968" s="34"/>
      <c r="R968" s="34"/>
      <c r="S968" s="34"/>
      <c r="T968" s="34"/>
      <c r="U968" s="34"/>
      <c r="V968" s="34"/>
      <c r="W968" s="34"/>
      <c r="X968" s="34"/>
      <c r="Y968" s="34"/>
      <c r="Z968" s="34"/>
    </row>
    <row r="969" spans="1:26" ht="13">
      <c r="A969" s="34"/>
      <c r="B969" s="34"/>
      <c r="C969" s="34"/>
      <c r="D969" s="34"/>
      <c r="E969" s="34"/>
      <c r="F969" s="33"/>
      <c r="G969" s="34"/>
      <c r="H969" s="34"/>
      <c r="I969" s="33"/>
      <c r="J969" s="34"/>
      <c r="K969" s="34"/>
      <c r="L969" s="34"/>
      <c r="M969" s="34"/>
      <c r="N969" s="34"/>
      <c r="O969" s="34"/>
      <c r="P969" s="34"/>
      <c r="Q969" s="34"/>
      <c r="R969" s="34"/>
      <c r="S969" s="34"/>
      <c r="T969" s="34"/>
      <c r="U969" s="34"/>
      <c r="V969" s="34"/>
      <c r="W969" s="34"/>
      <c r="X969" s="34"/>
      <c r="Y969" s="34"/>
      <c r="Z969" s="34"/>
    </row>
    <row r="970" spans="1:26" ht="13">
      <c r="A970" s="34"/>
      <c r="B970" s="34"/>
      <c r="C970" s="34"/>
      <c r="D970" s="34"/>
      <c r="E970" s="34"/>
      <c r="F970" s="33"/>
      <c r="G970" s="34"/>
      <c r="H970" s="34"/>
      <c r="I970" s="33"/>
      <c r="J970" s="34"/>
      <c r="K970" s="34"/>
      <c r="L970" s="34"/>
      <c r="M970" s="34"/>
      <c r="N970" s="34"/>
      <c r="O970" s="34"/>
      <c r="P970" s="34"/>
      <c r="Q970" s="34"/>
      <c r="R970" s="34"/>
      <c r="S970" s="34"/>
      <c r="T970" s="34"/>
      <c r="U970" s="34"/>
      <c r="V970" s="34"/>
      <c r="W970" s="34"/>
      <c r="X970" s="34"/>
      <c r="Y970" s="34"/>
      <c r="Z970" s="34"/>
    </row>
    <row r="971" spans="1:26" ht="13">
      <c r="A971" s="34"/>
      <c r="B971" s="34"/>
      <c r="C971" s="34"/>
      <c r="D971" s="34"/>
      <c r="E971" s="34"/>
      <c r="F971" s="33"/>
      <c r="G971" s="34"/>
      <c r="H971" s="34"/>
      <c r="I971" s="33"/>
      <c r="J971" s="34"/>
      <c r="K971" s="34"/>
      <c r="L971" s="34"/>
      <c r="M971" s="34"/>
      <c r="N971" s="34"/>
      <c r="O971" s="34"/>
      <c r="P971" s="34"/>
      <c r="Q971" s="34"/>
      <c r="R971" s="34"/>
      <c r="S971" s="34"/>
      <c r="T971" s="34"/>
      <c r="U971" s="34"/>
      <c r="V971" s="34"/>
      <c r="W971" s="34"/>
      <c r="X971" s="34"/>
      <c r="Y971" s="34"/>
      <c r="Z971" s="34"/>
    </row>
    <row r="972" spans="1:26" ht="13">
      <c r="A972" s="34"/>
      <c r="B972" s="34"/>
      <c r="C972" s="34"/>
      <c r="D972" s="34"/>
      <c r="E972" s="34"/>
      <c r="F972" s="33"/>
      <c r="G972" s="34"/>
      <c r="H972" s="34"/>
      <c r="I972" s="33"/>
      <c r="J972" s="34"/>
      <c r="K972" s="34"/>
      <c r="L972" s="34"/>
      <c r="M972" s="34"/>
      <c r="N972" s="34"/>
      <c r="O972" s="34"/>
      <c r="P972" s="34"/>
      <c r="Q972" s="34"/>
      <c r="R972" s="34"/>
      <c r="S972" s="34"/>
      <c r="T972" s="34"/>
      <c r="U972" s="34"/>
      <c r="V972" s="34"/>
      <c r="W972" s="34"/>
      <c r="X972" s="34"/>
      <c r="Y972" s="34"/>
      <c r="Z972" s="34"/>
    </row>
    <row r="973" spans="1:26" ht="13">
      <c r="A973" s="34"/>
      <c r="B973" s="34"/>
      <c r="C973" s="34"/>
      <c r="D973" s="34"/>
      <c r="E973" s="34"/>
      <c r="F973" s="33"/>
      <c r="G973" s="34"/>
      <c r="H973" s="34"/>
      <c r="I973" s="33"/>
      <c r="J973" s="34"/>
      <c r="K973" s="34"/>
      <c r="L973" s="34"/>
      <c r="M973" s="34"/>
      <c r="N973" s="34"/>
      <c r="O973" s="34"/>
      <c r="P973" s="34"/>
      <c r="Q973" s="34"/>
      <c r="R973" s="34"/>
      <c r="S973" s="34"/>
      <c r="T973" s="34"/>
      <c r="U973" s="34"/>
      <c r="V973" s="34"/>
      <c r="W973" s="34"/>
      <c r="X973" s="34"/>
      <c r="Y973" s="34"/>
      <c r="Z973" s="34"/>
    </row>
    <row r="974" spans="1:26" ht="13">
      <c r="A974" s="34"/>
      <c r="B974" s="34"/>
      <c r="C974" s="34"/>
      <c r="D974" s="34"/>
      <c r="E974" s="34"/>
      <c r="F974" s="33"/>
      <c r="G974" s="34"/>
      <c r="H974" s="34"/>
      <c r="I974" s="33"/>
      <c r="J974" s="34"/>
      <c r="K974" s="34"/>
      <c r="L974" s="34"/>
      <c r="M974" s="34"/>
      <c r="N974" s="34"/>
      <c r="O974" s="34"/>
      <c r="P974" s="34"/>
      <c r="Q974" s="34"/>
      <c r="R974" s="34"/>
      <c r="S974" s="34"/>
      <c r="T974" s="34"/>
      <c r="U974" s="34"/>
      <c r="V974" s="34"/>
      <c r="W974" s="34"/>
      <c r="X974" s="34"/>
      <c r="Y974" s="34"/>
      <c r="Z974" s="34"/>
    </row>
    <row r="975" spans="1:26" ht="13">
      <c r="A975" s="34"/>
      <c r="B975" s="34"/>
      <c r="C975" s="34"/>
      <c r="D975" s="34"/>
      <c r="E975" s="34"/>
      <c r="F975" s="33"/>
      <c r="G975" s="34"/>
      <c r="H975" s="34"/>
      <c r="I975" s="33"/>
      <c r="J975" s="34"/>
      <c r="K975" s="34"/>
      <c r="L975" s="34"/>
      <c r="M975" s="34"/>
      <c r="N975" s="34"/>
      <c r="O975" s="34"/>
      <c r="P975" s="34"/>
      <c r="Q975" s="34"/>
      <c r="R975" s="34"/>
      <c r="S975" s="34"/>
      <c r="T975" s="34"/>
      <c r="U975" s="34"/>
      <c r="V975" s="34"/>
      <c r="W975" s="34"/>
      <c r="X975" s="34"/>
      <c r="Y975" s="34"/>
      <c r="Z975" s="34"/>
    </row>
    <row r="976" spans="1:26" ht="13">
      <c r="A976" s="34"/>
      <c r="B976" s="34"/>
      <c r="C976" s="34"/>
      <c r="D976" s="34"/>
      <c r="E976" s="34"/>
      <c r="F976" s="33"/>
      <c r="G976" s="34"/>
      <c r="H976" s="34"/>
      <c r="I976" s="33"/>
      <c r="J976" s="34"/>
      <c r="K976" s="34"/>
      <c r="L976" s="34"/>
      <c r="M976" s="34"/>
      <c r="N976" s="34"/>
      <c r="O976" s="34"/>
      <c r="P976" s="34"/>
      <c r="Q976" s="34"/>
      <c r="R976" s="34"/>
      <c r="S976" s="34"/>
      <c r="T976" s="34"/>
      <c r="U976" s="34"/>
      <c r="V976" s="34"/>
      <c r="W976" s="34"/>
      <c r="X976" s="34"/>
      <c r="Y976" s="34"/>
      <c r="Z976" s="34"/>
    </row>
    <row r="977" spans="1:26" ht="13">
      <c r="A977" s="34"/>
      <c r="B977" s="34"/>
      <c r="C977" s="34"/>
      <c r="D977" s="34"/>
      <c r="E977" s="34"/>
      <c r="F977" s="33"/>
      <c r="G977" s="34"/>
      <c r="H977" s="34"/>
      <c r="I977" s="33"/>
      <c r="J977" s="34"/>
      <c r="K977" s="34"/>
      <c r="L977" s="34"/>
      <c r="M977" s="34"/>
      <c r="N977" s="34"/>
      <c r="O977" s="34"/>
      <c r="P977" s="34"/>
      <c r="Q977" s="34"/>
      <c r="R977" s="34"/>
      <c r="S977" s="34"/>
      <c r="T977" s="34"/>
      <c r="U977" s="34"/>
      <c r="V977" s="34"/>
      <c r="W977" s="34"/>
      <c r="X977" s="34"/>
      <c r="Y977" s="34"/>
      <c r="Z977" s="34"/>
    </row>
    <row r="978" spans="1:26" ht="13">
      <c r="A978" s="34"/>
      <c r="B978" s="34"/>
      <c r="C978" s="34"/>
      <c r="D978" s="34"/>
      <c r="E978" s="34"/>
      <c r="F978" s="33"/>
      <c r="G978" s="34"/>
      <c r="H978" s="34"/>
      <c r="I978" s="33"/>
      <c r="J978" s="34"/>
      <c r="K978" s="34"/>
      <c r="L978" s="34"/>
      <c r="M978" s="34"/>
      <c r="N978" s="34"/>
      <c r="O978" s="34"/>
      <c r="P978" s="34"/>
      <c r="Q978" s="34"/>
      <c r="R978" s="34"/>
      <c r="S978" s="34"/>
      <c r="T978" s="34"/>
      <c r="U978" s="34"/>
      <c r="V978" s="34"/>
      <c r="W978" s="34"/>
      <c r="X978" s="34"/>
      <c r="Y978" s="34"/>
      <c r="Z978" s="34"/>
    </row>
    <row r="979" spans="1:26" ht="13">
      <c r="A979" s="34"/>
      <c r="B979" s="34"/>
      <c r="C979" s="34"/>
      <c r="D979" s="34"/>
      <c r="E979" s="34"/>
      <c r="F979" s="33"/>
      <c r="G979" s="34"/>
      <c r="H979" s="34"/>
      <c r="I979" s="33"/>
      <c r="J979" s="34"/>
      <c r="K979" s="34"/>
      <c r="L979" s="34"/>
      <c r="M979" s="34"/>
      <c r="N979" s="34"/>
      <c r="O979" s="34"/>
      <c r="P979" s="34"/>
      <c r="Q979" s="34"/>
      <c r="R979" s="34"/>
      <c r="S979" s="34"/>
      <c r="T979" s="34"/>
      <c r="U979" s="34"/>
      <c r="V979" s="34"/>
      <c r="W979" s="34"/>
      <c r="X979" s="34"/>
      <c r="Y979" s="34"/>
      <c r="Z979" s="34"/>
    </row>
    <row r="980" spans="1:26" ht="13">
      <c r="A980" s="34"/>
      <c r="B980" s="34"/>
      <c r="C980" s="34"/>
      <c r="D980" s="34"/>
      <c r="E980" s="34"/>
      <c r="F980" s="33"/>
      <c r="G980" s="34"/>
      <c r="H980" s="34"/>
      <c r="I980" s="33"/>
      <c r="J980" s="34"/>
      <c r="K980" s="34"/>
      <c r="L980" s="34"/>
      <c r="M980" s="34"/>
      <c r="N980" s="34"/>
      <c r="O980" s="34"/>
      <c r="P980" s="34"/>
      <c r="Q980" s="34"/>
      <c r="R980" s="34"/>
      <c r="S980" s="34"/>
      <c r="T980" s="34"/>
      <c r="U980" s="34"/>
      <c r="V980" s="34"/>
      <c r="W980" s="34"/>
      <c r="X980" s="34"/>
      <c r="Y980" s="34"/>
      <c r="Z980" s="34"/>
    </row>
    <row r="981" spans="1:26" ht="13">
      <c r="A981" s="34"/>
      <c r="B981" s="34"/>
      <c r="C981" s="34"/>
      <c r="D981" s="34"/>
      <c r="E981" s="34"/>
      <c r="F981" s="33"/>
      <c r="G981" s="34"/>
      <c r="H981" s="34"/>
      <c r="I981" s="33"/>
      <c r="J981" s="34"/>
      <c r="K981" s="34"/>
      <c r="L981" s="34"/>
      <c r="M981" s="34"/>
      <c r="N981" s="34"/>
      <c r="O981" s="34"/>
      <c r="P981" s="34"/>
      <c r="Q981" s="34"/>
      <c r="R981" s="34"/>
      <c r="S981" s="34"/>
      <c r="T981" s="34"/>
      <c r="U981" s="34"/>
      <c r="V981" s="34"/>
      <c r="W981" s="34"/>
      <c r="X981" s="34"/>
      <c r="Y981" s="34"/>
      <c r="Z981" s="34"/>
    </row>
    <row r="982" spans="1:26" ht="13">
      <c r="A982" s="34"/>
      <c r="B982" s="34"/>
      <c r="C982" s="34"/>
      <c r="D982" s="34"/>
      <c r="E982" s="34"/>
      <c r="F982" s="33"/>
      <c r="G982" s="34"/>
      <c r="H982" s="34"/>
      <c r="I982" s="33"/>
      <c r="J982" s="34"/>
      <c r="K982" s="34"/>
      <c r="L982" s="34"/>
      <c r="M982" s="34"/>
      <c r="N982" s="34"/>
      <c r="O982" s="34"/>
      <c r="P982" s="34"/>
      <c r="Q982" s="34"/>
      <c r="R982" s="34"/>
      <c r="S982" s="34"/>
      <c r="T982" s="34"/>
      <c r="U982" s="34"/>
      <c r="V982" s="34"/>
      <c r="W982" s="34"/>
      <c r="X982" s="34"/>
      <c r="Y982" s="34"/>
      <c r="Z982" s="34"/>
    </row>
    <row r="983" spans="1:26" ht="13">
      <c r="A983" s="34"/>
      <c r="B983" s="34"/>
      <c r="C983" s="34"/>
      <c r="D983" s="34"/>
      <c r="E983" s="34"/>
      <c r="F983" s="33"/>
      <c r="G983" s="34"/>
      <c r="H983" s="34"/>
      <c r="I983" s="33"/>
      <c r="J983" s="34"/>
      <c r="K983" s="34"/>
      <c r="L983" s="34"/>
      <c r="M983" s="34"/>
      <c r="N983" s="34"/>
      <c r="O983" s="34"/>
      <c r="P983" s="34"/>
      <c r="Q983" s="34"/>
      <c r="R983" s="34"/>
      <c r="S983" s="34"/>
      <c r="T983" s="34"/>
      <c r="U983" s="34"/>
      <c r="V983" s="34"/>
      <c r="W983" s="34"/>
      <c r="X983" s="34"/>
      <c r="Y983" s="34"/>
      <c r="Z983" s="34"/>
    </row>
    <row r="984" spans="1:26" ht="13">
      <c r="A984" s="34"/>
      <c r="B984" s="34"/>
      <c r="C984" s="34"/>
      <c r="D984" s="34"/>
      <c r="E984" s="34"/>
      <c r="F984" s="33"/>
      <c r="G984" s="34"/>
      <c r="H984" s="34"/>
      <c r="I984" s="33"/>
      <c r="J984" s="34"/>
      <c r="K984" s="34"/>
      <c r="L984" s="34"/>
      <c r="M984" s="34"/>
      <c r="N984" s="34"/>
      <c r="O984" s="34"/>
      <c r="P984" s="34"/>
      <c r="Q984" s="34"/>
      <c r="R984" s="34"/>
      <c r="S984" s="34"/>
      <c r="T984" s="34"/>
      <c r="U984" s="34"/>
      <c r="V984" s="34"/>
      <c r="W984" s="34"/>
      <c r="X984" s="34"/>
      <c r="Y984" s="34"/>
      <c r="Z984" s="34"/>
    </row>
    <row r="985" spans="1:26" ht="13">
      <c r="A985" s="34"/>
      <c r="B985" s="34"/>
      <c r="C985" s="34"/>
      <c r="D985" s="34"/>
      <c r="E985" s="34"/>
      <c r="F985" s="33"/>
      <c r="G985" s="34"/>
      <c r="H985" s="34"/>
      <c r="I985" s="33"/>
      <c r="J985" s="34"/>
      <c r="K985" s="34"/>
      <c r="L985" s="34"/>
      <c r="M985" s="34"/>
      <c r="N985" s="34"/>
      <c r="O985" s="34"/>
      <c r="P985" s="34"/>
      <c r="Q985" s="34"/>
      <c r="R985" s="34"/>
      <c r="S985" s="34"/>
      <c r="T985" s="34"/>
      <c r="U985" s="34"/>
      <c r="V985" s="34"/>
      <c r="W985" s="34"/>
      <c r="X985" s="34"/>
      <c r="Y985" s="34"/>
      <c r="Z985" s="34"/>
    </row>
    <row r="986" spans="1:26" ht="13">
      <c r="A986" s="34"/>
      <c r="B986" s="34"/>
      <c r="C986" s="34"/>
      <c r="D986" s="34"/>
      <c r="E986" s="34"/>
      <c r="F986" s="33"/>
      <c r="G986" s="34"/>
      <c r="H986" s="34"/>
      <c r="I986" s="33"/>
      <c r="J986" s="34"/>
      <c r="K986" s="34"/>
      <c r="L986" s="34"/>
      <c r="M986" s="34"/>
      <c r="N986" s="34"/>
      <c r="O986" s="34"/>
      <c r="P986" s="34"/>
      <c r="Q986" s="34"/>
      <c r="R986" s="34"/>
      <c r="S986" s="34"/>
      <c r="T986" s="34"/>
      <c r="U986" s="34"/>
      <c r="V986" s="34"/>
      <c r="W986" s="34"/>
      <c r="X986" s="34"/>
      <c r="Y986" s="34"/>
      <c r="Z986" s="34"/>
    </row>
    <row r="987" spans="1:26" ht="13">
      <c r="A987" s="34"/>
      <c r="B987" s="34"/>
      <c r="C987" s="34"/>
      <c r="D987" s="34"/>
      <c r="E987" s="34"/>
      <c r="F987" s="33"/>
      <c r="G987" s="34"/>
      <c r="H987" s="34"/>
      <c r="I987" s="33"/>
      <c r="J987" s="34"/>
      <c r="K987" s="34"/>
      <c r="L987" s="34"/>
      <c r="M987" s="34"/>
      <c r="N987" s="34"/>
      <c r="O987" s="34"/>
      <c r="P987" s="34"/>
      <c r="Q987" s="34"/>
      <c r="R987" s="34"/>
      <c r="S987" s="34"/>
      <c r="T987" s="34"/>
      <c r="U987" s="34"/>
      <c r="V987" s="34"/>
      <c r="W987" s="34"/>
      <c r="X987" s="34"/>
      <c r="Y987" s="34"/>
      <c r="Z987" s="34"/>
    </row>
    <row r="988" spans="1:26" ht="13">
      <c r="A988" s="34"/>
      <c r="B988" s="34"/>
      <c r="C988" s="34"/>
      <c r="D988" s="34"/>
      <c r="E988" s="34"/>
      <c r="F988" s="33"/>
      <c r="G988" s="34"/>
      <c r="H988" s="34"/>
      <c r="I988" s="33"/>
      <c r="J988" s="34"/>
      <c r="K988" s="34"/>
      <c r="L988" s="34"/>
      <c r="M988" s="34"/>
      <c r="N988" s="34"/>
      <c r="O988" s="34"/>
      <c r="P988" s="34"/>
      <c r="Q988" s="34"/>
      <c r="R988" s="34"/>
      <c r="S988" s="34"/>
      <c r="T988" s="34"/>
      <c r="U988" s="34"/>
      <c r="V988" s="34"/>
      <c r="W988" s="34"/>
      <c r="X988" s="34"/>
      <c r="Y988" s="34"/>
      <c r="Z988" s="34"/>
    </row>
    <row r="989" spans="1:26" ht="13">
      <c r="A989" s="34"/>
      <c r="B989" s="34"/>
      <c r="C989" s="34"/>
      <c r="D989" s="34"/>
      <c r="E989" s="34"/>
      <c r="F989" s="33"/>
      <c r="G989" s="34"/>
      <c r="H989" s="34"/>
      <c r="I989" s="33"/>
      <c r="J989" s="34"/>
      <c r="K989" s="34"/>
      <c r="L989" s="34"/>
      <c r="M989" s="34"/>
      <c r="N989" s="34"/>
      <c r="O989" s="34"/>
      <c r="P989" s="34"/>
      <c r="Q989" s="34"/>
      <c r="R989" s="34"/>
      <c r="S989" s="34"/>
      <c r="T989" s="34"/>
      <c r="U989" s="34"/>
      <c r="V989" s="34"/>
      <c r="W989" s="34"/>
      <c r="X989" s="34"/>
      <c r="Y989" s="34"/>
      <c r="Z989" s="34"/>
    </row>
    <row r="990" spans="1:26" ht="13">
      <c r="A990" s="34"/>
      <c r="B990" s="34"/>
      <c r="C990" s="34"/>
      <c r="D990" s="34"/>
      <c r="E990" s="34"/>
      <c r="F990" s="33"/>
      <c r="G990" s="34"/>
      <c r="H990" s="34"/>
      <c r="I990" s="33"/>
      <c r="J990" s="34"/>
      <c r="K990" s="34"/>
      <c r="L990" s="34"/>
      <c r="M990" s="34"/>
      <c r="N990" s="34"/>
      <c r="O990" s="34"/>
      <c r="P990" s="34"/>
      <c r="Q990" s="34"/>
      <c r="R990" s="34"/>
      <c r="S990" s="34"/>
      <c r="T990" s="34"/>
      <c r="U990" s="34"/>
      <c r="V990" s="34"/>
      <c r="W990" s="34"/>
      <c r="X990" s="34"/>
      <c r="Y990" s="34"/>
      <c r="Z990" s="34"/>
    </row>
    <row r="991" spans="1:26" ht="13">
      <c r="A991" s="34"/>
      <c r="B991" s="34"/>
      <c r="C991" s="34"/>
      <c r="D991" s="34"/>
      <c r="E991" s="34"/>
      <c r="F991" s="33"/>
      <c r="G991" s="34"/>
      <c r="H991" s="34"/>
      <c r="I991" s="33"/>
      <c r="J991" s="34"/>
      <c r="K991" s="34"/>
      <c r="L991" s="34"/>
      <c r="M991" s="34"/>
      <c r="N991" s="34"/>
      <c r="O991" s="34"/>
      <c r="P991" s="34"/>
      <c r="Q991" s="34"/>
      <c r="R991" s="34"/>
      <c r="S991" s="34"/>
      <c r="T991" s="34"/>
      <c r="U991" s="34"/>
      <c r="V991" s="34"/>
      <c r="W991" s="34"/>
      <c r="X991" s="34"/>
      <c r="Y991" s="34"/>
      <c r="Z991" s="34"/>
    </row>
    <row r="992" spans="1:26" ht="13">
      <c r="A992" s="34"/>
      <c r="B992" s="34"/>
      <c r="C992" s="34"/>
      <c r="D992" s="34"/>
      <c r="E992" s="34"/>
      <c r="F992" s="33"/>
      <c r="G992" s="34"/>
      <c r="H992" s="34"/>
      <c r="I992" s="33"/>
      <c r="J992" s="34"/>
      <c r="K992" s="34"/>
      <c r="L992" s="34"/>
      <c r="M992" s="34"/>
      <c r="N992" s="34"/>
      <c r="O992" s="34"/>
      <c r="P992" s="34"/>
      <c r="Q992" s="34"/>
      <c r="R992" s="34"/>
      <c r="S992" s="34"/>
      <c r="T992" s="34"/>
      <c r="U992" s="34"/>
      <c r="V992" s="34"/>
      <c r="W992" s="34"/>
      <c r="X992" s="34"/>
      <c r="Y992" s="34"/>
      <c r="Z992" s="34"/>
    </row>
    <row r="993" spans="1:26" ht="13">
      <c r="A993" s="34"/>
      <c r="B993" s="34"/>
      <c r="C993" s="34"/>
      <c r="D993" s="34"/>
      <c r="E993" s="34"/>
      <c r="F993" s="33"/>
      <c r="G993" s="34"/>
      <c r="H993" s="34"/>
      <c r="I993" s="33"/>
      <c r="J993" s="34"/>
      <c r="K993" s="34"/>
      <c r="L993" s="34"/>
      <c r="M993" s="34"/>
      <c r="N993" s="34"/>
      <c r="O993" s="34"/>
      <c r="P993" s="34"/>
      <c r="Q993" s="34"/>
      <c r="R993" s="34"/>
      <c r="S993" s="34"/>
      <c r="T993" s="34"/>
      <c r="U993" s="34"/>
      <c r="V993" s="34"/>
      <c r="W993" s="34"/>
      <c r="X993" s="34"/>
      <c r="Y993" s="34"/>
      <c r="Z993" s="34"/>
    </row>
    <row r="994" spans="1:26" ht="13">
      <c r="A994" s="34"/>
      <c r="B994" s="34"/>
      <c r="C994" s="34"/>
      <c r="D994" s="34"/>
      <c r="E994" s="34"/>
      <c r="F994" s="33"/>
      <c r="G994" s="34"/>
      <c r="H994" s="34"/>
      <c r="I994" s="33"/>
      <c r="J994" s="34"/>
      <c r="K994" s="34"/>
      <c r="L994" s="34"/>
      <c r="M994" s="34"/>
      <c r="N994" s="34"/>
      <c r="O994" s="34"/>
      <c r="P994" s="34"/>
      <c r="Q994" s="34"/>
      <c r="R994" s="34"/>
      <c r="S994" s="34"/>
      <c r="T994" s="34"/>
      <c r="U994" s="34"/>
      <c r="V994" s="34"/>
      <c r="W994" s="34"/>
      <c r="X994" s="34"/>
      <c r="Y994" s="34"/>
      <c r="Z994" s="34"/>
    </row>
    <row r="995" spans="1:26" ht="13">
      <c r="A995" s="34"/>
      <c r="B995" s="34"/>
      <c r="C995" s="34"/>
      <c r="D995" s="34"/>
      <c r="E995" s="34"/>
      <c r="F995" s="33"/>
      <c r="G995" s="34"/>
      <c r="H995" s="34"/>
      <c r="I995" s="33"/>
      <c r="J995" s="34"/>
      <c r="K995" s="34"/>
      <c r="L995" s="34"/>
      <c r="M995" s="34"/>
      <c r="N995" s="34"/>
      <c r="O995" s="34"/>
      <c r="P995" s="34"/>
      <c r="Q995" s="34"/>
      <c r="R995" s="34"/>
      <c r="S995" s="34"/>
      <c r="T995" s="34"/>
      <c r="U995" s="34"/>
      <c r="V995" s="34"/>
      <c r="W995" s="34"/>
      <c r="X995" s="34"/>
      <c r="Y995" s="34"/>
      <c r="Z995" s="34"/>
    </row>
    <row r="996" spans="1:26" ht="13">
      <c r="A996" s="34"/>
      <c r="B996" s="34"/>
      <c r="C996" s="34"/>
      <c r="D996" s="34"/>
      <c r="E996" s="34"/>
      <c r="F996" s="33"/>
      <c r="G996" s="34"/>
      <c r="H996" s="34"/>
      <c r="I996" s="33"/>
      <c r="J996" s="34"/>
      <c r="K996" s="34"/>
      <c r="L996" s="34"/>
      <c r="M996" s="34"/>
      <c r="N996" s="34"/>
      <c r="O996" s="34"/>
      <c r="P996" s="34"/>
      <c r="Q996" s="34"/>
      <c r="R996" s="34"/>
      <c r="S996" s="34"/>
      <c r="T996" s="34"/>
      <c r="U996" s="34"/>
      <c r="V996" s="34"/>
      <c r="W996" s="34"/>
      <c r="X996" s="34"/>
      <c r="Y996" s="34"/>
      <c r="Z996" s="34"/>
    </row>
    <row r="997" spans="1:26" ht="13">
      <c r="A997" s="34"/>
      <c r="B997" s="34"/>
      <c r="C997" s="34"/>
      <c r="D997" s="34"/>
      <c r="E997" s="34"/>
      <c r="F997" s="33"/>
      <c r="G997" s="34"/>
      <c r="H997" s="34"/>
      <c r="I997" s="33"/>
      <c r="J997" s="34"/>
      <c r="K997" s="34"/>
      <c r="L997" s="34"/>
      <c r="M997" s="34"/>
      <c r="N997" s="34"/>
      <c r="O997" s="34"/>
      <c r="P997" s="34"/>
      <c r="Q997" s="34"/>
      <c r="R997" s="34"/>
      <c r="S997" s="34"/>
      <c r="T997" s="34"/>
      <c r="U997" s="34"/>
      <c r="V997" s="34"/>
      <c r="W997" s="34"/>
      <c r="X997" s="34"/>
      <c r="Y997" s="34"/>
      <c r="Z997" s="34"/>
    </row>
    <row r="998" spans="1:26" ht="13">
      <c r="A998" s="34"/>
      <c r="B998" s="34"/>
      <c r="C998" s="34"/>
      <c r="D998" s="34"/>
      <c r="E998" s="34"/>
      <c r="F998" s="33"/>
      <c r="G998" s="34"/>
      <c r="H998" s="34"/>
      <c r="I998" s="33"/>
      <c r="J998" s="34"/>
      <c r="K998" s="34"/>
      <c r="L998" s="34"/>
      <c r="M998" s="34"/>
      <c r="N998" s="34"/>
      <c r="O998" s="34"/>
      <c r="P998" s="34"/>
      <c r="Q998" s="34"/>
      <c r="R998" s="34"/>
      <c r="S998" s="34"/>
      <c r="T998" s="34"/>
      <c r="U998" s="34"/>
      <c r="V998" s="34"/>
      <c r="W998" s="34"/>
      <c r="X998" s="34"/>
      <c r="Y998" s="34"/>
      <c r="Z998" s="34"/>
    </row>
    <row r="999" spans="1:26" ht="13">
      <c r="A999" s="34"/>
      <c r="B999" s="34"/>
      <c r="C999" s="34"/>
      <c r="D999" s="34"/>
      <c r="E999" s="34"/>
      <c r="F999" s="33"/>
      <c r="G999" s="34"/>
      <c r="H999" s="34"/>
      <c r="I999" s="33"/>
      <c r="J999" s="34"/>
      <c r="K999" s="34"/>
      <c r="L999" s="34"/>
      <c r="M999" s="34"/>
      <c r="N999" s="34"/>
      <c r="O999" s="34"/>
      <c r="P999" s="34"/>
      <c r="Q999" s="34"/>
      <c r="R999" s="34"/>
      <c r="S999" s="34"/>
      <c r="T999" s="34"/>
      <c r="U999" s="34"/>
      <c r="V999" s="34"/>
      <c r="W999" s="34"/>
      <c r="X999" s="34"/>
      <c r="Y999" s="34"/>
      <c r="Z999" s="34"/>
    </row>
    <row r="1000" spans="1:26" ht="13">
      <c r="A1000" s="34"/>
      <c r="B1000" s="34"/>
      <c r="C1000" s="34"/>
      <c r="D1000" s="34"/>
      <c r="E1000" s="34"/>
      <c r="F1000" s="33"/>
      <c r="G1000" s="34"/>
      <c r="H1000" s="34"/>
      <c r="I1000" s="33"/>
      <c r="J1000" s="34"/>
      <c r="K1000" s="34"/>
      <c r="L1000" s="34"/>
      <c r="M1000" s="34"/>
      <c r="N1000" s="34"/>
      <c r="O1000" s="34"/>
      <c r="P1000" s="34"/>
      <c r="Q1000" s="34"/>
      <c r="R1000" s="34"/>
      <c r="S1000" s="34"/>
      <c r="T1000" s="34"/>
      <c r="U1000" s="34"/>
      <c r="V1000" s="34"/>
      <c r="W1000" s="34"/>
      <c r="X1000" s="34"/>
      <c r="Y1000" s="34"/>
      <c r="Z1000" s="34"/>
    </row>
  </sheetData>
  <phoneticPr fontId="85" type="noConversion"/>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F1166"/>
  <sheetViews>
    <sheetView workbookViewId="0"/>
  </sheetViews>
  <sheetFormatPr defaultColWidth="14.3984375" defaultRowHeight="15.75" customHeight="1"/>
  <cols>
    <col min="2" max="2" width="45.296875" customWidth="1"/>
    <col min="3" max="3" width="58.69921875" customWidth="1"/>
    <col min="4" max="4" width="30.3984375" customWidth="1"/>
    <col min="5" max="5" width="31.59765625" customWidth="1"/>
  </cols>
  <sheetData>
    <row r="1" spans="1:6">
      <c r="A1" s="203"/>
      <c r="B1" s="204" t="s">
        <v>2620</v>
      </c>
      <c r="C1" s="204" t="s">
        <v>2621</v>
      </c>
      <c r="D1" s="204" t="s">
        <v>2622</v>
      </c>
      <c r="E1" s="8" t="s">
        <v>29</v>
      </c>
      <c r="F1" s="8" t="s">
        <v>2623</v>
      </c>
    </row>
    <row r="2" spans="1:6">
      <c r="A2" s="204">
        <v>0</v>
      </c>
      <c r="B2" s="205" t="s">
        <v>2624</v>
      </c>
      <c r="C2" s="68" t="s">
        <v>2625</v>
      </c>
      <c r="D2" s="68" t="s">
        <v>2626</v>
      </c>
      <c r="E2" s="22" t="s">
        <v>176</v>
      </c>
    </row>
    <row r="3" spans="1:6">
      <c r="A3" s="204">
        <v>1</v>
      </c>
      <c r="B3" s="205" t="s">
        <v>2627</v>
      </c>
      <c r="C3" s="68" t="s">
        <v>2628</v>
      </c>
      <c r="D3" s="68" t="s">
        <v>2629</v>
      </c>
      <c r="E3" s="22" t="s">
        <v>393</v>
      </c>
    </row>
    <row r="4" spans="1:6">
      <c r="A4" s="204">
        <v>2</v>
      </c>
      <c r="B4" s="205" t="s">
        <v>2630</v>
      </c>
      <c r="C4" s="68" t="s">
        <v>2631</v>
      </c>
      <c r="D4" s="68" t="s">
        <v>2632</v>
      </c>
      <c r="E4" s="22" t="s">
        <v>328</v>
      </c>
    </row>
    <row r="5" spans="1:6">
      <c r="A5" s="204">
        <v>3</v>
      </c>
      <c r="B5" s="205" t="s">
        <v>2633</v>
      </c>
      <c r="C5" s="68" t="s">
        <v>2634</v>
      </c>
      <c r="D5" s="68" t="s">
        <v>2635</v>
      </c>
      <c r="E5" s="22" t="s">
        <v>70</v>
      </c>
      <c r="F5" s="22" t="s">
        <v>2636</v>
      </c>
    </row>
    <row r="6" spans="1:6">
      <c r="A6" s="204">
        <v>4</v>
      </c>
      <c r="B6" s="205" t="s">
        <v>2637</v>
      </c>
      <c r="C6" s="68" t="s">
        <v>2638</v>
      </c>
      <c r="D6" s="68" t="s">
        <v>2639</v>
      </c>
      <c r="E6" s="22" t="s">
        <v>475</v>
      </c>
    </row>
    <row r="7" spans="1:6">
      <c r="A7" s="204">
        <v>5</v>
      </c>
      <c r="B7" s="205" t="s">
        <v>2640</v>
      </c>
      <c r="C7" s="68" t="s">
        <v>2641</v>
      </c>
      <c r="D7" s="68" t="s">
        <v>2642</v>
      </c>
      <c r="E7" s="22" t="s">
        <v>265</v>
      </c>
    </row>
    <row r="8" spans="1:6">
      <c r="A8" s="204">
        <v>6</v>
      </c>
      <c r="B8" s="205" t="s">
        <v>2643</v>
      </c>
      <c r="C8" s="68" t="s">
        <v>2644</v>
      </c>
      <c r="D8" s="68" t="s">
        <v>2645</v>
      </c>
    </row>
    <row r="9" spans="1:6">
      <c r="A9" s="204">
        <v>7</v>
      </c>
      <c r="B9" s="205" t="s">
        <v>2646</v>
      </c>
      <c r="C9" s="68" t="s">
        <v>2647</v>
      </c>
      <c r="D9" s="68" t="s">
        <v>2648</v>
      </c>
    </row>
    <row r="10" spans="1:6">
      <c r="A10" s="204">
        <v>8</v>
      </c>
      <c r="B10" s="205" t="s">
        <v>2649</v>
      </c>
      <c r="C10" s="68" t="s">
        <v>2650</v>
      </c>
      <c r="D10" s="68" t="s">
        <v>2651</v>
      </c>
    </row>
    <row r="11" spans="1:6">
      <c r="A11" s="204">
        <v>9</v>
      </c>
      <c r="B11" s="205" t="s">
        <v>2652</v>
      </c>
      <c r="C11" s="68" t="s">
        <v>2653</v>
      </c>
      <c r="D11" s="68" t="s">
        <v>2654</v>
      </c>
    </row>
    <row r="12" spans="1:6">
      <c r="A12" s="204">
        <v>10</v>
      </c>
      <c r="B12" s="205" t="s">
        <v>2655</v>
      </c>
      <c r="C12" s="68" t="s">
        <v>2656</v>
      </c>
      <c r="D12" s="68" t="s">
        <v>2657</v>
      </c>
    </row>
    <row r="13" spans="1:6">
      <c r="A13" s="204">
        <v>11</v>
      </c>
      <c r="B13" s="205" t="s">
        <v>2658</v>
      </c>
      <c r="C13" s="68" t="s">
        <v>2659</v>
      </c>
      <c r="D13" s="68" t="s">
        <v>2660</v>
      </c>
    </row>
    <row r="14" spans="1:6">
      <c r="A14" s="204">
        <v>12</v>
      </c>
      <c r="B14" s="205" t="s">
        <v>2661</v>
      </c>
      <c r="C14" s="68" t="s">
        <v>2662</v>
      </c>
      <c r="D14" s="68" t="s">
        <v>2663</v>
      </c>
    </row>
    <row r="15" spans="1:6">
      <c r="A15" s="204">
        <v>13</v>
      </c>
      <c r="B15" s="205" t="s">
        <v>2664</v>
      </c>
      <c r="C15" s="68" t="s">
        <v>2665</v>
      </c>
      <c r="D15" s="68" t="s">
        <v>2666</v>
      </c>
    </row>
    <row r="16" spans="1:6">
      <c r="A16" s="204">
        <v>14</v>
      </c>
      <c r="B16" s="205" t="s">
        <v>2667</v>
      </c>
      <c r="C16" s="68" t="s">
        <v>2668</v>
      </c>
      <c r="D16" s="68" t="s">
        <v>2669</v>
      </c>
    </row>
    <row r="17" spans="1:4">
      <c r="A17" s="204">
        <v>15</v>
      </c>
      <c r="B17" s="205" t="s">
        <v>2670</v>
      </c>
      <c r="C17" s="68" t="s">
        <v>2671</v>
      </c>
      <c r="D17" s="68" t="s">
        <v>2672</v>
      </c>
    </row>
    <row r="18" spans="1:4">
      <c r="A18" s="204">
        <v>16</v>
      </c>
      <c r="B18" s="205" t="s">
        <v>2673</v>
      </c>
      <c r="C18" s="68" t="s">
        <v>2674</v>
      </c>
      <c r="D18" s="68" t="s">
        <v>2675</v>
      </c>
    </row>
    <row r="19" spans="1:4">
      <c r="A19" s="204">
        <v>17</v>
      </c>
      <c r="B19" s="205" t="s">
        <v>2676</v>
      </c>
      <c r="C19" s="68" t="s">
        <v>2677</v>
      </c>
      <c r="D19" s="68" t="s">
        <v>2678</v>
      </c>
    </row>
    <row r="20" spans="1:4">
      <c r="A20" s="204">
        <v>18</v>
      </c>
      <c r="B20" s="205" t="s">
        <v>2679</v>
      </c>
      <c r="C20" s="68" t="s">
        <v>2680</v>
      </c>
      <c r="D20" s="68" t="s">
        <v>2681</v>
      </c>
    </row>
    <row r="21" spans="1:4">
      <c r="A21" s="204">
        <v>19</v>
      </c>
      <c r="B21" s="205" t="s">
        <v>2682</v>
      </c>
      <c r="C21" s="68" t="s">
        <v>2683</v>
      </c>
      <c r="D21" s="68" t="s">
        <v>2684</v>
      </c>
    </row>
    <row r="22" spans="1:4">
      <c r="A22" s="204">
        <v>20</v>
      </c>
      <c r="B22" s="205" t="s">
        <v>2685</v>
      </c>
      <c r="C22" s="68" t="s">
        <v>2686</v>
      </c>
      <c r="D22" s="68" t="s">
        <v>2687</v>
      </c>
    </row>
    <row r="23" spans="1:4">
      <c r="A23" s="204">
        <v>21</v>
      </c>
      <c r="B23" s="205" t="s">
        <v>2688</v>
      </c>
      <c r="C23" s="68" t="s">
        <v>2689</v>
      </c>
      <c r="D23" s="68" t="s">
        <v>2690</v>
      </c>
    </row>
    <row r="24" spans="1:4">
      <c r="A24" s="204">
        <v>22</v>
      </c>
      <c r="B24" s="205" t="s">
        <v>2691</v>
      </c>
      <c r="C24" s="68" t="s">
        <v>2692</v>
      </c>
      <c r="D24" s="68" t="s">
        <v>2693</v>
      </c>
    </row>
    <row r="25" spans="1:4">
      <c r="A25" s="204">
        <v>23</v>
      </c>
      <c r="B25" s="205" t="s">
        <v>2694</v>
      </c>
      <c r="C25" s="68" t="s">
        <v>2695</v>
      </c>
      <c r="D25" s="68" t="s">
        <v>2696</v>
      </c>
    </row>
    <row r="26" spans="1:4">
      <c r="A26" s="204">
        <v>24</v>
      </c>
      <c r="B26" s="205" t="s">
        <v>2697</v>
      </c>
      <c r="C26" s="68" t="s">
        <v>2698</v>
      </c>
      <c r="D26" s="68" t="s">
        <v>2699</v>
      </c>
    </row>
    <row r="27" spans="1:4">
      <c r="A27" s="204">
        <v>25</v>
      </c>
      <c r="B27" s="205" t="s">
        <v>2700</v>
      </c>
      <c r="C27" s="68" t="s">
        <v>2701</v>
      </c>
      <c r="D27" s="68" t="s">
        <v>2702</v>
      </c>
    </row>
    <row r="28" spans="1:4">
      <c r="A28" s="204">
        <v>26</v>
      </c>
      <c r="B28" s="205" t="s">
        <v>2703</v>
      </c>
      <c r="C28" s="68" t="s">
        <v>2704</v>
      </c>
      <c r="D28" s="68" t="s">
        <v>2705</v>
      </c>
    </row>
    <row r="29" spans="1:4">
      <c r="A29" s="204">
        <v>27</v>
      </c>
      <c r="B29" s="205" t="s">
        <v>2706</v>
      </c>
      <c r="C29" s="68" t="s">
        <v>2707</v>
      </c>
      <c r="D29" s="68" t="s">
        <v>2708</v>
      </c>
    </row>
    <row r="30" spans="1:4">
      <c r="A30" s="204">
        <v>28</v>
      </c>
      <c r="B30" s="205" t="s">
        <v>2709</v>
      </c>
      <c r="C30" s="68" t="s">
        <v>2710</v>
      </c>
      <c r="D30" s="68" t="s">
        <v>2711</v>
      </c>
    </row>
    <row r="31" spans="1:4">
      <c r="A31" s="204">
        <v>29</v>
      </c>
      <c r="B31" s="205" t="s">
        <v>2712</v>
      </c>
      <c r="C31" s="68" t="s">
        <v>2713</v>
      </c>
      <c r="D31" s="68" t="s">
        <v>2714</v>
      </c>
    </row>
    <row r="32" spans="1:4">
      <c r="A32" s="204">
        <v>30</v>
      </c>
      <c r="B32" s="205" t="s">
        <v>2715</v>
      </c>
      <c r="C32" s="68" t="s">
        <v>2713</v>
      </c>
      <c r="D32" s="68" t="s">
        <v>2714</v>
      </c>
    </row>
    <row r="33" spans="1:4">
      <c r="A33" s="204">
        <v>31</v>
      </c>
      <c r="B33" s="205" t="s">
        <v>2716</v>
      </c>
      <c r="C33" s="68" t="s">
        <v>2717</v>
      </c>
      <c r="D33" s="68" t="s">
        <v>2718</v>
      </c>
    </row>
    <row r="34" spans="1:4">
      <c r="A34" s="204">
        <v>32</v>
      </c>
      <c r="B34" s="205" t="s">
        <v>2719</v>
      </c>
      <c r="C34" s="68" t="s">
        <v>2720</v>
      </c>
      <c r="D34" s="68" t="s">
        <v>2721</v>
      </c>
    </row>
    <row r="35" spans="1:4">
      <c r="A35" s="204">
        <v>33</v>
      </c>
      <c r="B35" s="205" t="s">
        <v>2722</v>
      </c>
      <c r="C35" s="68" t="s">
        <v>2723</v>
      </c>
      <c r="D35" s="68" t="s">
        <v>2724</v>
      </c>
    </row>
    <row r="36" spans="1:4">
      <c r="A36" s="204">
        <v>34</v>
      </c>
      <c r="B36" s="205" t="s">
        <v>2725</v>
      </c>
      <c r="C36" s="68" t="s">
        <v>2726</v>
      </c>
      <c r="D36" s="68" t="s">
        <v>2727</v>
      </c>
    </row>
    <row r="37" spans="1:4">
      <c r="A37" s="204">
        <v>35</v>
      </c>
      <c r="B37" s="205" t="s">
        <v>2728</v>
      </c>
      <c r="C37" s="68" t="s">
        <v>2729</v>
      </c>
      <c r="D37" s="68" t="s">
        <v>2730</v>
      </c>
    </row>
    <row r="38" spans="1:4">
      <c r="A38" s="204">
        <v>36</v>
      </c>
      <c r="B38" s="205" t="s">
        <v>2731</v>
      </c>
      <c r="C38" s="68" t="s">
        <v>2732</v>
      </c>
      <c r="D38" s="68" t="s">
        <v>2733</v>
      </c>
    </row>
    <row r="39" spans="1:4">
      <c r="A39" s="204">
        <v>37</v>
      </c>
      <c r="B39" s="205" t="s">
        <v>2734</v>
      </c>
      <c r="C39" s="68" t="s">
        <v>2735</v>
      </c>
      <c r="D39" s="68" t="s">
        <v>2736</v>
      </c>
    </row>
    <row r="40" spans="1:4">
      <c r="A40" s="204">
        <v>38</v>
      </c>
      <c r="B40" s="205" t="s">
        <v>2737</v>
      </c>
      <c r="C40" s="68" t="s">
        <v>2738</v>
      </c>
      <c r="D40" s="68" t="s">
        <v>2739</v>
      </c>
    </row>
    <row r="41" spans="1:4">
      <c r="A41" s="204">
        <v>39</v>
      </c>
      <c r="B41" s="205" t="s">
        <v>2740</v>
      </c>
      <c r="C41" s="68" t="s">
        <v>2741</v>
      </c>
      <c r="D41" s="68" t="s">
        <v>2742</v>
      </c>
    </row>
    <row r="42" spans="1:4">
      <c r="A42" s="204">
        <v>40</v>
      </c>
      <c r="B42" s="205" t="s">
        <v>2743</v>
      </c>
      <c r="C42" s="68" t="s">
        <v>2744</v>
      </c>
      <c r="D42" s="68" t="s">
        <v>2745</v>
      </c>
    </row>
    <row r="43" spans="1:4">
      <c r="A43" s="204">
        <v>41</v>
      </c>
      <c r="B43" s="205" t="s">
        <v>2746</v>
      </c>
      <c r="C43" s="68" t="s">
        <v>2747</v>
      </c>
      <c r="D43" s="68" t="s">
        <v>2748</v>
      </c>
    </row>
    <row r="44" spans="1:4">
      <c r="A44" s="204">
        <v>42</v>
      </c>
      <c r="B44" s="205" t="s">
        <v>2749</v>
      </c>
      <c r="C44" s="68" t="s">
        <v>2750</v>
      </c>
      <c r="D44" s="68" t="s">
        <v>2751</v>
      </c>
    </row>
    <row r="45" spans="1:4">
      <c r="A45" s="204">
        <v>43</v>
      </c>
      <c r="B45" s="205" t="s">
        <v>2752</v>
      </c>
      <c r="C45" s="68" t="s">
        <v>2753</v>
      </c>
      <c r="D45" s="68" t="s">
        <v>2754</v>
      </c>
    </row>
    <row r="46" spans="1:4">
      <c r="A46" s="204">
        <v>44</v>
      </c>
      <c r="B46" s="205" t="s">
        <v>2755</v>
      </c>
      <c r="C46" s="68" t="s">
        <v>2756</v>
      </c>
      <c r="D46" s="68" t="s">
        <v>2757</v>
      </c>
    </row>
    <row r="47" spans="1:4">
      <c r="A47" s="204">
        <v>45</v>
      </c>
      <c r="B47" s="205" t="s">
        <v>2758</v>
      </c>
      <c r="C47" s="68" t="s">
        <v>2759</v>
      </c>
      <c r="D47" s="68" t="s">
        <v>2760</v>
      </c>
    </row>
    <row r="48" spans="1:4">
      <c r="A48" s="204">
        <v>46</v>
      </c>
      <c r="B48" s="205" t="s">
        <v>2761</v>
      </c>
      <c r="C48" s="68" t="s">
        <v>2762</v>
      </c>
      <c r="D48" s="68" t="s">
        <v>2763</v>
      </c>
    </row>
    <row r="49" spans="1:4">
      <c r="A49" s="204">
        <v>47</v>
      </c>
      <c r="B49" s="205" t="s">
        <v>2764</v>
      </c>
      <c r="C49" s="68" t="s">
        <v>2765</v>
      </c>
      <c r="D49" s="68" t="s">
        <v>2766</v>
      </c>
    </row>
    <row r="50" spans="1:4">
      <c r="A50" s="204">
        <v>48</v>
      </c>
      <c r="B50" s="205" t="s">
        <v>2767</v>
      </c>
      <c r="C50" s="68" t="s">
        <v>2768</v>
      </c>
      <c r="D50" s="68" t="s">
        <v>2769</v>
      </c>
    </row>
    <row r="51" spans="1:4">
      <c r="A51" s="204">
        <v>49</v>
      </c>
      <c r="B51" s="205" t="s">
        <v>2770</v>
      </c>
      <c r="C51" s="68" t="s">
        <v>2771</v>
      </c>
      <c r="D51" s="68" t="s">
        <v>2772</v>
      </c>
    </row>
    <row r="52" spans="1:4">
      <c r="A52" s="204">
        <v>50</v>
      </c>
      <c r="B52" s="205" t="s">
        <v>2773</v>
      </c>
      <c r="C52" s="68" t="s">
        <v>2774</v>
      </c>
      <c r="D52" s="68" t="s">
        <v>2775</v>
      </c>
    </row>
    <row r="53" spans="1:4">
      <c r="A53" s="204">
        <v>51</v>
      </c>
      <c r="B53" s="205" t="s">
        <v>2776</v>
      </c>
      <c r="C53" s="68" t="s">
        <v>2777</v>
      </c>
      <c r="D53" s="68" t="s">
        <v>2778</v>
      </c>
    </row>
    <row r="54" spans="1:4">
      <c r="A54" s="204">
        <v>52</v>
      </c>
      <c r="B54" s="205" t="s">
        <v>2779</v>
      </c>
      <c r="C54" s="68" t="s">
        <v>2780</v>
      </c>
      <c r="D54" s="68" t="s">
        <v>2781</v>
      </c>
    </row>
    <row r="55" spans="1:4">
      <c r="A55" s="204">
        <v>53</v>
      </c>
      <c r="B55" s="205" t="s">
        <v>2782</v>
      </c>
      <c r="C55" s="68" t="s">
        <v>2783</v>
      </c>
      <c r="D55" s="68" t="s">
        <v>2784</v>
      </c>
    </row>
    <row r="56" spans="1:4">
      <c r="A56" s="204">
        <v>54</v>
      </c>
      <c r="B56" s="205" t="s">
        <v>2785</v>
      </c>
      <c r="C56" s="68" t="s">
        <v>2786</v>
      </c>
      <c r="D56" s="68" t="s">
        <v>2787</v>
      </c>
    </row>
    <row r="57" spans="1:4">
      <c r="A57" s="204">
        <v>55</v>
      </c>
      <c r="B57" s="205" t="s">
        <v>2788</v>
      </c>
      <c r="C57" s="68" t="s">
        <v>2789</v>
      </c>
      <c r="D57" s="68" t="s">
        <v>2790</v>
      </c>
    </row>
    <row r="58" spans="1:4">
      <c r="A58" s="204">
        <v>56</v>
      </c>
      <c r="B58" s="205" t="s">
        <v>2791</v>
      </c>
      <c r="C58" s="68" t="s">
        <v>2792</v>
      </c>
      <c r="D58" s="68" t="s">
        <v>2793</v>
      </c>
    </row>
    <row r="59" spans="1:4">
      <c r="A59" s="204">
        <v>57</v>
      </c>
      <c r="B59" s="205" t="s">
        <v>2794</v>
      </c>
      <c r="C59" s="68" t="s">
        <v>2795</v>
      </c>
      <c r="D59" s="68" t="s">
        <v>2796</v>
      </c>
    </row>
    <row r="60" spans="1:4">
      <c r="A60" s="204">
        <v>58</v>
      </c>
      <c r="B60" s="205" t="s">
        <v>2797</v>
      </c>
      <c r="C60" s="68" t="s">
        <v>2798</v>
      </c>
      <c r="D60" s="68" t="s">
        <v>2799</v>
      </c>
    </row>
    <row r="61" spans="1:4">
      <c r="A61" s="204">
        <v>59</v>
      </c>
      <c r="B61" s="205" t="s">
        <v>2800</v>
      </c>
      <c r="C61" s="68" t="s">
        <v>2801</v>
      </c>
      <c r="D61" s="68" t="s">
        <v>2802</v>
      </c>
    </row>
    <row r="62" spans="1:4">
      <c r="A62" s="204">
        <v>60</v>
      </c>
      <c r="B62" s="205" t="s">
        <v>2803</v>
      </c>
      <c r="C62" s="68" t="s">
        <v>2804</v>
      </c>
      <c r="D62" s="68" t="s">
        <v>2805</v>
      </c>
    </row>
    <row r="63" spans="1:4">
      <c r="A63" s="204">
        <v>61</v>
      </c>
      <c r="B63" s="205" t="s">
        <v>2806</v>
      </c>
      <c r="C63" s="68" t="s">
        <v>2807</v>
      </c>
      <c r="D63" s="68" t="s">
        <v>2808</v>
      </c>
    </row>
    <row r="64" spans="1:4">
      <c r="A64" s="204">
        <v>62</v>
      </c>
      <c r="B64" s="205" t="s">
        <v>2809</v>
      </c>
      <c r="C64" s="68" t="s">
        <v>2810</v>
      </c>
      <c r="D64" s="68" t="s">
        <v>2811</v>
      </c>
    </row>
    <row r="65" spans="1:4">
      <c r="A65" s="204">
        <v>63</v>
      </c>
      <c r="B65" s="205" t="s">
        <v>2812</v>
      </c>
      <c r="C65" s="68" t="s">
        <v>2813</v>
      </c>
      <c r="D65" s="68" t="s">
        <v>2814</v>
      </c>
    </row>
    <row r="66" spans="1:4">
      <c r="A66" s="204">
        <v>64</v>
      </c>
      <c r="B66" s="205" t="s">
        <v>2815</v>
      </c>
      <c r="C66" s="68" t="s">
        <v>2816</v>
      </c>
      <c r="D66" s="68" t="s">
        <v>2817</v>
      </c>
    </row>
    <row r="67" spans="1:4">
      <c r="A67" s="204">
        <v>65</v>
      </c>
      <c r="B67" s="205" t="s">
        <v>2818</v>
      </c>
      <c r="C67" s="68" t="s">
        <v>2819</v>
      </c>
      <c r="D67" s="68" t="s">
        <v>2820</v>
      </c>
    </row>
    <row r="68" spans="1:4">
      <c r="A68" s="204">
        <v>66</v>
      </c>
      <c r="B68" s="205" t="s">
        <v>2821</v>
      </c>
      <c r="C68" s="68" t="s">
        <v>2822</v>
      </c>
      <c r="D68" s="68" t="s">
        <v>2823</v>
      </c>
    </row>
    <row r="69" spans="1:4">
      <c r="A69" s="204">
        <v>67</v>
      </c>
      <c r="B69" s="205" t="s">
        <v>2824</v>
      </c>
      <c r="C69" s="68" t="s">
        <v>2825</v>
      </c>
      <c r="D69" s="68" t="s">
        <v>2826</v>
      </c>
    </row>
    <row r="70" spans="1:4">
      <c r="A70" s="204">
        <v>68</v>
      </c>
      <c r="B70" s="205" t="s">
        <v>2827</v>
      </c>
      <c r="C70" s="68" t="s">
        <v>2828</v>
      </c>
      <c r="D70" s="68" t="s">
        <v>2829</v>
      </c>
    </row>
    <row r="71" spans="1:4">
      <c r="A71" s="204">
        <v>69</v>
      </c>
      <c r="B71" s="205" t="s">
        <v>2830</v>
      </c>
      <c r="C71" s="68" t="s">
        <v>2831</v>
      </c>
      <c r="D71" s="68" t="s">
        <v>2832</v>
      </c>
    </row>
    <row r="72" spans="1:4">
      <c r="A72" s="204">
        <v>70</v>
      </c>
      <c r="B72" s="205" t="s">
        <v>2833</v>
      </c>
      <c r="C72" s="68" t="s">
        <v>2834</v>
      </c>
      <c r="D72" s="68" t="s">
        <v>2835</v>
      </c>
    </row>
    <row r="73" spans="1:4">
      <c r="A73" s="204">
        <v>71</v>
      </c>
      <c r="B73" s="205" t="s">
        <v>2836</v>
      </c>
      <c r="C73" s="68" t="s">
        <v>2837</v>
      </c>
      <c r="D73" s="68" t="s">
        <v>2838</v>
      </c>
    </row>
    <row r="74" spans="1:4">
      <c r="A74" s="204">
        <v>72</v>
      </c>
      <c r="B74" s="205" t="s">
        <v>2839</v>
      </c>
      <c r="C74" s="68" t="s">
        <v>2840</v>
      </c>
      <c r="D74" s="68" t="s">
        <v>2841</v>
      </c>
    </row>
    <row r="75" spans="1:4">
      <c r="A75" s="204">
        <v>73</v>
      </c>
      <c r="B75" s="205" t="s">
        <v>2842</v>
      </c>
      <c r="C75" s="68" t="s">
        <v>2843</v>
      </c>
      <c r="D75" s="68" t="s">
        <v>2844</v>
      </c>
    </row>
    <row r="76" spans="1:4">
      <c r="A76" s="204">
        <v>74</v>
      </c>
      <c r="B76" s="205" t="s">
        <v>2845</v>
      </c>
      <c r="C76" s="68" t="s">
        <v>2846</v>
      </c>
      <c r="D76" s="68" t="s">
        <v>2847</v>
      </c>
    </row>
    <row r="77" spans="1:4">
      <c r="A77" s="204">
        <v>75</v>
      </c>
      <c r="B77" s="205" t="s">
        <v>2848</v>
      </c>
      <c r="C77" s="68" t="s">
        <v>2849</v>
      </c>
      <c r="D77" s="68" t="s">
        <v>2850</v>
      </c>
    </row>
    <row r="78" spans="1:4">
      <c r="A78" s="204">
        <v>76</v>
      </c>
      <c r="B78" s="205" t="s">
        <v>2851</v>
      </c>
      <c r="C78" s="68" t="s">
        <v>2852</v>
      </c>
      <c r="D78" s="68" t="s">
        <v>2853</v>
      </c>
    </row>
    <row r="79" spans="1:4">
      <c r="A79" s="204">
        <v>77</v>
      </c>
      <c r="B79" s="205" t="s">
        <v>2854</v>
      </c>
      <c r="C79" s="68" t="s">
        <v>2855</v>
      </c>
      <c r="D79" s="68" t="s">
        <v>2856</v>
      </c>
    </row>
    <row r="80" spans="1:4">
      <c r="A80" s="204">
        <v>78</v>
      </c>
      <c r="B80" s="205" t="s">
        <v>2857</v>
      </c>
      <c r="C80" s="68" t="s">
        <v>2858</v>
      </c>
      <c r="D80" s="68" t="s">
        <v>2859</v>
      </c>
    </row>
    <row r="81" spans="1:4">
      <c r="A81" s="204">
        <v>79</v>
      </c>
      <c r="B81" s="205" t="s">
        <v>2860</v>
      </c>
      <c r="C81" s="68" t="s">
        <v>2861</v>
      </c>
      <c r="D81" s="68" t="s">
        <v>2862</v>
      </c>
    </row>
    <row r="82" spans="1:4">
      <c r="A82" s="204">
        <v>80</v>
      </c>
      <c r="B82" s="205" t="s">
        <v>2863</v>
      </c>
      <c r="C82" s="68" t="s">
        <v>2864</v>
      </c>
      <c r="D82" s="68" t="s">
        <v>2865</v>
      </c>
    </row>
    <row r="83" spans="1:4">
      <c r="A83" s="204">
        <v>81</v>
      </c>
      <c r="B83" s="205" t="s">
        <v>2866</v>
      </c>
      <c r="C83" s="68" t="s">
        <v>2867</v>
      </c>
      <c r="D83" s="68" t="s">
        <v>2868</v>
      </c>
    </row>
    <row r="84" spans="1:4">
      <c r="A84" s="204">
        <v>82</v>
      </c>
      <c r="B84" s="205" t="s">
        <v>2869</v>
      </c>
      <c r="C84" s="68" t="s">
        <v>2870</v>
      </c>
      <c r="D84" s="68" t="s">
        <v>2871</v>
      </c>
    </row>
    <row r="85" spans="1:4">
      <c r="A85" s="204">
        <v>83</v>
      </c>
      <c r="B85" s="205" t="s">
        <v>2872</v>
      </c>
      <c r="C85" s="68" t="s">
        <v>2873</v>
      </c>
      <c r="D85" s="68" t="s">
        <v>2874</v>
      </c>
    </row>
    <row r="86" spans="1:4">
      <c r="A86" s="204">
        <v>84</v>
      </c>
      <c r="B86" s="205" t="s">
        <v>2875</v>
      </c>
      <c r="C86" s="68" t="s">
        <v>2876</v>
      </c>
      <c r="D86" s="68" t="s">
        <v>2877</v>
      </c>
    </row>
    <row r="87" spans="1:4">
      <c r="A87" s="204">
        <v>85</v>
      </c>
      <c r="B87" s="205" t="s">
        <v>2878</v>
      </c>
      <c r="C87" s="68" t="s">
        <v>2879</v>
      </c>
      <c r="D87" s="68" t="s">
        <v>2880</v>
      </c>
    </row>
    <row r="88" spans="1:4">
      <c r="A88" s="204">
        <v>86</v>
      </c>
      <c r="B88" s="205" t="s">
        <v>2881</v>
      </c>
      <c r="C88" s="68" t="s">
        <v>2882</v>
      </c>
      <c r="D88" s="68" t="s">
        <v>2883</v>
      </c>
    </row>
    <row r="89" spans="1:4">
      <c r="A89" s="204">
        <v>87</v>
      </c>
      <c r="B89" s="205" t="s">
        <v>2884</v>
      </c>
      <c r="C89" s="68" t="s">
        <v>2885</v>
      </c>
      <c r="D89" s="68" t="s">
        <v>2886</v>
      </c>
    </row>
    <row r="90" spans="1:4">
      <c r="A90" s="204">
        <v>88</v>
      </c>
      <c r="B90" s="205" t="s">
        <v>2887</v>
      </c>
      <c r="C90" s="68" t="s">
        <v>2888</v>
      </c>
      <c r="D90" s="68" t="s">
        <v>2889</v>
      </c>
    </row>
    <row r="91" spans="1:4">
      <c r="A91" s="204">
        <v>89</v>
      </c>
      <c r="B91" s="205" t="s">
        <v>2890</v>
      </c>
      <c r="C91" s="68" t="s">
        <v>2891</v>
      </c>
      <c r="D91" s="68" t="s">
        <v>2892</v>
      </c>
    </row>
    <row r="92" spans="1:4">
      <c r="A92" s="204">
        <v>90</v>
      </c>
      <c r="B92" s="205" t="s">
        <v>2893</v>
      </c>
      <c r="C92" s="68" t="s">
        <v>2894</v>
      </c>
      <c r="D92" s="68" t="s">
        <v>2895</v>
      </c>
    </row>
    <row r="93" spans="1:4">
      <c r="A93" s="204">
        <v>91</v>
      </c>
      <c r="B93" s="205" t="s">
        <v>2896</v>
      </c>
      <c r="C93" s="68" t="s">
        <v>2897</v>
      </c>
      <c r="D93" s="68" t="s">
        <v>2898</v>
      </c>
    </row>
    <row r="94" spans="1:4">
      <c r="A94" s="204">
        <v>92</v>
      </c>
      <c r="B94" s="205" t="s">
        <v>2899</v>
      </c>
      <c r="C94" s="68" t="s">
        <v>2900</v>
      </c>
      <c r="D94" s="68" t="s">
        <v>2901</v>
      </c>
    </row>
    <row r="95" spans="1:4">
      <c r="A95" s="204">
        <v>93</v>
      </c>
      <c r="B95" s="205" t="s">
        <v>2902</v>
      </c>
      <c r="C95" s="68" t="s">
        <v>2903</v>
      </c>
      <c r="D95" s="68" t="s">
        <v>2904</v>
      </c>
    </row>
    <row r="96" spans="1:4">
      <c r="A96" s="204">
        <v>94</v>
      </c>
      <c r="B96" s="205" t="s">
        <v>2905</v>
      </c>
      <c r="C96" s="68" t="s">
        <v>2906</v>
      </c>
      <c r="D96" s="68" t="s">
        <v>2907</v>
      </c>
    </row>
    <row r="97" spans="1:4">
      <c r="A97" s="204">
        <v>95</v>
      </c>
      <c r="B97" s="205" t="s">
        <v>2908</v>
      </c>
      <c r="C97" s="68" t="s">
        <v>2909</v>
      </c>
      <c r="D97" s="68" t="s">
        <v>2910</v>
      </c>
    </row>
    <row r="98" spans="1:4">
      <c r="A98" s="204">
        <v>96</v>
      </c>
      <c r="B98" s="205" t="s">
        <v>2911</v>
      </c>
      <c r="C98" s="68" t="s">
        <v>2912</v>
      </c>
      <c r="D98" s="68" t="s">
        <v>2913</v>
      </c>
    </row>
    <row r="99" spans="1:4">
      <c r="A99" s="204">
        <v>97</v>
      </c>
      <c r="B99" s="205" t="s">
        <v>2914</v>
      </c>
      <c r="C99" s="68" t="s">
        <v>2915</v>
      </c>
      <c r="D99" s="68" t="s">
        <v>2916</v>
      </c>
    </row>
    <row r="100" spans="1:4">
      <c r="A100" s="204">
        <v>98</v>
      </c>
      <c r="B100" s="205" t="s">
        <v>2917</v>
      </c>
      <c r="C100" s="68" t="s">
        <v>2918</v>
      </c>
      <c r="D100" s="68" t="s">
        <v>2919</v>
      </c>
    </row>
    <row r="101" spans="1:4">
      <c r="A101" s="204">
        <v>99</v>
      </c>
      <c r="B101" s="205" t="s">
        <v>2920</v>
      </c>
      <c r="C101" s="68" t="s">
        <v>2921</v>
      </c>
      <c r="D101" s="68" t="s">
        <v>2922</v>
      </c>
    </row>
    <row r="102" spans="1:4">
      <c r="A102" s="204">
        <v>100</v>
      </c>
      <c r="B102" s="205" t="s">
        <v>2923</v>
      </c>
      <c r="C102" s="68" t="s">
        <v>2924</v>
      </c>
      <c r="D102" s="68" t="s">
        <v>2925</v>
      </c>
    </row>
    <row r="103" spans="1:4">
      <c r="A103" s="204">
        <v>101</v>
      </c>
      <c r="B103" s="205" t="s">
        <v>2926</v>
      </c>
      <c r="C103" s="68" t="s">
        <v>2927</v>
      </c>
      <c r="D103" s="68" t="s">
        <v>2928</v>
      </c>
    </row>
    <row r="104" spans="1:4">
      <c r="A104" s="204">
        <v>102</v>
      </c>
      <c r="B104" s="205" t="s">
        <v>2929</v>
      </c>
      <c r="C104" s="68" t="s">
        <v>2930</v>
      </c>
      <c r="D104" s="68" t="s">
        <v>2931</v>
      </c>
    </row>
    <row r="105" spans="1:4">
      <c r="A105" s="204">
        <v>103</v>
      </c>
      <c r="B105" s="205" t="s">
        <v>2932</v>
      </c>
      <c r="C105" s="68" t="s">
        <v>2933</v>
      </c>
      <c r="D105" s="68" t="s">
        <v>2934</v>
      </c>
    </row>
    <row r="106" spans="1:4">
      <c r="A106" s="204">
        <v>104</v>
      </c>
      <c r="B106" s="205" t="s">
        <v>2935</v>
      </c>
      <c r="C106" s="68" t="s">
        <v>2936</v>
      </c>
      <c r="D106" s="68" t="s">
        <v>2937</v>
      </c>
    </row>
    <row r="107" spans="1:4">
      <c r="A107" s="204">
        <v>105</v>
      </c>
      <c r="B107" s="205" t="s">
        <v>2938</v>
      </c>
      <c r="C107" s="68" t="s">
        <v>2939</v>
      </c>
      <c r="D107" s="68" t="s">
        <v>2940</v>
      </c>
    </row>
    <row r="108" spans="1:4">
      <c r="A108" s="204">
        <v>106</v>
      </c>
      <c r="B108" s="205" t="s">
        <v>2941</v>
      </c>
      <c r="C108" s="68" t="s">
        <v>2942</v>
      </c>
      <c r="D108" s="68" t="s">
        <v>2943</v>
      </c>
    </row>
    <row r="109" spans="1:4">
      <c r="A109" s="204">
        <v>107</v>
      </c>
      <c r="B109" s="205" t="s">
        <v>2944</v>
      </c>
      <c r="C109" s="68" t="s">
        <v>2945</v>
      </c>
      <c r="D109" s="68" t="s">
        <v>2946</v>
      </c>
    </row>
    <row r="110" spans="1:4">
      <c r="A110" s="204">
        <v>108</v>
      </c>
      <c r="B110" s="205" t="s">
        <v>2947</v>
      </c>
      <c r="C110" s="68" t="s">
        <v>2948</v>
      </c>
      <c r="D110" s="68" t="s">
        <v>2949</v>
      </c>
    </row>
    <row r="111" spans="1:4">
      <c r="A111" s="204">
        <v>109</v>
      </c>
      <c r="B111" s="205" t="s">
        <v>2950</v>
      </c>
      <c r="C111" s="68" t="s">
        <v>2951</v>
      </c>
      <c r="D111" s="68" t="s">
        <v>2952</v>
      </c>
    </row>
    <row r="112" spans="1:4">
      <c r="A112" s="204">
        <v>110</v>
      </c>
      <c r="B112" s="205" t="s">
        <v>2953</v>
      </c>
      <c r="C112" s="68" t="s">
        <v>2954</v>
      </c>
      <c r="D112" s="68" t="s">
        <v>2955</v>
      </c>
    </row>
    <row r="113" spans="1:4">
      <c r="A113" s="204">
        <v>111</v>
      </c>
      <c r="B113" s="205" t="s">
        <v>2956</v>
      </c>
      <c r="C113" s="68" t="s">
        <v>2957</v>
      </c>
      <c r="D113" s="68" t="s">
        <v>2958</v>
      </c>
    </row>
    <row r="114" spans="1:4">
      <c r="A114" s="204">
        <v>112</v>
      </c>
      <c r="B114" s="205" t="s">
        <v>2959</v>
      </c>
      <c r="C114" s="68" t="s">
        <v>2960</v>
      </c>
      <c r="D114" s="68" t="s">
        <v>2961</v>
      </c>
    </row>
    <row r="115" spans="1:4">
      <c r="A115" s="204">
        <v>113</v>
      </c>
      <c r="B115" s="205" t="s">
        <v>2962</v>
      </c>
      <c r="C115" s="68" t="s">
        <v>2963</v>
      </c>
      <c r="D115" s="68" t="s">
        <v>2964</v>
      </c>
    </row>
    <row r="116" spans="1:4">
      <c r="A116" s="204">
        <v>114</v>
      </c>
      <c r="B116" s="205" t="s">
        <v>2965</v>
      </c>
      <c r="C116" s="68" t="s">
        <v>2966</v>
      </c>
      <c r="D116" s="68" t="s">
        <v>2967</v>
      </c>
    </row>
    <row r="117" spans="1:4">
      <c r="A117" s="204">
        <v>115</v>
      </c>
      <c r="B117" s="205" t="s">
        <v>2968</v>
      </c>
      <c r="C117" s="68" t="s">
        <v>2969</v>
      </c>
      <c r="D117" s="68" t="s">
        <v>2970</v>
      </c>
    </row>
    <row r="118" spans="1:4">
      <c r="A118" s="204">
        <v>116</v>
      </c>
      <c r="B118" s="205" t="s">
        <v>2971</v>
      </c>
      <c r="C118" s="68" t="s">
        <v>2972</v>
      </c>
      <c r="D118" s="68" t="s">
        <v>2973</v>
      </c>
    </row>
    <row r="119" spans="1:4">
      <c r="A119" s="204">
        <v>117</v>
      </c>
      <c r="B119" s="205" t="s">
        <v>2974</v>
      </c>
      <c r="C119" s="68" t="s">
        <v>2975</v>
      </c>
      <c r="D119" s="68" t="s">
        <v>2976</v>
      </c>
    </row>
    <row r="120" spans="1:4">
      <c r="A120" s="204">
        <v>118</v>
      </c>
      <c r="B120" s="205" t="s">
        <v>2977</v>
      </c>
      <c r="C120" s="68" t="s">
        <v>2978</v>
      </c>
      <c r="D120" s="68" t="s">
        <v>2979</v>
      </c>
    </row>
    <row r="121" spans="1:4">
      <c r="A121" s="204">
        <v>119</v>
      </c>
      <c r="B121" s="205" t="s">
        <v>2980</v>
      </c>
      <c r="C121" s="68" t="s">
        <v>2981</v>
      </c>
      <c r="D121" s="68" t="s">
        <v>2982</v>
      </c>
    </row>
    <row r="122" spans="1:4">
      <c r="A122" s="204">
        <v>120</v>
      </c>
      <c r="B122" s="205" t="s">
        <v>2983</v>
      </c>
      <c r="C122" s="68" t="s">
        <v>2984</v>
      </c>
      <c r="D122" s="68" t="s">
        <v>2985</v>
      </c>
    </row>
    <row r="123" spans="1:4">
      <c r="A123" s="204">
        <v>121</v>
      </c>
      <c r="B123" s="205" t="s">
        <v>2986</v>
      </c>
      <c r="C123" s="68" t="s">
        <v>2987</v>
      </c>
      <c r="D123" s="68" t="s">
        <v>2988</v>
      </c>
    </row>
    <row r="124" spans="1:4">
      <c r="A124" s="204">
        <v>122</v>
      </c>
      <c r="B124" s="205" t="s">
        <v>2989</v>
      </c>
      <c r="C124" s="68" t="s">
        <v>2990</v>
      </c>
      <c r="D124" s="68" t="s">
        <v>2991</v>
      </c>
    </row>
    <row r="125" spans="1:4">
      <c r="A125" s="204">
        <v>123</v>
      </c>
      <c r="B125" s="205" t="s">
        <v>2992</v>
      </c>
      <c r="C125" s="68" t="s">
        <v>2993</v>
      </c>
      <c r="D125" s="68" t="s">
        <v>2994</v>
      </c>
    </row>
    <row r="126" spans="1:4">
      <c r="A126" s="204">
        <v>124</v>
      </c>
      <c r="B126" s="205" t="s">
        <v>2995</v>
      </c>
      <c r="C126" s="68" t="s">
        <v>2996</v>
      </c>
      <c r="D126" s="68" t="s">
        <v>2997</v>
      </c>
    </row>
    <row r="127" spans="1:4">
      <c r="A127" s="204">
        <v>125</v>
      </c>
      <c r="B127" s="205" t="s">
        <v>2998</v>
      </c>
      <c r="C127" s="68" t="s">
        <v>2999</v>
      </c>
      <c r="D127" s="68" t="s">
        <v>3000</v>
      </c>
    </row>
    <row r="128" spans="1:4">
      <c r="A128" s="204">
        <v>126</v>
      </c>
      <c r="B128" s="205" t="s">
        <v>3001</v>
      </c>
      <c r="C128" s="68" t="s">
        <v>3002</v>
      </c>
      <c r="D128" s="68" t="s">
        <v>3003</v>
      </c>
    </row>
    <row r="129" spans="1:4">
      <c r="A129" s="204">
        <v>127</v>
      </c>
      <c r="B129" s="205" t="s">
        <v>3004</v>
      </c>
      <c r="C129" s="68" t="s">
        <v>3005</v>
      </c>
      <c r="D129" s="68" t="s">
        <v>3006</v>
      </c>
    </row>
    <row r="130" spans="1:4">
      <c r="A130" s="204">
        <v>128</v>
      </c>
      <c r="B130" s="205" t="s">
        <v>3007</v>
      </c>
      <c r="C130" s="68" t="s">
        <v>3008</v>
      </c>
      <c r="D130" s="68" t="s">
        <v>3009</v>
      </c>
    </row>
    <row r="131" spans="1:4">
      <c r="A131" s="204">
        <v>129</v>
      </c>
      <c r="B131" s="205" t="s">
        <v>3010</v>
      </c>
      <c r="C131" s="68" t="s">
        <v>3011</v>
      </c>
      <c r="D131" s="68" t="s">
        <v>3012</v>
      </c>
    </row>
    <row r="132" spans="1:4">
      <c r="A132" s="204">
        <v>130</v>
      </c>
      <c r="B132" s="205" t="s">
        <v>3013</v>
      </c>
      <c r="C132" s="68" t="s">
        <v>3014</v>
      </c>
      <c r="D132" s="68" t="s">
        <v>3015</v>
      </c>
    </row>
    <row r="133" spans="1:4">
      <c r="A133" s="204">
        <v>131</v>
      </c>
      <c r="B133" s="205" t="s">
        <v>3016</v>
      </c>
      <c r="C133" s="68" t="s">
        <v>3017</v>
      </c>
      <c r="D133" s="68" t="s">
        <v>3018</v>
      </c>
    </row>
    <row r="134" spans="1:4">
      <c r="A134" s="204">
        <v>132</v>
      </c>
      <c r="B134" s="205" t="s">
        <v>3019</v>
      </c>
      <c r="C134" s="68" t="s">
        <v>3020</v>
      </c>
      <c r="D134" s="68" t="s">
        <v>3021</v>
      </c>
    </row>
    <row r="135" spans="1:4">
      <c r="A135" s="204">
        <v>133</v>
      </c>
      <c r="B135" s="205" t="s">
        <v>3022</v>
      </c>
      <c r="C135" s="68" t="s">
        <v>3023</v>
      </c>
      <c r="D135" s="68" t="s">
        <v>3024</v>
      </c>
    </row>
    <row r="136" spans="1:4">
      <c r="A136" s="204">
        <v>134</v>
      </c>
      <c r="B136" s="205" t="s">
        <v>3025</v>
      </c>
      <c r="C136" s="68" t="s">
        <v>3026</v>
      </c>
      <c r="D136" s="68" t="s">
        <v>3027</v>
      </c>
    </row>
    <row r="137" spans="1:4">
      <c r="A137" s="204">
        <v>135</v>
      </c>
      <c r="B137" s="205" t="s">
        <v>3028</v>
      </c>
      <c r="C137" s="68" t="s">
        <v>3029</v>
      </c>
      <c r="D137" s="68" t="s">
        <v>3030</v>
      </c>
    </row>
    <row r="138" spans="1:4">
      <c r="A138" s="204">
        <v>136</v>
      </c>
      <c r="B138" s="205" t="s">
        <v>3031</v>
      </c>
      <c r="C138" s="68" t="s">
        <v>3032</v>
      </c>
      <c r="D138" s="68" t="s">
        <v>3033</v>
      </c>
    </row>
    <row r="139" spans="1:4">
      <c r="A139" s="204">
        <v>137</v>
      </c>
      <c r="B139" s="205" t="s">
        <v>3034</v>
      </c>
      <c r="C139" s="68" t="s">
        <v>3035</v>
      </c>
      <c r="D139" s="68" t="s">
        <v>3036</v>
      </c>
    </row>
    <row r="140" spans="1:4">
      <c r="A140" s="204">
        <v>138</v>
      </c>
      <c r="B140" s="205" t="s">
        <v>3037</v>
      </c>
      <c r="C140" s="68" t="s">
        <v>3038</v>
      </c>
      <c r="D140" s="68" t="s">
        <v>3039</v>
      </c>
    </row>
    <row r="141" spans="1:4">
      <c r="A141" s="204">
        <v>139</v>
      </c>
      <c r="B141" s="205" t="s">
        <v>3040</v>
      </c>
      <c r="C141" s="68" t="s">
        <v>3041</v>
      </c>
      <c r="D141" s="68" t="s">
        <v>3042</v>
      </c>
    </row>
    <row r="142" spans="1:4">
      <c r="A142" s="204">
        <v>140</v>
      </c>
      <c r="B142" s="205" t="s">
        <v>3043</v>
      </c>
      <c r="C142" s="68" t="s">
        <v>3044</v>
      </c>
      <c r="D142" s="68" t="s">
        <v>3045</v>
      </c>
    </row>
    <row r="143" spans="1:4">
      <c r="A143" s="204">
        <v>141</v>
      </c>
      <c r="B143" s="205" t="s">
        <v>3046</v>
      </c>
      <c r="C143" s="68" t="s">
        <v>3047</v>
      </c>
      <c r="D143" s="68" t="s">
        <v>3048</v>
      </c>
    </row>
    <row r="144" spans="1:4">
      <c r="A144" s="204">
        <v>142</v>
      </c>
      <c r="B144" s="205" t="s">
        <v>3049</v>
      </c>
      <c r="C144" s="68" t="s">
        <v>3050</v>
      </c>
      <c r="D144" s="68" t="s">
        <v>3051</v>
      </c>
    </row>
    <row r="145" spans="1:4">
      <c r="A145" s="204">
        <v>143</v>
      </c>
      <c r="B145" s="205" t="s">
        <v>3052</v>
      </c>
      <c r="C145" s="68" t="s">
        <v>3053</v>
      </c>
      <c r="D145" s="68" t="s">
        <v>3054</v>
      </c>
    </row>
    <row r="146" spans="1:4">
      <c r="A146" s="204">
        <v>144</v>
      </c>
      <c r="B146" s="205" t="s">
        <v>3055</v>
      </c>
      <c r="C146" s="68" t="s">
        <v>3056</v>
      </c>
      <c r="D146" s="68" t="s">
        <v>3057</v>
      </c>
    </row>
    <row r="147" spans="1:4">
      <c r="A147" s="204">
        <v>145</v>
      </c>
      <c r="B147" s="205" t="s">
        <v>3058</v>
      </c>
      <c r="C147" s="68" t="s">
        <v>3059</v>
      </c>
      <c r="D147" s="68" t="s">
        <v>3060</v>
      </c>
    </row>
    <row r="148" spans="1:4">
      <c r="A148" s="204">
        <v>146</v>
      </c>
      <c r="B148" s="205" t="s">
        <v>3061</v>
      </c>
      <c r="C148" s="68" t="s">
        <v>3062</v>
      </c>
      <c r="D148" s="68" t="s">
        <v>3063</v>
      </c>
    </row>
    <row r="149" spans="1:4">
      <c r="A149" s="204">
        <v>147</v>
      </c>
      <c r="B149" s="205" t="s">
        <v>3064</v>
      </c>
      <c r="C149" s="68" t="s">
        <v>3065</v>
      </c>
      <c r="D149" s="68" t="s">
        <v>3066</v>
      </c>
    </row>
    <row r="150" spans="1:4">
      <c r="A150" s="204">
        <v>148</v>
      </c>
      <c r="B150" s="205" t="s">
        <v>3067</v>
      </c>
      <c r="C150" s="68" t="s">
        <v>3068</v>
      </c>
      <c r="D150" s="68" t="s">
        <v>3069</v>
      </c>
    </row>
    <row r="151" spans="1:4">
      <c r="A151" s="204">
        <v>149</v>
      </c>
      <c r="B151" s="205" t="s">
        <v>3070</v>
      </c>
      <c r="C151" s="68" t="s">
        <v>3071</v>
      </c>
      <c r="D151" s="68" t="s">
        <v>3072</v>
      </c>
    </row>
    <row r="152" spans="1:4">
      <c r="A152" s="204">
        <v>150</v>
      </c>
      <c r="B152" s="205" t="s">
        <v>3073</v>
      </c>
      <c r="C152" s="68" t="s">
        <v>3074</v>
      </c>
      <c r="D152" s="68" t="s">
        <v>3075</v>
      </c>
    </row>
    <row r="153" spans="1:4">
      <c r="A153" s="204">
        <v>151</v>
      </c>
      <c r="B153" s="205" t="s">
        <v>3076</v>
      </c>
      <c r="C153" s="68" t="s">
        <v>3077</v>
      </c>
      <c r="D153" s="68" t="s">
        <v>3078</v>
      </c>
    </row>
    <row r="154" spans="1:4">
      <c r="A154" s="204">
        <v>152</v>
      </c>
      <c r="B154" s="205" t="s">
        <v>3079</v>
      </c>
      <c r="C154" s="68" t="s">
        <v>3080</v>
      </c>
      <c r="D154" s="68" t="s">
        <v>3081</v>
      </c>
    </row>
    <row r="155" spans="1:4">
      <c r="A155" s="204">
        <v>153</v>
      </c>
      <c r="B155" s="205" t="s">
        <v>3082</v>
      </c>
      <c r="C155" s="68" t="s">
        <v>3083</v>
      </c>
      <c r="D155" s="68" t="s">
        <v>3084</v>
      </c>
    </row>
    <row r="156" spans="1:4">
      <c r="A156" s="204">
        <v>154</v>
      </c>
      <c r="B156" s="205" t="s">
        <v>3085</v>
      </c>
      <c r="C156" s="68" t="s">
        <v>3086</v>
      </c>
      <c r="D156" s="68" t="s">
        <v>3087</v>
      </c>
    </row>
    <row r="157" spans="1:4">
      <c r="A157" s="204">
        <v>155</v>
      </c>
      <c r="B157" s="205" t="s">
        <v>3088</v>
      </c>
      <c r="C157" s="68" t="s">
        <v>3089</v>
      </c>
      <c r="D157" s="68" t="s">
        <v>3090</v>
      </c>
    </row>
    <row r="158" spans="1:4">
      <c r="A158" s="204">
        <v>156</v>
      </c>
      <c r="B158" s="205" t="s">
        <v>3091</v>
      </c>
      <c r="C158" s="68" t="s">
        <v>3092</v>
      </c>
      <c r="D158" s="68" t="s">
        <v>3093</v>
      </c>
    </row>
    <row r="159" spans="1:4">
      <c r="A159" s="204">
        <v>157</v>
      </c>
      <c r="B159" s="205" t="s">
        <v>3094</v>
      </c>
      <c r="C159" s="68" t="s">
        <v>3095</v>
      </c>
      <c r="D159" s="68" t="s">
        <v>3096</v>
      </c>
    </row>
    <row r="160" spans="1:4">
      <c r="A160" s="204">
        <v>158</v>
      </c>
      <c r="B160" s="205" t="s">
        <v>3097</v>
      </c>
      <c r="C160" s="68" t="s">
        <v>3098</v>
      </c>
      <c r="D160" s="68" t="s">
        <v>3099</v>
      </c>
    </row>
    <row r="161" spans="1:4">
      <c r="A161" s="204">
        <v>159</v>
      </c>
      <c r="B161" s="205" t="s">
        <v>3100</v>
      </c>
      <c r="C161" s="68" t="s">
        <v>3101</v>
      </c>
      <c r="D161" s="68" t="s">
        <v>3102</v>
      </c>
    </row>
    <row r="162" spans="1:4">
      <c r="A162" s="204">
        <v>160</v>
      </c>
      <c r="B162" s="205" t="s">
        <v>3103</v>
      </c>
      <c r="C162" s="68" t="s">
        <v>3104</v>
      </c>
      <c r="D162" s="68" t="s">
        <v>3105</v>
      </c>
    </row>
    <row r="163" spans="1:4">
      <c r="A163" s="204">
        <v>161</v>
      </c>
      <c r="B163" s="205" t="s">
        <v>3106</v>
      </c>
      <c r="C163" s="68" t="s">
        <v>3107</v>
      </c>
      <c r="D163" s="68" t="s">
        <v>3108</v>
      </c>
    </row>
    <row r="164" spans="1:4">
      <c r="A164" s="204">
        <v>162</v>
      </c>
      <c r="B164" s="205" t="s">
        <v>3109</v>
      </c>
      <c r="C164" s="68" t="s">
        <v>3110</v>
      </c>
      <c r="D164" s="68" t="s">
        <v>3111</v>
      </c>
    </row>
    <row r="165" spans="1:4">
      <c r="A165" s="204">
        <v>163</v>
      </c>
      <c r="B165" s="205" t="s">
        <v>3112</v>
      </c>
      <c r="C165" s="68" t="s">
        <v>3113</v>
      </c>
      <c r="D165" s="68" t="s">
        <v>3114</v>
      </c>
    </row>
    <row r="166" spans="1:4">
      <c r="A166" s="204">
        <v>164</v>
      </c>
      <c r="B166" s="205" t="s">
        <v>3115</v>
      </c>
      <c r="C166" s="68" t="s">
        <v>3116</v>
      </c>
      <c r="D166" s="68" t="s">
        <v>3117</v>
      </c>
    </row>
    <row r="167" spans="1:4">
      <c r="A167" s="204">
        <v>165</v>
      </c>
      <c r="B167" s="205" t="s">
        <v>3118</v>
      </c>
      <c r="C167" s="68" t="s">
        <v>3119</v>
      </c>
      <c r="D167" s="68" t="s">
        <v>3120</v>
      </c>
    </row>
    <row r="168" spans="1:4">
      <c r="A168" s="204">
        <v>166</v>
      </c>
      <c r="B168" s="205" t="s">
        <v>3121</v>
      </c>
      <c r="C168" s="68" t="s">
        <v>3122</v>
      </c>
      <c r="D168" s="68" t="s">
        <v>3123</v>
      </c>
    </row>
    <row r="169" spans="1:4">
      <c r="A169" s="204">
        <v>167</v>
      </c>
      <c r="B169" s="205" t="s">
        <v>3124</v>
      </c>
      <c r="C169" s="68" t="s">
        <v>3125</v>
      </c>
      <c r="D169" s="68" t="s">
        <v>3126</v>
      </c>
    </row>
    <row r="170" spans="1:4">
      <c r="A170" s="204">
        <v>168</v>
      </c>
      <c r="B170" s="205" t="s">
        <v>3127</v>
      </c>
      <c r="C170" s="68" t="s">
        <v>3128</v>
      </c>
      <c r="D170" s="68" t="s">
        <v>3129</v>
      </c>
    </row>
    <row r="171" spans="1:4">
      <c r="A171" s="204">
        <v>169</v>
      </c>
      <c r="B171" s="205" t="s">
        <v>3130</v>
      </c>
      <c r="C171" s="68" t="s">
        <v>3131</v>
      </c>
      <c r="D171" s="68" t="s">
        <v>3132</v>
      </c>
    </row>
    <row r="172" spans="1:4">
      <c r="A172" s="204">
        <v>170</v>
      </c>
      <c r="B172" s="205" t="s">
        <v>3133</v>
      </c>
      <c r="C172" s="68" t="s">
        <v>3134</v>
      </c>
      <c r="D172" s="68" t="s">
        <v>3135</v>
      </c>
    </row>
    <row r="173" spans="1:4">
      <c r="A173" s="204">
        <v>171</v>
      </c>
      <c r="B173" s="205" t="s">
        <v>3136</v>
      </c>
      <c r="C173" s="68" t="s">
        <v>3137</v>
      </c>
      <c r="D173" s="68" t="s">
        <v>3138</v>
      </c>
    </row>
    <row r="174" spans="1:4">
      <c r="A174" s="204">
        <v>172</v>
      </c>
      <c r="B174" s="205" t="s">
        <v>3139</v>
      </c>
      <c r="C174" s="68" t="s">
        <v>3140</v>
      </c>
      <c r="D174" s="68" t="s">
        <v>3141</v>
      </c>
    </row>
    <row r="175" spans="1:4">
      <c r="A175" s="204">
        <v>173</v>
      </c>
      <c r="B175" s="205" t="s">
        <v>3142</v>
      </c>
      <c r="C175" s="68" t="s">
        <v>3143</v>
      </c>
      <c r="D175" s="68" t="s">
        <v>3144</v>
      </c>
    </row>
    <row r="176" spans="1:4">
      <c r="A176" s="204">
        <v>174</v>
      </c>
      <c r="B176" s="205" t="s">
        <v>3145</v>
      </c>
      <c r="C176" s="68" t="s">
        <v>3146</v>
      </c>
      <c r="D176" s="68" t="s">
        <v>3147</v>
      </c>
    </row>
    <row r="177" spans="1:4">
      <c r="A177" s="204">
        <v>175</v>
      </c>
      <c r="B177" s="205" t="s">
        <v>3148</v>
      </c>
      <c r="C177" s="68" t="s">
        <v>3149</v>
      </c>
      <c r="D177" s="68" t="s">
        <v>3150</v>
      </c>
    </row>
    <row r="178" spans="1:4">
      <c r="A178" s="204">
        <v>176</v>
      </c>
      <c r="B178" s="205" t="s">
        <v>3151</v>
      </c>
      <c r="C178" s="68" t="s">
        <v>3152</v>
      </c>
      <c r="D178" s="68" t="s">
        <v>3153</v>
      </c>
    </row>
    <row r="179" spans="1:4">
      <c r="A179" s="204">
        <v>177</v>
      </c>
      <c r="B179" s="205" t="s">
        <v>3154</v>
      </c>
      <c r="C179" s="68" t="s">
        <v>3155</v>
      </c>
      <c r="D179" s="68" t="s">
        <v>3156</v>
      </c>
    </row>
    <row r="180" spans="1:4">
      <c r="A180" s="204">
        <v>178</v>
      </c>
      <c r="B180" s="205" t="s">
        <v>3157</v>
      </c>
      <c r="C180" s="68" t="s">
        <v>3158</v>
      </c>
      <c r="D180" s="68" t="s">
        <v>3159</v>
      </c>
    </row>
    <row r="181" spans="1:4">
      <c r="A181" s="204">
        <v>179</v>
      </c>
      <c r="B181" s="205" t="s">
        <v>1790</v>
      </c>
      <c r="C181" s="68" t="s">
        <v>3160</v>
      </c>
      <c r="D181" s="68" t="s">
        <v>3161</v>
      </c>
    </row>
    <row r="182" spans="1:4">
      <c r="A182" s="204">
        <v>180</v>
      </c>
      <c r="B182" s="205" t="s">
        <v>3162</v>
      </c>
      <c r="C182" s="68" t="s">
        <v>3163</v>
      </c>
      <c r="D182" s="68" t="s">
        <v>3164</v>
      </c>
    </row>
    <row r="183" spans="1:4">
      <c r="A183" s="204">
        <v>181</v>
      </c>
      <c r="B183" s="205" t="s">
        <v>1749</v>
      </c>
      <c r="C183" s="68" t="s">
        <v>3165</v>
      </c>
      <c r="D183" s="68" t="s">
        <v>3166</v>
      </c>
    </row>
    <row r="184" spans="1:4">
      <c r="A184" s="204">
        <v>182</v>
      </c>
      <c r="B184" s="205" t="s">
        <v>1728</v>
      </c>
      <c r="C184" s="68" t="s">
        <v>3167</v>
      </c>
      <c r="D184" s="68" t="s">
        <v>3168</v>
      </c>
    </row>
    <row r="185" spans="1:4">
      <c r="A185" s="204">
        <v>183</v>
      </c>
      <c r="B185" s="205" t="s">
        <v>1710</v>
      </c>
      <c r="C185" s="68" t="s">
        <v>3169</v>
      </c>
      <c r="D185" s="68" t="s">
        <v>3170</v>
      </c>
    </row>
    <row r="186" spans="1:4">
      <c r="A186" s="204">
        <v>184</v>
      </c>
      <c r="B186" s="205" t="s">
        <v>3171</v>
      </c>
      <c r="C186" s="68" t="s">
        <v>3172</v>
      </c>
      <c r="D186" s="68" t="s">
        <v>3173</v>
      </c>
    </row>
    <row r="187" spans="1:4">
      <c r="A187" s="204">
        <v>185</v>
      </c>
      <c r="B187" s="205" t="s">
        <v>3174</v>
      </c>
      <c r="C187" s="68" t="s">
        <v>3175</v>
      </c>
      <c r="D187" s="68" t="s">
        <v>3176</v>
      </c>
    </row>
    <row r="188" spans="1:4">
      <c r="A188" s="204">
        <v>186</v>
      </c>
      <c r="B188" s="205" t="s">
        <v>3177</v>
      </c>
      <c r="C188" s="68" t="s">
        <v>3178</v>
      </c>
      <c r="D188" s="68" t="s">
        <v>3179</v>
      </c>
    </row>
    <row r="189" spans="1:4">
      <c r="A189" s="204">
        <v>187</v>
      </c>
      <c r="B189" s="205" t="s">
        <v>3180</v>
      </c>
      <c r="C189" s="68" t="s">
        <v>3181</v>
      </c>
      <c r="D189" s="68" t="s">
        <v>3182</v>
      </c>
    </row>
    <row r="190" spans="1:4">
      <c r="A190" s="204">
        <v>188</v>
      </c>
      <c r="B190" s="205" t="s">
        <v>3183</v>
      </c>
      <c r="C190" s="68" t="s">
        <v>3184</v>
      </c>
      <c r="D190" s="68" t="s">
        <v>3185</v>
      </c>
    </row>
    <row r="191" spans="1:4">
      <c r="A191" s="204">
        <v>189</v>
      </c>
      <c r="B191" s="205" t="s">
        <v>1682</v>
      </c>
      <c r="C191" s="68" t="s">
        <v>3186</v>
      </c>
      <c r="D191" s="68" t="s">
        <v>3187</v>
      </c>
    </row>
    <row r="192" spans="1:4">
      <c r="A192" s="204">
        <v>190</v>
      </c>
      <c r="B192" s="205" t="s">
        <v>1648</v>
      </c>
      <c r="C192" s="68" t="s">
        <v>3188</v>
      </c>
      <c r="D192" s="68" t="s">
        <v>3189</v>
      </c>
    </row>
    <row r="193" spans="1:4">
      <c r="A193" s="204">
        <v>191</v>
      </c>
      <c r="B193" s="205" t="s">
        <v>1642</v>
      </c>
      <c r="C193" s="68" t="s">
        <v>3190</v>
      </c>
      <c r="D193" s="68" t="s">
        <v>3191</v>
      </c>
    </row>
    <row r="194" spans="1:4">
      <c r="A194" s="204">
        <v>192</v>
      </c>
      <c r="B194" s="205" t="s">
        <v>3192</v>
      </c>
      <c r="C194" s="68" t="s">
        <v>3193</v>
      </c>
      <c r="D194" s="68" t="s">
        <v>3194</v>
      </c>
    </row>
    <row r="195" spans="1:4">
      <c r="A195" s="204">
        <v>193</v>
      </c>
      <c r="B195" s="205" t="s">
        <v>1523</v>
      </c>
      <c r="C195" s="68" t="s">
        <v>3195</v>
      </c>
      <c r="D195" s="68" t="s">
        <v>3196</v>
      </c>
    </row>
    <row r="196" spans="1:4">
      <c r="A196" s="204">
        <v>194</v>
      </c>
      <c r="B196" s="205" t="s">
        <v>1664</v>
      </c>
      <c r="C196" s="68" t="s">
        <v>3197</v>
      </c>
      <c r="D196" s="68" t="s">
        <v>3198</v>
      </c>
    </row>
    <row r="197" spans="1:4">
      <c r="A197" s="204">
        <v>195</v>
      </c>
      <c r="B197" s="205" t="s">
        <v>3199</v>
      </c>
      <c r="C197" s="68" t="s">
        <v>3200</v>
      </c>
      <c r="D197" s="68" t="s">
        <v>3201</v>
      </c>
    </row>
    <row r="198" spans="1:4">
      <c r="A198" s="204">
        <v>196</v>
      </c>
      <c r="B198" s="205" t="s">
        <v>1633</v>
      </c>
      <c r="C198" s="68" t="s">
        <v>3202</v>
      </c>
      <c r="D198" s="68" t="s">
        <v>3203</v>
      </c>
    </row>
    <row r="199" spans="1:4">
      <c r="A199" s="204">
        <v>197</v>
      </c>
      <c r="B199" s="205" t="s">
        <v>3204</v>
      </c>
      <c r="C199" s="68" t="s">
        <v>3205</v>
      </c>
      <c r="D199" s="68" t="s">
        <v>3206</v>
      </c>
    </row>
    <row r="200" spans="1:4">
      <c r="A200" s="204">
        <v>198</v>
      </c>
      <c r="B200" s="205" t="s">
        <v>3207</v>
      </c>
      <c r="C200" s="68" t="s">
        <v>3208</v>
      </c>
      <c r="D200" s="68" t="s">
        <v>3209</v>
      </c>
    </row>
    <row r="201" spans="1:4">
      <c r="A201" s="204">
        <v>199</v>
      </c>
      <c r="B201" s="205" t="s">
        <v>1511</v>
      </c>
      <c r="C201" s="68" t="s">
        <v>3210</v>
      </c>
      <c r="D201" s="68" t="s">
        <v>3211</v>
      </c>
    </row>
    <row r="202" spans="1:4">
      <c r="A202" s="204">
        <v>200</v>
      </c>
      <c r="B202" s="205" t="s">
        <v>88</v>
      </c>
      <c r="C202" s="68" t="s">
        <v>3212</v>
      </c>
      <c r="D202" s="68" t="s">
        <v>3213</v>
      </c>
    </row>
    <row r="203" spans="1:4">
      <c r="A203" s="204">
        <v>201</v>
      </c>
      <c r="B203" s="205" t="s">
        <v>1438</v>
      </c>
      <c r="C203" s="68" t="s">
        <v>3214</v>
      </c>
      <c r="D203" s="68" t="s">
        <v>3215</v>
      </c>
    </row>
    <row r="204" spans="1:4">
      <c r="A204" s="204">
        <v>202</v>
      </c>
      <c r="B204" s="205" t="s">
        <v>154</v>
      </c>
      <c r="C204" s="68" t="s">
        <v>3216</v>
      </c>
      <c r="D204" s="68" t="s">
        <v>3217</v>
      </c>
    </row>
    <row r="205" spans="1:4">
      <c r="A205" s="204">
        <v>203</v>
      </c>
      <c r="B205" s="205" t="s">
        <v>1338</v>
      </c>
      <c r="C205" s="68" t="s">
        <v>3218</v>
      </c>
      <c r="D205" s="68" t="s">
        <v>3219</v>
      </c>
    </row>
    <row r="206" spans="1:4">
      <c r="A206" s="204">
        <v>204</v>
      </c>
      <c r="B206" s="205" t="s">
        <v>1379</v>
      </c>
      <c r="C206" s="68" t="s">
        <v>3220</v>
      </c>
      <c r="D206" s="68" t="s">
        <v>3221</v>
      </c>
    </row>
    <row r="207" spans="1:4">
      <c r="A207" s="204">
        <v>205</v>
      </c>
      <c r="B207" s="205" t="s">
        <v>1387</v>
      </c>
      <c r="C207" s="68" t="s">
        <v>3222</v>
      </c>
      <c r="D207" s="68" t="s">
        <v>3223</v>
      </c>
    </row>
    <row r="208" spans="1:4">
      <c r="A208" s="204">
        <v>206</v>
      </c>
      <c r="B208" s="205" t="s">
        <v>1312</v>
      </c>
      <c r="C208" s="68" t="s">
        <v>3224</v>
      </c>
      <c r="D208" s="68" t="s">
        <v>3225</v>
      </c>
    </row>
    <row r="209" spans="1:4">
      <c r="A209" s="204">
        <v>207</v>
      </c>
      <c r="B209" s="205" t="s">
        <v>1305</v>
      </c>
      <c r="C209" s="68" t="s">
        <v>3226</v>
      </c>
      <c r="D209" s="68" t="s">
        <v>3227</v>
      </c>
    </row>
    <row r="210" spans="1:4">
      <c r="A210" s="204">
        <v>208</v>
      </c>
      <c r="B210" s="205" t="s">
        <v>1219</v>
      </c>
      <c r="C210" s="68" t="s">
        <v>3228</v>
      </c>
      <c r="D210" s="68" t="s">
        <v>3229</v>
      </c>
    </row>
    <row r="211" spans="1:4">
      <c r="A211" s="204">
        <v>209</v>
      </c>
      <c r="B211" s="205" t="s">
        <v>161</v>
      </c>
      <c r="C211" s="68" t="s">
        <v>3230</v>
      </c>
      <c r="D211" s="68" t="s">
        <v>3231</v>
      </c>
    </row>
    <row r="212" spans="1:4">
      <c r="A212" s="204">
        <v>210</v>
      </c>
      <c r="B212" s="205" t="s">
        <v>1269</v>
      </c>
      <c r="C212" s="68" t="s">
        <v>3232</v>
      </c>
      <c r="D212" s="68" t="s">
        <v>3233</v>
      </c>
    </row>
    <row r="213" spans="1:4">
      <c r="A213" s="204">
        <v>211</v>
      </c>
      <c r="B213" s="205" t="s">
        <v>1233</v>
      </c>
      <c r="C213" s="68" t="s">
        <v>3234</v>
      </c>
      <c r="D213" s="68" t="s">
        <v>3235</v>
      </c>
    </row>
    <row r="214" spans="1:4">
      <c r="A214" s="204">
        <v>212</v>
      </c>
      <c r="B214" s="205" t="s">
        <v>1213</v>
      </c>
      <c r="C214" s="68" t="s">
        <v>3236</v>
      </c>
      <c r="D214" s="68" t="s">
        <v>3237</v>
      </c>
    </row>
    <row r="215" spans="1:4">
      <c r="A215" s="204">
        <v>213</v>
      </c>
      <c r="B215" s="205" t="s">
        <v>276</v>
      </c>
      <c r="C215" s="68" t="s">
        <v>3238</v>
      </c>
      <c r="D215" s="68" t="s">
        <v>3239</v>
      </c>
    </row>
    <row r="216" spans="1:4">
      <c r="A216" s="204">
        <v>214</v>
      </c>
      <c r="B216" s="205" t="s">
        <v>875</v>
      </c>
      <c r="C216" s="68" t="s">
        <v>3240</v>
      </c>
      <c r="D216" s="68" t="s">
        <v>3241</v>
      </c>
    </row>
    <row r="217" spans="1:4">
      <c r="A217" s="204">
        <v>215</v>
      </c>
      <c r="B217" s="205" t="s">
        <v>1154</v>
      </c>
      <c r="C217" s="68" t="s">
        <v>3242</v>
      </c>
      <c r="D217" s="68" t="s">
        <v>3243</v>
      </c>
    </row>
    <row r="218" spans="1:4">
      <c r="A218" s="204">
        <v>216</v>
      </c>
      <c r="B218" s="205" t="s">
        <v>3244</v>
      </c>
      <c r="C218" s="68" t="s">
        <v>3245</v>
      </c>
      <c r="D218" s="68" t="s">
        <v>3246</v>
      </c>
    </row>
    <row r="219" spans="1:4">
      <c r="A219" s="204">
        <v>217</v>
      </c>
      <c r="B219" s="205" t="s">
        <v>332</v>
      </c>
      <c r="C219" s="68" t="s">
        <v>3247</v>
      </c>
      <c r="D219" s="68" t="s">
        <v>3248</v>
      </c>
    </row>
    <row r="220" spans="1:4">
      <c r="A220" s="204">
        <v>218</v>
      </c>
      <c r="B220" s="205" t="s">
        <v>324</v>
      </c>
      <c r="C220" s="68" t="s">
        <v>3249</v>
      </c>
      <c r="D220" s="68" t="s">
        <v>3250</v>
      </c>
    </row>
    <row r="221" spans="1:4">
      <c r="A221" s="204">
        <v>219</v>
      </c>
      <c r="B221" s="205" t="s">
        <v>1819</v>
      </c>
      <c r="C221" s="68" t="s">
        <v>3251</v>
      </c>
      <c r="D221" s="68" t="s">
        <v>3252</v>
      </c>
    </row>
    <row r="222" spans="1:4">
      <c r="A222" s="204">
        <v>220</v>
      </c>
      <c r="B222" s="205" t="s">
        <v>1036</v>
      </c>
      <c r="C222" s="68" t="s">
        <v>3253</v>
      </c>
      <c r="D222" s="68" t="s">
        <v>3254</v>
      </c>
    </row>
    <row r="223" spans="1:4">
      <c r="A223" s="204">
        <v>221</v>
      </c>
      <c r="B223" s="205" t="s">
        <v>1888</v>
      </c>
      <c r="C223" s="68" t="s">
        <v>3255</v>
      </c>
      <c r="D223" s="68" t="s">
        <v>3256</v>
      </c>
    </row>
    <row r="224" spans="1:4">
      <c r="A224" s="204">
        <v>222</v>
      </c>
      <c r="B224" s="205" t="s">
        <v>986</v>
      </c>
      <c r="C224" s="68" t="s">
        <v>3257</v>
      </c>
      <c r="D224" s="68" t="s">
        <v>3258</v>
      </c>
    </row>
    <row r="225" spans="1:4">
      <c r="A225" s="204">
        <v>223</v>
      </c>
      <c r="B225" s="205" t="s">
        <v>431</v>
      </c>
      <c r="C225" s="68" t="s">
        <v>3259</v>
      </c>
      <c r="D225" s="68" t="s">
        <v>3260</v>
      </c>
    </row>
    <row r="226" spans="1:4">
      <c r="A226" s="204">
        <v>224</v>
      </c>
      <c r="B226" s="205" t="s">
        <v>958</v>
      </c>
      <c r="C226" s="68" t="s">
        <v>3261</v>
      </c>
      <c r="D226" s="68" t="s">
        <v>3262</v>
      </c>
    </row>
    <row r="227" spans="1:4">
      <c r="A227" s="204">
        <v>225</v>
      </c>
      <c r="B227" s="205" t="s">
        <v>924</v>
      </c>
      <c r="C227" s="68" t="s">
        <v>3263</v>
      </c>
      <c r="D227" s="68" t="s">
        <v>3264</v>
      </c>
    </row>
    <row r="228" spans="1:4">
      <c r="A228" s="204">
        <v>226</v>
      </c>
      <c r="B228" s="205" t="s">
        <v>301</v>
      </c>
      <c r="C228" s="68" t="s">
        <v>3265</v>
      </c>
      <c r="D228" s="68" t="s">
        <v>3266</v>
      </c>
    </row>
    <row r="229" spans="1:4">
      <c r="A229" s="204">
        <v>227</v>
      </c>
      <c r="B229" s="205" t="s">
        <v>543</v>
      </c>
      <c r="C229" s="68" t="s">
        <v>3267</v>
      </c>
      <c r="D229" s="68" t="s">
        <v>3268</v>
      </c>
    </row>
    <row r="230" spans="1:4">
      <c r="A230" s="204">
        <v>228</v>
      </c>
      <c r="B230" s="205" t="s">
        <v>555</v>
      </c>
      <c r="C230" s="68" t="s">
        <v>3269</v>
      </c>
      <c r="D230" s="68" t="s">
        <v>3270</v>
      </c>
    </row>
    <row r="231" spans="1:4">
      <c r="A231" s="204">
        <v>229</v>
      </c>
      <c r="B231" s="205" t="s">
        <v>701</v>
      </c>
      <c r="C231" s="68" t="s">
        <v>3271</v>
      </c>
      <c r="D231" s="68" t="s">
        <v>3272</v>
      </c>
    </row>
    <row r="232" spans="1:4">
      <c r="A232" s="204">
        <v>230</v>
      </c>
      <c r="B232" s="205" t="s">
        <v>842</v>
      </c>
      <c r="C232" s="68" t="s">
        <v>3273</v>
      </c>
      <c r="D232" s="68" t="s">
        <v>3274</v>
      </c>
    </row>
    <row r="233" spans="1:4">
      <c r="A233" s="204">
        <v>231</v>
      </c>
      <c r="B233" s="205" t="s">
        <v>654</v>
      </c>
      <c r="C233" s="68" t="s">
        <v>3275</v>
      </c>
      <c r="D233" s="68" t="s">
        <v>3276</v>
      </c>
    </row>
    <row r="234" spans="1:4">
      <c r="A234" s="204">
        <v>232</v>
      </c>
      <c r="B234" s="205" t="s">
        <v>524</v>
      </c>
      <c r="C234" s="68" t="s">
        <v>3277</v>
      </c>
      <c r="D234" s="68" t="s">
        <v>3278</v>
      </c>
    </row>
    <row r="235" spans="1:4">
      <c r="A235" s="204">
        <v>233</v>
      </c>
      <c r="B235" s="205" t="s">
        <v>864</v>
      </c>
      <c r="C235" s="68" t="s">
        <v>3279</v>
      </c>
      <c r="D235" s="68" t="s">
        <v>3280</v>
      </c>
    </row>
    <row r="236" spans="1:4">
      <c r="A236" s="204">
        <v>234</v>
      </c>
      <c r="B236" s="205" t="s">
        <v>560</v>
      </c>
      <c r="C236" s="68" t="s">
        <v>3281</v>
      </c>
      <c r="D236" s="68" t="s">
        <v>3282</v>
      </c>
    </row>
    <row r="237" spans="1:4">
      <c r="A237" s="204">
        <v>235</v>
      </c>
      <c r="B237" s="205" t="s">
        <v>3283</v>
      </c>
      <c r="C237" s="68" t="s">
        <v>3284</v>
      </c>
      <c r="D237" s="68" t="s">
        <v>3285</v>
      </c>
    </row>
    <row r="238" spans="1:4">
      <c r="A238" s="204">
        <v>236</v>
      </c>
      <c r="B238" s="205" t="s">
        <v>66</v>
      </c>
      <c r="C238" s="68" t="s">
        <v>3286</v>
      </c>
      <c r="D238" s="68" t="s">
        <v>3287</v>
      </c>
    </row>
    <row r="239" spans="1:4">
      <c r="A239" s="204">
        <v>237</v>
      </c>
      <c r="B239" s="205" t="s">
        <v>119</v>
      </c>
      <c r="C239" s="68" t="s">
        <v>3288</v>
      </c>
      <c r="D239" s="68" t="s">
        <v>3289</v>
      </c>
    </row>
    <row r="240" spans="1:4">
      <c r="A240" s="204">
        <v>238</v>
      </c>
      <c r="B240" s="205" t="s">
        <v>145</v>
      </c>
      <c r="C240" s="68" t="s">
        <v>3290</v>
      </c>
      <c r="D240" s="68" t="s">
        <v>3291</v>
      </c>
    </row>
    <row r="241" spans="1:4">
      <c r="A241" s="204">
        <v>239</v>
      </c>
      <c r="B241" s="205" t="s">
        <v>3292</v>
      </c>
      <c r="C241" s="68" t="s">
        <v>3293</v>
      </c>
      <c r="D241" s="68" t="s">
        <v>3294</v>
      </c>
    </row>
    <row r="242" spans="1:4">
      <c r="A242" s="204">
        <v>240</v>
      </c>
      <c r="B242" s="205" t="s">
        <v>3295</v>
      </c>
      <c r="C242" s="68" t="s">
        <v>3296</v>
      </c>
      <c r="D242" s="68" t="s">
        <v>3297</v>
      </c>
    </row>
    <row r="243" spans="1:4">
      <c r="A243" s="204">
        <v>241</v>
      </c>
      <c r="B243" s="205" t="s">
        <v>3298</v>
      </c>
      <c r="C243" s="68" t="s">
        <v>3299</v>
      </c>
      <c r="D243" s="68" t="s">
        <v>3300</v>
      </c>
    </row>
    <row r="244" spans="1:4">
      <c r="A244" s="204">
        <v>242</v>
      </c>
      <c r="B244" s="205" t="s">
        <v>3301</v>
      </c>
      <c r="C244" s="68" t="s">
        <v>3302</v>
      </c>
      <c r="D244" s="68" t="s">
        <v>3303</v>
      </c>
    </row>
    <row r="245" spans="1:4">
      <c r="A245" s="204">
        <v>243</v>
      </c>
      <c r="B245" s="205" t="s">
        <v>3304</v>
      </c>
      <c r="C245" s="68" t="s">
        <v>3305</v>
      </c>
      <c r="D245" s="68" t="s">
        <v>3306</v>
      </c>
    </row>
    <row r="246" spans="1:4">
      <c r="A246" s="204">
        <v>244</v>
      </c>
      <c r="B246" s="205" t="s">
        <v>3307</v>
      </c>
      <c r="C246" s="68" t="s">
        <v>3308</v>
      </c>
      <c r="D246" s="68" t="s">
        <v>3309</v>
      </c>
    </row>
    <row r="247" spans="1:4">
      <c r="A247" s="204">
        <v>245</v>
      </c>
      <c r="B247" s="205" t="s">
        <v>3310</v>
      </c>
      <c r="C247" s="68" t="s">
        <v>3311</v>
      </c>
      <c r="D247" s="68" t="s">
        <v>3312</v>
      </c>
    </row>
    <row r="248" spans="1:4">
      <c r="A248" s="204">
        <v>246</v>
      </c>
      <c r="B248" s="205" t="s">
        <v>3313</v>
      </c>
      <c r="C248" s="68" t="s">
        <v>3314</v>
      </c>
      <c r="D248" s="68" t="s">
        <v>3315</v>
      </c>
    </row>
    <row r="249" spans="1:4">
      <c r="A249" s="204">
        <v>247</v>
      </c>
      <c r="B249" s="205" t="s">
        <v>3316</v>
      </c>
      <c r="C249" s="68" t="s">
        <v>3317</v>
      </c>
      <c r="D249" s="68" t="s">
        <v>3318</v>
      </c>
    </row>
    <row r="250" spans="1:4">
      <c r="A250" s="204">
        <v>248</v>
      </c>
      <c r="B250" s="205" t="s">
        <v>3319</v>
      </c>
      <c r="C250" s="68" t="s">
        <v>3320</v>
      </c>
      <c r="D250" s="68" t="s">
        <v>3321</v>
      </c>
    </row>
    <row r="251" spans="1:4">
      <c r="A251" s="204">
        <v>249</v>
      </c>
      <c r="B251" s="205" t="s">
        <v>3322</v>
      </c>
      <c r="C251" s="68" t="s">
        <v>3323</v>
      </c>
      <c r="D251" s="68" t="s">
        <v>3324</v>
      </c>
    </row>
    <row r="252" spans="1:4">
      <c r="A252" s="204">
        <v>250</v>
      </c>
      <c r="B252" s="205" t="s">
        <v>3325</v>
      </c>
      <c r="C252" s="68" t="s">
        <v>3326</v>
      </c>
      <c r="D252" s="68" t="s">
        <v>3324</v>
      </c>
    </row>
    <row r="253" spans="1:4">
      <c r="A253" s="204">
        <v>251</v>
      </c>
      <c r="B253" s="205" t="s">
        <v>3327</v>
      </c>
      <c r="C253" s="68" t="s">
        <v>3328</v>
      </c>
      <c r="D253" s="68" t="s">
        <v>3329</v>
      </c>
    </row>
    <row r="254" spans="1:4">
      <c r="A254" s="204">
        <v>252</v>
      </c>
      <c r="B254" s="205" t="s">
        <v>3330</v>
      </c>
      <c r="C254" s="68" t="s">
        <v>3331</v>
      </c>
      <c r="D254" s="68" t="s">
        <v>3332</v>
      </c>
    </row>
    <row r="255" spans="1:4">
      <c r="A255" s="204">
        <v>253</v>
      </c>
      <c r="B255" s="205" t="s">
        <v>3333</v>
      </c>
      <c r="C255" s="68" t="s">
        <v>3334</v>
      </c>
      <c r="D255" s="68" t="s">
        <v>3335</v>
      </c>
    </row>
    <row r="256" spans="1:4">
      <c r="A256" s="204">
        <v>254</v>
      </c>
      <c r="B256" s="205" t="s">
        <v>3336</v>
      </c>
      <c r="C256" s="68" t="s">
        <v>3337</v>
      </c>
      <c r="D256" s="68" t="s">
        <v>3335</v>
      </c>
    </row>
    <row r="257" spans="1:4">
      <c r="A257" s="204">
        <v>255</v>
      </c>
      <c r="B257" s="205" t="s">
        <v>3338</v>
      </c>
      <c r="C257" s="68" t="s">
        <v>3339</v>
      </c>
      <c r="D257" s="68" t="s">
        <v>3340</v>
      </c>
    </row>
    <row r="258" spans="1:4">
      <c r="A258" s="204">
        <v>256</v>
      </c>
      <c r="B258" s="205" t="s">
        <v>3341</v>
      </c>
      <c r="C258" s="68" t="s">
        <v>3342</v>
      </c>
      <c r="D258" s="68" t="s">
        <v>3343</v>
      </c>
    </row>
    <row r="259" spans="1:4">
      <c r="A259" s="204">
        <v>257</v>
      </c>
      <c r="B259" s="205" t="s">
        <v>3344</v>
      </c>
      <c r="C259" s="68" t="s">
        <v>3345</v>
      </c>
      <c r="D259" s="68" t="s">
        <v>3346</v>
      </c>
    </row>
    <row r="260" spans="1:4">
      <c r="A260" s="204">
        <v>258</v>
      </c>
      <c r="B260" s="205" t="s">
        <v>3347</v>
      </c>
      <c r="C260" s="68" t="s">
        <v>3348</v>
      </c>
      <c r="D260" s="68" t="s">
        <v>3349</v>
      </c>
    </row>
    <row r="261" spans="1:4">
      <c r="A261" s="204">
        <v>259</v>
      </c>
      <c r="B261" s="205" t="s">
        <v>3350</v>
      </c>
      <c r="C261" s="68" t="s">
        <v>3351</v>
      </c>
      <c r="D261" s="68" t="s">
        <v>3352</v>
      </c>
    </row>
    <row r="262" spans="1:4">
      <c r="A262" s="204">
        <v>260</v>
      </c>
      <c r="B262" s="205" t="s">
        <v>3353</v>
      </c>
      <c r="C262" s="68" t="s">
        <v>3354</v>
      </c>
      <c r="D262" s="68" t="s">
        <v>3355</v>
      </c>
    </row>
    <row r="263" spans="1:4">
      <c r="A263" s="204">
        <v>261</v>
      </c>
      <c r="B263" s="205" t="s">
        <v>3356</v>
      </c>
      <c r="C263" s="68" t="s">
        <v>3357</v>
      </c>
      <c r="D263" s="68" t="s">
        <v>3355</v>
      </c>
    </row>
    <row r="264" spans="1:4">
      <c r="A264" s="204">
        <v>262</v>
      </c>
      <c r="B264" s="205" t="s">
        <v>3358</v>
      </c>
      <c r="C264" s="68" t="s">
        <v>3359</v>
      </c>
      <c r="D264" s="68" t="s">
        <v>3360</v>
      </c>
    </row>
    <row r="265" spans="1:4">
      <c r="A265" s="204">
        <v>263</v>
      </c>
      <c r="B265" s="205" t="s">
        <v>3361</v>
      </c>
      <c r="C265" s="68" t="s">
        <v>3362</v>
      </c>
      <c r="D265" s="68" t="s">
        <v>3363</v>
      </c>
    </row>
    <row r="266" spans="1:4">
      <c r="A266" s="204">
        <v>264</v>
      </c>
      <c r="B266" s="205" t="s">
        <v>3364</v>
      </c>
      <c r="C266" s="68" t="s">
        <v>3365</v>
      </c>
      <c r="D266" s="68" t="s">
        <v>3366</v>
      </c>
    </row>
    <row r="267" spans="1:4">
      <c r="A267" s="204">
        <v>265</v>
      </c>
      <c r="B267" s="205" t="s">
        <v>3367</v>
      </c>
      <c r="C267" s="68" t="s">
        <v>3368</v>
      </c>
      <c r="D267" s="68" t="s">
        <v>3369</v>
      </c>
    </row>
    <row r="268" spans="1:4">
      <c r="A268" s="204">
        <v>266</v>
      </c>
      <c r="B268" s="205" t="s">
        <v>3370</v>
      </c>
      <c r="C268" s="68" t="s">
        <v>3371</v>
      </c>
      <c r="D268" s="68" t="s">
        <v>3372</v>
      </c>
    </row>
    <row r="269" spans="1:4">
      <c r="A269" s="204">
        <v>267</v>
      </c>
      <c r="B269" s="205" t="s">
        <v>3373</v>
      </c>
      <c r="C269" s="68" t="s">
        <v>3374</v>
      </c>
      <c r="D269" s="68" t="s">
        <v>3375</v>
      </c>
    </row>
    <row r="270" spans="1:4">
      <c r="A270" s="204">
        <v>268</v>
      </c>
      <c r="B270" s="205" t="s">
        <v>3376</v>
      </c>
      <c r="C270" s="68" t="s">
        <v>3377</v>
      </c>
      <c r="D270" s="68" t="s">
        <v>3378</v>
      </c>
    </row>
    <row r="271" spans="1:4">
      <c r="A271" s="204">
        <v>269</v>
      </c>
      <c r="B271" s="205" t="s">
        <v>3379</v>
      </c>
      <c r="C271" s="68" t="s">
        <v>3380</v>
      </c>
      <c r="D271" s="68" t="s">
        <v>3381</v>
      </c>
    </row>
    <row r="272" spans="1:4">
      <c r="A272" s="204">
        <v>270</v>
      </c>
      <c r="B272" s="205" t="s">
        <v>3382</v>
      </c>
      <c r="C272" s="68" t="s">
        <v>3383</v>
      </c>
      <c r="D272" s="68" t="s">
        <v>3384</v>
      </c>
    </row>
    <row r="273" spans="1:4">
      <c r="A273" s="204">
        <v>271</v>
      </c>
      <c r="B273" s="205" t="s">
        <v>3385</v>
      </c>
      <c r="C273" s="68" t="s">
        <v>3386</v>
      </c>
      <c r="D273" s="68" t="s">
        <v>3387</v>
      </c>
    </row>
    <row r="274" spans="1:4">
      <c r="A274" s="204">
        <v>272</v>
      </c>
      <c r="B274" s="205" t="s">
        <v>3388</v>
      </c>
      <c r="C274" s="68" t="s">
        <v>3389</v>
      </c>
      <c r="D274" s="68" t="s">
        <v>3390</v>
      </c>
    </row>
    <row r="275" spans="1:4">
      <c r="A275" s="204">
        <v>273</v>
      </c>
      <c r="B275" s="205" t="s">
        <v>3391</v>
      </c>
      <c r="C275" s="68" t="s">
        <v>3392</v>
      </c>
      <c r="D275" s="68" t="s">
        <v>3393</v>
      </c>
    </row>
    <row r="276" spans="1:4">
      <c r="A276" s="204">
        <v>274</v>
      </c>
      <c r="B276" s="205" t="s">
        <v>3394</v>
      </c>
      <c r="C276" s="68" t="s">
        <v>3395</v>
      </c>
      <c r="D276" s="68" t="s">
        <v>3396</v>
      </c>
    </row>
    <row r="277" spans="1:4">
      <c r="A277" s="204">
        <v>275</v>
      </c>
      <c r="B277" s="205" t="s">
        <v>3397</v>
      </c>
      <c r="C277" s="68" t="s">
        <v>3398</v>
      </c>
      <c r="D277" s="68" t="s">
        <v>3399</v>
      </c>
    </row>
    <row r="278" spans="1:4">
      <c r="A278" s="204">
        <v>276</v>
      </c>
      <c r="B278" s="205" t="s">
        <v>3400</v>
      </c>
      <c r="C278" s="68" t="s">
        <v>3401</v>
      </c>
      <c r="D278" s="68" t="s">
        <v>3402</v>
      </c>
    </row>
    <row r="279" spans="1:4">
      <c r="A279" s="204">
        <v>277</v>
      </c>
      <c r="B279" s="205" t="s">
        <v>3403</v>
      </c>
      <c r="C279" s="68" t="s">
        <v>3404</v>
      </c>
      <c r="D279" s="68" t="s">
        <v>3405</v>
      </c>
    </row>
    <row r="280" spans="1:4">
      <c r="A280" s="204">
        <v>278</v>
      </c>
      <c r="B280" s="205" t="s">
        <v>3406</v>
      </c>
      <c r="C280" s="68" t="s">
        <v>3407</v>
      </c>
      <c r="D280" s="68" t="s">
        <v>3408</v>
      </c>
    </row>
    <row r="281" spans="1:4">
      <c r="A281" s="204">
        <v>279</v>
      </c>
      <c r="B281" s="205" t="s">
        <v>3409</v>
      </c>
      <c r="C281" s="68" t="s">
        <v>3410</v>
      </c>
      <c r="D281" s="68" t="s">
        <v>3411</v>
      </c>
    </row>
    <row r="282" spans="1:4">
      <c r="A282" s="204">
        <v>280</v>
      </c>
      <c r="B282" s="205" t="s">
        <v>3412</v>
      </c>
      <c r="C282" s="68" t="s">
        <v>3413</v>
      </c>
      <c r="D282" s="68" t="s">
        <v>3414</v>
      </c>
    </row>
    <row r="283" spans="1:4">
      <c r="A283" s="204">
        <v>281</v>
      </c>
      <c r="B283" s="205" t="s">
        <v>3415</v>
      </c>
      <c r="C283" s="68" t="s">
        <v>3416</v>
      </c>
      <c r="D283" s="68" t="s">
        <v>3417</v>
      </c>
    </row>
    <row r="284" spans="1:4">
      <c r="A284" s="204">
        <v>282</v>
      </c>
      <c r="B284" s="205" t="s">
        <v>3418</v>
      </c>
      <c r="C284" s="68" t="s">
        <v>3419</v>
      </c>
      <c r="D284" s="68" t="s">
        <v>3420</v>
      </c>
    </row>
    <row r="285" spans="1:4">
      <c r="A285" s="204">
        <v>283</v>
      </c>
      <c r="B285" s="205" t="s">
        <v>3421</v>
      </c>
      <c r="C285" s="68" t="s">
        <v>3422</v>
      </c>
      <c r="D285" s="68" t="s">
        <v>3423</v>
      </c>
    </row>
    <row r="286" spans="1:4">
      <c r="A286" s="204">
        <v>284</v>
      </c>
      <c r="B286" s="205" t="s">
        <v>3424</v>
      </c>
      <c r="C286" s="68" t="s">
        <v>3425</v>
      </c>
      <c r="D286" s="68" t="s">
        <v>3426</v>
      </c>
    </row>
    <row r="287" spans="1:4">
      <c r="A287" s="204">
        <v>285</v>
      </c>
      <c r="B287" s="205" t="s">
        <v>3427</v>
      </c>
      <c r="C287" s="68" t="s">
        <v>3428</v>
      </c>
      <c r="D287" s="68" t="s">
        <v>3429</v>
      </c>
    </row>
    <row r="288" spans="1:4">
      <c r="A288" s="204">
        <v>286</v>
      </c>
      <c r="B288" s="205" t="s">
        <v>3430</v>
      </c>
      <c r="C288" s="68" t="s">
        <v>3431</v>
      </c>
      <c r="D288" s="68" t="s">
        <v>3432</v>
      </c>
    </row>
    <row r="289" spans="1:4">
      <c r="A289" s="204">
        <v>287</v>
      </c>
      <c r="B289" s="205" t="s">
        <v>3433</v>
      </c>
      <c r="C289" s="68" t="s">
        <v>3434</v>
      </c>
      <c r="D289" s="68" t="s">
        <v>3435</v>
      </c>
    </row>
    <row r="290" spans="1:4">
      <c r="A290" s="204">
        <v>288</v>
      </c>
      <c r="B290" s="205" t="s">
        <v>3436</v>
      </c>
      <c r="C290" s="68" t="s">
        <v>3437</v>
      </c>
      <c r="D290" s="68" t="s">
        <v>3438</v>
      </c>
    </row>
    <row r="291" spans="1:4">
      <c r="A291" s="204">
        <v>289</v>
      </c>
      <c r="B291" s="205" t="s">
        <v>3439</v>
      </c>
      <c r="C291" s="68" t="s">
        <v>3440</v>
      </c>
      <c r="D291" s="68" t="s">
        <v>3441</v>
      </c>
    </row>
    <row r="292" spans="1:4">
      <c r="A292" s="204">
        <v>290</v>
      </c>
      <c r="B292" s="205" t="s">
        <v>3442</v>
      </c>
      <c r="C292" s="68" t="s">
        <v>3443</v>
      </c>
      <c r="D292" s="68" t="s">
        <v>3444</v>
      </c>
    </row>
    <row r="293" spans="1:4">
      <c r="A293" s="204">
        <v>291</v>
      </c>
      <c r="B293" s="205" t="s">
        <v>3445</v>
      </c>
      <c r="C293" s="68" t="s">
        <v>3446</v>
      </c>
      <c r="D293" s="68" t="s">
        <v>3447</v>
      </c>
    </row>
    <row r="294" spans="1:4">
      <c r="A294" s="204">
        <v>292</v>
      </c>
      <c r="B294" s="205" t="s">
        <v>3448</v>
      </c>
      <c r="C294" s="68" t="s">
        <v>3449</v>
      </c>
      <c r="D294" s="68" t="s">
        <v>3450</v>
      </c>
    </row>
    <row r="295" spans="1:4">
      <c r="A295" s="204">
        <v>293</v>
      </c>
      <c r="B295" s="205" t="s">
        <v>3451</v>
      </c>
      <c r="C295" s="68" t="s">
        <v>3452</v>
      </c>
      <c r="D295" s="68" t="s">
        <v>3453</v>
      </c>
    </row>
    <row r="296" spans="1:4">
      <c r="A296" s="204">
        <v>294</v>
      </c>
      <c r="B296" s="205" t="s">
        <v>3454</v>
      </c>
      <c r="C296" s="68" t="s">
        <v>3455</v>
      </c>
      <c r="D296" s="68" t="s">
        <v>3456</v>
      </c>
    </row>
    <row r="297" spans="1:4">
      <c r="A297" s="204">
        <v>295</v>
      </c>
      <c r="B297" s="205" t="s">
        <v>3457</v>
      </c>
      <c r="C297" s="68" t="s">
        <v>3458</v>
      </c>
      <c r="D297" s="68" t="s">
        <v>3459</v>
      </c>
    </row>
    <row r="298" spans="1:4">
      <c r="A298" s="204">
        <v>296</v>
      </c>
      <c r="B298" s="205" t="s">
        <v>3460</v>
      </c>
      <c r="C298" s="68" t="s">
        <v>3461</v>
      </c>
      <c r="D298" s="68" t="s">
        <v>3462</v>
      </c>
    </row>
    <row r="299" spans="1:4">
      <c r="A299" s="204">
        <v>297</v>
      </c>
      <c r="B299" s="205" t="s">
        <v>3463</v>
      </c>
      <c r="C299" s="68" t="s">
        <v>3464</v>
      </c>
      <c r="D299" s="68" t="s">
        <v>3465</v>
      </c>
    </row>
    <row r="300" spans="1:4">
      <c r="A300" s="204">
        <v>298</v>
      </c>
      <c r="B300" s="205" t="s">
        <v>3466</v>
      </c>
      <c r="C300" s="68" t="s">
        <v>3467</v>
      </c>
      <c r="D300" s="68" t="s">
        <v>3465</v>
      </c>
    </row>
    <row r="301" spans="1:4">
      <c r="A301" s="204">
        <v>299</v>
      </c>
      <c r="B301" s="205" t="s">
        <v>3468</v>
      </c>
      <c r="C301" s="68" t="s">
        <v>3469</v>
      </c>
      <c r="D301" s="68" t="s">
        <v>3470</v>
      </c>
    </row>
    <row r="302" spans="1:4">
      <c r="A302" s="204">
        <v>300</v>
      </c>
      <c r="B302" s="205" t="s">
        <v>3471</v>
      </c>
      <c r="C302" s="68" t="s">
        <v>3472</v>
      </c>
      <c r="D302" s="68" t="s">
        <v>3473</v>
      </c>
    </row>
    <row r="303" spans="1:4">
      <c r="A303" s="204">
        <v>301</v>
      </c>
      <c r="B303" s="205" t="s">
        <v>3474</v>
      </c>
      <c r="C303" s="68" t="s">
        <v>3475</v>
      </c>
      <c r="D303" s="68" t="s">
        <v>3476</v>
      </c>
    </row>
    <row r="304" spans="1:4">
      <c r="A304" s="204">
        <v>302</v>
      </c>
      <c r="B304" s="205" t="s">
        <v>3477</v>
      </c>
      <c r="C304" s="68" t="s">
        <v>3478</v>
      </c>
      <c r="D304" s="68" t="s">
        <v>3479</v>
      </c>
    </row>
    <row r="305" spans="1:4">
      <c r="A305" s="204">
        <v>303</v>
      </c>
      <c r="B305" s="205" t="s">
        <v>3480</v>
      </c>
      <c r="C305" s="68" t="s">
        <v>3481</v>
      </c>
      <c r="D305" s="68" t="s">
        <v>3482</v>
      </c>
    </row>
    <row r="306" spans="1:4">
      <c r="A306" s="204">
        <v>304</v>
      </c>
      <c r="B306" s="205" t="s">
        <v>3483</v>
      </c>
      <c r="C306" s="68" t="s">
        <v>3484</v>
      </c>
      <c r="D306" s="68" t="s">
        <v>3485</v>
      </c>
    </row>
    <row r="307" spans="1:4">
      <c r="A307" s="204">
        <v>305</v>
      </c>
      <c r="B307" s="205" t="s">
        <v>3486</v>
      </c>
      <c r="C307" s="68" t="s">
        <v>3487</v>
      </c>
      <c r="D307" s="68" t="s">
        <v>3488</v>
      </c>
    </row>
    <row r="308" spans="1:4">
      <c r="A308" s="204">
        <v>306</v>
      </c>
      <c r="B308" s="205" t="s">
        <v>3489</v>
      </c>
      <c r="C308" s="68" t="s">
        <v>3490</v>
      </c>
      <c r="D308" s="68" t="s">
        <v>3491</v>
      </c>
    </row>
    <row r="309" spans="1:4">
      <c r="A309" s="204">
        <v>307</v>
      </c>
      <c r="B309" s="205" t="s">
        <v>3492</v>
      </c>
      <c r="C309" s="68" t="s">
        <v>3493</v>
      </c>
      <c r="D309" s="68" t="s">
        <v>3494</v>
      </c>
    </row>
    <row r="310" spans="1:4">
      <c r="A310" s="204">
        <v>308</v>
      </c>
      <c r="B310" s="205" t="s">
        <v>3495</v>
      </c>
      <c r="C310" s="68" t="s">
        <v>3496</v>
      </c>
      <c r="D310" s="68" t="s">
        <v>3497</v>
      </c>
    </row>
    <row r="311" spans="1:4">
      <c r="A311" s="204">
        <v>309</v>
      </c>
      <c r="B311" s="205" t="s">
        <v>3498</v>
      </c>
      <c r="C311" s="68" t="s">
        <v>3499</v>
      </c>
      <c r="D311" s="68" t="s">
        <v>3500</v>
      </c>
    </row>
    <row r="312" spans="1:4">
      <c r="A312" s="204">
        <v>310</v>
      </c>
      <c r="B312" s="205" t="s">
        <v>3501</v>
      </c>
      <c r="C312" s="68" t="s">
        <v>3502</v>
      </c>
      <c r="D312" s="68" t="s">
        <v>3503</v>
      </c>
    </row>
    <row r="313" spans="1:4">
      <c r="A313" s="204">
        <v>311</v>
      </c>
      <c r="B313" s="205" t="s">
        <v>3504</v>
      </c>
      <c r="C313" s="68" t="s">
        <v>3505</v>
      </c>
      <c r="D313" s="68" t="s">
        <v>3506</v>
      </c>
    </row>
    <row r="314" spans="1:4">
      <c r="A314" s="204">
        <v>312</v>
      </c>
      <c r="B314" s="205" t="s">
        <v>3507</v>
      </c>
      <c r="C314" s="68" t="s">
        <v>3508</v>
      </c>
      <c r="D314" s="68" t="s">
        <v>3509</v>
      </c>
    </row>
    <row r="315" spans="1:4">
      <c r="A315" s="204">
        <v>313</v>
      </c>
      <c r="B315" s="205" t="s">
        <v>3510</v>
      </c>
      <c r="C315" s="68" t="s">
        <v>3511</v>
      </c>
      <c r="D315" s="68" t="s">
        <v>3512</v>
      </c>
    </row>
    <row r="316" spans="1:4">
      <c r="A316" s="204">
        <v>314</v>
      </c>
      <c r="B316" s="205" t="s">
        <v>3513</v>
      </c>
      <c r="C316" s="68" t="s">
        <v>3514</v>
      </c>
      <c r="D316" s="68" t="s">
        <v>3515</v>
      </c>
    </row>
    <row r="317" spans="1:4">
      <c r="A317" s="204">
        <v>315</v>
      </c>
      <c r="B317" s="205" t="s">
        <v>3516</v>
      </c>
      <c r="C317" s="68" t="s">
        <v>3517</v>
      </c>
      <c r="D317" s="68" t="s">
        <v>3518</v>
      </c>
    </row>
    <row r="318" spans="1:4">
      <c r="A318" s="204">
        <v>316</v>
      </c>
      <c r="B318" s="205" t="s">
        <v>3519</v>
      </c>
      <c r="C318" s="68" t="s">
        <v>3520</v>
      </c>
      <c r="D318" s="68" t="s">
        <v>3521</v>
      </c>
    </row>
    <row r="319" spans="1:4">
      <c r="A319" s="204">
        <v>317</v>
      </c>
      <c r="B319" s="205" t="s">
        <v>3522</v>
      </c>
      <c r="C319" s="68" t="s">
        <v>3523</v>
      </c>
      <c r="D319" s="68" t="s">
        <v>3524</v>
      </c>
    </row>
    <row r="320" spans="1:4">
      <c r="A320" s="204">
        <v>318</v>
      </c>
      <c r="B320" s="205" t="s">
        <v>3525</v>
      </c>
      <c r="C320" s="68" t="s">
        <v>3526</v>
      </c>
      <c r="D320" s="68" t="s">
        <v>3527</v>
      </c>
    </row>
    <row r="321" spans="1:4">
      <c r="A321" s="204">
        <v>319</v>
      </c>
      <c r="B321" s="205" t="s">
        <v>3528</v>
      </c>
      <c r="C321" s="68" t="s">
        <v>3529</v>
      </c>
      <c r="D321" s="68" t="s">
        <v>3530</v>
      </c>
    </row>
    <row r="322" spans="1:4">
      <c r="A322" s="204">
        <v>320</v>
      </c>
      <c r="B322" s="205" t="s">
        <v>3531</v>
      </c>
      <c r="C322" s="68" t="s">
        <v>3532</v>
      </c>
      <c r="D322" s="68" t="s">
        <v>3533</v>
      </c>
    </row>
    <row r="323" spans="1:4">
      <c r="A323" s="204">
        <v>321</v>
      </c>
      <c r="B323" s="205" t="s">
        <v>3534</v>
      </c>
      <c r="C323" s="68" t="s">
        <v>3535</v>
      </c>
      <c r="D323" s="68" t="s">
        <v>3536</v>
      </c>
    </row>
    <row r="324" spans="1:4">
      <c r="A324" s="204">
        <v>322</v>
      </c>
      <c r="B324" s="205" t="s">
        <v>3537</v>
      </c>
      <c r="C324" s="68" t="s">
        <v>3538</v>
      </c>
      <c r="D324" s="68" t="s">
        <v>3539</v>
      </c>
    </row>
    <row r="325" spans="1:4">
      <c r="A325" s="204">
        <v>323</v>
      </c>
      <c r="B325" s="205" t="s">
        <v>3540</v>
      </c>
      <c r="C325" s="68" t="s">
        <v>3541</v>
      </c>
      <c r="D325" s="68" t="s">
        <v>3542</v>
      </c>
    </row>
    <row r="326" spans="1:4">
      <c r="A326" s="204">
        <v>324</v>
      </c>
      <c r="B326" s="205" t="s">
        <v>3543</v>
      </c>
      <c r="C326" s="68" t="s">
        <v>3544</v>
      </c>
      <c r="D326" s="68" t="s">
        <v>3545</v>
      </c>
    </row>
    <row r="327" spans="1:4">
      <c r="A327" s="204">
        <v>325</v>
      </c>
      <c r="B327" s="205" t="s">
        <v>3546</v>
      </c>
      <c r="C327" s="68" t="s">
        <v>3547</v>
      </c>
      <c r="D327" s="68" t="s">
        <v>3548</v>
      </c>
    </row>
    <row r="328" spans="1:4">
      <c r="A328" s="204">
        <v>326</v>
      </c>
      <c r="B328" s="205" t="s">
        <v>3549</v>
      </c>
      <c r="C328" s="68" t="s">
        <v>3550</v>
      </c>
      <c r="D328" s="68" t="s">
        <v>3551</v>
      </c>
    </row>
    <row r="329" spans="1:4">
      <c r="A329" s="204">
        <v>327</v>
      </c>
      <c r="B329" s="205" t="s">
        <v>3552</v>
      </c>
      <c r="C329" s="68" t="s">
        <v>3553</v>
      </c>
      <c r="D329" s="68" t="s">
        <v>3554</v>
      </c>
    </row>
    <row r="330" spans="1:4">
      <c r="A330" s="204">
        <v>328</v>
      </c>
      <c r="B330" s="205" t="s">
        <v>3555</v>
      </c>
      <c r="C330" s="68" t="s">
        <v>3556</v>
      </c>
      <c r="D330" s="68" t="s">
        <v>3557</v>
      </c>
    </row>
    <row r="331" spans="1:4">
      <c r="A331" s="204">
        <v>329</v>
      </c>
      <c r="B331" s="205" t="s">
        <v>3558</v>
      </c>
      <c r="C331" s="68" t="s">
        <v>3559</v>
      </c>
      <c r="D331" s="68" t="s">
        <v>3560</v>
      </c>
    </row>
    <row r="332" spans="1:4">
      <c r="A332" s="204">
        <v>330</v>
      </c>
      <c r="B332" s="205" t="s">
        <v>3561</v>
      </c>
      <c r="C332" s="68" t="s">
        <v>3562</v>
      </c>
      <c r="D332" s="68" t="s">
        <v>3563</v>
      </c>
    </row>
    <row r="333" spans="1:4">
      <c r="A333" s="204">
        <v>331</v>
      </c>
      <c r="B333" s="205" t="s">
        <v>3564</v>
      </c>
      <c r="C333" s="68" t="s">
        <v>3565</v>
      </c>
      <c r="D333" s="68" t="s">
        <v>3566</v>
      </c>
    </row>
    <row r="334" spans="1:4">
      <c r="A334" s="204">
        <v>332</v>
      </c>
      <c r="B334" s="205" t="s">
        <v>3567</v>
      </c>
      <c r="C334" s="68" t="s">
        <v>3568</v>
      </c>
      <c r="D334" s="68" t="s">
        <v>3569</v>
      </c>
    </row>
    <row r="335" spans="1:4">
      <c r="A335" s="204">
        <v>333</v>
      </c>
      <c r="B335" s="205" t="s">
        <v>3570</v>
      </c>
      <c r="C335" s="68" t="s">
        <v>3571</v>
      </c>
      <c r="D335" s="68" t="s">
        <v>3572</v>
      </c>
    </row>
    <row r="336" spans="1:4">
      <c r="A336" s="204">
        <v>334</v>
      </c>
      <c r="B336" s="205" t="s">
        <v>3573</v>
      </c>
      <c r="C336" s="68" t="s">
        <v>3574</v>
      </c>
      <c r="D336" s="68" t="s">
        <v>3575</v>
      </c>
    </row>
    <row r="337" spans="1:4">
      <c r="A337" s="204">
        <v>335</v>
      </c>
      <c r="B337" s="205" t="s">
        <v>3576</v>
      </c>
      <c r="C337" s="68" t="s">
        <v>3577</v>
      </c>
      <c r="D337" s="68" t="s">
        <v>3578</v>
      </c>
    </row>
    <row r="338" spans="1:4">
      <c r="A338" s="204">
        <v>336</v>
      </c>
      <c r="B338" s="205" t="s">
        <v>3579</v>
      </c>
      <c r="C338" s="68" t="s">
        <v>3580</v>
      </c>
      <c r="D338" s="68" t="s">
        <v>3581</v>
      </c>
    </row>
    <row r="339" spans="1:4">
      <c r="A339" s="204">
        <v>337</v>
      </c>
      <c r="B339" s="205" t="s">
        <v>3582</v>
      </c>
      <c r="C339" s="68" t="s">
        <v>3583</v>
      </c>
      <c r="D339" s="68" t="s">
        <v>3584</v>
      </c>
    </row>
    <row r="340" spans="1:4">
      <c r="A340" s="204">
        <v>338</v>
      </c>
      <c r="B340" s="205" t="s">
        <v>3585</v>
      </c>
      <c r="C340" s="68" t="s">
        <v>3586</v>
      </c>
      <c r="D340" s="68" t="s">
        <v>3587</v>
      </c>
    </row>
    <row r="341" spans="1:4">
      <c r="A341" s="204">
        <v>339</v>
      </c>
      <c r="B341" s="205" t="s">
        <v>3588</v>
      </c>
      <c r="C341" s="68" t="s">
        <v>3589</v>
      </c>
      <c r="D341" s="68" t="s">
        <v>3590</v>
      </c>
    </row>
    <row r="342" spans="1:4">
      <c r="A342" s="204">
        <v>340</v>
      </c>
      <c r="B342" s="205" t="s">
        <v>3591</v>
      </c>
      <c r="C342" s="68" t="s">
        <v>3592</v>
      </c>
      <c r="D342" s="68" t="s">
        <v>3593</v>
      </c>
    </row>
    <row r="343" spans="1:4">
      <c r="A343" s="204">
        <v>341</v>
      </c>
      <c r="B343" s="205" t="s">
        <v>3594</v>
      </c>
      <c r="C343" s="68" t="s">
        <v>3595</v>
      </c>
      <c r="D343" s="68" t="s">
        <v>3596</v>
      </c>
    </row>
    <row r="344" spans="1:4">
      <c r="A344" s="204">
        <v>342</v>
      </c>
      <c r="B344" s="205" t="s">
        <v>3597</v>
      </c>
      <c r="C344" s="68" t="s">
        <v>3598</v>
      </c>
      <c r="D344" s="68" t="s">
        <v>3599</v>
      </c>
    </row>
    <row r="345" spans="1:4">
      <c r="A345" s="204">
        <v>343</v>
      </c>
      <c r="B345" s="205" t="s">
        <v>3600</v>
      </c>
      <c r="C345" s="68" t="s">
        <v>3601</v>
      </c>
      <c r="D345" s="68" t="s">
        <v>3602</v>
      </c>
    </row>
    <row r="346" spans="1:4">
      <c r="A346" s="204">
        <v>344</v>
      </c>
      <c r="B346" s="205" t="s">
        <v>3603</v>
      </c>
      <c r="C346" s="68" t="s">
        <v>3604</v>
      </c>
      <c r="D346" s="68" t="s">
        <v>3605</v>
      </c>
    </row>
    <row r="347" spans="1:4">
      <c r="A347" s="204">
        <v>345</v>
      </c>
      <c r="B347" s="205" t="s">
        <v>3606</v>
      </c>
      <c r="C347" s="68" t="s">
        <v>3607</v>
      </c>
      <c r="D347" s="68" t="s">
        <v>3608</v>
      </c>
    </row>
    <row r="348" spans="1:4">
      <c r="A348" s="204">
        <v>346</v>
      </c>
      <c r="B348" s="205" t="s">
        <v>3609</v>
      </c>
      <c r="C348" s="68" t="s">
        <v>3610</v>
      </c>
      <c r="D348" s="68" t="s">
        <v>3611</v>
      </c>
    </row>
    <row r="349" spans="1:4">
      <c r="A349" s="204">
        <v>347</v>
      </c>
      <c r="B349" s="205" t="s">
        <v>3612</v>
      </c>
      <c r="C349" s="68" t="s">
        <v>3613</v>
      </c>
      <c r="D349" s="68" t="s">
        <v>3614</v>
      </c>
    </row>
    <row r="350" spans="1:4">
      <c r="A350" s="204">
        <v>348</v>
      </c>
      <c r="B350" s="205" t="s">
        <v>3615</v>
      </c>
      <c r="C350" s="68" t="s">
        <v>3616</v>
      </c>
      <c r="D350" s="68" t="s">
        <v>3617</v>
      </c>
    </row>
    <row r="351" spans="1:4">
      <c r="A351" s="204">
        <v>349</v>
      </c>
      <c r="B351" s="205" t="s">
        <v>3618</v>
      </c>
      <c r="C351" s="68" t="s">
        <v>3619</v>
      </c>
      <c r="D351" s="68" t="s">
        <v>3620</v>
      </c>
    </row>
    <row r="352" spans="1:4">
      <c r="A352" s="204">
        <v>350</v>
      </c>
      <c r="B352" s="205" t="s">
        <v>3621</v>
      </c>
      <c r="C352" s="68" t="s">
        <v>3622</v>
      </c>
      <c r="D352" s="68" t="s">
        <v>3623</v>
      </c>
    </row>
    <row r="353" spans="1:4">
      <c r="A353" s="204">
        <v>351</v>
      </c>
      <c r="B353" s="205" t="s">
        <v>3624</v>
      </c>
      <c r="C353" s="68" t="s">
        <v>3625</v>
      </c>
      <c r="D353" s="68" t="s">
        <v>3626</v>
      </c>
    </row>
    <row r="354" spans="1:4">
      <c r="A354" s="204">
        <v>352</v>
      </c>
      <c r="B354" s="205" t="s">
        <v>3627</v>
      </c>
      <c r="C354" s="68" t="s">
        <v>3628</v>
      </c>
      <c r="D354" s="68" t="s">
        <v>3629</v>
      </c>
    </row>
    <row r="355" spans="1:4">
      <c r="A355" s="204">
        <v>353</v>
      </c>
      <c r="B355" s="205" t="s">
        <v>3630</v>
      </c>
      <c r="C355" s="68" t="s">
        <v>3631</v>
      </c>
      <c r="D355" s="68" t="s">
        <v>3632</v>
      </c>
    </row>
    <row r="356" spans="1:4">
      <c r="A356" s="204">
        <v>354</v>
      </c>
      <c r="B356" s="205" t="s">
        <v>3633</v>
      </c>
      <c r="C356" s="68" t="s">
        <v>3634</v>
      </c>
      <c r="D356" s="68" t="s">
        <v>3635</v>
      </c>
    </row>
    <row r="357" spans="1:4">
      <c r="A357" s="204">
        <v>355</v>
      </c>
      <c r="B357" s="205" t="s">
        <v>3636</v>
      </c>
      <c r="C357" s="68" t="s">
        <v>3637</v>
      </c>
      <c r="D357" s="68" t="s">
        <v>3638</v>
      </c>
    </row>
    <row r="358" spans="1:4">
      <c r="A358" s="204">
        <v>356</v>
      </c>
      <c r="B358" s="205" t="s">
        <v>3639</v>
      </c>
      <c r="C358" s="68" t="s">
        <v>3640</v>
      </c>
      <c r="D358" s="68" t="s">
        <v>3641</v>
      </c>
    </row>
    <row r="359" spans="1:4">
      <c r="A359" s="204">
        <v>357</v>
      </c>
      <c r="B359" s="205" t="s">
        <v>3642</v>
      </c>
      <c r="C359" s="68" t="s">
        <v>3643</v>
      </c>
      <c r="D359" s="68" t="s">
        <v>3644</v>
      </c>
    </row>
    <row r="360" spans="1:4">
      <c r="A360" s="204">
        <v>358</v>
      </c>
      <c r="B360" s="205" t="s">
        <v>3645</v>
      </c>
      <c r="C360" s="68" t="s">
        <v>3646</v>
      </c>
      <c r="D360" s="68" t="s">
        <v>3647</v>
      </c>
    </row>
    <row r="361" spans="1:4">
      <c r="A361" s="204">
        <v>359</v>
      </c>
      <c r="B361" s="205" t="s">
        <v>3648</v>
      </c>
      <c r="C361" s="68" t="s">
        <v>3649</v>
      </c>
      <c r="D361" s="68" t="s">
        <v>3650</v>
      </c>
    </row>
    <row r="362" spans="1:4">
      <c r="A362" s="204">
        <v>360</v>
      </c>
      <c r="B362" s="205" t="s">
        <v>3651</v>
      </c>
      <c r="C362" s="68" t="s">
        <v>3652</v>
      </c>
      <c r="D362" s="68" t="s">
        <v>3653</v>
      </c>
    </row>
    <row r="363" spans="1:4">
      <c r="A363" s="204">
        <v>361</v>
      </c>
      <c r="B363" s="205" t="s">
        <v>3654</v>
      </c>
      <c r="C363" s="68" t="s">
        <v>3655</v>
      </c>
      <c r="D363" s="68" t="s">
        <v>3656</v>
      </c>
    </row>
    <row r="364" spans="1:4">
      <c r="A364" s="204">
        <v>362</v>
      </c>
      <c r="B364" s="205" t="s">
        <v>3657</v>
      </c>
      <c r="C364" s="68" t="s">
        <v>3658</v>
      </c>
      <c r="D364" s="68" t="s">
        <v>3656</v>
      </c>
    </row>
    <row r="365" spans="1:4">
      <c r="A365" s="204">
        <v>363</v>
      </c>
      <c r="B365" s="205" t="s">
        <v>3659</v>
      </c>
      <c r="C365" s="68" t="s">
        <v>3660</v>
      </c>
      <c r="D365" s="68" t="s">
        <v>3661</v>
      </c>
    </row>
    <row r="366" spans="1:4">
      <c r="A366" s="204">
        <v>364</v>
      </c>
      <c r="B366" s="205" t="s">
        <v>3662</v>
      </c>
      <c r="C366" s="68" t="s">
        <v>3663</v>
      </c>
      <c r="D366" s="68" t="s">
        <v>3664</v>
      </c>
    </row>
    <row r="367" spans="1:4">
      <c r="A367" s="204">
        <v>365</v>
      </c>
      <c r="B367" s="205" t="s">
        <v>3665</v>
      </c>
      <c r="C367" s="68" t="s">
        <v>3666</v>
      </c>
      <c r="D367" s="68" t="s">
        <v>3664</v>
      </c>
    </row>
    <row r="368" spans="1:4">
      <c r="A368" s="204">
        <v>366</v>
      </c>
      <c r="B368" s="205" t="s">
        <v>3667</v>
      </c>
      <c r="C368" s="68" t="s">
        <v>3668</v>
      </c>
      <c r="D368" s="68" t="s">
        <v>3669</v>
      </c>
    </row>
    <row r="369" spans="1:4">
      <c r="A369" s="204">
        <v>367</v>
      </c>
      <c r="B369" s="205" t="s">
        <v>3670</v>
      </c>
      <c r="C369" s="68" t="s">
        <v>3671</v>
      </c>
      <c r="D369" s="68" t="s">
        <v>3669</v>
      </c>
    </row>
    <row r="370" spans="1:4">
      <c r="A370" s="204">
        <v>368</v>
      </c>
      <c r="B370" s="205" t="s">
        <v>3672</v>
      </c>
      <c r="C370" s="68" t="s">
        <v>3673</v>
      </c>
      <c r="D370" s="68" t="s">
        <v>3674</v>
      </c>
    </row>
    <row r="371" spans="1:4">
      <c r="A371" s="204">
        <v>369</v>
      </c>
      <c r="B371" s="205" t="s">
        <v>3675</v>
      </c>
      <c r="C371" s="68" t="s">
        <v>3676</v>
      </c>
      <c r="D371" s="68" t="s">
        <v>3677</v>
      </c>
    </row>
    <row r="372" spans="1:4">
      <c r="A372" s="204">
        <v>370</v>
      </c>
      <c r="B372" s="205" t="s">
        <v>3678</v>
      </c>
      <c r="C372" s="68" t="s">
        <v>3679</v>
      </c>
      <c r="D372" s="68" t="s">
        <v>3680</v>
      </c>
    </row>
    <row r="373" spans="1:4">
      <c r="A373" s="204">
        <v>371</v>
      </c>
      <c r="B373" s="205" t="s">
        <v>3681</v>
      </c>
      <c r="C373" s="68" t="s">
        <v>3682</v>
      </c>
      <c r="D373" s="68" t="s">
        <v>3683</v>
      </c>
    </row>
    <row r="374" spans="1:4">
      <c r="A374" s="204">
        <v>372</v>
      </c>
      <c r="B374" s="205" t="s">
        <v>3684</v>
      </c>
      <c r="C374" s="68" t="s">
        <v>3685</v>
      </c>
      <c r="D374" s="68" t="s">
        <v>3686</v>
      </c>
    </row>
    <row r="375" spans="1:4">
      <c r="A375" s="204">
        <v>373</v>
      </c>
      <c r="B375" s="205" t="s">
        <v>3687</v>
      </c>
      <c r="C375" s="68" t="s">
        <v>3688</v>
      </c>
      <c r="D375" s="68" t="s">
        <v>3689</v>
      </c>
    </row>
    <row r="376" spans="1:4">
      <c r="A376" s="204">
        <v>374</v>
      </c>
      <c r="B376" s="205" t="s">
        <v>3690</v>
      </c>
      <c r="C376" s="68" t="s">
        <v>3691</v>
      </c>
      <c r="D376" s="68" t="s">
        <v>3692</v>
      </c>
    </row>
    <row r="377" spans="1:4">
      <c r="A377" s="204">
        <v>375</v>
      </c>
      <c r="B377" s="205" t="s">
        <v>3693</v>
      </c>
      <c r="C377" s="68" t="s">
        <v>3694</v>
      </c>
      <c r="D377" s="68" t="s">
        <v>3695</v>
      </c>
    </row>
    <row r="378" spans="1:4">
      <c r="A378" s="204">
        <v>376</v>
      </c>
      <c r="B378" s="205" t="s">
        <v>3696</v>
      </c>
      <c r="C378" s="68" t="s">
        <v>3697</v>
      </c>
      <c r="D378" s="68" t="s">
        <v>3695</v>
      </c>
    </row>
    <row r="379" spans="1:4">
      <c r="A379" s="204">
        <v>377</v>
      </c>
      <c r="B379" s="205" t="s">
        <v>3698</v>
      </c>
      <c r="C379" s="68" t="s">
        <v>3699</v>
      </c>
      <c r="D379" s="68" t="s">
        <v>3700</v>
      </c>
    </row>
    <row r="380" spans="1:4">
      <c r="A380" s="204">
        <v>378</v>
      </c>
      <c r="B380" s="205" t="s">
        <v>3701</v>
      </c>
      <c r="C380" s="68" t="s">
        <v>3702</v>
      </c>
      <c r="D380" s="68" t="s">
        <v>3703</v>
      </c>
    </row>
    <row r="381" spans="1:4">
      <c r="A381" s="204">
        <v>379</v>
      </c>
      <c r="B381" s="205" t="s">
        <v>3704</v>
      </c>
      <c r="C381" s="68" t="s">
        <v>3705</v>
      </c>
      <c r="D381" s="68" t="s">
        <v>3706</v>
      </c>
    </row>
    <row r="382" spans="1:4">
      <c r="A382" s="204">
        <v>380</v>
      </c>
      <c r="B382" s="205" t="s">
        <v>3707</v>
      </c>
      <c r="C382" s="68" t="s">
        <v>3708</v>
      </c>
      <c r="D382" s="68" t="s">
        <v>3709</v>
      </c>
    </row>
    <row r="383" spans="1:4">
      <c r="A383" s="204">
        <v>381</v>
      </c>
      <c r="B383" s="205" t="s">
        <v>3710</v>
      </c>
      <c r="C383" s="68" t="s">
        <v>3711</v>
      </c>
      <c r="D383" s="68" t="s">
        <v>3712</v>
      </c>
    </row>
    <row r="384" spans="1:4">
      <c r="A384" s="204">
        <v>382</v>
      </c>
      <c r="B384" s="205" t="s">
        <v>3713</v>
      </c>
      <c r="C384" s="68" t="s">
        <v>3714</v>
      </c>
      <c r="D384" s="68" t="s">
        <v>3712</v>
      </c>
    </row>
    <row r="385" spans="1:4">
      <c r="A385" s="204">
        <v>383</v>
      </c>
      <c r="B385" s="205" t="s">
        <v>3715</v>
      </c>
      <c r="C385" s="68" t="s">
        <v>3716</v>
      </c>
      <c r="D385" s="68" t="s">
        <v>3717</v>
      </c>
    </row>
    <row r="386" spans="1:4">
      <c r="A386" s="204">
        <v>384</v>
      </c>
      <c r="B386" s="205" t="s">
        <v>3718</v>
      </c>
      <c r="C386" s="68" t="s">
        <v>3719</v>
      </c>
      <c r="D386" s="68" t="s">
        <v>3720</v>
      </c>
    </row>
    <row r="387" spans="1:4">
      <c r="A387" s="204">
        <v>385</v>
      </c>
      <c r="B387" s="205" t="s">
        <v>3721</v>
      </c>
      <c r="C387" s="68" t="s">
        <v>3722</v>
      </c>
      <c r="D387" s="68" t="s">
        <v>3723</v>
      </c>
    </row>
    <row r="388" spans="1:4">
      <c r="A388" s="204">
        <v>386</v>
      </c>
      <c r="B388" s="205" t="s">
        <v>3724</v>
      </c>
      <c r="C388" s="68" t="s">
        <v>3725</v>
      </c>
      <c r="D388" s="68" t="s">
        <v>3726</v>
      </c>
    </row>
    <row r="389" spans="1:4">
      <c r="A389" s="204">
        <v>387</v>
      </c>
      <c r="B389" s="205" t="s">
        <v>3727</v>
      </c>
      <c r="C389" s="68" t="s">
        <v>3728</v>
      </c>
      <c r="D389" s="68" t="s">
        <v>3729</v>
      </c>
    </row>
    <row r="390" spans="1:4">
      <c r="A390" s="204">
        <v>388</v>
      </c>
      <c r="B390" s="205" t="s">
        <v>3730</v>
      </c>
      <c r="C390" s="68" t="s">
        <v>3731</v>
      </c>
      <c r="D390" s="68" t="s">
        <v>3732</v>
      </c>
    </row>
    <row r="391" spans="1:4">
      <c r="A391" s="204">
        <v>389</v>
      </c>
      <c r="B391" s="205" t="s">
        <v>3733</v>
      </c>
      <c r="C391" s="68" t="s">
        <v>3734</v>
      </c>
      <c r="D391" s="68" t="s">
        <v>3735</v>
      </c>
    </row>
    <row r="392" spans="1:4">
      <c r="A392" s="204">
        <v>390</v>
      </c>
      <c r="B392" s="205" t="s">
        <v>3736</v>
      </c>
      <c r="C392" s="68" t="s">
        <v>3737</v>
      </c>
      <c r="D392" s="68" t="s">
        <v>3738</v>
      </c>
    </row>
    <row r="393" spans="1:4">
      <c r="A393" s="204">
        <v>391</v>
      </c>
      <c r="B393" s="205" t="s">
        <v>3739</v>
      </c>
      <c r="C393" s="68" t="s">
        <v>3740</v>
      </c>
      <c r="D393" s="68" t="s">
        <v>3741</v>
      </c>
    </row>
    <row r="394" spans="1:4">
      <c r="A394" s="204">
        <v>392</v>
      </c>
      <c r="B394" s="205" t="s">
        <v>3742</v>
      </c>
      <c r="C394" s="68" t="s">
        <v>3743</v>
      </c>
      <c r="D394" s="68" t="s">
        <v>3744</v>
      </c>
    </row>
    <row r="395" spans="1:4">
      <c r="A395" s="204">
        <v>393</v>
      </c>
      <c r="B395" s="205" t="s">
        <v>3745</v>
      </c>
      <c r="C395" s="68" t="s">
        <v>3746</v>
      </c>
      <c r="D395" s="68" t="s">
        <v>3747</v>
      </c>
    </row>
    <row r="396" spans="1:4">
      <c r="A396" s="204">
        <v>394</v>
      </c>
      <c r="B396" s="205" t="s">
        <v>3748</v>
      </c>
      <c r="C396" s="68" t="s">
        <v>3749</v>
      </c>
      <c r="D396" s="68" t="s">
        <v>3750</v>
      </c>
    </row>
    <row r="397" spans="1:4">
      <c r="A397" s="204">
        <v>395</v>
      </c>
      <c r="B397" s="205" t="s">
        <v>3751</v>
      </c>
      <c r="C397" s="68" t="s">
        <v>3752</v>
      </c>
      <c r="D397" s="68" t="s">
        <v>3753</v>
      </c>
    </row>
    <row r="398" spans="1:4">
      <c r="A398" s="204">
        <v>396</v>
      </c>
      <c r="B398" s="205" t="s">
        <v>3754</v>
      </c>
      <c r="C398" s="68" t="s">
        <v>3755</v>
      </c>
      <c r="D398" s="68" t="s">
        <v>3756</v>
      </c>
    </row>
    <row r="399" spans="1:4">
      <c r="A399" s="204">
        <v>397</v>
      </c>
      <c r="B399" s="205" t="s">
        <v>3757</v>
      </c>
      <c r="C399" s="68" t="s">
        <v>3758</v>
      </c>
      <c r="D399" s="68" t="s">
        <v>3759</v>
      </c>
    </row>
    <row r="400" spans="1:4">
      <c r="A400" s="204">
        <v>398</v>
      </c>
      <c r="B400" s="205" t="s">
        <v>3760</v>
      </c>
      <c r="C400" s="68" t="s">
        <v>3761</v>
      </c>
      <c r="D400" s="68" t="s">
        <v>3762</v>
      </c>
    </row>
    <row r="401" spans="1:4">
      <c r="A401" s="204">
        <v>399</v>
      </c>
      <c r="B401" s="205" t="s">
        <v>3763</v>
      </c>
      <c r="C401" s="68" t="s">
        <v>3764</v>
      </c>
      <c r="D401" s="68" t="s">
        <v>3765</v>
      </c>
    </row>
    <row r="402" spans="1:4">
      <c r="A402" s="204">
        <v>400</v>
      </c>
      <c r="B402" s="205" t="s">
        <v>3766</v>
      </c>
      <c r="C402" s="68" t="s">
        <v>3767</v>
      </c>
      <c r="D402" s="68" t="s">
        <v>3768</v>
      </c>
    </row>
    <row r="403" spans="1:4">
      <c r="A403" s="204">
        <v>401</v>
      </c>
      <c r="B403" s="205" t="s">
        <v>3769</v>
      </c>
      <c r="C403" s="68" t="s">
        <v>3770</v>
      </c>
      <c r="D403" s="68" t="s">
        <v>3768</v>
      </c>
    </row>
    <row r="404" spans="1:4">
      <c r="A404" s="204">
        <v>402</v>
      </c>
      <c r="B404" s="205" t="s">
        <v>3771</v>
      </c>
      <c r="C404" s="68" t="s">
        <v>3772</v>
      </c>
      <c r="D404" s="68" t="s">
        <v>3773</v>
      </c>
    </row>
    <row r="405" spans="1:4">
      <c r="A405" s="204">
        <v>403</v>
      </c>
      <c r="B405" s="205" t="s">
        <v>3774</v>
      </c>
      <c r="C405" s="68" t="s">
        <v>3775</v>
      </c>
      <c r="D405" s="68" t="s">
        <v>3776</v>
      </c>
    </row>
    <row r="406" spans="1:4">
      <c r="A406" s="204">
        <v>404</v>
      </c>
      <c r="B406" s="205" t="s">
        <v>3777</v>
      </c>
      <c r="C406" s="68" t="s">
        <v>3778</v>
      </c>
      <c r="D406" s="68" t="s">
        <v>3779</v>
      </c>
    </row>
    <row r="407" spans="1:4">
      <c r="A407" s="204">
        <v>405</v>
      </c>
      <c r="B407" s="205" t="s">
        <v>3780</v>
      </c>
      <c r="C407" s="68" t="s">
        <v>3781</v>
      </c>
      <c r="D407" s="68" t="s">
        <v>3782</v>
      </c>
    </row>
    <row r="408" spans="1:4">
      <c r="A408" s="204">
        <v>406</v>
      </c>
      <c r="B408" s="205" t="s">
        <v>3783</v>
      </c>
      <c r="C408" s="68" t="s">
        <v>3784</v>
      </c>
      <c r="D408" s="68" t="s">
        <v>3785</v>
      </c>
    </row>
    <row r="409" spans="1:4">
      <c r="A409" s="204">
        <v>407</v>
      </c>
      <c r="B409" s="205" t="s">
        <v>3786</v>
      </c>
      <c r="C409" s="68" t="s">
        <v>3787</v>
      </c>
      <c r="D409" s="68" t="s">
        <v>3788</v>
      </c>
    </row>
    <row r="410" spans="1:4">
      <c r="A410" s="204">
        <v>408</v>
      </c>
      <c r="B410" s="205" t="s">
        <v>3789</v>
      </c>
      <c r="C410" s="68" t="s">
        <v>3790</v>
      </c>
      <c r="D410" s="68" t="s">
        <v>3791</v>
      </c>
    </row>
    <row r="411" spans="1:4">
      <c r="A411" s="204">
        <v>409</v>
      </c>
      <c r="B411" s="205" t="s">
        <v>3792</v>
      </c>
      <c r="C411" s="68" t="s">
        <v>3793</v>
      </c>
      <c r="D411" s="68" t="s">
        <v>3794</v>
      </c>
    </row>
    <row r="412" spans="1:4">
      <c r="A412" s="204">
        <v>410</v>
      </c>
      <c r="B412" s="205" t="s">
        <v>3795</v>
      </c>
      <c r="C412" s="68" t="s">
        <v>3796</v>
      </c>
      <c r="D412" s="68" t="s">
        <v>3797</v>
      </c>
    </row>
    <row r="413" spans="1:4">
      <c r="A413" s="204">
        <v>411</v>
      </c>
      <c r="B413" s="205" t="s">
        <v>3798</v>
      </c>
      <c r="C413" s="68" t="s">
        <v>3799</v>
      </c>
      <c r="D413" s="68" t="s">
        <v>3800</v>
      </c>
    </row>
    <row r="414" spans="1:4">
      <c r="A414" s="204">
        <v>412</v>
      </c>
      <c r="B414" s="205" t="s">
        <v>3801</v>
      </c>
      <c r="C414" s="68" t="s">
        <v>3802</v>
      </c>
      <c r="D414" s="68" t="s">
        <v>3803</v>
      </c>
    </row>
    <row r="415" spans="1:4">
      <c r="A415" s="204">
        <v>413</v>
      </c>
      <c r="B415" s="205" t="s">
        <v>3804</v>
      </c>
      <c r="C415" s="68" t="s">
        <v>3805</v>
      </c>
      <c r="D415" s="68" t="s">
        <v>3806</v>
      </c>
    </row>
    <row r="416" spans="1:4">
      <c r="A416" s="204">
        <v>414</v>
      </c>
      <c r="B416" s="205" t="s">
        <v>3807</v>
      </c>
      <c r="C416" s="68" t="s">
        <v>3808</v>
      </c>
      <c r="D416" s="68" t="s">
        <v>3809</v>
      </c>
    </row>
    <row r="417" spans="1:4">
      <c r="A417" s="204">
        <v>415</v>
      </c>
      <c r="B417" s="205" t="s">
        <v>3810</v>
      </c>
      <c r="C417" s="68" t="s">
        <v>3811</v>
      </c>
      <c r="D417" s="68" t="s">
        <v>3812</v>
      </c>
    </row>
    <row r="418" spans="1:4">
      <c r="A418" s="204">
        <v>416</v>
      </c>
      <c r="B418" s="205" t="s">
        <v>3813</v>
      </c>
      <c r="C418" s="68" t="s">
        <v>3814</v>
      </c>
      <c r="D418" s="68" t="s">
        <v>3815</v>
      </c>
    </row>
    <row r="419" spans="1:4">
      <c r="A419" s="204">
        <v>417</v>
      </c>
      <c r="B419" s="205" t="s">
        <v>3816</v>
      </c>
      <c r="C419" s="68" t="s">
        <v>3817</v>
      </c>
      <c r="D419" s="68" t="s">
        <v>3818</v>
      </c>
    </row>
    <row r="420" spans="1:4">
      <c r="A420" s="204">
        <v>418</v>
      </c>
      <c r="B420" s="205" t="s">
        <v>3819</v>
      </c>
      <c r="C420" s="68" t="s">
        <v>3820</v>
      </c>
      <c r="D420" s="68" t="s">
        <v>3821</v>
      </c>
    </row>
    <row r="421" spans="1:4">
      <c r="A421" s="204">
        <v>419</v>
      </c>
      <c r="B421" s="205" t="s">
        <v>3822</v>
      </c>
      <c r="C421" s="68" t="s">
        <v>3823</v>
      </c>
      <c r="D421" s="68" t="s">
        <v>3824</v>
      </c>
    </row>
    <row r="422" spans="1:4">
      <c r="A422" s="204">
        <v>420</v>
      </c>
      <c r="B422" s="205" t="s">
        <v>3825</v>
      </c>
      <c r="C422" s="68" t="s">
        <v>3826</v>
      </c>
      <c r="D422" s="68" t="s">
        <v>3827</v>
      </c>
    </row>
    <row r="423" spans="1:4">
      <c r="A423" s="204">
        <v>421</v>
      </c>
      <c r="B423" s="205" t="s">
        <v>3828</v>
      </c>
      <c r="C423" s="68" t="s">
        <v>3829</v>
      </c>
      <c r="D423" s="68" t="s">
        <v>3830</v>
      </c>
    </row>
    <row r="424" spans="1:4">
      <c r="A424" s="204">
        <v>422</v>
      </c>
      <c r="B424" s="205" t="s">
        <v>3831</v>
      </c>
      <c r="C424" s="68" t="s">
        <v>3832</v>
      </c>
      <c r="D424" s="68" t="s">
        <v>3833</v>
      </c>
    </row>
    <row r="425" spans="1:4">
      <c r="A425" s="204">
        <v>423</v>
      </c>
      <c r="B425" s="205" t="s">
        <v>3834</v>
      </c>
      <c r="C425" s="68" t="s">
        <v>3835</v>
      </c>
      <c r="D425" s="68" t="s">
        <v>3836</v>
      </c>
    </row>
    <row r="426" spans="1:4">
      <c r="A426" s="204">
        <v>424</v>
      </c>
      <c r="B426" s="205" t="s">
        <v>3837</v>
      </c>
      <c r="C426" s="68" t="s">
        <v>3838</v>
      </c>
      <c r="D426" s="68" t="s">
        <v>3839</v>
      </c>
    </row>
    <row r="427" spans="1:4">
      <c r="A427" s="204">
        <v>425</v>
      </c>
      <c r="B427" s="205" t="s">
        <v>3840</v>
      </c>
      <c r="C427" s="68" t="s">
        <v>3841</v>
      </c>
      <c r="D427" s="68" t="s">
        <v>3842</v>
      </c>
    </row>
    <row r="428" spans="1:4">
      <c r="A428" s="204">
        <v>426</v>
      </c>
      <c r="B428" s="205" t="s">
        <v>3843</v>
      </c>
      <c r="C428" s="68" t="s">
        <v>3844</v>
      </c>
      <c r="D428" s="68" t="s">
        <v>3845</v>
      </c>
    </row>
    <row r="429" spans="1:4">
      <c r="A429" s="204">
        <v>427</v>
      </c>
      <c r="B429" s="205" t="s">
        <v>3846</v>
      </c>
      <c r="C429" s="68" t="s">
        <v>3847</v>
      </c>
      <c r="D429" s="68" t="s">
        <v>3848</v>
      </c>
    </row>
    <row r="430" spans="1:4">
      <c r="A430" s="204">
        <v>428</v>
      </c>
      <c r="B430" s="205" t="s">
        <v>3849</v>
      </c>
      <c r="C430" s="68" t="s">
        <v>3850</v>
      </c>
      <c r="D430" s="68" t="s">
        <v>3851</v>
      </c>
    </row>
    <row r="431" spans="1:4">
      <c r="A431" s="204">
        <v>429</v>
      </c>
      <c r="B431" s="205" t="s">
        <v>3852</v>
      </c>
      <c r="C431" s="68" t="s">
        <v>3853</v>
      </c>
      <c r="D431" s="68" t="s">
        <v>3854</v>
      </c>
    </row>
    <row r="432" spans="1:4">
      <c r="A432" s="204">
        <v>430</v>
      </c>
      <c r="B432" s="205" t="s">
        <v>3855</v>
      </c>
      <c r="C432" s="68" t="s">
        <v>3856</v>
      </c>
      <c r="D432" s="68" t="s">
        <v>3857</v>
      </c>
    </row>
    <row r="433" spans="1:4">
      <c r="A433" s="204">
        <v>431</v>
      </c>
      <c r="B433" s="205" t="s">
        <v>3858</v>
      </c>
      <c r="C433" s="68" t="s">
        <v>3859</v>
      </c>
      <c r="D433" s="68" t="s">
        <v>3860</v>
      </c>
    </row>
    <row r="434" spans="1:4">
      <c r="A434" s="204">
        <v>432</v>
      </c>
      <c r="B434" s="205" t="s">
        <v>3861</v>
      </c>
      <c r="C434" s="68" t="s">
        <v>3862</v>
      </c>
      <c r="D434" s="68" t="s">
        <v>3863</v>
      </c>
    </row>
    <row r="435" spans="1:4">
      <c r="A435" s="204">
        <v>433</v>
      </c>
      <c r="B435" s="205" t="s">
        <v>3864</v>
      </c>
      <c r="C435" s="68" t="s">
        <v>3865</v>
      </c>
      <c r="D435" s="68" t="s">
        <v>3866</v>
      </c>
    </row>
    <row r="436" spans="1:4">
      <c r="A436" s="204">
        <v>434</v>
      </c>
      <c r="B436" s="205" t="s">
        <v>3867</v>
      </c>
      <c r="C436" s="68" t="s">
        <v>3868</v>
      </c>
      <c r="D436" s="68" t="s">
        <v>3869</v>
      </c>
    </row>
    <row r="437" spans="1:4">
      <c r="A437" s="204">
        <v>435</v>
      </c>
      <c r="B437" s="205" t="s">
        <v>3870</v>
      </c>
      <c r="C437" s="68" t="s">
        <v>3871</v>
      </c>
      <c r="D437" s="68" t="s">
        <v>3872</v>
      </c>
    </row>
    <row r="438" spans="1:4">
      <c r="A438" s="204">
        <v>436</v>
      </c>
      <c r="B438" s="205" t="s">
        <v>3873</v>
      </c>
      <c r="C438" s="68" t="s">
        <v>3874</v>
      </c>
      <c r="D438" s="68" t="s">
        <v>3875</v>
      </c>
    </row>
    <row r="439" spans="1:4">
      <c r="A439" s="204">
        <v>437</v>
      </c>
      <c r="B439" s="205" t="s">
        <v>3876</v>
      </c>
      <c r="C439" s="68" t="s">
        <v>3877</v>
      </c>
      <c r="D439" s="68" t="s">
        <v>3875</v>
      </c>
    </row>
    <row r="440" spans="1:4">
      <c r="A440" s="204">
        <v>438</v>
      </c>
      <c r="B440" s="205" t="s">
        <v>3878</v>
      </c>
      <c r="C440" s="68" t="s">
        <v>3879</v>
      </c>
      <c r="D440" s="68" t="s">
        <v>3880</v>
      </c>
    </row>
    <row r="441" spans="1:4">
      <c r="A441" s="204">
        <v>439</v>
      </c>
      <c r="B441" s="205" t="s">
        <v>3881</v>
      </c>
      <c r="C441" s="68" t="s">
        <v>3877</v>
      </c>
      <c r="D441" s="68" t="s">
        <v>3882</v>
      </c>
    </row>
    <row r="442" spans="1:4">
      <c r="A442" s="204">
        <v>440</v>
      </c>
      <c r="B442" s="205" t="s">
        <v>3883</v>
      </c>
      <c r="C442" s="68" t="s">
        <v>3884</v>
      </c>
      <c r="D442" s="68" t="s">
        <v>3885</v>
      </c>
    </row>
    <row r="443" spans="1:4">
      <c r="A443" s="204">
        <v>441</v>
      </c>
      <c r="B443" s="205" t="s">
        <v>3886</v>
      </c>
      <c r="C443" s="68" t="s">
        <v>3887</v>
      </c>
      <c r="D443" s="68" t="s">
        <v>3888</v>
      </c>
    </row>
    <row r="444" spans="1:4">
      <c r="A444" s="204">
        <v>442</v>
      </c>
      <c r="B444" s="205" t="s">
        <v>3889</v>
      </c>
      <c r="C444" s="68" t="s">
        <v>3890</v>
      </c>
      <c r="D444" s="68" t="s">
        <v>3891</v>
      </c>
    </row>
    <row r="445" spans="1:4">
      <c r="A445" s="204">
        <v>443</v>
      </c>
      <c r="B445" s="205" t="s">
        <v>3892</v>
      </c>
      <c r="C445" s="68" t="s">
        <v>3893</v>
      </c>
      <c r="D445" s="68" t="s">
        <v>3894</v>
      </c>
    </row>
    <row r="446" spans="1:4">
      <c r="A446" s="204">
        <v>444</v>
      </c>
      <c r="B446" s="205" t="s">
        <v>3895</v>
      </c>
      <c r="C446" s="68" t="s">
        <v>3896</v>
      </c>
      <c r="D446" s="68" t="s">
        <v>3897</v>
      </c>
    </row>
    <row r="447" spans="1:4">
      <c r="A447" s="204">
        <v>445</v>
      </c>
      <c r="B447" s="205" t="s">
        <v>3898</v>
      </c>
      <c r="C447" s="68" t="s">
        <v>3899</v>
      </c>
      <c r="D447" s="68" t="s">
        <v>3900</v>
      </c>
    </row>
    <row r="448" spans="1:4">
      <c r="A448" s="204">
        <v>446</v>
      </c>
      <c r="B448" s="205" t="s">
        <v>3901</v>
      </c>
      <c r="C448" s="68" t="s">
        <v>3902</v>
      </c>
      <c r="D448" s="68" t="s">
        <v>3903</v>
      </c>
    </row>
    <row r="449" spans="1:4">
      <c r="A449" s="204">
        <v>447</v>
      </c>
      <c r="B449" s="205" t="s">
        <v>3904</v>
      </c>
      <c r="C449" s="68" t="s">
        <v>3905</v>
      </c>
      <c r="D449" s="68" t="s">
        <v>3906</v>
      </c>
    </row>
    <row r="450" spans="1:4">
      <c r="A450" s="204">
        <v>448</v>
      </c>
      <c r="B450" s="205" t="s">
        <v>3907</v>
      </c>
      <c r="C450" s="68" t="s">
        <v>3908</v>
      </c>
      <c r="D450" s="68" t="s">
        <v>3909</v>
      </c>
    </row>
    <row r="451" spans="1:4">
      <c r="A451" s="204">
        <v>449</v>
      </c>
      <c r="B451" s="205" t="s">
        <v>3910</v>
      </c>
      <c r="C451" s="68" t="s">
        <v>3911</v>
      </c>
      <c r="D451" s="68" t="s">
        <v>3909</v>
      </c>
    </row>
    <row r="452" spans="1:4">
      <c r="A452" s="204">
        <v>450</v>
      </c>
      <c r="B452" s="205" t="s">
        <v>3912</v>
      </c>
      <c r="C452" s="68" t="s">
        <v>3911</v>
      </c>
      <c r="D452" s="68" t="s">
        <v>3913</v>
      </c>
    </row>
    <row r="453" spans="1:4">
      <c r="A453" s="204">
        <v>451</v>
      </c>
      <c r="B453" s="205" t="s">
        <v>3914</v>
      </c>
      <c r="C453" s="68" t="s">
        <v>3915</v>
      </c>
      <c r="D453" s="68" t="s">
        <v>3916</v>
      </c>
    </row>
    <row r="454" spans="1:4">
      <c r="A454" s="204">
        <v>452</v>
      </c>
      <c r="B454" s="205" t="s">
        <v>3917</v>
      </c>
      <c r="C454" s="68" t="s">
        <v>3918</v>
      </c>
      <c r="D454" s="68" t="s">
        <v>3919</v>
      </c>
    </row>
    <row r="455" spans="1:4">
      <c r="A455" s="204">
        <v>453</v>
      </c>
      <c r="B455" s="205" t="s">
        <v>3920</v>
      </c>
      <c r="C455" s="68" t="s">
        <v>3921</v>
      </c>
      <c r="D455" s="68" t="s">
        <v>3922</v>
      </c>
    </row>
    <row r="456" spans="1:4">
      <c r="A456" s="204">
        <v>454</v>
      </c>
      <c r="B456" s="205" t="s">
        <v>3923</v>
      </c>
      <c r="C456" s="68" t="s">
        <v>3924</v>
      </c>
      <c r="D456" s="68" t="s">
        <v>3925</v>
      </c>
    </row>
    <row r="457" spans="1:4">
      <c r="A457" s="204">
        <v>455</v>
      </c>
      <c r="B457" s="205" t="s">
        <v>3926</v>
      </c>
      <c r="C457" s="68" t="s">
        <v>3927</v>
      </c>
      <c r="D457" s="68" t="s">
        <v>3928</v>
      </c>
    </row>
    <row r="458" spans="1:4">
      <c r="A458" s="204">
        <v>456</v>
      </c>
      <c r="B458" s="205" t="s">
        <v>3929</v>
      </c>
      <c r="C458" s="68" t="s">
        <v>3930</v>
      </c>
      <c r="D458" s="68" t="s">
        <v>3931</v>
      </c>
    </row>
    <row r="459" spans="1:4">
      <c r="A459" s="204">
        <v>457</v>
      </c>
      <c r="B459" s="205" t="s">
        <v>3932</v>
      </c>
      <c r="C459" s="68" t="s">
        <v>3933</v>
      </c>
      <c r="D459" s="68" t="s">
        <v>3934</v>
      </c>
    </row>
    <row r="460" spans="1:4">
      <c r="A460" s="204">
        <v>458</v>
      </c>
      <c r="B460" s="205" t="s">
        <v>3935</v>
      </c>
      <c r="C460" s="68" t="s">
        <v>3936</v>
      </c>
      <c r="D460" s="68" t="s">
        <v>3937</v>
      </c>
    </row>
    <row r="461" spans="1:4">
      <c r="A461" s="204">
        <v>459</v>
      </c>
      <c r="B461" s="205" t="s">
        <v>3938</v>
      </c>
      <c r="C461" s="68" t="s">
        <v>3939</v>
      </c>
      <c r="D461" s="68" t="s">
        <v>3940</v>
      </c>
    </row>
    <row r="462" spans="1:4">
      <c r="A462" s="204">
        <v>460</v>
      </c>
      <c r="B462" s="205" t="s">
        <v>3941</v>
      </c>
      <c r="C462" s="68" t="s">
        <v>3942</v>
      </c>
      <c r="D462" s="68" t="s">
        <v>3943</v>
      </c>
    </row>
    <row r="463" spans="1:4">
      <c r="A463" s="204">
        <v>461</v>
      </c>
      <c r="B463" s="205" t="s">
        <v>3944</v>
      </c>
      <c r="C463" s="68" t="s">
        <v>3945</v>
      </c>
      <c r="D463" s="68" t="s">
        <v>3946</v>
      </c>
    </row>
    <row r="464" spans="1:4">
      <c r="A464" s="204">
        <v>462</v>
      </c>
      <c r="B464" s="205" t="s">
        <v>3947</v>
      </c>
      <c r="C464" s="68" t="s">
        <v>3948</v>
      </c>
      <c r="D464" s="68" t="s">
        <v>3949</v>
      </c>
    </row>
    <row r="465" spans="1:4">
      <c r="A465" s="204">
        <v>463</v>
      </c>
      <c r="B465" s="205" t="s">
        <v>3950</v>
      </c>
      <c r="C465" s="68" t="s">
        <v>3951</v>
      </c>
      <c r="D465" s="68" t="s">
        <v>3952</v>
      </c>
    </row>
    <row r="466" spans="1:4">
      <c r="A466" s="204">
        <v>464</v>
      </c>
      <c r="B466" s="205" t="s">
        <v>3953</v>
      </c>
      <c r="C466" s="68" t="s">
        <v>3954</v>
      </c>
      <c r="D466" s="68" t="s">
        <v>3955</v>
      </c>
    </row>
    <row r="467" spans="1:4">
      <c r="A467" s="204">
        <v>465</v>
      </c>
      <c r="B467" s="205" t="s">
        <v>3956</v>
      </c>
      <c r="C467" s="68" t="s">
        <v>3957</v>
      </c>
      <c r="D467" s="68" t="s">
        <v>3958</v>
      </c>
    </row>
    <row r="468" spans="1:4">
      <c r="A468" s="204">
        <v>466</v>
      </c>
      <c r="B468" s="205" t="s">
        <v>3959</v>
      </c>
      <c r="C468" s="68" t="s">
        <v>3960</v>
      </c>
      <c r="D468" s="68" t="s">
        <v>3961</v>
      </c>
    </row>
    <row r="469" spans="1:4">
      <c r="A469" s="204">
        <v>467</v>
      </c>
      <c r="B469" s="205" t="s">
        <v>3962</v>
      </c>
      <c r="C469" s="68" t="s">
        <v>3963</v>
      </c>
      <c r="D469" s="68" t="s">
        <v>3964</v>
      </c>
    </row>
    <row r="470" spans="1:4">
      <c r="A470" s="204">
        <v>468</v>
      </c>
      <c r="B470" s="205" t="s">
        <v>3965</v>
      </c>
      <c r="C470" s="68" t="s">
        <v>3966</v>
      </c>
      <c r="D470" s="68" t="s">
        <v>3967</v>
      </c>
    </row>
    <row r="471" spans="1:4">
      <c r="A471" s="204">
        <v>469</v>
      </c>
      <c r="B471" s="205" t="s">
        <v>3968</v>
      </c>
      <c r="C471" s="68" t="s">
        <v>3969</v>
      </c>
      <c r="D471" s="68" t="s">
        <v>3970</v>
      </c>
    </row>
    <row r="472" spans="1:4">
      <c r="A472" s="204">
        <v>470</v>
      </c>
      <c r="B472" s="205" t="s">
        <v>3971</v>
      </c>
      <c r="C472" s="68" t="s">
        <v>3972</v>
      </c>
      <c r="D472" s="68" t="s">
        <v>3973</v>
      </c>
    </row>
    <row r="473" spans="1:4">
      <c r="A473" s="204">
        <v>471</v>
      </c>
      <c r="B473" s="205" t="s">
        <v>3974</v>
      </c>
      <c r="C473" s="68" t="s">
        <v>3975</v>
      </c>
      <c r="D473" s="68" t="s">
        <v>3976</v>
      </c>
    </row>
    <row r="474" spans="1:4">
      <c r="A474" s="204">
        <v>472</v>
      </c>
      <c r="B474" s="205" t="s">
        <v>3977</v>
      </c>
      <c r="C474" s="68" t="s">
        <v>3978</v>
      </c>
      <c r="D474" s="68" t="s">
        <v>3979</v>
      </c>
    </row>
    <row r="475" spans="1:4">
      <c r="A475" s="204">
        <v>473</v>
      </c>
      <c r="B475" s="205" t="s">
        <v>3980</v>
      </c>
      <c r="C475" s="68" t="s">
        <v>3981</v>
      </c>
      <c r="D475" s="68" t="s">
        <v>3982</v>
      </c>
    </row>
    <row r="476" spans="1:4">
      <c r="A476" s="204">
        <v>474</v>
      </c>
      <c r="B476" s="205" t="s">
        <v>3983</v>
      </c>
      <c r="C476" s="68" t="s">
        <v>3984</v>
      </c>
      <c r="D476" s="68" t="s">
        <v>3985</v>
      </c>
    </row>
    <row r="477" spans="1:4">
      <c r="A477" s="204">
        <v>475</v>
      </c>
      <c r="B477" s="205" t="s">
        <v>3986</v>
      </c>
      <c r="C477" s="68" t="s">
        <v>3987</v>
      </c>
      <c r="D477" s="68" t="s">
        <v>3988</v>
      </c>
    </row>
    <row r="478" spans="1:4">
      <c r="A478" s="204">
        <v>476</v>
      </c>
      <c r="B478" s="205" t="s">
        <v>3989</v>
      </c>
      <c r="C478" s="68" t="s">
        <v>3990</v>
      </c>
      <c r="D478" s="68" t="s">
        <v>3991</v>
      </c>
    </row>
    <row r="479" spans="1:4">
      <c r="A479" s="204">
        <v>477</v>
      </c>
      <c r="B479" s="205" t="s">
        <v>3992</v>
      </c>
      <c r="C479" s="68" t="s">
        <v>3993</v>
      </c>
      <c r="D479" s="68" t="s">
        <v>3994</v>
      </c>
    </row>
    <row r="480" spans="1:4">
      <c r="A480" s="204">
        <v>478</v>
      </c>
      <c r="B480" s="205" t="s">
        <v>3995</v>
      </c>
      <c r="C480" s="68" t="s">
        <v>3996</v>
      </c>
      <c r="D480" s="68" t="s">
        <v>3997</v>
      </c>
    </row>
    <row r="481" spans="1:4">
      <c r="A481" s="204">
        <v>479</v>
      </c>
      <c r="B481" s="205" t="s">
        <v>3998</v>
      </c>
      <c r="C481" s="68" t="s">
        <v>3999</v>
      </c>
      <c r="D481" s="68" t="s">
        <v>4000</v>
      </c>
    </row>
    <row r="482" spans="1:4">
      <c r="A482" s="204">
        <v>480</v>
      </c>
      <c r="B482" s="205" t="s">
        <v>4001</v>
      </c>
      <c r="C482" s="68" t="s">
        <v>4002</v>
      </c>
      <c r="D482" s="68" t="s">
        <v>4003</v>
      </c>
    </row>
    <row r="483" spans="1:4">
      <c r="A483" s="204">
        <v>481</v>
      </c>
      <c r="B483" s="205" t="s">
        <v>4004</v>
      </c>
      <c r="C483" s="68" t="s">
        <v>4005</v>
      </c>
      <c r="D483" s="68" t="s">
        <v>4006</v>
      </c>
    </row>
    <row r="484" spans="1:4">
      <c r="A484" s="204">
        <v>482</v>
      </c>
      <c r="B484" s="205" t="s">
        <v>4007</v>
      </c>
      <c r="C484" s="68" t="s">
        <v>4008</v>
      </c>
      <c r="D484" s="68" t="s">
        <v>4009</v>
      </c>
    </row>
    <row r="485" spans="1:4">
      <c r="A485" s="204">
        <v>483</v>
      </c>
      <c r="B485" s="205" t="s">
        <v>4010</v>
      </c>
      <c r="C485" s="68" t="s">
        <v>4011</v>
      </c>
      <c r="D485" s="68" t="s">
        <v>4012</v>
      </c>
    </row>
    <row r="486" spans="1:4">
      <c r="A486" s="204">
        <v>484</v>
      </c>
      <c r="B486" s="205" t="s">
        <v>4013</v>
      </c>
      <c r="C486" s="68" t="s">
        <v>4014</v>
      </c>
      <c r="D486" s="68" t="s">
        <v>4015</v>
      </c>
    </row>
    <row r="487" spans="1:4">
      <c r="A487" s="204">
        <v>485</v>
      </c>
      <c r="B487" s="205" t="s">
        <v>4016</v>
      </c>
      <c r="C487" s="68" t="s">
        <v>4017</v>
      </c>
      <c r="D487" s="68" t="s">
        <v>4018</v>
      </c>
    </row>
    <row r="488" spans="1:4">
      <c r="A488" s="204">
        <v>486</v>
      </c>
      <c r="B488" s="205" t="s">
        <v>4019</v>
      </c>
      <c r="C488" s="68" t="s">
        <v>4020</v>
      </c>
      <c r="D488" s="68" t="s">
        <v>4021</v>
      </c>
    </row>
    <row r="489" spans="1:4">
      <c r="A489" s="204">
        <v>487</v>
      </c>
      <c r="B489" s="205" t="s">
        <v>4022</v>
      </c>
      <c r="C489" s="68" t="s">
        <v>4023</v>
      </c>
      <c r="D489" s="68" t="s">
        <v>4024</v>
      </c>
    </row>
    <row r="490" spans="1:4">
      <c r="A490" s="204">
        <v>488</v>
      </c>
      <c r="B490" s="205" t="s">
        <v>4025</v>
      </c>
      <c r="C490" s="68" t="s">
        <v>4026</v>
      </c>
      <c r="D490" s="68" t="s">
        <v>4027</v>
      </c>
    </row>
    <row r="491" spans="1:4">
      <c r="A491" s="204">
        <v>489</v>
      </c>
      <c r="B491" s="205" t="s">
        <v>4028</v>
      </c>
      <c r="C491" s="68" t="s">
        <v>4029</v>
      </c>
      <c r="D491" s="68" t="s">
        <v>4027</v>
      </c>
    </row>
    <row r="492" spans="1:4">
      <c r="A492" s="204">
        <v>490</v>
      </c>
      <c r="B492" s="205" t="s">
        <v>4030</v>
      </c>
      <c r="C492" s="68" t="s">
        <v>4031</v>
      </c>
      <c r="D492" s="68" t="s">
        <v>4032</v>
      </c>
    </row>
    <row r="493" spans="1:4">
      <c r="A493" s="204">
        <v>491</v>
      </c>
      <c r="B493" s="205" t="s">
        <v>4033</v>
      </c>
      <c r="C493" s="68" t="s">
        <v>4034</v>
      </c>
      <c r="D493" s="68" t="s">
        <v>4035</v>
      </c>
    </row>
    <row r="494" spans="1:4">
      <c r="A494" s="204">
        <v>492</v>
      </c>
      <c r="B494" s="205" t="s">
        <v>4036</v>
      </c>
      <c r="C494" s="68" t="s">
        <v>4037</v>
      </c>
      <c r="D494" s="68" t="s">
        <v>4038</v>
      </c>
    </row>
    <row r="495" spans="1:4">
      <c r="A495" s="204">
        <v>493</v>
      </c>
      <c r="B495" s="205" t="s">
        <v>4039</v>
      </c>
      <c r="C495" s="68" t="s">
        <v>4040</v>
      </c>
      <c r="D495" s="68" t="s">
        <v>4041</v>
      </c>
    </row>
    <row r="496" spans="1:4">
      <c r="A496" s="204">
        <v>494</v>
      </c>
      <c r="B496" s="205" t="s">
        <v>4042</v>
      </c>
      <c r="C496" s="68" t="s">
        <v>4043</v>
      </c>
      <c r="D496" s="68" t="s">
        <v>4044</v>
      </c>
    </row>
    <row r="497" spans="1:4">
      <c r="A497" s="204">
        <v>495</v>
      </c>
      <c r="B497" s="205" t="s">
        <v>4045</v>
      </c>
      <c r="C497" s="68" t="s">
        <v>4046</v>
      </c>
      <c r="D497" s="68" t="s">
        <v>4047</v>
      </c>
    </row>
    <row r="498" spans="1:4">
      <c r="A498" s="204">
        <v>496</v>
      </c>
      <c r="B498" s="205" t="s">
        <v>4048</v>
      </c>
      <c r="C498" s="68" t="s">
        <v>4049</v>
      </c>
      <c r="D498" s="68" t="s">
        <v>4050</v>
      </c>
    </row>
    <row r="499" spans="1:4">
      <c r="A499" s="204">
        <v>497</v>
      </c>
      <c r="B499" s="205" t="s">
        <v>4051</v>
      </c>
      <c r="C499" s="68" t="s">
        <v>4052</v>
      </c>
      <c r="D499" s="68" t="s">
        <v>4053</v>
      </c>
    </row>
    <row r="500" spans="1:4">
      <c r="A500" s="204">
        <v>498</v>
      </c>
      <c r="B500" s="205" t="s">
        <v>4054</v>
      </c>
      <c r="C500" s="68" t="s">
        <v>4055</v>
      </c>
      <c r="D500" s="68" t="s">
        <v>4056</v>
      </c>
    </row>
    <row r="501" spans="1:4">
      <c r="A501" s="204">
        <v>499</v>
      </c>
      <c r="B501" s="205" t="s">
        <v>4057</v>
      </c>
      <c r="C501" s="68" t="s">
        <v>4058</v>
      </c>
      <c r="D501" s="68" t="s">
        <v>4059</v>
      </c>
    </row>
    <row r="502" spans="1:4">
      <c r="A502" s="204">
        <v>500</v>
      </c>
      <c r="B502" s="205" t="s">
        <v>4060</v>
      </c>
      <c r="C502" s="68" t="s">
        <v>4061</v>
      </c>
      <c r="D502" s="68" t="s">
        <v>4062</v>
      </c>
    </row>
    <row r="503" spans="1:4">
      <c r="A503" s="204">
        <v>501</v>
      </c>
      <c r="B503" s="205" t="s">
        <v>4063</v>
      </c>
      <c r="C503" s="68" t="s">
        <v>4064</v>
      </c>
      <c r="D503" s="68" t="s">
        <v>4065</v>
      </c>
    </row>
    <row r="504" spans="1:4">
      <c r="A504" s="204">
        <v>502</v>
      </c>
      <c r="B504" s="205" t="s">
        <v>4066</v>
      </c>
      <c r="C504" s="68" t="s">
        <v>4067</v>
      </c>
      <c r="D504" s="68" t="s">
        <v>4068</v>
      </c>
    </row>
    <row r="505" spans="1:4">
      <c r="A505" s="204">
        <v>503</v>
      </c>
      <c r="B505" s="205" t="s">
        <v>4069</v>
      </c>
      <c r="C505" s="68" t="s">
        <v>4070</v>
      </c>
      <c r="D505" s="68" t="s">
        <v>4071</v>
      </c>
    </row>
    <row r="506" spans="1:4">
      <c r="A506" s="204">
        <v>504</v>
      </c>
      <c r="B506" s="205" t="s">
        <v>4072</v>
      </c>
      <c r="C506" s="68" t="s">
        <v>4073</v>
      </c>
      <c r="D506" s="68" t="s">
        <v>4074</v>
      </c>
    </row>
    <row r="507" spans="1:4">
      <c r="A507" s="204">
        <v>505</v>
      </c>
      <c r="B507" s="205" t="s">
        <v>4075</v>
      </c>
      <c r="C507" s="68" t="s">
        <v>4076</v>
      </c>
      <c r="D507" s="68" t="s">
        <v>4077</v>
      </c>
    </row>
    <row r="508" spans="1:4">
      <c r="A508" s="204">
        <v>506</v>
      </c>
      <c r="B508" s="205" t="s">
        <v>4078</v>
      </c>
      <c r="C508" s="68" t="s">
        <v>4079</v>
      </c>
      <c r="D508" s="68" t="s">
        <v>4080</v>
      </c>
    </row>
    <row r="509" spans="1:4">
      <c r="A509" s="204">
        <v>507</v>
      </c>
      <c r="B509" s="205" t="s">
        <v>4081</v>
      </c>
      <c r="C509" s="68" t="s">
        <v>4082</v>
      </c>
      <c r="D509" s="68" t="s">
        <v>4083</v>
      </c>
    </row>
    <row r="510" spans="1:4">
      <c r="A510" s="204">
        <v>508</v>
      </c>
      <c r="B510" s="205" t="s">
        <v>4084</v>
      </c>
      <c r="C510" s="68" t="s">
        <v>4085</v>
      </c>
      <c r="D510" s="68" t="s">
        <v>4083</v>
      </c>
    </row>
    <row r="511" spans="1:4">
      <c r="A511" s="204">
        <v>509</v>
      </c>
      <c r="B511" s="205" t="s">
        <v>4086</v>
      </c>
      <c r="C511" s="68" t="s">
        <v>4087</v>
      </c>
      <c r="D511" s="68" t="s">
        <v>4088</v>
      </c>
    </row>
    <row r="512" spans="1:4">
      <c r="A512" s="204">
        <v>510</v>
      </c>
      <c r="B512" s="205" t="s">
        <v>4089</v>
      </c>
      <c r="C512" s="68" t="s">
        <v>4090</v>
      </c>
      <c r="D512" s="68" t="s">
        <v>4091</v>
      </c>
    </row>
    <row r="513" spans="1:4">
      <c r="A513" s="204">
        <v>511</v>
      </c>
      <c r="B513" s="205" t="s">
        <v>4092</v>
      </c>
      <c r="C513" s="68" t="s">
        <v>4093</v>
      </c>
      <c r="D513" s="68" t="s">
        <v>4094</v>
      </c>
    </row>
    <row r="514" spans="1:4">
      <c r="A514" s="204">
        <v>512</v>
      </c>
      <c r="B514" s="205" t="s">
        <v>4095</v>
      </c>
      <c r="C514" s="68" t="s">
        <v>4096</v>
      </c>
      <c r="D514" s="68" t="s">
        <v>4097</v>
      </c>
    </row>
    <row r="515" spans="1:4">
      <c r="A515" s="204">
        <v>513</v>
      </c>
      <c r="B515" s="205" t="s">
        <v>4098</v>
      </c>
      <c r="C515" s="68" t="s">
        <v>4099</v>
      </c>
      <c r="D515" s="68" t="s">
        <v>4100</v>
      </c>
    </row>
    <row r="516" spans="1:4">
      <c r="A516" s="204">
        <v>514</v>
      </c>
      <c r="B516" s="205" t="s">
        <v>4101</v>
      </c>
      <c r="C516" s="68" t="s">
        <v>4102</v>
      </c>
      <c r="D516" s="68" t="s">
        <v>4103</v>
      </c>
    </row>
    <row r="517" spans="1:4">
      <c r="A517" s="204">
        <v>515</v>
      </c>
      <c r="B517" s="205" t="s">
        <v>4104</v>
      </c>
      <c r="C517" s="68" t="s">
        <v>4105</v>
      </c>
      <c r="D517" s="68" t="s">
        <v>4106</v>
      </c>
    </row>
    <row r="518" spans="1:4">
      <c r="A518" s="204">
        <v>516</v>
      </c>
      <c r="B518" s="205" t="s">
        <v>4107</v>
      </c>
      <c r="C518" s="68" t="s">
        <v>4108</v>
      </c>
      <c r="D518" s="68" t="s">
        <v>4109</v>
      </c>
    </row>
    <row r="519" spans="1:4">
      <c r="A519" s="204">
        <v>517</v>
      </c>
      <c r="B519" s="205" t="s">
        <v>4110</v>
      </c>
      <c r="C519" s="68" t="s">
        <v>4111</v>
      </c>
      <c r="D519" s="68" t="s">
        <v>4112</v>
      </c>
    </row>
    <row r="520" spans="1:4">
      <c r="A520" s="204">
        <v>518</v>
      </c>
      <c r="B520" s="205" t="s">
        <v>4113</v>
      </c>
      <c r="C520" s="68" t="s">
        <v>4114</v>
      </c>
      <c r="D520" s="68" t="s">
        <v>4115</v>
      </c>
    </row>
    <row r="521" spans="1:4">
      <c r="A521" s="204">
        <v>519</v>
      </c>
      <c r="B521" s="205" t="s">
        <v>4116</v>
      </c>
      <c r="C521" s="68" t="s">
        <v>4117</v>
      </c>
      <c r="D521" s="68" t="s">
        <v>4118</v>
      </c>
    </row>
    <row r="522" spans="1:4">
      <c r="A522" s="204">
        <v>520</v>
      </c>
      <c r="B522" s="205" t="s">
        <v>4119</v>
      </c>
      <c r="C522" s="68" t="s">
        <v>4120</v>
      </c>
      <c r="D522" s="68" t="s">
        <v>4121</v>
      </c>
    </row>
    <row r="523" spans="1:4">
      <c r="A523" s="204">
        <v>521</v>
      </c>
      <c r="B523" s="205" t="s">
        <v>4122</v>
      </c>
      <c r="C523" s="68" t="s">
        <v>4123</v>
      </c>
      <c r="D523" s="68" t="s">
        <v>4124</v>
      </c>
    </row>
    <row r="524" spans="1:4">
      <c r="A524" s="204">
        <v>522</v>
      </c>
      <c r="B524" s="205" t="s">
        <v>4125</v>
      </c>
      <c r="C524" s="68" t="s">
        <v>4126</v>
      </c>
      <c r="D524" s="68" t="s">
        <v>4127</v>
      </c>
    </row>
    <row r="525" spans="1:4">
      <c r="A525" s="204">
        <v>523</v>
      </c>
      <c r="B525" s="205" t="s">
        <v>4128</v>
      </c>
      <c r="C525" s="68" t="s">
        <v>4129</v>
      </c>
      <c r="D525" s="68" t="s">
        <v>4130</v>
      </c>
    </row>
    <row r="526" spans="1:4">
      <c r="A526" s="204">
        <v>524</v>
      </c>
      <c r="B526" s="205" t="s">
        <v>4131</v>
      </c>
      <c r="C526" s="68" t="s">
        <v>4132</v>
      </c>
      <c r="D526" s="68" t="s">
        <v>4133</v>
      </c>
    </row>
    <row r="527" spans="1:4">
      <c r="A527" s="204">
        <v>525</v>
      </c>
      <c r="B527" s="205" t="s">
        <v>4134</v>
      </c>
      <c r="C527" s="68" t="s">
        <v>4135</v>
      </c>
      <c r="D527" s="68" t="s">
        <v>4136</v>
      </c>
    </row>
    <row r="528" spans="1:4">
      <c r="A528" s="204">
        <v>526</v>
      </c>
      <c r="B528" s="205" t="s">
        <v>4137</v>
      </c>
      <c r="C528" s="68" t="s">
        <v>4138</v>
      </c>
      <c r="D528" s="68" t="s">
        <v>4139</v>
      </c>
    </row>
    <row r="529" spans="1:4">
      <c r="A529" s="204">
        <v>527</v>
      </c>
      <c r="B529" s="205" t="s">
        <v>4140</v>
      </c>
      <c r="C529" s="68" t="s">
        <v>4141</v>
      </c>
      <c r="D529" s="68" t="s">
        <v>4142</v>
      </c>
    </row>
    <row r="530" spans="1:4">
      <c r="A530" s="204">
        <v>528</v>
      </c>
      <c r="B530" s="205" t="s">
        <v>4143</v>
      </c>
      <c r="C530" s="68" t="s">
        <v>4144</v>
      </c>
      <c r="D530" s="68" t="s">
        <v>4145</v>
      </c>
    </row>
    <row r="531" spans="1:4">
      <c r="A531" s="204">
        <v>529</v>
      </c>
      <c r="B531" s="205" t="s">
        <v>4146</v>
      </c>
      <c r="C531" s="68" t="s">
        <v>4147</v>
      </c>
      <c r="D531" s="68" t="s">
        <v>4148</v>
      </c>
    </row>
    <row r="532" spans="1:4">
      <c r="A532" s="204">
        <v>530</v>
      </c>
      <c r="B532" s="205" t="s">
        <v>4149</v>
      </c>
      <c r="C532" s="68" t="s">
        <v>4150</v>
      </c>
      <c r="D532" s="68" t="s">
        <v>4151</v>
      </c>
    </row>
    <row r="533" spans="1:4">
      <c r="A533" s="204">
        <v>531</v>
      </c>
      <c r="B533" s="205" t="s">
        <v>4152</v>
      </c>
      <c r="C533" s="68" t="s">
        <v>4153</v>
      </c>
      <c r="D533" s="68" t="s">
        <v>4154</v>
      </c>
    </row>
    <row r="534" spans="1:4">
      <c r="A534" s="204">
        <v>532</v>
      </c>
      <c r="B534" s="205" t="s">
        <v>4155</v>
      </c>
      <c r="C534" s="68" t="s">
        <v>4156</v>
      </c>
      <c r="D534" s="68" t="s">
        <v>4157</v>
      </c>
    </row>
    <row r="535" spans="1:4">
      <c r="A535" s="204">
        <v>533</v>
      </c>
      <c r="B535" s="205" t="s">
        <v>4158</v>
      </c>
      <c r="C535" s="68" t="s">
        <v>4159</v>
      </c>
      <c r="D535" s="68" t="s">
        <v>4157</v>
      </c>
    </row>
    <row r="536" spans="1:4">
      <c r="A536" s="204">
        <v>534</v>
      </c>
      <c r="B536" s="205" t="s">
        <v>4160</v>
      </c>
      <c r="C536" s="68" t="s">
        <v>4161</v>
      </c>
      <c r="D536" s="68" t="s">
        <v>4162</v>
      </c>
    </row>
    <row r="537" spans="1:4">
      <c r="A537" s="204">
        <v>535</v>
      </c>
      <c r="B537" s="205" t="s">
        <v>4163</v>
      </c>
      <c r="C537" s="68" t="s">
        <v>4164</v>
      </c>
      <c r="D537" s="68" t="s">
        <v>4162</v>
      </c>
    </row>
    <row r="538" spans="1:4">
      <c r="A538" s="204">
        <v>536</v>
      </c>
      <c r="B538" s="205" t="s">
        <v>4165</v>
      </c>
      <c r="C538" s="68" t="s">
        <v>4166</v>
      </c>
      <c r="D538" s="68" t="s">
        <v>4167</v>
      </c>
    </row>
    <row r="539" spans="1:4">
      <c r="A539" s="204">
        <v>537</v>
      </c>
      <c r="B539" s="205" t="s">
        <v>4168</v>
      </c>
      <c r="C539" s="68" t="s">
        <v>4169</v>
      </c>
      <c r="D539" s="68" t="s">
        <v>4170</v>
      </c>
    </row>
    <row r="540" spans="1:4">
      <c r="A540" s="204">
        <v>538</v>
      </c>
      <c r="B540" s="205" t="s">
        <v>4171</v>
      </c>
      <c r="C540" s="68" t="s">
        <v>4172</v>
      </c>
      <c r="D540" s="68" t="s">
        <v>4173</v>
      </c>
    </row>
    <row r="541" spans="1:4">
      <c r="A541" s="204">
        <v>539</v>
      </c>
      <c r="B541" s="205" t="s">
        <v>4174</v>
      </c>
      <c r="C541" s="68" t="s">
        <v>4175</v>
      </c>
      <c r="D541" s="68" t="s">
        <v>4176</v>
      </c>
    </row>
    <row r="542" spans="1:4">
      <c r="A542" s="204">
        <v>540</v>
      </c>
      <c r="B542" s="205" t="s">
        <v>4177</v>
      </c>
      <c r="C542" s="68" t="s">
        <v>4178</v>
      </c>
      <c r="D542" s="68" t="s">
        <v>4179</v>
      </c>
    </row>
    <row r="543" spans="1:4">
      <c r="A543" s="204">
        <v>541</v>
      </c>
      <c r="B543" s="205" t="s">
        <v>4180</v>
      </c>
      <c r="C543" s="68" t="s">
        <v>4181</v>
      </c>
      <c r="D543" s="68" t="s">
        <v>4182</v>
      </c>
    </row>
    <row r="544" spans="1:4">
      <c r="A544" s="204">
        <v>542</v>
      </c>
      <c r="B544" s="205" t="s">
        <v>4183</v>
      </c>
      <c r="C544" s="68" t="s">
        <v>4184</v>
      </c>
      <c r="D544" s="68" t="s">
        <v>4185</v>
      </c>
    </row>
    <row r="545" spans="1:4">
      <c r="A545" s="204">
        <v>543</v>
      </c>
      <c r="B545" s="205" t="s">
        <v>4186</v>
      </c>
      <c r="C545" s="68" t="s">
        <v>4187</v>
      </c>
      <c r="D545" s="68" t="s">
        <v>4188</v>
      </c>
    </row>
    <row r="546" spans="1:4">
      <c r="A546" s="204">
        <v>544</v>
      </c>
      <c r="B546" s="205" t="s">
        <v>4189</v>
      </c>
      <c r="C546" s="68" t="s">
        <v>4190</v>
      </c>
      <c r="D546" s="68" t="s">
        <v>4188</v>
      </c>
    </row>
    <row r="547" spans="1:4">
      <c r="A547" s="204">
        <v>545</v>
      </c>
      <c r="B547" s="205" t="s">
        <v>4191</v>
      </c>
      <c r="C547" s="68" t="s">
        <v>4192</v>
      </c>
      <c r="D547" s="68" t="s">
        <v>4193</v>
      </c>
    </row>
    <row r="548" spans="1:4">
      <c r="A548" s="204">
        <v>546</v>
      </c>
      <c r="B548" s="205" t="s">
        <v>4194</v>
      </c>
      <c r="C548" s="68" t="s">
        <v>4195</v>
      </c>
      <c r="D548" s="68" t="s">
        <v>4196</v>
      </c>
    </row>
    <row r="549" spans="1:4">
      <c r="A549" s="204">
        <v>547</v>
      </c>
      <c r="B549" s="205" t="s">
        <v>4197</v>
      </c>
      <c r="C549" s="68" t="s">
        <v>4198</v>
      </c>
      <c r="D549" s="68" t="s">
        <v>4199</v>
      </c>
    </row>
    <row r="550" spans="1:4">
      <c r="A550" s="204">
        <v>548</v>
      </c>
      <c r="B550" s="205" t="s">
        <v>4200</v>
      </c>
      <c r="C550" s="68" t="s">
        <v>4201</v>
      </c>
      <c r="D550" s="68" t="s">
        <v>4202</v>
      </c>
    </row>
    <row r="551" spans="1:4">
      <c r="A551" s="204">
        <v>549</v>
      </c>
      <c r="B551" s="205" t="s">
        <v>4203</v>
      </c>
      <c r="C551" s="68" t="s">
        <v>4204</v>
      </c>
      <c r="D551" s="68" t="s">
        <v>4205</v>
      </c>
    </row>
    <row r="552" spans="1:4">
      <c r="A552" s="204">
        <v>550</v>
      </c>
      <c r="B552" s="205" t="s">
        <v>4206</v>
      </c>
      <c r="C552" s="68" t="s">
        <v>4207</v>
      </c>
      <c r="D552" s="68" t="s">
        <v>4208</v>
      </c>
    </row>
    <row r="553" spans="1:4">
      <c r="A553" s="204">
        <v>551</v>
      </c>
      <c r="B553" s="205" t="s">
        <v>4209</v>
      </c>
      <c r="C553" s="68" t="s">
        <v>4210</v>
      </c>
      <c r="D553" s="68" t="s">
        <v>4211</v>
      </c>
    </row>
    <row r="554" spans="1:4">
      <c r="A554" s="204">
        <v>552</v>
      </c>
      <c r="B554" s="205" t="s">
        <v>4212</v>
      </c>
      <c r="C554" s="68" t="s">
        <v>4213</v>
      </c>
      <c r="D554" s="68" t="s">
        <v>4214</v>
      </c>
    </row>
    <row r="555" spans="1:4">
      <c r="A555" s="204">
        <v>553</v>
      </c>
      <c r="B555" s="205" t="s">
        <v>4215</v>
      </c>
      <c r="C555" s="68" t="s">
        <v>4216</v>
      </c>
      <c r="D555" s="68" t="s">
        <v>4217</v>
      </c>
    </row>
    <row r="556" spans="1:4">
      <c r="A556" s="204">
        <v>554</v>
      </c>
      <c r="B556" s="205" t="s">
        <v>4218</v>
      </c>
      <c r="C556" s="68" t="s">
        <v>4219</v>
      </c>
      <c r="D556" s="68" t="s">
        <v>4220</v>
      </c>
    </row>
    <row r="557" spans="1:4">
      <c r="A557" s="204">
        <v>555</v>
      </c>
      <c r="B557" s="205" t="s">
        <v>4221</v>
      </c>
      <c r="C557" s="68" t="s">
        <v>4222</v>
      </c>
      <c r="D557" s="68" t="s">
        <v>4223</v>
      </c>
    </row>
    <row r="558" spans="1:4">
      <c r="A558" s="204">
        <v>556</v>
      </c>
      <c r="B558" s="205" t="s">
        <v>4224</v>
      </c>
      <c r="C558" s="68" t="s">
        <v>4225</v>
      </c>
      <c r="D558" s="68" t="s">
        <v>4226</v>
      </c>
    </row>
    <row r="559" spans="1:4">
      <c r="A559" s="204">
        <v>557</v>
      </c>
      <c r="B559" s="205" t="s">
        <v>4227</v>
      </c>
      <c r="C559" s="68" t="s">
        <v>4228</v>
      </c>
      <c r="D559" s="68" t="s">
        <v>4229</v>
      </c>
    </row>
    <row r="560" spans="1:4">
      <c r="A560" s="204">
        <v>558</v>
      </c>
      <c r="B560" s="205" t="s">
        <v>4230</v>
      </c>
      <c r="C560" s="68" t="s">
        <v>4231</v>
      </c>
      <c r="D560" s="68" t="s">
        <v>4232</v>
      </c>
    </row>
    <row r="561" spans="1:4">
      <c r="A561" s="204">
        <v>559</v>
      </c>
      <c r="B561" s="205" t="s">
        <v>4233</v>
      </c>
      <c r="C561" s="68" t="s">
        <v>4234</v>
      </c>
      <c r="D561" s="68" t="s">
        <v>4235</v>
      </c>
    </row>
    <row r="562" spans="1:4">
      <c r="A562" s="204">
        <v>560</v>
      </c>
      <c r="B562" s="205" t="s">
        <v>4236</v>
      </c>
      <c r="C562" s="68" t="s">
        <v>4237</v>
      </c>
      <c r="D562" s="68" t="s">
        <v>4238</v>
      </c>
    </row>
    <row r="563" spans="1:4">
      <c r="A563" s="204">
        <v>561</v>
      </c>
      <c r="B563" s="205" t="s">
        <v>4239</v>
      </c>
      <c r="C563" s="68" t="s">
        <v>4240</v>
      </c>
      <c r="D563" s="68" t="s">
        <v>4241</v>
      </c>
    </row>
    <row r="564" spans="1:4">
      <c r="A564" s="204">
        <v>562</v>
      </c>
      <c r="B564" s="205" t="s">
        <v>4242</v>
      </c>
      <c r="C564" s="68" t="s">
        <v>4243</v>
      </c>
      <c r="D564" s="68" t="s">
        <v>4244</v>
      </c>
    </row>
    <row r="565" spans="1:4">
      <c r="A565" s="204">
        <v>563</v>
      </c>
      <c r="B565" s="205" t="s">
        <v>4245</v>
      </c>
      <c r="C565" s="68" t="s">
        <v>4246</v>
      </c>
      <c r="D565" s="68" t="s">
        <v>4247</v>
      </c>
    </row>
    <row r="566" spans="1:4">
      <c r="A566" s="204">
        <v>564</v>
      </c>
      <c r="B566" s="205" t="s">
        <v>4248</v>
      </c>
      <c r="C566" s="68" t="s">
        <v>4249</v>
      </c>
      <c r="D566" s="68" t="s">
        <v>4250</v>
      </c>
    </row>
    <row r="567" spans="1:4">
      <c r="A567" s="204">
        <v>565</v>
      </c>
      <c r="B567" s="205" t="s">
        <v>4251</v>
      </c>
      <c r="C567" s="68" t="s">
        <v>4252</v>
      </c>
      <c r="D567" s="68" t="s">
        <v>4253</v>
      </c>
    </row>
    <row r="568" spans="1:4">
      <c r="A568" s="204">
        <v>566</v>
      </c>
      <c r="B568" s="205" t="s">
        <v>4254</v>
      </c>
      <c r="C568" s="68" t="s">
        <v>4255</v>
      </c>
      <c r="D568" s="68" t="s">
        <v>4256</v>
      </c>
    </row>
    <row r="569" spans="1:4">
      <c r="A569" s="204">
        <v>567</v>
      </c>
      <c r="B569" s="205" t="s">
        <v>4257</v>
      </c>
      <c r="C569" s="68" t="s">
        <v>4258</v>
      </c>
      <c r="D569" s="68" t="s">
        <v>4259</v>
      </c>
    </row>
    <row r="570" spans="1:4">
      <c r="A570" s="204">
        <v>568</v>
      </c>
      <c r="B570" s="205" t="s">
        <v>4260</v>
      </c>
      <c r="C570" s="68" t="s">
        <v>4261</v>
      </c>
      <c r="D570" s="68" t="s">
        <v>4262</v>
      </c>
    </row>
    <row r="571" spans="1:4">
      <c r="A571" s="204">
        <v>569</v>
      </c>
      <c r="B571" s="205" t="s">
        <v>4263</v>
      </c>
      <c r="C571" s="68" t="s">
        <v>4264</v>
      </c>
      <c r="D571" s="68" t="s">
        <v>4265</v>
      </c>
    </row>
    <row r="572" spans="1:4">
      <c r="A572" s="204">
        <v>570</v>
      </c>
      <c r="B572" s="205" t="s">
        <v>4266</v>
      </c>
      <c r="C572" s="68" t="s">
        <v>4267</v>
      </c>
      <c r="D572" s="68" t="s">
        <v>4268</v>
      </c>
    </row>
    <row r="573" spans="1:4">
      <c r="A573" s="204">
        <v>571</v>
      </c>
      <c r="B573" s="205" t="s">
        <v>4269</v>
      </c>
      <c r="C573" s="68" t="s">
        <v>4270</v>
      </c>
      <c r="D573" s="68" t="s">
        <v>4271</v>
      </c>
    </row>
    <row r="574" spans="1:4">
      <c r="A574" s="204">
        <v>572</v>
      </c>
      <c r="B574" s="205" t="s">
        <v>4272</v>
      </c>
      <c r="C574" s="68" t="s">
        <v>4273</v>
      </c>
      <c r="D574" s="68" t="s">
        <v>4274</v>
      </c>
    </row>
    <row r="575" spans="1:4">
      <c r="A575" s="204">
        <v>573</v>
      </c>
      <c r="B575" s="205" t="s">
        <v>4275</v>
      </c>
      <c r="C575" s="68" t="s">
        <v>4276</v>
      </c>
      <c r="D575" s="68" t="s">
        <v>4277</v>
      </c>
    </row>
    <row r="576" spans="1:4">
      <c r="A576" s="204">
        <v>574</v>
      </c>
      <c r="B576" s="205" t="s">
        <v>4278</v>
      </c>
      <c r="C576" s="68" t="s">
        <v>4279</v>
      </c>
      <c r="D576" s="68" t="s">
        <v>4280</v>
      </c>
    </row>
    <row r="577" spans="1:4">
      <c r="A577" s="204">
        <v>575</v>
      </c>
      <c r="B577" s="205" t="s">
        <v>4281</v>
      </c>
      <c r="C577" s="68" t="s">
        <v>4282</v>
      </c>
      <c r="D577" s="68" t="s">
        <v>4283</v>
      </c>
    </row>
    <row r="578" spans="1:4">
      <c r="A578" s="204">
        <v>576</v>
      </c>
      <c r="B578" s="205" t="s">
        <v>4284</v>
      </c>
      <c r="C578" s="68" t="s">
        <v>4285</v>
      </c>
      <c r="D578" s="68" t="s">
        <v>4286</v>
      </c>
    </row>
    <row r="579" spans="1:4">
      <c r="A579" s="204">
        <v>577</v>
      </c>
      <c r="B579" s="205" t="s">
        <v>4287</v>
      </c>
      <c r="C579" s="68" t="s">
        <v>4288</v>
      </c>
      <c r="D579" s="68" t="s">
        <v>4289</v>
      </c>
    </row>
    <row r="580" spans="1:4">
      <c r="A580" s="204">
        <v>578</v>
      </c>
      <c r="B580" s="205" t="s">
        <v>4290</v>
      </c>
      <c r="C580" s="68" t="s">
        <v>4291</v>
      </c>
      <c r="D580" s="68" t="s">
        <v>4292</v>
      </c>
    </row>
    <row r="581" spans="1:4">
      <c r="A581" s="204">
        <v>579</v>
      </c>
      <c r="B581" s="205" t="s">
        <v>4293</v>
      </c>
      <c r="C581" s="68" t="s">
        <v>4294</v>
      </c>
      <c r="D581" s="68" t="s">
        <v>4295</v>
      </c>
    </row>
    <row r="582" spans="1:4">
      <c r="A582" s="204">
        <v>580</v>
      </c>
      <c r="B582" s="205" t="s">
        <v>4296</v>
      </c>
      <c r="C582" s="68" t="s">
        <v>4297</v>
      </c>
      <c r="D582" s="68" t="s">
        <v>4298</v>
      </c>
    </row>
    <row r="583" spans="1:4">
      <c r="A583" s="204">
        <v>581</v>
      </c>
      <c r="B583" s="205" t="s">
        <v>4299</v>
      </c>
      <c r="C583" s="68" t="s">
        <v>4300</v>
      </c>
      <c r="D583" s="68" t="s">
        <v>4301</v>
      </c>
    </row>
    <row r="584" spans="1:4">
      <c r="A584" s="204">
        <v>582</v>
      </c>
      <c r="B584" s="205" t="s">
        <v>4302</v>
      </c>
      <c r="C584" s="68" t="s">
        <v>4303</v>
      </c>
      <c r="D584" s="68" t="s">
        <v>4304</v>
      </c>
    </row>
    <row r="585" spans="1:4">
      <c r="A585" s="204">
        <v>583</v>
      </c>
      <c r="B585" s="205" t="s">
        <v>4305</v>
      </c>
      <c r="C585" s="68" t="s">
        <v>4306</v>
      </c>
      <c r="D585" s="68" t="s">
        <v>4307</v>
      </c>
    </row>
    <row r="586" spans="1:4">
      <c r="A586" s="204">
        <v>584</v>
      </c>
      <c r="B586" s="205" t="s">
        <v>4308</v>
      </c>
      <c r="C586" s="68" t="s">
        <v>4309</v>
      </c>
      <c r="D586" s="68" t="s">
        <v>4310</v>
      </c>
    </row>
    <row r="587" spans="1:4">
      <c r="A587" s="204">
        <v>585</v>
      </c>
      <c r="B587" s="205" t="s">
        <v>4311</v>
      </c>
      <c r="C587" s="68" t="s">
        <v>4312</v>
      </c>
      <c r="D587" s="68" t="s">
        <v>4313</v>
      </c>
    </row>
    <row r="588" spans="1:4">
      <c r="A588" s="204">
        <v>586</v>
      </c>
      <c r="B588" s="205" t="s">
        <v>4314</v>
      </c>
      <c r="C588" s="68" t="s">
        <v>4315</v>
      </c>
      <c r="D588" s="68" t="s">
        <v>4316</v>
      </c>
    </row>
    <row r="589" spans="1:4">
      <c r="A589" s="204">
        <v>587</v>
      </c>
      <c r="B589" s="205" t="s">
        <v>4317</v>
      </c>
      <c r="C589" s="68" t="s">
        <v>4318</v>
      </c>
      <c r="D589" s="68" t="s">
        <v>4319</v>
      </c>
    </row>
    <row r="590" spans="1:4">
      <c r="A590" s="204">
        <v>588</v>
      </c>
      <c r="B590" s="205" t="s">
        <v>4320</v>
      </c>
      <c r="C590" s="68" t="s">
        <v>4321</v>
      </c>
      <c r="D590" s="68" t="s">
        <v>4322</v>
      </c>
    </row>
    <row r="591" spans="1:4">
      <c r="A591" s="204">
        <v>589</v>
      </c>
      <c r="B591" s="205" t="s">
        <v>4323</v>
      </c>
      <c r="C591" s="68" t="s">
        <v>4324</v>
      </c>
      <c r="D591" s="68" t="s">
        <v>4325</v>
      </c>
    </row>
    <row r="592" spans="1:4">
      <c r="A592" s="204">
        <v>590</v>
      </c>
      <c r="B592" s="205" t="s">
        <v>4326</v>
      </c>
      <c r="C592" s="68" t="s">
        <v>4327</v>
      </c>
      <c r="D592" s="68" t="s">
        <v>4328</v>
      </c>
    </row>
    <row r="593" spans="1:4">
      <c r="A593" s="204">
        <v>591</v>
      </c>
      <c r="B593" s="205" t="s">
        <v>4329</v>
      </c>
      <c r="C593" s="68" t="s">
        <v>4330</v>
      </c>
      <c r="D593" s="68" t="s">
        <v>4331</v>
      </c>
    </row>
    <row r="594" spans="1:4">
      <c r="A594" s="204">
        <v>592</v>
      </c>
      <c r="B594" s="205" t="s">
        <v>4332</v>
      </c>
      <c r="C594" s="68" t="s">
        <v>4333</v>
      </c>
      <c r="D594" s="68" t="s">
        <v>4334</v>
      </c>
    </row>
    <row r="595" spans="1:4">
      <c r="A595" s="204">
        <v>593</v>
      </c>
      <c r="B595" s="205" t="s">
        <v>4335</v>
      </c>
      <c r="C595" s="68" t="s">
        <v>4336</v>
      </c>
      <c r="D595" s="68" t="s">
        <v>4337</v>
      </c>
    </row>
    <row r="596" spans="1:4">
      <c r="A596" s="204">
        <v>594</v>
      </c>
      <c r="B596" s="205" t="s">
        <v>4338</v>
      </c>
      <c r="C596" s="68" t="s">
        <v>4339</v>
      </c>
      <c r="D596" s="68" t="s">
        <v>4340</v>
      </c>
    </row>
    <row r="597" spans="1:4">
      <c r="A597" s="204">
        <v>595</v>
      </c>
      <c r="B597" s="205" t="s">
        <v>4341</v>
      </c>
      <c r="C597" s="68" t="s">
        <v>4342</v>
      </c>
      <c r="D597" s="68" t="s">
        <v>4343</v>
      </c>
    </row>
    <row r="598" spans="1:4">
      <c r="A598" s="204">
        <v>596</v>
      </c>
      <c r="B598" s="205" t="s">
        <v>4344</v>
      </c>
      <c r="C598" s="68" t="s">
        <v>4345</v>
      </c>
      <c r="D598" s="68" t="s">
        <v>4346</v>
      </c>
    </row>
    <row r="599" spans="1:4">
      <c r="A599" s="204">
        <v>597</v>
      </c>
      <c r="B599" s="205" t="s">
        <v>4347</v>
      </c>
      <c r="C599" s="68" t="s">
        <v>4348</v>
      </c>
      <c r="D599" s="68" t="s">
        <v>4349</v>
      </c>
    </row>
    <row r="600" spans="1:4">
      <c r="A600" s="204">
        <v>598</v>
      </c>
      <c r="B600" s="205" t="s">
        <v>4350</v>
      </c>
      <c r="C600" s="68" t="s">
        <v>4351</v>
      </c>
      <c r="D600" s="68" t="s">
        <v>4352</v>
      </c>
    </row>
    <row r="601" spans="1:4">
      <c r="A601" s="204">
        <v>599</v>
      </c>
      <c r="B601" s="205" t="s">
        <v>4353</v>
      </c>
      <c r="C601" s="68" t="s">
        <v>4354</v>
      </c>
      <c r="D601" s="68" t="s">
        <v>4355</v>
      </c>
    </row>
    <row r="602" spans="1:4">
      <c r="A602" s="204">
        <v>600</v>
      </c>
      <c r="B602" s="205" t="s">
        <v>4356</v>
      </c>
      <c r="C602" s="68" t="s">
        <v>4357</v>
      </c>
      <c r="D602" s="68" t="s">
        <v>4358</v>
      </c>
    </row>
    <row r="603" spans="1:4">
      <c r="A603" s="204">
        <v>601</v>
      </c>
      <c r="B603" s="205" t="s">
        <v>4359</v>
      </c>
      <c r="C603" s="68" t="s">
        <v>4360</v>
      </c>
      <c r="D603" s="68" t="s">
        <v>4361</v>
      </c>
    </row>
    <row r="604" spans="1:4">
      <c r="A604" s="204">
        <v>602</v>
      </c>
      <c r="B604" s="205" t="s">
        <v>4362</v>
      </c>
      <c r="C604" s="68" t="s">
        <v>4363</v>
      </c>
      <c r="D604" s="68" t="s">
        <v>4364</v>
      </c>
    </row>
    <row r="605" spans="1:4">
      <c r="A605" s="204">
        <v>603</v>
      </c>
      <c r="B605" s="205" t="s">
        <v>4365</v>
      </c>
      <c r="C605" s="68" t="s">
        <v>4366</v>
      </c>
      <c r="D605" s="68" t="s">
        <v>4367</v>
      </c>
    </row>
    <row r="606" spans="1:4">
      <c r="A606" s="204">
        <v>604</v>
      </c>
      <c r="B606" s="205" t="s">
        <v>4368</v>
      </c>
      <c r="C606" s="68" t="s">
        <v>4369</v>
      </c>
      <c r="D606" s="68" t="s">
        <v>4370</v>
      </c>
    </row>
    <row r="607" spans="1:4">
      <c r="A607" s="204">
        <v>605</v>
      </c>
      <c r="B607" s="205" t="s">
        <v>4371</v>
      </c>
      <c r="C607" s="68" t="s">
        <v>4372</v>
      </c>
      <c r="D607" s="68" t="s">
        <v>4373</v>
      </c>
    </row>
    <row r="608" spans="1:4">
      <c r="A608" s="204">
        <v>606</v>
      </c>
      <c r="B608" s="205" t="s">
        <v>4374</v>
      </c>
      <c r="C608" s="68" t="s">
        <v>4375</v>
      </c>
      <c r="D608" s="68" t="s">
        <v>4376</v>
      </c>
    </row>
    <row r="609" spans="1:4">
      <c r="A609" s="204">
        <v>607</v>
      </c>
      <c r="B609" s="205" t="s">
        <v>4377</v>
      </c>
      <c r="C609" s="68" t="s">
        <v>4378</v>
      </c>
      <c r="D609" s="68" t="s">
        <v>4379</v>
      </c>
    </row>
    <row r="610" spans="1:4">
      <c r="A610" s="204">
        <v>608</v>
      </c>
      <c r="B610" s="205" t="s">
        <v>4380</v>
      </c>
      <c r="C610" s="68" t="s">
        <v>4381</v>
      </c>
      <c r="D610" s="68" t="s">
        <v>4382</v>
      </c>
    </row>
    <row r="611" spans="1:4">
      <c r="A611" s="204">
        <v>609</v>
      </c>
      <c r="B611" s="205" t="s">
        <v>4383</v>
      </c>
      <c r="C611" s="68" t="s">
        <v>4384</v>
      </c>
      <c r="D611" s="68" t="s">
        <v>4385</v>
      </c>
    </row>
    <row r="612" spans="1:4">
      <c r="A612" s="204">
        <v>610</v>
      </c>
      <c r="B612" s="205" t="s">
        <v>4386</v>
      </c>
      <c r="C612" s="68" t="s">
        <v>4387</v>
      </c>
      <c r="D612" s="68" t="s">
        <v>4388</v>
      </c>
    </row>
    <row r="613" spans="1:4">
      <c r="A613" s="204">
        <v>611</v>
      </c>
      <c r="B613" s="205" t="s">
        <v>4389</v>
      </c>
      <c r="C613" s="68" t="s">
        <v>4390</v>
      </c>
      <c r="D613" s="68" t="s">
        <v>4391</v>
      </c>
    </row>
    <row r="614" spans="1:4">
      <c r="A614" s="204">
        <v>612</v>
      </c>
      <c r="B614" s="205" t="s">
        <v>4392</v>
      </c>
      <c r="C614" s="68" t="s">
        <v>4393</v>
      </c>
      <c r="D614" s="68" t="s">
        <v>4394</v>
      </c>
    </row>
    <row r="615" spans="1:4">
      <c r="A615" s="204">
        <v>613</v>
      </c>
      <c r="B615" s="205" t="s">
        <v>4395</v>
      </c>
      <c r="C615" s="68" t="s">
        <v>4396</v>
      </c>
      <c r="D615" s="68" t="s">
        <v>4397</v>
      </c>
    </row>
    <row r="616" spans="1:4">
      <c r="A616" s="204">
        <v>614</v>
      </c>
      <c r="B616" s="205" t="s">
        <v>4398</v>
      </c>
      <c r="C616" s="68" t="s">
        <v>4399</v>
      </c>
      <c r="D616" s="68" t="s">
        <v>4400</v>
      </c>
    </row>
    <row r="617" spans="1:4">
      <c r="A617" s="204">
        <v>615</v>
      </c>
      <c r="B617" s="205" t="s">
        <v>4401</v>
      </c>
      <c r="C617" s="68" t="s">
        <v>4402</v>
      </c>
      <c r="D617" s="68" t="s">
        <v>4403</v>
      </c>
    </row>
    <row r="618" spans="1:4">
      <c r="A618" s="204">
        <v>616</v>
      </c>
      <c r="B618" s="205" t="s">
        <v>4404</v>
      </c>
      <c r="C618" s="68" t="s">
        <v>4405</v>
      </c>
      <c r="D618" s="68" t="s">
        <v>4406</v>
      </c>
    </row>
    <row r="619" spans="1:4">
      <c r="A619" s="204">
        <v>617</v>
      </c>
      <c r="B619" s="205" t="s">
        <v>4407</v>
      </c>
      <c r="C619" s="68" t="s">
        <v>4408</v>
      </c>
      <c r="D619" s="68" t="s">
        <v>4409</v>
      </c>
    </row>
    <row r="620" spans="1:4">
      <c r="A620" s="204">
        <v>618</v>
      </c>
      <c r="B620" s="205" t="s">
        <v>4410</v>
      </c>
      <c r="C620" s="68" t="s">
        <v>4411</v>
      </c>
      <c r="D620" s="68" t="s">
        <v>4412</v>
      </c>
    </row>
    <row r="621" spans="1:4">
      <c r="A621" s="204">
        <v>619</v>
      </c>
      <c r="B621" s="205" t="s">
        <v>4413</v>
      </c>
      <c r="C621" s="68" t="s">
        <v>4414</v>
      </c>
      <c r="D621" s="68" t="s">
        <v>4415</v>
      </c>
    </row>
    <row r="622" spans="1:4">
      <c r="A622" s="204">
        <v>620</v>
      </c>
      <c r="B622" s="205" t="s">
        <v>4416</v>
      </c>
      <c r="C622" s="68" t="s">
        <v>4417</v>
      </c>
      <c r="D622" s="68" t="s">
        <v>4418</v>
      </c>
    </row>
    <row r="623" spans="1:4">
      <c r="A623" s="204">
        <v>621</v>
      </c>
      <c r="B623" s="205" t="s">
        <v>4419</v>
      </c>
      <c r="C623" s="68" t="s">
        <v>4420</v>
      </c>
      <c r="D623" s="68" t="s">
        <v>4421</v>
      </c>
    </row>
    <row r="624" spans="1:4">
      <c r="A624" s="204">
        <v>622</v>
      </c>
      <c r="B624" s="205" t="s">
        <v>4422</v>
      </c>
      <c r="C624" s="68" t="s">
        <v>4423</v>
      </c>
      <c r="D624" s="68" t="s">
        <v>4424</v>
      </c>
    </row>
    <row r="625" spans="1:4">
      <c r="A625" s="204">
        <v>623</v>
      </c>
      <c r="B625" s="205" t="s">
        <v>4425</v>
      </c>
      <c r="C625" s="68" t="s">
        <v>4426</v>
      </c>
      <c r="D625" s="68" t="s">
        <v>4427</v>
      </c>
    </row>
    <row r="626" spans="1:4">
      <c r="A626" s="204">
        <v>624</v>
      </c>
      <c r="B626" s="205" t="s">
        <v>4428</v>
      </c>
      <c r="C626" s="68" t="s">
        <v>4429</v>
      </c>
      <c r="D626" s="68" t="s">
        <v>4430</v>
      </c>
    </row>
    <row r="627" spans="1:4">
      <c r="A627" s="204">
        <v>625</v>
      </c>
      <c r="B627" s="205" t="s">
        <v>4431</v>
      </c>
      <c r="C627" s="68" t="s">
        <v>4432</v>
      </c>
      <c r="D627" s="68" t="s">
        <v>4433</v>
      </c>
    </row>
    <row r="628" spans="1:4">
      <c r="A628" s="204">
        <v>626</v>
      </c>
      <c r="B628" s="205" t="s">
        <v>4434</v>
      </c>
      <c r="C628" s="68" t="s">
        <v>4435</v>
      </c>
      <c r="D628" s="68" t="s">
        <v>4436</v>
      </c>
    </row>
    <row r="629" spans="1:4">
      <c r="A629" s="204">
        <v>627</v>
      </c>
      <c r="B629" s="205" t="s">
        <v>4437</v>
      </c>
      <c r="C629" s="68" t="s">
        <v>4438</v>
      </c>
      <c r="D629" s="68" t="s">
        <v>4439</v>
      </c>
    </row>
    <row r="630" spans="1:4">
      <c r="A630" s="204">
        <v>628</v>
      </c>
      <c r="B630" s="205" t="s">
        <v>4440</v>
      </c>
      <c r="C630" s="68" t="s">
        <v>4441</v>
      </c>
      <c r="D630" s="68" t="s">
        <v>4442</v>
      </c>
    </row>
    <row r="631" spans="1:4">
      <c r="A631" s="204">
        <v>629</v>
      </c>
      <c r="B631" s="205" t="s">
        <v>4443</v>
      </c>
      <c r="C631" s="68" t="s">
        <v>4444</v>
      </c>
      <c r="D631" s="68" t="s">
        <v>4445</v>
      </c>
    </row>
    <row r="632" spans="1:4">
      <c r="A632" s="204">
        <v>630</v>
      </c>
      <c r="B632" s="205" t="s">
        <v>4446</v>
      </c>
      <c r="C632" s="68" t="s">
        <v>4447</v>
      </c>
      <c r="D632" s="68" t="s">
        <v>4448</v>
      </c>
    </row>
    <row r="633" spans="1:4">
      <c r="A633" s="204">
        <v>631</v>
      </c>
      <c r="B633" s="205" t="s">
        <v>4449</v>
      </c>
      <c r="C633" s="68" t="s">
        <v>4450</v>
      </c>
      <c r="D633" s="68" t="s">
        <v>4451</v>
      </c>
    </row>
    <row r="634" spans="1:4">
      <c r="A634" s="204">
        <v>632</v>
      </c>
      <c r="B634" s="205" t="s">
        <v>4452</v>
      </c>
      <c r="C634" s="68" t="s">
        <v>4453</v>
      </c>
      <c r="D634" s="68" t="s">
        <v>4454</v>
      </c>
    </row>
    <row r="635" spans="1:4">
      <c r="A635" s="204">
        <v>633</v>
      </c>
      <c r="B635" s="205" t="s">
        <v>4455</v>
      </c>
      <c r="C635" s="68" t="s">
        <v>4456</v>
      </c>
      <c r="D635" s="68" t="s">
        <v>4457</v>
      </c>
    </row>
    <row r="636" spans="1:4">
      <c r="A636" s="204">
        <v>634</v>
      </c>
      <c r="B636" s="205" t="s">
        <v>4458</v>
      </c>
      <c r="C636" s="68" t="s">
        <v>4459</v>
      </c>
      <c r="D636" s="68" t="s">
        <v>4460</v>
      </c>
    </row>
    <row r="637" spans="1:4">
      <c r="A637" s="204">
        <v>635</v>
      </c>
      <c r="B637" s="205" t="s">
        <v>4461</v>
      </c>
      <c r="C637" s="68" t="s">
        <v>4462</v>
      </c>
      <c r="D637" s="68" t="s">
        <v>4463</v>
      </c>
    </row>
    <row r="638" spans="1:4">
      <c r="A638" s="204">
        <v>636</v>
      </c>
      <c r="B638" s="205" t="s">
        <v>4464</v>
      </c>
      <c r="C638" s="68" t="s">
        <v>4465</v>
      </c>
      <c r="D638" s="68" t="s">
        <v>4466</v>
      </c>
    </row>
    <row r="639" spans="1:4">
      <c r="A639" s="204">
        <v>637</v>
      </c>
      <c r="B639" s="205" t="s">
        <v>4467</v>
      </c>
      <c r="C639" s="68" t="s">
        <v>4468</v>
      </c>
      <c r="D639" s="68" t="s">
        <v>4469</v>
      </c>
    </row>
    <row r="640" spans="1:4">
      <c r="A640" s="204">
        <v>638</v>
      </c>
      <c r="B640" s="205" t="s">
        <v>4470</v>
      </c>
      <c r="C640" s="68" t="s">
        <v>4471</v>
      </c>
      <c r="D640" s="68" t="s">
        <v>4472</v>
      </c>
    </row>
    <row r="641" spans="1:4">
      <c r="A641" s="204">
        <v>639</v>
      </c>
      <c r="B641" s="205" t="s">
        <v>4473</v>
      </c>
      <c r="C641" s="68" t="s">
        <v>4474</v>
      </c>
      <c r="D641" s="68" t="s">
        <v>4475</v>
      </c>
    </row>
    <row r="642" spans="1:4">
      <c r="A642" s="204">
        <v>640</v>
      </c>
      <c r="B642" s="205" t="s">
        <v>4476</v>
      </c>
      <c r="C642" s="68" t="s">
        <v>4477</v>
      </c>
      <c r="D642" s="68" t="s">
        <v>4478</v>
      </c>
    </row>
    <row r="643" spans="1:4">
      <c r="A643" s="204">
        <v>641</v>
      </c>
      <c r="B643" s="205" t="s">
        <v>4479</v>
      </c>
      <c r="C643" s="68" t="s">
        <v>4480</v>
      </c>
      <c r="D643" s="68" t="s">
        <v>4481</v>
      </c>
    </row>
    <row r="644" spans="1:4">
      <c r="A644" s="204">
        <v>642</v>
      </c>
      <c r="B644" s="205" t="s">
        <v>4482</v>
      </c>
      <c r="C644" s="68" t="s">
        <v>4483</v>
      </c>
      <c r="D644" s="68" t="s">
        <v>4484</v>
      </c>
    </row>
    <row r="645" spans="1:4">
      <c r="A645" s="204">
        <v>643</v>
      </c>
      <c r="B645" s="205" t="s">
        <v>4485</v>
      </c>
      <c r="C645" s="68" t="s">
        <v>4486</v>
      </c>
      <c r="D645" s="68" t="s">
        <v>4487</v>
      </c>
    </row>
    <row r="646" spans="1:4">
      <c r="A646" s="204">
        <v>644</v>
      </c>
      <c r="B646" s="205" t="s">
        <v>4488</v>
      </c>
      <c r="C646" s="68" t="s">
        <v>4489</v>
      </c>
      <c r="D646" s="68" t="s">
        <v>4490</v>
      </c>
    </row>
    <row r="647" spans="1:4">
      <c r="A647" s="204">
        <v>645</v>
      </c>
      <c r="B647" s="205" t="s">
        <v>4491</v>
      </c>
      <c r="C647" s="68" t="s">
        <v>4492</v>
      </c>
      <c r="D647" s="68" t="s">
        <v>4493</v>
      </c>
    </row>
    <row r="648" spans="1:4">
      <c r="A648" s="204">
        <v>646</v>
      </c>
      <c r="B648" s="205" t="s">
        <v>4494</v>
      </c>
      <c r="C648" s="68" t="s">
        <v>4495</v>
      </c>
      <c r="D648" s="68" t="s">
        <v>4496</v>
      </c>
    </row>
    <row r="649" spans="1:4">
      <c r="A649" s="204">
        <v>647</v>
      </c>
      <c r="B649" s="205" t="s">
        <v>4497</v>
      </c>
      <c r="C649" s="68" t="s">
        <v>4498</v>
      </c>
      <c r="D649" s="68" t="s">
        <v>4499</v>
      </c>
    </row>
    <row r="650" spans="1:4">
      <c r="A650" s="204">
        <v>648</v>
      </c>
      <c r="B650" s="205" t="s">
        <v>4500</v>
      </c>
      <c r="C650" s="68" t="s">
        <v>4501</v>
      </c>
      <c r="D650" s="68" t="s">
        <v>4502</v>
      </c>
    </row>
    <row r="651" spans="1:4">
      <c r="A651" s="204">
        <v>649</v>
      </c>
      <c r="B651" s="205" t="s">
        <v>4503</v>
      </c>
      <c r="C651" s="68" t="s">
        <v>4504</v>
      </c>
      <c r="D651" s="68" t="s">
        <v>4505</v>
      </c>
    </row>
    <row r="652" spans="1:4">
      <c r="A652" s="204">
        <v>650</v>
      </c>
      <c r="B652" s="205" t="s">
        <v>4506</v>
      </c>
      <c r="C652" s="68" t="s">
        <v>4507</v>
      </c>
      <c r="D652" s="68" t="s">
        <v>4508</v>
      </c>
    </row>
    <row r="653" spans="1:4">
      <c r="A653" s="204">
        <v>651</v>
      </c>
      <c r="B653" s="205" t="s">
        <v>4509</v>
      </c>
      <c r="C653" s="68" t="s">
        <v>4510</v>
      </c>
      <c r="D653" s="68" t="s">
        <v>4511</v>
      </c>
    </row>
    <row r="654" spans="1:4">
      <c r="A654" s="204">
        <v>652</v>
      </c>
      <c r="B654" s="205" t="s">
        <v>4512</v>
      </c>
      <c r="C654" s="68" t="s">
        <v>4513</v>
      </c>
      <c r="D654" s="68" t="s">
        <v>4514</v>
      </c>
    </row>
    <row r="655" spans="1:4">
      <c r="A655" s="204">
        <v>653</v>
      </c>
      <c r="B655" s="205" t="s">
        <v>4515</v>
      </c>
      <c r="C655" s="68" t="s">
        <v>4516</v>
      </c>
      <c r="D655" s="68" t="s">
        <v>4517</v>
      </c>
    </row>
    <row r="656" spans="1:4">
      <c r="A656" s="204">
        <v>654</v>
      </c>
      <c r="B656" s="205" t="s">
        <v>4518</v>
      </c>
      <c r="C656" s="68" t="s">
        <v>4519</v>
      </c>
      <c r="D656" s="68" t="s">
        <v>4520</v>
      </c>
    </row>
    <row r="657" spans="1:4">
      <c r="A657" s="204">
        <v>655</v>
      </c>
      <c r="B657" s="205" t="s">
        <v>4521</v>
      </c>
      <c r="C657" s="68" t="s">
        <v>4522</v>
      </c>
      <c r="D657" s="68" t="s">
        <v>4523</v>
      </c>
    </row>
    <row r="658" spans="1:4">
      <c r="A658" s="204">
        <v>656</v>
      </c>
      <c r="B658" s="205" t="s">
        <v>4524</v>
      </c>
      <c r="C658" s="68" t="s">
        <v>4525</v>
      </c>
      <c r="D658" s="68" t="s">
        <v>4526</v>
      </c>
    </row>
    <row r="659" spans="1:4">
      <c r="A659" s="204">
        <v>657</v>
      </c>
      <c r="B659" s="205" t="s">
        <v>4527</v>
      </c>
      <c r="C659" s="68" t="s">
        <v>4528</v>
      </c>
      <c r="D659" s="68" t="s">
        <v>4529</v>
      </c>
    </row>
    <row r="660" spans="1:4">
      <c r="A660" s="204">
        <v>658</v>
      </c>
      <c r="B660" s="205" t="s">
        <v>4530</v>
      </c>
      <c r="C660" s="68" t="s">
        <v>4531</v>
      </c>
      <c r="D660" s="68" t="s">
        <v>4532</v>
      </c>
    </row>
    <row r="661" spans="1:4">
      <c r="A661" s="204">
        <v>659</v>
      </c>
      <c r="B661" s="205" t="s">
        <v>4533</v>
      </c>
      <c r="C661" s="68" t="s">
        <v>4534</v>
      </c>
      <c r="D661" s="68" t="s">
        <v>4535</v>
      </c>
    </row>
    <row r="662" spans="1:4">
      <c r="A662" s="204">
        <v>660</v>
      </c>
      <c r="B662" s="205" t="s">
        <v>4536</v>
      </c>
      <c r="C662" s="68" t="s">
        <v>4537</v>
      </c>
      <c r="D662" s="68" t="s">
        <v>4538</v>
      </c>
    </row>
    <row r="663" spans="1:4">
      <c r="A663" s="204">
        <v>661</v>
      </c>
      <c r="B663" s="205" t="s">
        <v>4539</v>
      </c>
      <c r="C663" s="68" t="s">
        <v>4540</v>
      </c>
      <c r="D663" s="68" t="s">
        <v>4541</v>
      </c>
    </row>
    <row r="664" spans="1:4">
      <c r="A664" s="204">
        <v>662</v>
      </c>
      <c r="B664" s="205" t="s">
        <v>4542</v>
      </c>
      <c r="C664" s="68" t="s">
        <v>4543</v>
      </c>
      <c r="D664" s="68" t="s">
        <v>4544</v>
      </c>
    </row>
    <row r="665" spans="1:4">
      <c r="A665" s="204">
        <v>663</v>
      </c>
      <c r="B665" s="205" t="s">
        <v>4545</v>
      </c>
      <c r="C665" s="68" t="s">
        <v>4546</v>
      </c>
      <c r="D665" s="68" t="s">
        <v>4547</v>
      </c>
    </row>
    <row r="666" spans="1:4">
      <c r="A666" s="204">
        <v>664</v>
      </c>
      <c r="B666" s="205" t="s">
        <v>4548</v>
      </c>
      <c r="C666" s="68" t="s">
        <v>4549</v>
      </c>
      <c r="D666" s="68" t="s">
        <v>4550</v>
      </c>
    </row>
    <row r="667" spans="1:4">
      <c r="A667" s="204">
        <v>665</v>
      </c>
      <c r="B667" s="205" t="s">
        <v>4551</v>
      </c>
      <c r="C667" s="68" t="s">
        <v>4552</v>
      </c>
      <c r="D667" s="68" t="s">
        <v>4553</v>
      </c>
    </row>
    <row r="668" spans="1:4">
      <c r="A668" s="204">
        <v>666</v>
      </c>
      <c r="B668" s="205" t="s">
        <v>4554</v>
      </c>
      <c r="C668" s="68" t="s">
        <v>4555</v>
      </c>
      <c r="D668" s="68" t="s">
        <v>4556</v>
      </c>
    </row>
    <row r="669" spans="1:4">
      <c r="A669" s="204">
        <v>667</v>
      </c>
      <c r="B669" s="205" t="s">
        <v>4557</v>
      </c>
      <c r="C669" s="68" t="s">
        <v>4558</v>
      </c>
      <c r="D669" s="68" t="s">
        <v>4559</v>
      </c>
    </row>
    <row r="670" spans="1:4">
      <c r="A670" s="204">
        <v>668</v>
      </c>
      <c r="B670" s="205" t="s">
        <v>4560</v>
      </c>
      <c r="C670" s="68" t="s">
        <v>4561</v>
      </c>
      <c r="D670" s="68" t="s">
        <v>4562</v>
      </c>
    </row>
    <row r="671" spans="1:4">
      <c r="A671" s="204">
        <v>669</v>
      </c>
      <c r="B671" s="205" t="s">
        <v>4563</v>
      </c>
      <c r="C671" s="68" t="s">
        <v>4564</v>
      </c>
      <c r="D671" s="68" t="s">
        <v>4565</v>
      </c>
    </row>
    <row r="672" spans="1:4">
      <c r="A672" s="204">
        <v>670</v>
      </c>
      <c r="B672" s="205" t="s">
        <v>4566</v>
      </c>
      <c r="C672" s="68" t="s">
        <v>4567</v>
      </c>
      <c r="D672" s="68" t="s">
        <v>4568</v>
      </c>
    </row>
    <row r="673" spans="1:4">
      <c r="A673" s="204">
        <v>671</v>
      </c>
      <c r="B673" s="205" t="s">
        <v>4569</v>
      </c>
      <c r="C673" s="68" t="s">
        <v>4570</v>
      </c>
      <c r="D673" s="68" t="s">
        <v>4571</v>
      </c>
    </row>
    <row r="674" spans="1:4">
      <c r="A674" s="204">
        <v>672</v>
      </c>
      <c r="B674" s="205" t="s">
        <v>4572</v>
      </c>
      <c r="C674" s="68" t="s">
        <v>4573</v>
      </c>
      <c r="D674" s="68" t="s">
        <v>4574</v>
      </c>
    </row>
    <row r="675" spans="1:4">
      <c r="A675" s="204">
        <v>673</v>
      </c>
      <c r="B675" s="205" t="s">
        <v>4575</v>
      </c>
      <c r="C675" s="68" t="s">
        <v>4576</v>
      </c>
      <c r="D675" s="68" t="s">
        <v>4577</v>
      </c>
    </row>
    <row r="676" spans="1:4">
      <c r="A676" s="204">
        <v>674</v>
      </c>
      <c r="B676" s="205" t="s">
        <v>4578</v>
      </c>
      <c r="C676" s="68" t="s">
        <v>4579</v>
      </c>
      <c r="D676" s="68" t="s">
        <v>4580</v>
      </c>
    </row>
    <row r="677" spans="1:4">
      <c r="A677" s="204">
        <v>675</v>
      </c>
      <c r="B677" s="205" t="s">
        <v>4581</v>
      </c>
      <c r="C677" s="68" t="s">
        <v>4582</v>
      </c>
      <c r="D677" s="68" t="s">
        <v>4583</v>
      </c>
    </row>
    <row r="678" spans="1:4">
      <c r="A678" s="204">
        <v>676</v>
      </c>
      <c r="B678" s="205" t="s">
        <v>4584</v>
      </c>
      <c r="C678" s="68" t="s">
        <v>4585</v>
      </c>
      <c r="D678" s="68" t="s">
        <v>4586</v>
      </c>
    </row>
    <row r="679" spans="1:4">
      <c r="A679" s="204">
        <v>677</v>
      </c>
      <c r="B679" s="205" t="s">
        <v>4587</v>
      </c>
      <c r="C679" s="68" t="s">
        <v>4588</v>
      </c>
      <c r="D679" s="68" t="s">
        <v>4589</v>
      </c>
    </row>
    <row r="680" spans="1:4">
      <c r="A680" s="204">
        <v>678</v>
      </c>
      <c r="B680" s="205" t="s">
        <v>4590</v>
      </c>
      <c r="C680" s="68" t="s">
        <v>4591</v>
      </c>
      <c r="D680" s="68" t="s">
        <v>4592</v>
      </c>
    </row>
    <row r="681" spans="1:4">
      <c r="A681" s="204">
        <v>679</v>
      </c>
      <c r="B681" s="205" t="s">
        <v>4593</v>
      </c>
      <c r="C681" s="68" t="s">
        <v>4594</v>
      </c>
      <c r="D681" s="68" t="s">
        <v>4595</v>
      </c>
    </row>
    <row r="682" spans="1:4">
      <c r="A682" s="204">
        <v>680</v>
      </c>
      <c r="B682" s="205" t="s">
        <v>4596</v>
      </c>
      <c r="C682" s="68" t="s">
        <v>4597</v>
      </c>
      <c r="D682" s="68" t="s">
        <v>4598</v>
      </c>
    </row>
    <row r="683" spans="1:4">
      <c r="A683" s="204">
        <v>681</v>
      </c>
      <c r="B683" s="205" t="s">
        <v>4599</v>
      </c>
      <c r="C683" s="68" t="s">
        <v>4600</v>
      </c>
      <c r="D683" s="68" t="s">
        <v>4601</v>
      </c>
    </row>
    <row r="684" spans="1:4">
      <c r="A684" s="204">
        <v>682</v>
      </c>
      <c r="B684" s="205" t="s">
        <v>4602</v>
      </c>
      <c r="C684" s="68" t="s">
        <v>4603</v>
      </c>
      <c r="D684" s="68" t="s">
        <v>4604</v>
      </c>
    </row>
    <row r="685" spans="1:4">
      <c r="A685" s="204">
        <v>683</v>
      </c>
      <c r="B685" s="205" t="s">
        <v>4605</v>
      </c>
      <c r="C685" s="68" t="s">
        <v>4606</v>
      </c>
      <c r="D685" s="68" t="s">
        <v>4607</v>
      </c>
    </row>
    <row r="686" spans="1:4">
      <c r="A686" s="204">
        <v>684</v>
      </c>
      <c r="B686" s="205" t="s">
        <v>4608</v>
      </c>
      <c r="C686" s="68" t="s">
        <v>4609</v>
      </c>
      <c r="D686" s="68" t="s">
        <v>4610</v>
      </c>
    </row>
    <row r="687" spans="1:4">
      <c r="A687" s="204">
        <v>685</v>
      </c>
      <c r="B687" s="205" t="s">
        <v>4611</v>
      </c>
      <c r="C687" s="68" t="s">
        <v>4612</v>
      </c>
      <c r="D687" s="68" t="s">
        <v>4613</v>
      </c>
    </row>
    <row r="688" spans="1:4">
      <c r="A688" s="204">
        <v>686</v>
      </c>
      <c r="B688" s="205" t="s">
        <v>4614</v>
      </c>
      <c r="C688" s="68" t="s">
        <v>4615</v>
      </c>
      <c r="D688" s="68" t="s">
        <v>4616</v>
      </c>
    </row>
    <row r="689" spans="1:4">
      <c r="A689" s="204">
        <v>687</v>
      </c>
      <c r="B689" s="205" t="s">
        <v>4617</v>
      </c>
      <c r="C689" s="68" t="s">
        <v>4618</v>
      </c>
      <c r="D689" s="68" t="s">
        <v>4619</v>
      </c>
    </row>
    <row r="690" spans="1:4">
      <c r="A690" s="204">
        <v>688</v>
      </c>
      <c r="B690" s="205" t="s">
        <v>4620</v>
      </c>
      <c r="C690" s="68" t="s">
        <v>4621</v>
      </c>
      <c r="D690" s="68" t="s">
        <v>4622</v>
      </c>
    </row>
    <row r="691" spans="1:4">
      <c r="A691" s="204">
        <v>689</v>
      </c>
      <c r="B691" s="205" t="s">
        <v>4623</v>
      </c>
      <c r="C691" s="68" t="s">
        <v>4624</v>
      </c>
      <c r="D691" s="68" t="s">
        <v>4625</v>
      </c>
    </row>
    <row r="692" spans="1:4">
      <c r="A692" s="204">
        <v>690</v>
      </c>
      <c r="B692" s="205" t="s">
        <v>4626</v>
      </c>
      <c r="C692" s="68" t="s">
        <v>4627</v>
      </c>
      <c r="D692" s="68" t="s">
        <v>4628</v>
      </c>
    </row>
    <row r="693" spans="1:4">
      <c r="A693" s="204">
        <v>691</v>
      </c>
      <c r="B693" s="205" t="s">
        <v>4629</v>
      </c>
      <c r="C693" s="68" t="s">
        <v>4630</v>
      </c>
      <c r="D693" s="68" t="s">
        <v>4631</v>
      </c>
    </row>
    <row r="694" spans="1:4">
      <c r="A694" s="204">
        <v>692</v>
      </c>
      <c r="B694" s="205" t="s">
        <v>4632</v>
      </c>
      <c r="C694" s="68" t="s">
        <v>4633</v>
      </c>
      <c r="D694" s="68" t="s">
        <v>4634</v>
      </c>
    </row>
    <row r="695" spans="1:4">
      <c r="A695" s="204">
        <v>693</v>
      </c>
      <c r="B695" s="205" t="s">
        <v>4635</v>
      </c>
      <c r="C695" s="68" t="s">
        <v>4636</v>
      </c>
      <c r="D695" s="68" t="s">
        <v>4637</v>
      </c>
    </row>
    <row r="696" spans="1:4">
      <c r="A696" s="204">
        <v>694</v>
      </c>
      <c r="B696" s="205" t="s">
        <v>4638</v>
      </c>
      <c r="C696" s="68" t="s">
        <v>4639</v>
      </c>
      <c r="D696" s="68" t="s">
        <v>4640</v>
      </c>
    </row>
    <row r="697" spans="1:4">
      <c r="A697" s="204">
        <v>695</v>
      </c>
      <c r="B697" s="205" t="s">
        <v>4641</v>
      </c>
      <c r="C697" s="68" t="s">
        <v>4642</v>
      </c>
      <c r="D697" s="68" t="s">
        <v>4643</v>
      </c>
    </row>
    <row r="698" spans="1:4">
      <c r="A698" s="204">
        <v>696</v>
      </c>
      <c r="B698" s="205" t="s">
        <v>4644</v>
      </c>
      <c r="C698" s="68" t="s">
        <v>4645</v>
      </c>
      <c r="D698" s="68" t="s">
        <v>4643</v>
      </c>
    </row>
    <row r="699" spans="1:4">
      <c r="A699" s="204">
        <v>697</v>
      </c>
      <c r="B699" s="205" t="s">
        <v>4646</v>
      </c>
      <c r="C699" s="68" t="s">
        <v>4647</v>
      </c>
      <c r="D699" s="68" t="s">
        <v>4648</v>
      </c>
    </row>
    <row r="700" spans="1:4">
      <c r="A700" s="204">
        <v>698</v>
      </c>
      <c r="B700" s="205" t="s">
        <v>4649</v>
      </c>
      <c r="C700" s="68" t="s">
        <v>4650</v>
      </c>
      <c r="D700" s="68" t="s">
        <v>4651</v>
      </c>
    </row>
    <row r="701" spans="1:4">
      <c r="A701" s="204">
        <v>699</v>
      </c>
      <c r="B701" s="205" t="s">
        <v>4652</v>
      </c>
      <c r="C701" s="68" t="s">
        <v>4653</v>
      </c>
      <c r="D701" s="68" t="s">
        <v>4654</v>
      </c>
    </row>
    <row r="702" spans="1:4">
      <c r="A702" s="204">
        <v>700</v>
      </c>
      <c r="B702" s="205" t="s">
        <v>4655</v>
      </c>
      <c r="C702" s="68" t="s">
        <v>4656</v>
      </c>
      <c r="D702" s="68" t="s">
        <v>4657</v>
      </c>
    </row>
    <row r="703" spans="1:4">
      <c r="A703" s="204">
        <v>701</v>
      </c>
      <c r="B703" s="205" t="s">
        <v>4658</v>
      </c>
      <c r="C703" s="68" t="s">
        <v>4659</v>
      </c>
      <c r="D703" s="68" t="s">
        <v>4660</v>
      </c>
    </row>
    <row r="704" spans="1:4">
      <c r="A704" s="204">
        <v>702</v>
      </c>
      <c r="B704" s="205" t="s">
        <v>4661</v>
      </c>
      <c r="C704" s="68" t="s">
        <v>4662</v>
      </c>
      <c r="D704" s="68" t="s">
        <v>4663</v>
      </c>
    </row>
    <row r="705" spans="1:4">
      <c r="A705" s="204">
        <v>703</v>
      </c>
      <c r="B705" s="205" t="s">
        <v>4664</v>
      </c>
      <c r="C705" s="68" t="s">
        <v>4665</v>
      </c>
      <c r="D705" s="68" t="s">
        <v>4666</v>
      </c>
    </row>
    <row r="706" spans="1:4">
      <c r="A706" s="204">
        <v>704</v>
      </c>
      <c r="B706" s="205" t="s">
        <v>4667</v>
      </c>
      <c r="C706" s="68" t="s">
        <v>4668</v>
      </c>
      <c r="D706" s="68" t="s">
        <v>4669</v>
      </c>
    </row>
    <row r="707" spans="1:4">
      <c r="A707" s="204">
        <v>705</v>
      </c>
      <c r="B707" s="205" t="s">
        <v>4670</v>
      </c>
      <c r="C707" s="68" t="s">
        <v>4671</v>
      </c>
      <c r="D707" s="68" t="s">
        <v>4672</v>
      </c>
    </row>
    <row r="708" spans="1:4">
      <c r="A708" s="204">
        <v>706</v>
      </c>
      <c r="B708" s="205" t="s">
        <v>4673</v>
      </c>
      <c r="C708" s="68" t="s">
        <v>4674</v>
      </c>
      <c r="D708" s="68" t="s">
        <v>4675</v>
      </c>
    </row>
    <row r="709" spans="1:4">
      <c r="A709" s="204">
        <v>707</v>
      </c>
      <c r="B709" s="205" t="s">
        <v>4676</v>
      </c>
      <c r="C709" s="68" t="s">
        <v>4677</v>
      </c>
      <c r="D709" s="68" t="s">
        <v>4678</v>
      </c>
    </row>
    <row r="710" spans="1:4">
      <c r="A710" s="204">
        <v>708</v>
      </c>
      <c r="B710" s="205" t="s">
        <v>4679</v>
      </c>
      <c r="C710" s="68" t="s">
        <v>4680</v>
      </c>
      <c r="D710" s="68" t="s">
        <v>4681</v>
      </c>
    </row>
    <row r="711" spans="1:4">
      <c r="A711" s="204">
        <v>709</v>
      </c>
      <c r="B711" s="205" t="s">
        <v>4682</v>
      </c>
      <c r="C711" s="68" t="s">
        <v>4683</v>
      </c>
      <c r="D711" s="68" t="s">
        <v>4684</v>
      </c>
    </row>
    <row r="712" spans="1:4">
      <c r="A712" s="204">
        <v>710</v>
      </c>
      <c r="B712" s="205" t="s">
        <v>4685</v>
      </c>
      <c r="C712" s="68" t="s">
        <v>4686</v>
      </c>
      <c r="D712" s="68" t="s">
        <v>4687</v>
      </c>
    </row>
    <row r="713" spans="1:4">
      <c r="A713" s="204">
        <v>711</v>
      </c>
      <c r="B713" s="205" t="s">
        <v>4688</v>
      </c>
      <c r="C713" s="68" t="s">
        <v>4689</v>
      </c>
      <c r="D713" s="68" t="s">
        <v>4690</v>
      </c>
    </row>
    <row r="714" spans="1:4">
      <c r="A714" s="204">
        <v>712</v>
      </c>
      <c r="B714" s="205" t="s">
        <v>4691</v>
      </c>
      <c r="C714" s="68" t="s">
        <v>4692</v>
      </c>
      <c r="D714" s="68" t="s">
        <v>4693</v>
      </c>
    </row>
    <row r="715" spans="1:4">
      <c r="A715" s="204">
        <v>713</v>
      </c>
      <c r="B715" s="205" t="s">
        <v>4694</v>
      </c>
      <c r="C715" s="68" t="s">
        <v>4695</v>
      </c>
      <c r="D715" s="68" t="s">
        <v>4696</v>
      </c>
    </row>
    <row r="716" spans="1:4">
      <c r="A716" s="204">
        <v>714</v>
      </c>
      <c r="B716" s="205" t="s">
        <v>4697</v>
      </c>
      <c r="C716" s="68" t="s">
        <v>4698</v>
      </c>
      <c r="D716" s="68" t="s">
        <v>4699</v>
      </c>
    </row>
    <row r="717" spans="1:4">
      <c r="A717" s="204">
        <v>715</v>
      </c>
      <c r="B717" s="205" t="s">
        <v>4700</v>
      </c>
      <c r="C717" s="68" t="s">
        <v>4701</v>
      </c>
      <c r="D717" s="68" t="s">
        <v>4702</v>
      </c>
    </row>
    <row r="718" spans="1:4">
      <c r="A718" s="204">
        <v>716</v>
      </c>
      <c r="B718" s="205" t="s">
        <v>4703</v>
      </c>
      <c r="C718" s="68" t="s">
        <v>4704</v>
      </c>
      <c r="D718" s="68" t="s">
        <v>4705</v>
      </c>
    </row>
    <row r="719" spans="1:4">
      <c r="A719" s="204">
        <v>717</v>
      </c>
      <c r="B719" s="205" t="s">
        <v>4706</v>
      </c>
      <c r="C719" s="68" t="s">
        <v>4707</v>
      </c>
      <c r="D719" s="68" t="s">
        <v>4708</v>
      </c>
    </row>
    <row r="720" spans="1:4">
      <c r="A720" s="204">
        <v>718</v>
      </c>
      <c r="B720" s="205" t="s">
        <v>4709</v>
      </c>
      <c r="C720" s="68" t="s">
        <v>4710</v>
      </c>
      <c r="D720" s="68" t="s">
        <v>4711</v>
      </c>
    </row>
    <row r="721" spans="1:4">
      <c r="A721" s="204">
        <v>719</v>
      </c>
      <c r="B721" s="205" t="s">
        <v>4712</v>
      </c>
      <c r="C721" s="68" t="s">
        <v>4713</v>
      </c>
      <c r="D721" s="68" t="s">
        <v>4714</v>
      </c>
    </row>
    <row r="722" spans="1:4">
      <c r="A722" s="204">
        <v>720</v>
      </c>
      <c r="B722" s="205" t="s">
        <v>4715</v>
      </c>
      <c r="C722" s="68" t="s">
        <v>4716</v>
      </c>
      <c r="D722" s="68" t="s">
        <v>4717</v>
      </c>
    </row>
    <row r="723" spans="1:4">
      <c r="A723" s="204">
        <v>721</v>
      </c>
      <c r="B723" s="205" t="s">
        <v>4718</v>
      </c>
      <c r="C723" s="68" t="s">
        <v>4719</v>
      </c>
      <c r="D723" s="68" t="s">
        <v>4720</v>
      </c>
    </row>
    <row r="724" spans="1:4">
      <c r="A724" s="204">
        <v>722</v>
      </c>
      <c r="B724" s="205" t="s">
        <v>4721</v>
      </c>
      <c r="C724" s="68" t="s">
        <v>4722</v>
      </c>
      <c r="D724" s="68" t="s">
        <v>4723</v>
      </c>
    </row>
    <row r="725" spans="1:4">
      <c r="A725" s="204">
        <v>723</v>
      </c>
      <c r="B725" s="205" t="s">
        <v>4724</v>
      </c>
      <c r="C725" s="68" t="s">
        <v>4725</v>
      </c>
      <c r="D725" s="68" t="s">
        <v>4726</v>
      </c>
    </row>
    <row r="726" spans="1:4">
      <c r="A726" s="204">
        <v>724</v>
      </c>
      <c r="B726" s="205" t="s">
        <v>4727</v>
      </c>
      <c r="C726" s="68" t="s">
        <v>4728</v>
      </c>
      <c r="D726" s="68" t="s">
        <v>4729</v>
      </c>
    </row>
    <row r="727" spans="1:4">
      <c r="A727" s="204">
        <v>725</v>
      </c>
      <c r="B727" s="205" t="s">
        <v>4730</v>
      </c>
      <c r="C727" s="68" t="s">
        <v>4731</v>
      </c>
      <c r="D727" s="68" t="s">
        <v>4732</v>
      </c>
    </row>
    <row r="728" spans="1:4">
      <c r="A728" s="204">
        <v>726</v>
      </c>
      <c r="B728" s="205" t="s">
        <v>4733</v>
      </c>
      <c r="C728" s="68" t="s">
        <v>4734</v>
      </c>
      <c r="D728" s="68" t="s">
        <v>4735</v>
      </c>
    </row>
    <row r="729" spans="1:4">
      <c r="A729" s="204">
        <v>727</v>
      </c>
      <c r="B729" s="205" t="s">
        <v>4736</v>
      </c>
      <c r="C729" s="68" t="s">
        <v>4737</v>
      </c>
      <c r="D729" s="68" t="s">
        <v>4738</v>
      </c>
    </row>
    <row r="730" spans="1:4">
      <c r="A730" s="204">
        <v>728</v>
      </c>
      <c r="B730" s="205" t="s">
        <v>4739</v>
      </c>
      <c r="C730" s="68" t="s">
        <v>4740</v>
      </c>
      <c r="D730" s="68" t="s">
        <v>4741</v>
      </c>
    </row>
    <row r="731" spans="1:4">
      <c r="A731" s="204">
        <v>729</v>
      </c>
      <c r="B731" s="205" t="s">
        <v>4742</v>
      </c>
      <c r="C731" s="68" t="s">
        <v>4743</v>
      </c>
      <c r="D731" s="68" t="s">
        <v>4744</v>
      </c>
    </row>
    <row r="732" spans="1:4">
      <c r="A732" s="204">
        <v>730</v>
      </c>
      <c r="B732" s="205" t="s">
        <v>4745</v>
      </c>
      <c r="C732" s="68" t="s">
        <v>4746</v>
      </c>
      <c r="D732" s="68" t="s">
        <v>4747</v>
      </c>
    </row>
    <row r="733" spans="1:4">
      <c r="A733" s="204">
        <v>731</v>
      </c>
      <c r="B733" s="205" t="s">
        <v>4748</v>
      </c>
      <c r="C733" s="68" t="s">
        <v>4749</v>
      </c>
      <c r="D733" s="68" t="s">
        <v>4750</v>
      </c>
    </row>
    <row r="734" spans="1:4">
      <c r="A734" s="204">
        <v>732</v>
      </c>
      <c r="B734" s="205" t="s">
        <v>4751</v>
      </c>
      <c r="C734" s="68" t="s">
        <v>4752</v>
      </c>
      <c r="D734" s="68" t="s">
        <v>4753</v>
      </c>
    </row>
    <row r="735" spans="1:4">
      <c r="A735" s="204">
        <v>733</v>
      </c>
      <c r="B735" s="205" t="s">
        <v>4754</v>
      </c>
      <c r="C735" s="68" t="s">
        <v>4755</v>
      </c>
      <c r="D735" s="68" t="s">
        <v>4756</v>
      </c>
    </row>
    <row r="736" spans="1:4">
      <c r="A736" s="204">
        <v>734</v>
      </c>
      <c r="B736" s="205" t="s">
        <v>4757</v>
      </c>
      <c r="C736" s="68" t="s">
        <v>4758</v>
      </c>
      <c r="D736" s="68" t="s">
        <v>4759</v>
      </c>
    </row>
    <row r="737" spans="1:4">
      <c r="A737" s="204">
        <v>735</v>
      </c>
      <c r="B737" s="205" t="s">
        <v>4760</v>
      </c>
      <c r="C737" s="68" t="s">
        <v>4761</v>
      </c>
      <c r="D737" s="68" t="s">
        <v>4762</v>
      </c>
    </row>
    <row r="738" spans="1:4">
      <c r="A738" s="204">
        <v>736</v>
      </c>
      <c r="B738" s="205" t="s">
        <v>4763</v>
      </c>
      <c r="C738" s="68" t="s">
        <v>4764</v>
      </c>
      <c r="D738" s="68" t="s">
        <v>4765</v>
      </c>
    </row>
    <row r="739" spans="1:4">
      <c r="A739" s="204">
        <v>737</v>
      </c>
      <c r="B739" s="205" t="s">
        <v>4766</v>
      </c>
      <c r="C739" s="68" t="s">
        <v>4767</v>
      </c>
      <c r="D739" s="68" t="s">
        <v>4768</v>
      </c>
    </row>
    <row r="740" spans="1:4">
      <c r="A740" s="204">
        <v>738</v>
      </c>
      <c r="B740" s="205" t="s">
        <v>4769</v>
      </c>
      <c r="C740" s="68" t="s">
        <v>4770</v>
      </c>
      <c r="D740" s="68" t="s">
        <v>4771</v>
      </c>
    </row>
    <row r="741" spans="1:4">
      <c r="A741" s="204">
        <v>739</v>
      </c>
      <c r="B741" s="205" t="s">
        <v>4772</v>
      </c>
      <c r="C741" s="68" t="s">
        <v>4773</v>
      </c>
      <c r="D741" s="68" t="s">
        <v>4774</v>
      </c>
    </row>
    <row r="742" spans="1:4">
      <c r="A742" s="204">
        <v>740</v>
      </c>
      <c r="B742" s="205" t="s">
        <v>4775</v>
      </c>
      <c r="C742" s="68" t="s">
        <v>4776</v>
      </c>
      <c r="D742" s="68" t="s">
        <v>4777</v>
      </c>
    </row>
    <row r="743" spans="1:4">
      <c r="A743" s="204">
        <v>741</v>
      </c>
      <c r="B743" s="205" t="s">
        <v>4778</v>
      </c>
      <c r="C743" s="68" t="s">
        <v>4779</v>
      </c>
      <c r="D743" s="68" t="s">
        <v>4780</v>
      </c>
    </row>
    <row r="744" spans="1:4">
      <c r="A744" s="204">
        <v>742</v>
      </c>
      <c r="B744" s="205" t="s">
        <v>4781</v>
      </c>
      <c r="C744" s="68" t="s">
        <v>4782</v>
      </c>
      <c r="D744" s="68" t="s">
        <v>4783</v>
      </c>
    </row>
    <row r="745" spans="1:4">
      <c r="A745" s="204">
        <v>743</v>
      </c>
      <c r="B745" s="205" t="s">
        <v>4784</v>
      </c>
      <c r="C745" s="68" t="s">
        <v>4785</v>
      </c>
      <c r="D745" s="68" t="s">
        <v>4786</v>
      </c>
    </row>
    <row r="746" spans="1:4">
      <c r="A746" s="204">
        <v>744</v>
      </c>
      <c r="B746" s="205" t="s">
        <v>4787</v>
      </c>
      <c r="C746" s="68" t="s">
        <v>4788</v>
      </c>
      <c r="D746" s="68" t="s">
        <v>4789</v>
      </c>
    </row>
    <row r="747" spans="1:4">
      <c r="A747" s="204">
        <v>745</v>
      </c>
      <c r="B747" s="205" t="s">
        <v>4790</v>
      </c>
      <c r="C747" s="68" t="s">
        <v>4791</v>
      </c>
      <c r="D747" s="68" t="s">
        <v>4792</v>
      </c>
    </row>
    <row r="748" spans="1:4">
      <c r="A748" s="204">
        <v>746</v>
      </c>
      <c r="B748" s="205" t="s">
        <v>4793</v>
      </c>
      <c r="C748" s="68" t="s">
        <v>4794</v>
      </c>
      <c r="D748" s="68" t="s">
        <v>4795</v>
      </c>
    </row>
    <row r="749" spans="1:4">
      <c r="A749" s="204">
        <v>747</v>
      </c>
      <c r="B749" s="205" t="s">
        <v>4796</v>
      </c>
      <c r="C749" s="68" t="s">
        <v>4797</v>
      </c>
      <c r="D749" s="68" t="s">
        <v>4798</v>
      </c>
    </row>
    <row r="750" spans="1:4">
      <c r="A750" s="204">
        <v>748</v>
      </c>
      <c r="B750" s="205" t="s">
        <v>4799</v>
      </c>
      <c r="C750" s="68" t="s">
        <v>4800</v>
      </c>
      <c r="D750" s="68" t="s">
        <v>4801</v>
      </c>
    </row>
    <row r="751" spans="1:4">
      <c r="A751" s="204">
        <v>749</v>
      </c>
      <c r="B751" s="205" t="s">
        <v>4802</v>
      </c>
      <c r="C751" s="68" t="s">
        <v>4803</v>
      </c>
      <c r="D751" s="68" t="s">
        <v>4804</v>
      </c>
    </row>
    <row r="752" spans="1:4">
      <c r="A752" s="204">
        <v>750</v>
      </c>
      <c r="B752" s="205" t="s">
        <v>4805</v>
      </c>
      <c r="C752" s="68" t="s">
        <v>4806</v>
      </c>
      <c r="D752" s="68" t="s">
        <v>4807</v>
      </c>
    </row>
    <row r="753" spans="1:4">
      <c r="A753" s="204">
        <v>751</v>
      </c>
      <c r="B753" s="205" t="s">
        <v>4808</v>
      </c>
      <c r="C753" s="68" t="s">
        <v>4809</v>
      </c>
      <c r="D753" s="68" t="s">
        <v>4810</v>
      </c>
    </row>
    <row r="754" spans="1:4">
      <c r="A754" s="204">
        <v>752</v>
      </c>
      <c r="B754" s="205" t="s">
        <v>4811</v>
      </c>
      <c r="C754" s="68" t="s">
        <v>4812</v>
      </c>
      <c r="D754" s="68" t="s">
        <v>4813</v>
      </c>
    </row>
    <row r="755" spans="1:4">
      <c r="A755" s="204">
        <v>753</v>
      </c>
      <c r="B755" s="205" t="s">
        <v>4814</v>
      </c>
      <c r="C755" s="68" t="s">
        <v>4815</v>
      </c>
      <c r="D755" s="68" t="s">
        <v>4816</v>
      </c>
    </row>
    <row r="756" spans="1:4">
      <c r="A756" s="204">
        <v>754</v>
      </c>
      <c r="B756" s="205" t="s">
        <v>4817</v>
      </c>
      <c r="C756" s="68" t="s">
        <v>4818</v>
      </c>
      <c r="D756" s="68" t="s">
        <v>4819</v>
      </c>
    </row>
    <row r="757" spans="1:4">
      <c r="A757" s="204">
        <v>755</v>
      </c>
      <c r="B757" s="205" t="s">
        <v>4820</v>
      </c>
      <c r="C757" s="68" t="s">
        <v>4821</v>
      </c>
      <c r="D757" s="68" t="s">
        <v>4822</v>
      </c>
    </row>
    <row r="758" spans="1:4">
      <c r="A758" s="204">
        <v>756</v>
      </c>
      <c r="B758" s="205" t="s">
        <v>4823</v>
      </c>
      <c r="C758" s="68" t="s">
        <v>4824</v>
      </c>
      <c r="D758" s="68" t="s">
        <v>4825</v>
      </c>
    </row>
    <row r="759" spans="1:4">
      <c r="A759" s="204">
        <v>757</v>
      </c>
      <c r="B759" s="205" t="s">
        <v>4826</v>
      </c>
      <c r="C759" s="68" t="s">
        <v>4827</v>
      </c>
      <c r="D759" s="68" t="s">
        <v>4828</v>
      </c>
    </row>
    <row r="760" spans="1:4">
      <c r="A760" s="204">
        <v>758</v>
      </c>
      <c r="B760" s="205" t="s">
        <v>4829</v>
      </c>
      <c r="C760" s="68" t="s">
        <v>4830</v>
      </c>
      <c r="D760" s="68" t="s">
        <v>4831</v>
      </c>
    </row>
    <row r="761" spans="1:4">
      <c r="A761" s="204">
        <v>759</v>
      </c>
      <c r="B761" s="205" t="s">
        <v>4832</v>
      </c>
      <c r="C761" s="68" t="s">
        <v>4833</v>
      </c>
      <c r="D761" s="68" t="s">
        <v>4834</v>
      </c>
    </row>
    <row r="762" spans="1:4">
      <c r="A762" s="204">
        <v>760</v>
      </c>
      <c r="B762" s="205" t="s">
        <v>4835</v>
      </c>
      <c r="C762" s="68" t="s">
        <v>4836</v>
      </c>
      <c r="D762" s="68" t="s">
        <v>4837</v>
      </c>
    </row>
    <row r="763" spans="1:4">
      <c r="A763" s="204">
        <v>761</v>
      </c>
      <c r="B763" s="205" t="s">
        <v>4838</v>
      </c>
      <c r="C763" s="68" t="s">
        <v>4839</v>
      </c>
      <c r="D763" s="68" t="s">
        <v>4840</v>
      </c>
    </row>
    <row r="764" spans="1:4">
      <c r="A764" s="204">
        <v>762</v>
      </c>
      <c r="B764" s="205" t="s">
        <v>4841</v>
      </c>
      <c r="C764" s="68" t="s">
        <v>4842</v>
      </c>
      <c r="D764" s="68" t="s">
        <v>4843</v>
      </c>
    </row>
    <row r="765" spans="1:4">
      <c r="A765" s="204">
        <v>763</v>
      </c>
      <c r="B765" s="205" t="s">
        <v>4844</v>
      </c>
      <c r="C765" s="68" t="s">
        <v>4845</v>
      </c>
      <c r="D765" s="68" t="s">
        <v>4846</v>
      </c>
    </row>
    <row r="766" spans="1:4">
      <c r="A766" s="204">
        <v>764</v>
      </c>
      <c r="B766" s="205" t="s">
        <v>4847</v>
      </c>
      <c r="C766" s="68" t="s">
        <v>4848</v>
      </c>
      <c r="D766" s="68" t="s">
        <v>4849</v>
      </c>
    </row>
    <row r="767" spans="1:4">
      <c r="A767" s="204">
        <v>765</v>
      </c>
      <c r="B767" s="205" t="s">
        <v>4850</v>
      </c>
      <c r="C767" s="68" t="s">
        <v>4851</v>
      </c>
      <c r="D767" s="68" t="s">
        <v>4852</v>
      </c>
    </row>
    <row r="768" spans="1:4">
      <c r="A768" s="204">
        <v>766</v>
      </c>
      <c r="B768" s="205" t="s">
        <v>4853</v>
      </c>
      <c r="C768" s="68" t="s">
        <v>4854</v>
      </c>
      <c r="D768" s="68" t="s">
        <v>4855</v>
      </c>
    </row>
    <row r="769" spans="1:4">
      <c r="A769" s="204">
        <v>767</v>
      </c>
      <c r="B769" s="205" t="s">
        <v>4856</v>
      </c>
      <c r="C769" s="68" t="s">
        <v>4857</v>
      </c>
      <c r="D769" s="68" t="s">
        <v>4858</v>
      </c>
    </row>
    <row r="770" spans="1:4">
      <c r="A770" s="204">
        <v>768</v>
      </c>
      <c r="B770" s="205" t="s">
        <v>4859</v>
      </c>
      <c r="C770" s="68" t="s">
        <v>4860</v>
      </c>
      <c r="D770" s="68" t="s">
        <v>4861</v>
      </c>
    </row>
    <row r="771" spans="1:4">
      <c r="A771" s="204">
        <v>769</v>
      </c>
      <c r="B771" s="205" t="s">
        <v>4862</v>
      </c>
      <c r="C771" s="68" t="s">
        <v>4863</v>
      </c>
      <c r="D771" s="68" t="s">
        <v>4864</v>
      </c>
    </row>
    <row r="772" spans="1:4">
      <c r="A772" s="204">
        <v>770</v>
      </c>
      <c r="B772" s="205" t="s">
        <v>4865</v>
      </c>
      <c r="C772" s="68" t="s">
        <v>4866</v>
      </c>
      <c r="D772" s="68" t="s">
        <v>4867</v>
      </c>
    </row>
    <row r="773" spans="1:4">
      <c r="A773" s="204">
        <v>771</v>
      </c>
      <c r="B773" s="205" t="s">
        <v>4868</v>
      </c>
      <c r="C773" s="68" t="s">
        <v>4869</v>
      </c>
      <c r="D773" s="68" t="s">
        <v>4870</v>
      </c>
    </row>
    <row r="774" spans="1:4">
      <c r="A774" s="204">
        <v>772</v>
      </c>
      <c r="B774" s="205" t="s">
        <v>4871</v>
      </c>
      <c r="C774" s="68" t="s">
        <v>4872</v>
      </c>
      <c r="D774" s="68" t="s">
        <v>4873</v>
      </c>
    </row>
    <row r="775" spans="1:4">
      <c r="A775" s="204">
        <v>773</v>
      </c>
      <c r="B775" s="205" t="s">
        <v>4874</v>
      </c>
      <c r="C775" s="68" t="s">
        <v>4875</v>
      </c>
      <c r="D775" s="68" t="s">
        <v>4876</v>
      </c>
    </row>
    <row r="776" spans="1:4">
      <c r="A776" s="204">
        <v>774</v>
      </c>
      <c r="B776" s="205" t="s">
        <v>4877</v>
      </c>
      <c r="C776" s="68" t="s">
        <v>4878</v>
      </c>
      <c r="D776" s="68" t="s">
        <v>4879</v>
      </c>
    </row>
    <row r="777" spans="1:4">
      <c r="A777" s="204">
        <v>775</v>
      </c>
      <c r="B777" s="205" t="s">
        <v>4880</v>
      </c>
      <c r="C777" s="68" t="s">
        <v>4881</v>
      </c>
      <c r="D777" s="68" t="s">
        <v>4882</v>
      </c>
    </row>
    <row r="778" spans="1:4">
      <c r="A778" s="204">
        <v>776</v>
      </c>
      <c r="B778" s="205" t="s">
        <v>4883</v>
      </c>
      <c r="C778" s="68" t="s">
        <v>4884</v>
      </c>
      <c r="D778" s="68" t="s">
        <v>4885</v>
      </c>
    </row>
    <row r="779" spans="1:4">
      <c r="A779" s="204">
        <v>777</v>
      </c>
      <c r="B779" s="205" t="s">
        <v>4886</v>
      </c>
      <c r="C779" s="68" t="s">
        <v>4887</v>
      </c>
      <c r="D779" s="68" t="s">
        <v>4888</v>
      </c>
    </row>
    <row r="780" spans="1:4">
      <c r="A780" s="204">
        <v>778</v>
      </c>
      <c r="B780" s="205" t="s">
        <v>4889</v>
      </c>
      <c r="C780" s="68" t="s">
        <v>4890</v>
      </c>
      <c r="D780" s="68" t="s">
        <v>4891</v>
      </c>
    </row>
    <row r="781" spans="1:4">
      <c r="A781" s="204">
        <v>779</v>
      </c>
      <c r="B781" s="205" t="s">
        <v>4892</v>
      </c>
      <c r="C781" s="68" t="s">
        <v>4893</v>
      </c>
      <c r="D781" s="68" t="s">
        <v>4894</v>
      </c>
    </row>
    <row r="782" spans="1:4">
      <c r="A782" s="204">
        <v>780</v>
      </c>
      <c r="B782" s="205" t="s">
        <v>4895</v>
      </c>
      <c r="C782" s="68" t="s">
        <v>4896</v>
      </c>
      <c r="D782" s="68" t="s">
        <v>4897</v>
      </c>
    </row>
    <row r="783" spans="1:4">
      <c r="A783" s="204">
        <v>781</v>
      </c>
      <c r="B783" s="205" t="s">
        <v>4898</v>
      </c>
      <c r="C783" s="68" t="s">
        <v>4899</v>
      </c>
      <c r="D783" s="68" t="s">
        <v>4900</v>
      </c>
    </row>
    <row r="784" spans="1:4">
      <c r="A784" s="204">
        <v>782</v>
      </c>
      <c r="B784" s="205" t="s">
        <v>4901</v>
      </c>
      <c r="C784" s="68" t="s">
        <v>4902</v>
      </c>
      <c r="D784" s="68" t="s">
        <v>4903</v>
      </c>
    </row>
    <row r="785" spans="1:4">
      <c r="A785" s="204">
        <v>783</v>
      </c>
      <c r="B785" s="205" t="s">
        <v>4904</v>
      </c>
      <c r="C785" s="68" t="s">
        <v>4905</v>
      </c>
      <c r="D785" s="68" t="s">
        <v>4906</v>
      </c>
    </row>
    <row r="786" spans="1:4">
      <c r="A786" s="204">
        <v>784</v>
      </c>
      <c r="B786" s="205" t="s">
        <v>4907</v>
      </c>
      <c r="C786" s="68" t="s">
        <v>4908</v>
      </c>
      <c r="D786" s="68" t="s">
        <v>4909</v>
      </c>
    </row>
    <row r="787" spans="1:4">
      <c r="A787" s="204">
        <v>785</v>
      </c>
      <c r="B787" s="205" t="s">
        <v>4910</v>
      </c>
      <c r="C787" s="68" t="s">
        <v>4911</v>
      </c>
      <c r="D787" s="68" t="s">
        <v>4912</v>
      </c>
    </row>
    <row r="788" spans="1:4">
      <c r="A788" s="204">
        <v>786</v>
      </c>
      <c r="B788" s="205" t="s">
        <v>4913</v>
      </c>
      <c r="C788" s="68" t="s">
        <v>4914</v>
      </c>
      <c r="D788" s="68" t="s">
        <v>4915</v>
      </c>
    </row>
    <row r="789" spans="1:4">
      <c r="A789" s="204">
        <v>787</v>
      </c>
      <c r="B789" s="205" t="s">
        <v>4916</v>
      </c>
      <c r="C789" s="68" t="s">
        <v>4917</v>
      </c>
      <c r="D789" s="68" t="s">
        <v>4918</v>
      </c>
    </row>
    <row r="790" spans="1:4">
      <c r="A790" s="204">
        <v>788</v>
      </c>
      <c r="B790" s="205" t="s">
        <v>4919</v>
      </c>
      <c r="C790" s="68" t="s">
        <v>4920</v>
      </c>
      <c r="D790" s="68" t="s">
        <v>4921</v>
      </c>
    </row>
    <row r="791" spans="1:4">
      <c r="A791" s="204">
        <v>789</v>
      </c>
      <c r="B791" s="205" t="s">
        <v>4922</v>
      </c>
      <c r="C791" s="68" t="s">
        <v>4923</v>
      </c>
      <c r="D791" s="68" t="s">
        <v>4924</v>
      </c>
    </row>
    <row r="792" spans="1:4">
      <c r="A792" s="204">
        <v>790</v>
      </c>
      <c r="B792" s="205" t="s">
        <v>4925</v>
      </c>
      <c r="C792" s="68" t="s">
        <v>4926</v>
      </c>
      <c r="D792" s="68" t="s">
        <v>4927</v>
      </c>
    </row>
    <row r="793" spans="1:4">
      <c r="A793" s="204">
        <v>791</v>
      </c>
      <c r="B793" s="205" t="s">
        <v>4928</v>
      </c>
      <c r="C793" s="68" t="s">
        <v>4929</v>
      </c>
      <c r="D793" s="68" t="s">
        <v>4930</v>
      </c>
    </row>
    <row r="794" spans="1:4">
      <c r="A794" s="204">
        <v>792</v>
      </c>
      <c r="B794" s="205" t="s">
        <v>4931</v>
      </c>
      <c r="C794" s="68" t="s">
        <v>4932</v>
      </c>
      <c r="D794" s="68" t="s">
        <v>4933</v>
      </c>
    </row>
    <row r="795" spans="1:4">
      <c r="A795" s="204">
        <v>793</v>
      </c>
      <c r="B795" s="205" t="s">
        <v>4934</v>
      </c>
      <c r="C795" s="68" t="s">
        <v>4935</v>
      </c>
      <c r="D795" s="68" t="s">
        <v>4936</v>
      </c>
    </row>
    <row r="796" spans="1:4">
      <c r="A796" s="204">
        <v>794</v>
      </c>
      <c r="B796" s="205" t="s">
        <v>4937</v>
      </c>
      <c r="C796" s="68" t="s">
        <v>4938</v>
      </c>
      <c r="D796" s="68" t="s">
        <v>4939</v>
      </c>
    </row>
    <row r="797" spans="1:4">
      <c r="A797" s="204">
        <v>795</v>
      </c>
      <c r="B797" s="205" t="s">
        <v>4940</v>
      </c>
      <c r="C797" s="68" t="s">
        <v>4941</v>
      </c>
      <c r="D797" s="68" t="s">
        <v>4942</v>
      </c>
    </row>
    <row r="798" spans="1:4">
      <c r="A798" s="204">
        <v>796</v>
      </c>
      <c r="B798" s="205" t="s">
        <v>4943</v>
      </c>
      <c r="C798" s="68" t="s">
        <v>4944</v>
      </c>
      <c r="D798" s="68" t="s">
        <v>4945</v>
      </c>
    </row>
    <row r="799" spans="1:4">
      <c r="A799" s="204">
        <v>797</v>
      </c>
      <c r="B799" s="205" t="s">
        <v>4946</v>
      </c>
      <c r="C799" s="68" t="s">
        <v>4947</v>
      </c>
      <c r="D799" s="68" t="s">
        <v>4948</v>
      </c>
    </row>
    <row r="800" spans="1:4">
      <c r="A800" s="204">
        <v>798</v>
      </c>
      <c r="B800" s="205" t="s">
        <v>4949</v>
      </c>
      <c r="C800" s="68" t="s">
        <v>4950</v>
      </c>
      <c r="D800" s="68" t="s">
        <v>4951</v>
      </c>
    </row>
    <row r="801" spans="1:4">
      <c r="A801" s="204">
        <v>799</v>
      </c>
      <c r="B801" s="205" t="s">
        <v>4952</v>
      </c>
      <c r="C801" s="68" t="s">
        <v>4953</v>
      </c>
      <c r="D801" s="68" t="s">
        <v>4954</v>
      </c>
    </row>
    <row r="802" spans="1:4">
      <c r="A802" s="204">
        <v>800</v>
      </c>
      <c r="B802" s="205" t="s">
        <v>4955</v>
      </c>
      <c r="C802" s="68" t="s">
        <v>4956</v>
      </c>
      <c r="D802" s="68" t="s">
        <v>4957</v>
      </c>
    </row>
    <row r="803" spans="1:4">
      <c r="A803" s="204">
        <v>801</v>
      </c>
      <c r="B803" s="205" t="s">
        <v>4958</v>
      </c>
      <c r="C803" s="68" t="s">
        <v>4959</v>
      </c>
      <c r="D803" s="68" t="s">
        <v>4960</v>
      </c>
    </row>
    <row r="804" spans="1:4">
      <c r="A804" s="204">
        <v>802</v>
      </c>
      <c r="B804" s="205" t="s">
        <v>4961</v>
      </c>
      <c r="C804" s="68" t="s">
        <v>4962</v>
      </c>
      <c r="D804" s="68" t="s">
        <v>4963</v>
      </c>
    </row>
    <row r="805" spans="1:4">
      <c r="A805" s="204">
        <v>803</v>
      </c>
      <c r="B805" s="205" t="s">
        <v>4964</v>
      </c>
      <c r="C805" s="68" t="s">
        <v>4965</v>
      </c>
      <c r="D805" s="68" t="s">
        <v>4966</v>
      </c>
    </row>
    <row r="806" spans="1:4">
      <c r="A806" s="204">
        <v>804</v>
      </c>
      <c r="B806" s="205" t="s">
        <v>4967</v>
      </c>
      <c r="C806" s="68" t="s">
        <v>4968</v>
      </c>
      <c r="D806" s="68" t="s">
        <v>4969</v>
      </c>
    </row>
    <row r="807" spans="1:4">
      <c r="A807" s="204">
        <v>805</v>
      </c>
      <c r="B807" s="205" t="s">
        <v>4970</v>
      </c>
      <c r="C807" s="68" t="s">
        <v>4971</v>
      </c>
      <c r="D807" s="68" t="s">
        <v>4972</v>
      </c>
    </row>
    <row r="808" spans="1:4">
      <c r="A808" s="204">
        <v>806</v>
      </c>
      <c r="B808" s="205" t="s">
        <v>4973</v>
      </c>
      <c r="C808" s="68" t="s">
        <v>4974</v>
      </c>
      <c r="D808" s="68" t="s">
        <v>4975</v>
      </c>
    </row>
    <row r="809" spans="1:4">
      <c r="A809" s="204">
        <v>807</v>
      </c>
      <c r="B809" s="205" t="s">
        <v>4976</v>
      </c>
      <c r="C809" s="68" t="s">
        <v>4977</v>
      </c>
      <c r="D809" s="68" t="s">
        <v>4978</v>
      </c>
    </row>
    <row r="810" spans="1:4">
      <c r="A810" s="204">
        <v>808</v>
      </c>
      <c r="B810" s="205" t="s">
        <v>4979</v>
      </c>
      <c r="C810" s="68" t="s">
        <v>4980</v>
      </c>
      <c r="D810" s="68" t="s">
        <v>4981</v>
      </c>
    </row>
    <row r="811" spans="1:4">
      <c r="A811" s="204">
        <v>809</v>
      </c>
      <c r="B811" s="205" t="s">
        <v>4982</v>
      </c>
      <c r="C811" s="68" t="s">
        <v>4983</v>
      </c>
      <c r="D811" s="68" t="s">
        <v>4984</v>
      </c>
    </row>
    <row r="812" spans="1:4">
      <c r="A812" s="204">
        <v>810</v>
      </c>
      <c r="B812" s="205" t="s">
        <v>4985</v>
      </c>
      <c r="C812" s="68" t="s">
        <v>4986</v>
      </c>
      <c r="D812" s="68" t="s">
        <v>4987</v>
      </c>
    </row>
    <row r="813" spans="1:4">
      <c r="A813" s="204">
        <v>811</v>
      </c>
      <c r="B813" s="205" t="s">
        <v>4988</v>
      </c>
      <c r="C813" s="68" t="s">
        <v>4989</v>
      </c>
      <c r="D813" s="68" t="s">
        <v>4990</v>
      </c>
    </row>
    <row r="814" spans="1:4">
      <c r="A814" s="204">
        <v>812</v>
      </c>
      <c r="B814" s="205" t="s">
        <v>4991</v>
      </c>
      <c r="C814" s="68" t="s">
        <v>4992</v>
      </c>
      <c r="D814" s="68" t="s">
        <v>4993</v>
      </c>
    </row>
    <row r="815" spans="1:4">
      <c r="A815" s="204">
        <v>813</v>
      </c>
      <c r="B815" s="205" t="s">
        <v>4994</v>
      </c>
      <c r="C815" s="68" t="s">
        <v>4995</v>
      </c>
      <c r="D815" s="68" t="s">
        <v>4996</v>
      </c>
    </row>
    <row r="816" spans="1:4">
      <c r="A816" s="204">
        <v>814</v>
      </c>
      <c r="B816" s="205" t="s">
        <v>4997</v>
      </c>
      <c r="C816" s="68" t="s">
        <v>4998</v>
      </c>
      <c r="D816" s="68" t="s">
        <v>4999</v>
      </c>
    </row>
    <row r="817" spans="1:4">
      <c r="A817" s="204">
        <v>815</v>
      </c>
      <c r="B817" s="205" t="s">
        <v>5000</v>
      </c>
      <c r="C817" s="68" t="s">
        <v>5001</v>
      </c>
      <c r="D817" s="68" t="s">
        <v>5002</v>
      </c>
    </row>
    <row r="818" spans="1:4">
      <c r="A818" s="204">
        <v>816</v>
      </c>
      <c r="B818" s="205" t="s">
        <v>5003</v>
      </c>
      <c r="C818" s="68" t="s">
        <v>5004</v>
      </c>
      <c r="D818" s="68" t="s">
        <v>5005</v>
      </c>
    </row>
    <row r="819" spans="1:4">
      <c r="A819" s="204">
        <v>817</v>
      </c>
      <c r="B819" s="205" t="s">
        <v>5006</v>
      </c>
      <c r="C819" s="68" t="s">
        <v>5007</v>
      </c>
      <c r="D819" s="68" t="s">
        <v>5008</v>
      </c>
    </row>
    <row r="820" spans="1:4">
      <c r="A820" s="204">
        <v>818</v>
      </c>
      <c r="B820" s="205" t="s">
        <v>5009</v>
      </c>
      <c r="C820" s="68" t="s">
        <v>5010</v>
      </c>
      <c r="D820" s="68" t="s">
        <v>5011</v>
      </c>
    </row>
    <row r="821" spans="1:4">
      <c r="A821" s="204">
        <v>819</v>
      </c>
      <c r="B821" s="205" t="s">
        <v>5012</v>
      </c>
      <c r="C821" s="68" t="s">
        <v>5013</v>
      </c>
      <c r="D821" s="68" t="s">
        <v>5014</v>
      </c>
    </row>
    <row r="822" spans="1:4">
      <c r="A822" s="204">
        <v>820</v>
      </c>
      <c r="B822" s="205" t="s">
        <v>5015</v>
      </c>
      <c r="C822" s="68" t="s">
        <v>5016</v>
      </c>
      <c r="D822" s="68" t="s">
        <v>5017</v>
      </c>
    </row>
    <row r="823" spans="1:4">
      <c r="A823" s="204">
        <v>821</v>
      </c>
      <c r="B823" s="205" t="s">
        <v>5018</v>
      </c>
      <c r="C823" s="68" t="s">
        <v>5019</v>
      </c>
      <c r="D823" s="68" t="s">
        <v>5020</v>
      </c>
    </row>
    <row r="824" spans="1:4">
      <c r="A824" s="204">
        <v>822</v>
      </c>
      <c r="B824" s="205" t="s">
        <v>5021</v>
      </c>
      <c r="C824" s="68" t="s">
        <v>5022</v>
      </c>
      <c r="D824" s="68" t="s">
        <v>5023</v>
      </c>
    </row>
    <row r="825" spans="1:4">
      <c r="A825" s="204">
        <v>823</v>
      </c>
      <c r="B825" s="205" t="s">
        <v>5024</v>
      </c>
      <c r="C825" s="68" t="s">
        <v>5025</v>
      </c>
      <c r="D825" s="68" t="s">
        <v>5026</v>
      </c>
    </row>
    <row r="826" spans="1:4">
      <c r="A826" s="204">
        <v>824</v>
      </c>
      <c r="B826" s="205" t="s">
        <v>5027</v>
      </c>
      <c r="C826" s="68" t="s">
        <v>5028</v>
      </c>
      <c r="D826" s="68" t="s">
        <v>5029</v>
      </c>
    </row>
    <row r="827" spans="1:4">
      <c r="A827" s="204">
        <v>825</v>
      </c>
      <c r="B827" s="205" t="s">
        <v>5030</v>
      </c>
      <c r="C827" s="68" t="s">
        <v>5031</v>
      </c>
      <c r="D827" s="68" t="s">
        <v>5032</v>
      </c>
    </row>
    <row r="828" spans="1:4">
      <c r="A828" s="204">
        <v>826</v>
      </c>
      <c r="B828" s="205" t="s">
        <v>5033</v>
      </c>
      <c r="C828" s="68" t="s">
        <v>5034</v>
      </c>
      <c r="D828" s="68" t="s">
        <v>5035</v>
      </c>
    </row>
    <row r="829" spans="1:4">
      <c r="A829" s="204">
        <v>827</v>
      </c>
      <c r="B829" s="205" t="s">
        <v>5036</v>
      </c>
      <c r="C829" s="68" t="s">
        <v>5037</v>
      </c>
      <c r="D829" s="68" t="s">
        <v>5038</v>
      </c>
    </row>
    <row r="830" spans="1:4">
      <c r="A830" s="204">
        <v>828</v>
      </c>
      <c r="B830" s="205" t="s">
        <v>5039</v>
      </c>
      <c r="C830" s="68" t="s">
        <v>5040</v>
      </c>
      <c r="D830" s="68" t="s">
        <v>5041</v>
      </c>
    </row>
    <row r="831" spans="1:4">
      <c r="A831" s="204">
        <v>829</v>
      </c>
      <c r="B831" s="205" t="s">
        <v>5042</v>
      </c>
      <c r="C831" s="68" t="s">
        <v>5043</v>
      </c>
      <c r="D831" s="68" t="s">
        <v>5044</v>
      </c>
    </row>
    <row r="832" spans="1:4">
      <c r="A832" s="204">
        <v>830</v>
      </c>
      <c r="B832" s="205" t="s">
        <v>5045</v>
      </c>
      <c r="C832" s="68" t="s">
        <v>5046</v>
      </c>
      <c r="D832" s="68" t="s">
        <v>5047</v>
      </c>
    </row>
    <row r="833" spans="1:4">
      <c r="A833" s="204">
        <v>831</v>
      </c>
      <c r="B833" s="205" t="s">
        <v>5048</v>
      </c>
      <c r="C833" s="68" t="s">
        <v>5049</v>
      </c>
      <c r="D833" s="68" t="s">
        <v>5050</v>
      </c>
    </row>
    <row r="834" spans="1:4">
      <c r="A834" s="204">
        <v>832</v>
      </c>
      <c r="B834" s="205" t="s">
        <v>5051</v>
      </c>
      <c r="C834" s="68" t="s">
        <v>5052</v>
      </c>
      <c r="D834" s="68" t="s">
        <v>5053</v>
      </c>
    </row>
    <row r="835" spans="1:4">
      <c r="A835" s="204">
        <v>833</v>
      </c>
      <c r="B835" s="205" t="s">
        <v>5054</v>
      </c>
      <c r="C835" s="68" t="s">
        <v>5055</v>
      </c>
      <c r="D835" s="68" t="s">
        <v>5056</v>
      </c>
    </row>
    <row r="836" spans="1:4">
      <c r="A836" s="204">
        <v>834</v>
      </c>
      <c r="B836" s="205" t="s">
        <v>5057</v>
      </c>
      <c r="C836" s="68" t="s">
        <v>5058</v>
      </c>
      <c r="D836" s="68" t="s">
        <v>5059</v>
      </c>
    </row>
    <row r="837" spans="1:4">
      <c r="A837" s="204">
        <v>835</v>
      </c>
      <c r="B837" s="205" t="s">
        <v>5060</v>
      </c>
      <c r="C837" s="68" t="s">
        <v>5061</v>
      </c>
      <c r="D837" s="68" t="s">
        <v>5062</v>
      </c>
    </row>
    <row r="838" spans="1:4">
      <c r="A838" s="204">
        <v>836</v>
      </c>
      <c r="B838" s="205" t="s">
        <v>5063</v>
      </c>
      <c r="C838" s="68" t="s">
        <v>5064</v>
      </c>
      <c r="D838" s="68" t="s">
        <v>5065</v>
      </c>
    </row>
    <row r="839" spans="1:4">
      <c r="A839" s="204">
        <v>837</v>
      </c>
      <c r="B839" s="205" t="s">
        <v>5066</v>
      </c>
      <c r="C839" s="68" t="s">
        <v>5067</v>
      </c>
      <c r="D839" s="68" t="s">
        <v>5068</v>
      </c>
    </row>
    <row r="840" spans="1:4">
      <c r="A840" s="204">
        <v>838</v>
      </c>
      <c r="B840" s="205" t="s">
        <v>5069</v>
      </c>
      <c r="C840" s="68" t="s">
        <v>5070</v>
      </c>
      <c r="D840" s="68" t="s">
        <v>5071</v>
      </c>
    </row>
    <row r="841" spans="1:4">
      <c r="A841" s="204">
        <v>839</v>
      </c>
      <c r="B841" s="205" t="s">
        <v>5072</v>
      </c>
      <c r="C841" s="68" t="s">
        <v>5073</v>
      </c>
      <c r="D841" s="68" t="s">
        <v>5074</v>
      </c>
    </row>
    <row r="842" spans="1:4">
      <c r="A842" s="204">
        <v>840</v>
      </c>
      <c r="B842" s="205" t="s">
        <v>5075</v>
      </c>
      <c r="C842" s="68" t="s">
        <v>5076</v>
      </c>
      <c r="D842" s="68" t="s">
        <v>5077</v>
      </c>
    </row>
    <row r="843" spans="1:4">
      <c r="A843" s="204">
        <v>841</v>
      </c>
      <c r="B843" s="205" t="s">
        <v>5078</v>
      </c>
      <c r="C843" s="68" t="s">
        <v>5079</v>
      </c>
      <c r="D843" s="68" t="s">
        <v>5080</v>
      </c>
    </row>
    <row r="844" spans="1:4">
      <c r="A844" s="204">
        <v>842</v>
      </c>
      <c r="B844" s="205" t="s">
        <v>5081</v>
      </c>
      <c r="C844" s="68" t="s">
        <v>5082</v>
      </c>
      <c r="D844" s="68" t="s">
        <v>5083</v>
      </c>
    </row>
    <row r="845" spans="1:4">
      <c r="A845" s="204">
        <v>843</v>
      </c>
      <c r="B845" s="205" t="s">
        <v>5084</v>
      </c>
      <c r="C845" s="68" t="s">
        <v>5085</v>
      </c>
      <c r="D845" s="68" t="s">
        <v>5086</v>
      </c>
    </row>
    <row r="846" spans="1:4">
      <c r="A846" s="204">
        <v>844</v>
      </c>
      <c r="B846" s="205" t="s">
        <v>5087</v>
      </c>
      <c r="C846" s="68" t="s">
        <v>5088</v>
      </c>
      <c r="D846" s="68" t="s">
        <v>5089</v>
      </c>
    </row>
    <row r="847" spans="1:4">
      <c r="A847" s="204">
        <v>845</v>
      </c>
      <c r="B847" s="205" t="s">
        <v>5090</v>
      </c>
      <c r="C847" s="68" t="s">
        <v>5091</v>
      </c>
      <c r="D847" s="68" t="s">
        <v>5092</v>
      </c>
    </row>
    <row r="848" spans="1:4">
      <c r="A848" s="204">
        <v>846</v>
      </c>
      <c r="B848" s="205" t="s">
        <v>5093</v>
      </c>
      <c r="C848" s="68" t="s">
        <v>5094</v>
      </c>
      <c r="D848" s="68" t="s">
        <v>5095</v>
      </c>
    </row>
    <row r="849" spans="1:4">
      <c r="A849" s="204">
        <v>847</v>
      </c>
      <c r="B849" s="205" t="s">
        <v>5096</v>
      </c>
      <c r="C849" s="68" t="s">
        <v>5097</v>
      </c>
      <c r="D849" s="68" t="s">
        <v>5098</v>
      </c>
    </row>
    <row r="850" spans="1:4">
      <c r="A850" s="204">
        <v>848</v>
      </c>
      <c r="B850" s="205" t="s">
        <v>5099</v>
      </c>
      <c r="C850" s="68" t="s">
        <v>5100</v>
      </c>
      <c r="D850" s="68" t="s">
        <v>5101</v>
      </c>
    </row>
    <row r="851" spans="1:4">
      <c r="A851" s="204">
        <v>849</v>
      </c>
      <c r="B851" s="205" t="s">
        <v>5102</v>
      </c>
      <c r="C851" s="68" t="s">
        <v>5103</v>
      </c>
      <c r="D851" s="68" t="s">
        <v>5104</v>
      </c>
    </row>
    <row r="852" spans="1:4">
      <c r="A852" s="204">
        <v>850</v>
      </c>
      <c r="B852" s="205" t="s">
        <v>5105</v>
      </c>
      <c r="C852" s="68" t="s">
        <v>5106</v>
      </c>
      <c r="D852" s="68" t="s">
        <v>5107</v>
      </c>
    </row>
    <row r="853" spans="1:4">
      <c r="A853" s="204">
        <v>851</v>
      </c>
      <c r="B853" s="205" t="s">
        <v>5108</v>
      </c>
      <c r="C853" s="68" t="s">
        <v>5109</v>
      </c>
      <c r="D853" s="68" t="s">
        <v>5110</v>
      </c>
    </row>
    <row r="854" spans="1:4">
      <c r="A854" s="204">
        <v>852</v>
      </c>
      <c r="B854" s="205" t="s">
        <v>5111</v>
      </c>
      <c r="C854" s="68" t="s">
        <v>5112</v>
      </c>
      <c r="D854" s="68" t="s">
        <v>5113</v>
      </c>
    </row>
    <row r="855" spans="1:4">
      <c r="A855" s="204">
        <v>853</v>
      </c>
      <c r="B855" s="205" t="s">
        <v>5114</v>
      </c>
      <c r="C855" s="68" t="s">
        <v>5115</v>
      </c>
      <c r="D855" s="68" t="s">
        <v>5116</v>
      </c>
    </row>
    <row r="856" spans="1:4">
      <c r="A856" s="204">
        <v>854</v>
      </c>
      <c r="B856" s="205" t="s">
        <v>5117</v>
      </c>
      <c r="C856" s="68" t="s">
        <v>5118</v>
      </c>
      <c r="D856" s="68" t="s">
        <v>5119</v>
      </c>
    </row>
    <row r="857" spans="1:4">
      <c r="A857" s="204">
        <v>855</v>
      </c>
      <c r="B857" s="205" t="s">
        <v>5120</v>
      </c>
      <c r="C857" s="68" t="s">
        <v>5121</v>
      </c>
      <c r="D857" s="68" t="s">
        <v>5122</v>
      </c>
    </row>
    <row r="858" spans="1:4">
      <c r="A858" s="204">
        <v>856</v>
      </c>
      <c r="B858" s="205" t="s">
        <v>5123</v>
      </c>
      <c r="C858" s="68" t="s">
        <v>5124</v>
      </c>
      <c r="D858" s="68" t="s">
        <v>5125</v>
      </c>
    </row>
    <row r="859" spans="1:4">
      <c r="A859" s="204">
        <v>857</v>
      </c>
      <c r="B859" s="205" t="s">
        <v>5126</v>
      </c>
      <c r="C859" s="68" t="s">
        <v>5127</v>
      </c>
      <c r="D859" s="68" t="s">
        <v>5128</v>
      </c>
    </row>
    <row r="860" spans="1:4">
      <c r="A860" s="204">
        <v>858</v>
      </c>
      <c r="B860" s="205" t="s">
        <v>5129</v>
      </c>
      <c r="C860" s="68" t="s">
        <v>5130</v>
      </c>
      <c r="D860" s="68" t="s">
        <v>5131</v>
      </c>
    </row>
    <row r="861" spans="1:4">
      <c r="A861" s="204">
        <v>859</v>
      </c>
      <c r="B861" s="205" t="s">
        <v>5132</v>
      </c>
      <c r="C861" s="68" t="s">
        <v>5133</v>
      </c>
      <c r="D861" s="68" t="s">
        <v>5134</v>
      </c>
    </row>
    <row r="862" spans="1:4">
      <c r="A862" s="204">
        <v>860</v>
      </c>
      <c r="B862" s="205" t="s">
        <v>5135</v>
      </c>
      <c r="C862" s="68" t="s">
        <v>5136</v>
      </c>
      <c r="D862" s="68" t="s">
        <v>5137</v>
      </c>
    </row>
    <row r="863" spans="1:4">
      <c r="A863" s="204">
        <v>861</v>
      </c>
      <c r="B863" s="205" t="s">
        <v>5138</v>
      </c>
      <c r="C863" s="68" t="s">
        <v>5139</v>
      </c>
      <c r="D863" s="68" t="s">
        <v>5140</v>
      </c>
    </row>
    <row r="864" spans="1:4">
      <c r="A864" s="204">
        <v>862</v>
      </c>
      <c r="B864" s="205" t="s">
        <v>5141</v>
      </c>
      <c r="C864" s="68" t="s">
        <v>5142</v>
      </c>
      <c r="D864" s="68" t="s">
        <v>5143</v>
      </c>
    </row>
    <row r="865" spans="1:4">
      <c r="A865" s="204">
        <v>863</v>
      </c>
      <c r="B865" s="205" t="s">
        <v>5144</v>
      </c>
      <c r="C865" s="68" t="s">
        <v>5145</v>
      </c>
      <c r="D865" s="68" t="s">
        <v>5146</v>
      </c>
    </row>
    <row r="866" spans="1:4">
      <c r="A866" s="204">
        <v>864</v>
      </c>
      <c r="B866" s="205" t="s">
        <v>5147</v>
      </c>
      <c r="C866" s="68" t="s">
        <v>5148</v>
      </c>
      <c r="D866" s="68" t="s">
        <v>5149</v>
      </c>
    </row>
    <row r="867" spans="1:4">
      <c r="A867" s="204">
        <v>865</v>
      </c>
      <c r="B867" s="205" t="s">
        <v>5150</v>
      </c>
      <c r="C867" s="68" t="s">
        <v>5151</v>
      </c>
      <c r="D867" s="68" t="s">
        <v>5152</v>
      </c>
    </row>
    <row r="868" spans="1:4">
      <c r="A868" s="204">
        <v>866</v>
      </c>
      <c r="B868" s="205" t="s">
        <v>5153</v>
      </c>
      <c r="C868" s="68" t="s">
        <v>5154</v>
      </c>
      <c r="D868" s="68" t="s">
        <v>5155</v>
      </c>
    </row>
    <row r="869" spans="1:4">
      <c r="A869" s="204">
        <v>867</v>
      </c>
      <c r="B869" s="205" t="s">
        <v>5156</v>
      </c>
      <c r="C869" s="68" t="s">
        <v>5157</v>
      </c>
      <c r="D869" s="68" t="s">
        <v>5158</v>
      </c>
    </row>
    <row r="870" spans="1:4">
      <c r="A870" s="204">
        <v>868</v>
      </c>
      <c r="B870" s="205" t="s">
        <v>5159</v>
      </c>
      <c r="C870" s="68" t="s">
        <v>5160</v>
      </c>
      <c r="D870" s="68" t="s">
        <v>5161</v>
      </c>
    </row>
    <row r="871" spans="1:4">
      <c r="A871" s="204">
        <v>869</v>
      </c>
      <c r="B871" s="205" t="s">
        <v>5162</v>
      </c>
      <c r="C871" s="68" t="s">
        <v>5163</v>
      </c>
      <c r="D871" s="68" t="s">
        <v>5164</v>
      </c>
    </row>
    <row r="872" spans="1:4">
      <c r="A872" s="204">
        <v>870</v>
      </c>
      <c r="B872" s="205" t="s">
        <v>5165</v>
      </c>
      <c r="C872" s="68" t="s">
        <v>5166</v>
      </c>
      <c r="D872" s="68" t="s">
        <v>5167</v>
      </c>
    </row>
    <row r="873" spans="1:4">
      <c r="A873" s="204">
        <v>871</v>
      </c>
      <c r="B873" s="205" t="s">
        <v>5168</v>
      </c>
      <c r="C873" s="68" t="s">
        <v>5169</v>
      </c>
      <c r="D873" s="68" t="s">
        <v>5170</v>
      </c>
    </row>
    <row r="874" spans="1:4">
      <c r="A874" s="204">
        <v>872</v>
      </c>
      <c r="B874" s="205" t="s">
        <v>5171</v>
      </c>
      <c r="C874" s="68" t="s">
        <v>5172</v>
      </c>
      <c r="D874" s="68" t="s">
        <v>5173</v>
      </c>
    </row>
    <row r="875" spans="1:4">
      <c r="A875" s="204">
        <v>873</v>
      </c>
      <c r="B875" s="205" t="s">
        <v>5174</v>
      </c>
      <c r="C875" s="68" t="s">
        <v>5175</v>
      </c>
      <c r="D875" s="68" t="s">
        <v>5176</v>
      </c>
    </row>
    <row r="876" spans="1:4">
      <c r="A876" s="204">
        <v>874</v>
      </c>
      <c r="B876" s="205" t="s">
        <v>5177</v>
      </c>
      <c r="C876" s="68" t="s">
        <v>5178</v>
      </c>
      <c r="D876" s="68" t="s">
        <v>5179</v>
      </c>
    </row>
    <row r="877" spans="1:4">
      <c r="A877" s="204">
        <v>875</v>
      </c>
      <c r="B877" s="205" t="s">
        <v>5180</v>
      </c>
      <c r="C877" s="68" t="s">
        <v>5181</v>
      </c>
      <c r="D877" s="68" t="s">
        <v>5182</v>
      </c>
    </row>
    <row r="878" spans="1:4">
      <c r="A878" s="204">
        <v>876</v>
      </c>
      <c r="B878" s="205" t="s">
        <v>5183</v>
      </c>
      <c r="C878" s="68" t="s">
        <v>5184</v>
      </c>
      <c r="D878" s="68" t="s">
        <v>5185</v>
      </c>
    </row>
    <row r="879" spans="1:4">
      <c r="A879" s="204">
        <v>877</v>
      </c>
      <c r="B879" s="205" t="s">
        <v>5186</v>
      </c>
      <c r="C879" s="68" t="s">
        <v>5187</v>
      </c>
      <c r="D879" s="68" t="s">
        <v>5188</v>
      </c>
    </row>
    <row r="880" spans="1:4">
      <c r="A880" s="204">
        <v>878</v>
      </c>
      <c r="B880" s="205" t="s">
        <v>5189</v>
      </c>
      <c r="C880" s="68" t="s">
        <v>5190</v>
      </c>
      <c r="D880" s="68" t="s">
        <v>5191</v>
      </c>
    </row>
    <row r="881" spans="1:4">
      <c r="A881" s="204">
        <v>879</v>
      </c>
      <c r="B881" s="205" t="s">
        <v>5192</v>
      </c>
      <c r="C881" s="68" t="s">
        <v>5193</v>
      </c>
      <c r="D881" s="68" t="s">
        <v>5194</v>
      </c>
    </row>
    <row r="882" spans="1:4">
      <c r="A882" s="204">
        <v>880</v>
      </c>
      <c r="B882" s="205" t="s">
        <v>5195</v>
      </c>
      <c r="C882" s="68" t="s">
        <v>5196</v>
      </c>
      <c r="D882" s="68" t="s">
        <v>5197</v>
      </c>
    </row>
    <row r="883" spans="1:4">
      <c r="A883" s="204">
        <v>881</v>
      </c>
      <c r="B883" s="205" t="s">
        <v>5198</v>
      </c>
      <c r="C883" s="68" t="s">
        <v>5199</v>
      </c>
      <c r="D883" s="68" t="s">
        <v>5200</v>
      </c>
    </row>
    <row r="884" spans="1:4">
      <c r="A884" s="204">
        <v>882</v>
      </c>
      <c r="B884" s="205" t="s">
        <v>5201</v>
      </c>
      <c r="C884" s="68" t="s">
        <v>5202</v>
      </c>
      <c r="D884" s="68" t="s">
        <v>5203</v>
      </c>
    </row>
    <row r="885" spans="1:4">
      <c r="A885" s="204">
        <v>883</v>
      </c>
      <c r="B885" s="205" t="s">
        <v>5204</v>
      </c>
      <c r="C885" s="68" t="s">
        <v>5205</v>
      </c>
      <c r="D885" s="68" t="s">
        <v>5206</v>
      </c>
    </row>
    <row r="886" spans="1:4">
      <c r="A886" s="204">
        <v>884</v>
      </c>
      <c r="B886" s="205" t="s">
        <v>5207</v>
      </c>
      <c r="C886" s="68" t="s">
        <v>5208</v>
      </c>
      <c r="D886" s="68" t="s">
        <v>5209</v>
      </c>
    </row>
    <row r="887" spans="1:4">
      <c r="A887" s="204">
        <v>885</v>
      </c>
      <c r="B887" s="205" t="s">
        <v>5210</v>
      </c>
      <c r="C887" s="68" t="s">
        <v>5211</v>
      </c>
      <c r="D887" s="68" t="s">
        <v>5212</v>
      </c>
    </row>
    <row r="888" spans="1:4">
      <c r="A888" s="204">
        <v>886</v>
      </c>
      <c r="B888" s="205" t="s">
        <v>5213</v>
      </c>
      <c r="C888" s="68" t="s">
        <v>5214</v>
      </c>
      <c r="D888" s="68" t="s">
        <v>5215</v>
      </c>
    </row>
    <row r="889" spans="1:4">
      <c r="A889" s="204">
        <v>887</v>
      </c>
      <c r="B889" s="205" t="s">
        <v>5216</v>
      </c>
      <c r="C889" s="68" t="s">
        <v>5217</v>
      </c>
      <c r="D889" s="68" t="s">
        <v>5218</v>
      </c>
    </row>
    <row r="890" spans="1:4">
      <c r="A890" s="204">
        <v>888</v>
      </c>
      <c r="B890" s="205" t="s">
        <v>5219</v>
      </c>
      <c r="C890" s="68" t="s">
        <v>5220</v>
      </c>
      <c r="D890" s="68" t="s">
        <v>5221</v>
      </c>
    </row>
    <row r="891" spans="1:4">
      <c r="A891" s="204">
        <v>889</v>
      </c>
      <c r="B891" s="205" t="s">
        <v>5222</v>
      </c>
      <c r="C891" s="68" t="s">
        <v>5223</v>
      </c>
      <c r="D891" s="68" t="s">
        <v>5224</v>
      </c>
    </row>
    <row r="892" spans="1:4">
      <c r="A892" s="204">
        <v>890</v>
      </c>
      <c r="B892" s="205" t="s">
        <v>5225</v>
      </c>
      <c r="C892" s="68" t="s">
        <v>5226</v>
      </c>
      <c r="D892" s="68" t="s">
        <v>5227</v>
      </c>
    </row>
    <row r="893" spans="1:4">
      <c r="A893" s="204">
        <v>891</v>
      </c>
      <c r="B893" s="205" t="s">
        <v>5228</v>
      </c>
      <c r="C893" s="68" t="s">
        <v>5229</v>
      </c>
      <c r="D893" s="68" t="s">
        <v>5230</v>
      </c>
    </row>
    <row r="894" spans="1:4">
      <c r="A894" s="204">
        <v>892</v>
      </c>
      <c r="B894" s="205" t="s">
        <v>5231</v>
      </c>
      <c r="C894" s="68" t="s">
        <v>5232</v>
      </c>
      <c r="D894" s="68" t="s">
        <v>5233</v>
      </c>
    </row>
    <row r="895" spans="1:4">
      <c r="A895" s="204">
        <v>893</v>
      </c>
      <c r="B895" s="205" t="s">
        <v>5234</v>
      </c>
      <c r="C895" s="68" t="s">
        <v>5235</v>
      </c>
      <c r="D895" s="68" t="s">
        <v>5236</v>
      </c>
    </row>
    <row r="896" spans="1:4">
      <c r="A896" s="204">
        <v>894</v>
      </c>
      <c r="B896" s="205" t="s">
        <v>5237</v>
      </c>
      <c r="C896" s="68" t="s">
        <v>5238</v>
      </c>
      <c r="D896" s="68" t="s">
        <v>5239</v>
      </c>
    </row>
    <row r="897" spans="1:4">
      <c r="A897" s="204">
        <v>895</v>
      </c>
      <c r="B897" s="205" t="s">
        <v>5240</v>
      </c>
      <c r="C897" s="68" t="s">
        <v>5241</v>
      </c>
      <c r="D897" s="68" t="s">
        <v>5242</v>
      </c>
    </row>
    <row r="898" spans="1:4">
      <c r="A898" s="204">
        <v>896</v>
      </c>
      <c r="B898" s="205" t="s">
        <v>5243</v>
      </c>
      <c r="C898" s="68" t="s">
        <v>5244</v>
      </c>
      <c r="D898" s="68" t="s">
        <v>5245</v>
      </c>
    </row>
    <row r="899" spans="1:4">
      <c r="A899" s="204">
        <v>897</v>
      </c>
      <c r="B899" s="205" t="s">
        <v>5246</v>
      </c>
      <c r="C899" s="68" t="s">
        <v>5247</v>
      </c>
      <c r="D899" s="68" t="s">
        <v>5248</v>
      </c>
    </row>
    <row r="900" spans="1:4">
      <c r="A900" s="204">
        <v>898</v>
      </c>
      <c r="B900" s="205" t="s">
        <v>5249</v>
      </c>
      <c r="C900" s="68" t="s">
        <v>5250</v>
      </c>
      <c r="D900" s="68" t="s">
        <v>5251</v>
      </c>
    </row>
    <row r="901" spans="1:4">
      <c r="A901" s="204">
        <v>899</v>
      </c>
      <c r="B901" s="205" t="s">
        <v>5252</v>
      </c>
      <c r="C901" s="68" t="s">
        <v>5253</v>
      </c>
      <c r="D901" s="68" t="s">
        <v>5254</v>
      </c>
    </row>
    <row r="902" spans="1:4">
      <c r="A902" s="204">
        <v>900</v>
      </c>
      <c r="B902" s="205" t="s">
        <v>5255</v>
      </c>
      <c r="C902" s="68" t="s">
        <v>5256</v>
      </c>
      <c r="D902" s="68" t="s">
        <v>5257</v>
      </c>
    </row>
    <row r="903" spans="1:4">
      <c r="A903" s="204">
        <v>901</v>
      </c>
      <c r="B903" s="205" t="s">
        <v>5258</v>
      </c>
      <c r="C903" s="68" t="s">
        <v>5259</v>
      </c>
      <c r="D903" s="68" t="s">
        <v>5260</v>
      </c>
    </row>
    <row r="904" spans="1:4">
      <c r="A904" s="204">
        <v>902</v>
      </c>
      <c r="B904" s="205" t="s">
        <v>5261</v>
      </c>
      <c r="C904" s="68" t="s">
        <v>5262</v>
      </c>
      <c r="D904" s="68" t="s">
        <v>5263</v>
      </c>
    </row>
    <row r="905" spans="1:4">
      <c r="A905" s="204">
        <v>903</v>
      </c>
      <c r="B905" s="205" t="s">
        <v>5264</v>
      </c>
      <c r="C905" s="68" t="s">
        <v>5265</v>
      </c>
      <c r="D905" s="68" t="s">
        <v>5266</v>
      </c>
    </row>
    <row r="906" spans="1:4">
      <c r="A906" s="204">
        <v>904</v>
      </c>
      <c r="B906" s="205" t="s">
        <v>5267</v>
      </c>
      <c r="C906" s="68" t="s">
        <v>5268</v>
      </c>
      <c r="D906" s="68" t="s">
        <v>5269</v>
      </c>
    </row>
    <row r="907" spans="1:4">
      <c r="A907" s="204">
        <v>905</v>
      </c>
      <c r="B907" s="205" t="s">
        <v>5270</v>
      </c>
      <c r="C907" s="68" t="s">
        <v>5271</v>
      </c>
      <c r="D907" s="68" t="s">
        <v>5272</v>
      </c>
    </row>
    <row r="908" spans="1:4">
      <c r="A908" s="204">
        <v>906</v>
      </c>
      <c r="B908" s="205" t="s">
        <v>5273</v>
      </c>
      <c r="C908" s="68" t="s">
        <v>5274</v>
      </c>
      <c r="D908" s="68" t="s">
        <v>5275</v>
      </c>
    </row>
    <row r="909" spans="1:4">
      <c r="A909" s="204">
        <v>907</v>
      </c>
      <c r="B909" s="205" t="s">
        <v>5276</v>
      </c>
      <c r="C909" s="68" t="s">
        <v>5277</v>
      </c>
      <c r="D909" s="68" t="s">
        <v>5278</v>
      </c>
    </row>
    <row r="910" spans="1:4">
      <c r="A910" s="204">
        <v>908</v>
      </c>
      <c r="B910" s="205" t="s">
        <v>5279</v>
      </c>
      <c r="C910" s="68" t="s">
        <v>5280</v>
      </c>
      <c r="D910" s="68" t="s">
        <v>5281</v>
      </c>
    </row>
    <row r="911" spans="1:4">
      <c r="A911" s="204">
        <v>909</v>
      </c>
      <c r="B911" s="205" t="s">
        <v>5282</v>
      </c>
      <c r="C911" s="68" t="s">
        <v>5283</v>
      </c>
      <c r="D911" s="68" t="s">
        <v>5284</v>
      </c>
    </row>
    <row r="912" spans="1:4">
      <c r="A912" s="204">
        <v>910</v>
      </c>
      <c r="B912" s="205" t="s">
        <v>5285</v>
      </c>
      <c r="C912" s="68" t="s">
        <v>5286</v>
      </c>
      <c r="D912" s="68" t="s">
        <v>5287</v>
      </c>
    </row>
    <row r="913" spans="1:4">
      <c r="A913" s="204">
        <v>911</v>
      </c>
      <c r="B913" s="205" t="s">
        <v>5288</v>
      </c>
      <c r="C913" s="68" t="s">
        <v>5289</v>
      </c>
      <c r="D913" s="68" t="s">
        <v>5290</v>
      </c>
    </row>
    <row r="914" spans="1:4">
      <c r="A914" s="204">
        <v>912</v>
      </c>
      <c r="B914" s="205" t="s">
        <v>5291</v>
      </c>
      <c r="C914" s="68" t="s">
        <v>5292</v>
      </c>
      <c r="D914" s="68" t="s">
        <v>5293</v>
      </c>
    </row>
    <row r="915" spans="1:4">
      <c r="A915" s="204">
        <v>913</v>
      </c>
      <c r="B915" s="205" t="s">
        <v>5294</v>
      </c>
      <c r="C915" s="68" t="s">
        <v>5295</v>
      </c>
      <c r="D915" s="68" t="s">
        <v>5296</v>
      </c>
    </row>
    <row r="916" spans="1:4">
      <c r="A916" s="204">
        <v>914</v>
      </c>
      <c r="B916" s="205" t="s">
        <v>5297</v>
      </c>
      <c r="C916" s="68" t="s">
        <v>5298</v>
      </c>
      <c r="D916" s="68" t="s">
        <v>5299</v>
      </c>
    </row>
    <row r="917" spans="1:4">
      <c r="A917" s="204">
        <v>915</v>
      </c>
      <c r="B917" s="205" t="s">
        <v>5300</v>
      </c>
      <c r="C917" s="68" t="s">
        <v>5301</v>
      </c>
      <c r="D917" s="68" t="s">
        <v>5302</v>
      </c>
    </row>
    <row r="918" spans="1:4">
      <c r="A918" s="204">
        <v>916</v>
      </c>
      <c r="B918" s="205" t="s">
        <v>5303</v>
      </c>
      <c r="C918" s="68" t="s">
        <v>5304</v>
      </c>
      <c r="D918" s="68" t="s">
        <v>5305</v>
      </c>
    </row>
    <row r="919" spans="1:4">
      <c r="A919" s="204">
        <v>917</v>
      </c>
      <c r="B919" s="205" t="s">
        <v>5306</v>
      </c>
      <c r="C919" s="68" t="s">
        <v>5307</v>
      </c>
      <c r="D919" s="68" t="s">
        <v>5308</v>
      </c>
    </row>
    <row r="920" spans="1:4">
      <c r="A920" s="204">
        <v>918</v>
      </c>
      <c r="B920" s="205" t="s">
        <v>5309</v>
      </c>
      <c r="C920" s="68" t="s">
        <v>5310</v>
      </c>
      <c r="D920" s="68" t="s">
        <v>5311</v>
      </c>
    </row>
    <row r="921" spans="1:4">
      <c r="A921" s="204">
        <v>919</v>
      </c>
      <c r="B921" s="205" t="s">
        <v>5312</v>
      </c>
      <c r="C921" s="68" t="s">
        <v>5313</v>
      </c>
      <c r="D921" s="68" t="s">
        <v>5314</v>
      </c>
    </row>
    <row r="922" spans="1:4">
      <c r="A922" s="204">
        <v>920</v>
      </c>
      <c r="B922" s="205" t="s">
        <v>5315</v>
      </c>
      <c r="C922" s="68" t="s">
        <v>5316</v>
      </c>
      <c r="D922" s="68" t="s">
        <v>5317</v>
      </c>
    </row>
    <row r="923" spans="1:4">
      <c r="A923" s="204">
        <v>921</v>
      </c>
      <c r="B923" s="205" t="s">
        <v>5318</v>
      </c>
      <c r="C923" s="68" t="s">
        <v>5319</v>
      </c>
      <c r="D923" s="68" t="s">
        <v>5320</v>
      </c>
    </row>
    <row r="924" spans="1:4">
      <c r="A924" s="204">
        <v>922</v>
      </c>
      <c r="B924" s="205" t="s">
        <v>5321</v>
      </c>
      <c r="C924" s="68" t="s">
        <v>5322</v>
      </c>
      <c r="D924" s="68" t="s">
        <v>5323</v>
      </c>
    </row>
    <row r="925" spans="1:4">
      <c r="A925" s="204">
        <v>923</v>
      </c>
      <c r="B925" s="205" t="s">
        <v>5324</v>
      </c>
      <c r="C925" s="68" t="s">
        <v>5325</v>
      </c>
      <c r="D925" s="68" t="s">
        <v>5326</v>
      </c>
    </row>
    <row r="926" spans="1:4">
      <c r="A926" s="204">
        <v>924</v>
      </c>
      <c r="B926" s="205" t="s">
        <v>5327</v>
      </c>
      <c r="C926" s="68" t="s">
        <v>5328</v>
      </c>
      <c r="D926" s="68" t="s">
        <v>5329</v>
      </c>
    </row>
    <row r="927" spans="1:4">
      <c r="A927" s="204">
        <v>925</v>
      </c>
      <c r="B927" s="205" t="s">
        <v>5330</v>
      </c>
      <c r="C927" s="68" t="s">
        <v>5331</v>
      </c>
      <c r="D927" s="68" t="s">
        <v>5332</v>
      </c>
    </row>
    <row r="928" spans="1:4">
      <c r="A928" s="204">
        <v>926</v>
      </c>
      <c r="B928" s="205" t="s">
        <v>5333</v>
      </c>
      <c r="C928" s="68" t="s">
        <v>5334</v>
      </c>
      <c r="D928" s="68" t="s">
        <v>5335</v>
      </c>
    </row>
    <row r="929" spans="1:4">
      <c r="A929" s="204">
        <v>927</v>
      </c>
      <c r="B929" s="205" t="s">
        <v>5336</v>
      </c>
      <c r="C929" s="68" t="s">
        <v>5337</v>
      </c>
      <c r="D929" s="68" t="s">
        <v>5338</v>
      </c>
    </row>
    <row r="930" spans="1:4">
      <c r="A930" s="204">
        <v>928</v>
      </c>
      <c r="B930" s="205" t="s">
        <v>5339</v>
      </c>
      <c r="C930" s="68" t="s">
        <v>5340</v>
      </c>
      <c r="D930" s="68" t="s">
        <v>5341</v>
      </c>
    </row>
    <row r="931" spans="1:4">
      <c r="A931" s="204">
        <v>929</v>
      </c>
      <c r="B931" s="205" t="s">
        <v>5342</v>
      </c>
      <c r="C931" s="68" t="s">
        <v>5343</v>
      </c>
      <c r="D931" s="68" t="s">
        <v>5344</v>
      </c>
    </row>
    <row r="932" spans="1:4">
      <c r="A932" s="204">
        <v>930</v>
      </c>
      <c r="B932" s="205" t="s">
        <v>5345</v>
      </c>
      <c r="C932" s="68" t="s">
        <v>5346</v>
      </c>
      <c r="D932" s="68" t="s">
        <v>5347</v>
      </c>
    </row>
    <row r="933" spans="1:4">
      <c r="A933" s="204">
        <v>931</v>
      </c>
      <c r="B933" s="205" t="s">
        <v>5348</v>
      </c>
      <c r="C933" s="68" t="s">
        <v>5349</v>
      </c>
      <c r="D933" s="68" t="s">
        <v>5350</v>
      </c>
    </row>
    <row r="934" spans="1:4">
      <c r="A934" s="204">
        <v>932</v>
      </c>
      <c r="B934" s="205" t="s">
        <v>5351</v>
      </c>
      <c r="C934" s="68" t="s">
        <v>5352</v>
      </c>
      <c r="D934" s="68" t="s">
        <v>5353</v>
      </c>
    </row>
    <row r="935" spans="1:4">
      <c r="A935" s="204">
        <v>933</v>
      </c>
      <c r="B935" s="205" t="s">
        <v>5354</v>
      </c>
      <c r="C935" s="68" t="s">
        <v>5355</v>
      </c>
      <c r="D935" s="68" t="s">
        <v>5356</v>
      </c>
    </row>
    <row r="936" spans="1:4">
      <c r="A936" s="204">
        <v>934</v>
      </c>
      <c r="B936" s="205" t="s">
        <v>5357</v>
      </c>
      <c r="C936" s="68" t="s">
        <v>5358</v>
      </c>
      <c r="D936" s="68" t="s">
        <v>5359</v>
      </c>
    </row>
    <row r="937" spans="1:4">
      <c r="A937" s="204">
        <v>935</v>
      </c>
      <c r="B937" s="205" t="s">
        <v>5360</v>
      </c>
      <c r="C937" s="68" t="s">
        <v>5361</v>
      </c>
      <c r="D937" s="68" t="s">
        <v>5362</v>
      </c>
    </row>
    <row r="938" spans="1:4">
      <c r="A938" s="204">
        <v>936</v>
      </c>
      <c r="B938" s="205" t="s">
        <v>5363</v>
      </c>
      <c r="C938" s="68" t="s">
        <v>5364</v>
      </c>
      <c r="D938" s="68" t="s">
        <v>5365</v>
      </c>
    </row>
    <row r="939" spans="1:4">
      <c r="A939" s="204">
        <v>937</v>
      </c>
      <c r="B939" s="205" t="s">
        <v>5366</v>
      </c>
      <c r="C939" s="68" t="s">
        <v>5367</v>
      </c>
      <c r="D939" s="68" t="s">
        <v>5368</v>
      </c>
    </row>
    <row r="940" spans="1:4">
      <c r="A940" s="204">
        <v>938</v>
      </c>
      <c r="B940" s="205" t="s">
        <v>5369</v>
      </c>
      <c r="C940" s="68" t="s">
        <v>5370</v>
      </c>
      <c r="D940" s="68" t="s">
        <v>5371</v>
      </c>
    </row>
    <row r="941" spans="1:4">
      <c r="A941" s="204">
        <v>939</v>
      </c>
      <c r="B941" s="205" t="s">
        <v>5372</v>
      </c>
      <c r="C941" s="68" t="s">
        <v>5373</v>
      </c>
      <c r="D941" s="68" t="s">
        <v>5374</v>
      </c>
    </row>
    <row r="942" spans="1:4">
      <c r="A942" s="204">
        <v>940</v>
      </c>
      <c r="B942" s="205" t="s">
        <v>5375</v>
      </c>
      <c r="C942" s="68" t="s">
        <v>5376</v>
      </c>
      <c r="D942" s="68" t="s">
        <v>5377</v>
      </c>
    </row>
    <row r="943" spans="1:4">
      <c r="A943" s="204">
        <v>941</v>
      </c>
      <c r="B943" s="205" t="s">
        <v>5378</v>
      </c>
      <c r="C943" s="68" t="s">
        <v>5379</v>
      </c>
      <c r="D943" s="68" t="s">
        <v>5380</v>
      </c>
    </row>
    <row r="944" spans="1:4">
      <c r="A944" s="204">
        <v>942</v>
      </c>
      <c r="B944" s="205" t="s">
        <v>5381</v>
      </c>
      <c r="C944" s="68" t="s">
        <v>5382</v>
      </c>
      <c r="D944" s="68" t="s">
        <v>5383</v>
      </c>
    </row>
    <row r="945" spans="1:4">
      <c r="A945" s="204">
        <v>943</v>
      </c>
      <c r="B945" s="205" t="s">
        <v>5384</v>
      </c>
      <c r="C945" s="68" t="s">
        <v>5385</v>
      </c>
      <c r="D945" s="68" t="s">
        <v>5386</v>
      </c>
    </row>
    <row r="946" spans="1:4">
      <c r="A946" s="204">
        <v>944</v>
      </c>
      <c r="B946" s="205" t="s">
        <v>5387</v>
      </c>
      <c r="C946" s="68" t="s">
        <v>5388</v>
      </c>
      <c r="D946" s="68" t="s">
        <v>5389</v>
      </c>
    </row>
    <row r="947" spans="1:4">
      <c r="A947" s="204">
        <v>945</v>
      </c>
      <c r="B947" s="205" t="s">
        <v>5390</v>
      </c>
      <c r="C947" s="68" t="s">
        <v>5391</v>
      </c>
      <c r="D947" s="68" t="s">
        <v>5392</v>
      </c>
    </row>
    <row r="948" spans="1:4">
      <c r="A948" s="204">
        <v>946</v>
      </c>
      <c r="B948" s="205" t="s">
        <v>5393</v>
      </c>
      <c r="C948" s="68" t="s">
        <v>5394</v>
      </c>
      <c r="D948" s="68" t="s">
        <v>5395</v>
      </c>
    </row>
    <row r="949" spans="1:4">
      <c r="A949" s="204">
        <v>947</v>
      </c>
      <c r="B949" s="205" t="s">
        <v>5396</v>
      </c>
      <c r="C949" s="68" t="s">
        <v>5397</v>
      </c>
      <c r="D949" s="68" t="s">
        <v>5398</v>
      </c>
    </row>
    <row r="950" spans="1:4">
      <c r="A950" s="204">
        <v>948</v>
      </c>
      <c r="B950" s="205" t="s">
        <v>5399</v>
      </c>
      <c r="C950" s="68" t="s">
        <v>5400</v>
      </c>
      <c r="D950" s="68" t="s">
        <v>5401</v>
      </c>
    </row>
    <row r="951" spans="1:4">
      <c r="A951" s="204">
        <v>949</v>
      </c>
      <c r="B951" s="205" t="s">
        <v>5402</v>
      </c>
      <c r="C951" s="68" t="s">
        <v>5403</v>
      </c>
      <c r="D951" s="68" t="s">
        <v>5404</v>
      </c>
    </row>
    <row r="952" spans="1:4">
      <c r="A952" s="204">
        <v>950</v>
      </c>
      <c r="B952" s="205" t="s">
        <v>5405</v>
      </c>
      <c r="C952" s="68" t="s">
        <v>5406</v>
      </c>
      <c r="D952" s="68" t="s">
        <v>5407</v>
      </c>
    </row>
    <row r="953" spans="1:4">
      <c r="A953" s="204">
        <v>951</v>
      </c>
      <c r="B953" s="205" t="s">
        <v>5408</v>
      </c>
      <c r="C953" s="68" t="s">
        <v>5409</v>
      </c>
      <c r="D953" s="68" t="s">
        <v>5410</v>
      </c>
    </row>
    <row r="954" spans="1:4">
      <c r="A954" s="204">
        <v>952</v>
      </c>
      <c r="B954" s="205" t="s">
        <v>5411</v>
      </c>
      <c r="C954" s="68" t="s">
        <v>5412</v>
      </c>
      <c r="D954" s="68" t="s">
        <v>5413</v>
      </c>
    </row>
    <row r="955" spans="1:4">
      <c r="A955" s="204">
        <v>953</v>
      </c>
      <c r="B955" s="205" t="s">
        <v>5414</v>
      </c>
      <c r="C955" s="68" t="s">
        <v>5415</v>
      </c>
      <c r="D955" s="68" t="s">
        <v>5416</v>
      </c>
    </row>
    <row r="956" spans="1:4">
      <c r="A956" s="204">
        <v>954</v>
      </c>
      <c r="B956" s="205" t="s">
        <v>5417</v>
      </c>
      <c r="C956" s="68" t="s">
        <v>5418</v>
      </c>
      <c r="D956" s="68" t="s">
        <v>5419</v>
      </c>
    </row>
    <row r="957" spans="1:4">
      <c r="A957" s="204">
        <v>955</v>
      </c>
      <c r="B957" s="205" t="s">
        <v>5420</v>
      </c>
      <c r="C957" s="68" t="s">
        <v>5421</v>
      </c>
      <c r="D957" s="68" t="s">
        <v>5422</v>
      </c>
    </row>
    <row r="958" spans="1:4">
      <c r="A958" s="204">
        <v>956</v>
      </c>
      <c r="B958" s="205" t="s">
        <v>5423</v>
      </c>
      <c r="C958" s="68" t="s">
        <v>5424</v>
      </c>
      <c r="D958" s="68" t="s">
        <v>5425</v>
      </c>
    </row>
    <row r="959" spans="1:4">
      <c r="A959" s="204">
        <v>957</v>
      </c>
      <c r="B959" s="205" t="s">
        <v>5426</v>
      </c>
      <c r="C959" s="68" t="s">
        <v>5427</v>
      </c>
      <c r="D959" s="68" t="s">
        <v>5425</v>
      </c>
    </row>
    <row r="960" spans="1:4">
      <c r="A960" s="204">
        <v>958</v>
      </c>
      <c r="B960" s="205" t="s">
        <v>5428</v>
      </c>
      <c r="C960" s="68" t="s">
        <v>5429</v>
      </c>
      <c r="D960" s="68" t="s">
        <v>5430</v>
      </c>
    </row>
    <row r="961" spans="1:4">
      <c r="A961" s="204">
        <v>959</v>
      </c>
      <c r="B961" s="205" t="s">
        <v>5431</v>
      </c>
      <c r="C961" s="68" t="s">
        <v>5432</v>
      </c>
      <c r="D961" s="68" t="s">
        <v>5433</v>
      </c>
    </row>
    <row r="962" spans="1:4">
      <c r="A962" s="204">
        <v>960</v>
      </c>
      <c r="B962" s="205" t="s">
        <v>5434</v>
      </c>
      <c r="C962" s="68" t="s">
        <v>5435</v>
      </c>
      <c r="D962" s="68" t="s">
        <v>5433</v>
      </c>
    </row>
    <row r="963" spans="1:4">
      <c r="A963" s="204">
        <v>961</v>
      </c>
      <c r="B963" s="205" t="s">
        <v>5436</v>
      </c>
      <c r="C963" s="68" t="s">
        <v>5437</v>
      </c>
      <c r="D963" s="68" t="s">
        <v>5438</v>
      </c>
    </row>
    <row r="964" spans="1:4">
      <c r="A964" s="204">
        <v>962</v>
      </c>
      <c r="B964" s="205" t="s">
        <v>5439</v>
      </c>
      <c r="C964" s="68" t="s">
        <v>5440</v>
      </c>
      <c r="D964" s="68" t="s">
        <v>5441</v>
      </c>
    </row>
    <row r="965" spans="1:4">
      <c r="A965" s="204">
        <v>963</v>
      </c>
      <c r="B965" s="205" t="s">
        <v>5442</v>
      </c>
      <c r="C965" s="68" t="s">
        <v>5443</v>
      </c>
      <c r="D965" s="68" t="s">
        <v>5444</v>
      </c>
    </row>
    <row r="966" spans="1:4">
      <c r="A966" s="204">
        <v>964</v>
      </c>
      <c r="B966" s="205" t="s">
        <v>5445</v>
      </c>
      <c r="C966" s="68" t="s">
        <v>5446</v>
      </c>
      <c r="D966" s="68" t="s">
        <v>5447</v>
      </c>
    </row>
    <row r="967" spans="1:4">
      <c r="A967" s="204">
        <v>965</v>
      </c>
      <c r="B967" s="205" t="s">
        <v>5448</v>
      </c>
      <c r="C967" s="68" t="s">
        <v>5449</v>
      </c>
      <c r="D967" s="68" t="s">
        <v>5450</v>
      </c>
    </row>
    <row r="968" spans="1:4">
      <c r="A968" s="204">
        <v>966</v>
      </c>
      <c r="B968" s="205" t="s">
        <v>5451</v>
      </c>
      <c r="C968" s="68" t="s">
        <v>5452</v>
      </c>
      <c r="D968" s="68" t="s">
        <v>5453</v>
      </c>
    </row>
    <row r="969" spans="1:4">
      <c r="A969" s="204">
        <v>967</v>
      </c>
      <c r="B969" s="205" t="s">
        <v>5454</v>
      </c>
      <c r="C969" s="68" t="s">
        <v>5455</v>
      </c>
      <c r="D969" s="68" t="s">
        <v>5456</v>
      </c>
    </row>
    <row r="970" spans="1:4">
      <c r="A970" s="204">
        <v>968</v>
      </c>
      <c r="B970" s="205" t="s">
        <v>5457</v>
      </c>
      <c r="C970" s="68" t="s">
        <v>5458</v>
      </c>
      <c r="D970" s="68" t="s">
        <v>5459</v>
      </c>
    </row>
    <row r="971" spans="1:4">
      <c r="A971" s="204">
        <v>969</v>
      </c>
      <c r="B971" s="205" t="s">
        <v>5460</v>
      </c>
      <c r="C971" s="68" t="s">
        <v>5461</v>
      </c>
      <c r="D971" s="68" t="s">
        <v>5462</v>
      </c>
    </row>
    <row r="972" spans="1:4">
      <c r="A972" s="204">
        <v>970</v>
      </c>
      <c r="B972" s="205" t="s">
        <v>5463</v>
      </c>
      <c r="C972" s="68" t="s">
        <v>5464</v>
      </c>
      <c r="D972" s="68" t="s">
        <v>5465</v>
      </c>
    </row>
    <row r="973" spans="1:4">
      <c r="A973" s="204">
        <v>971</v>
      </c>
      <c r="B973" s="205" t="s">
        <v>5466</v>
      </c>
      <c r="C973" s="68" t="s">
        <v>5467</v>
      </c>
      <c r="D973" s="68" t="s">
        <v>5468</v>
      </c>
    </row>
    <row r="974" spans="1:4">
      <c r="A974" s="204">
        <v>972</v>
      </c>
      <c r="B974" s="205" t="s">
        <v>5469</v>
      </c>
      <c r="C974" s="68" t="s">
        <v>5470</v>
      </c>
      <c r="D974" s="68" t="s">
        <v>5471</v>
      </c>
    </row>
    <row r="975" spans="1:4">
      <c r="A975" s="204">
        <v>973</v>
      </c>
      <c r="B975" s="205" t="s">
        <v>5472</v>
      </c>
      <c r="C975" s="68" t="s">
        <v>5473</v>
      </c>
      <c r="D975" s="68" t="s">
        <v>5474</v>
      </c>
    </row>
    <row r="976" spans="1:4">
      <c r="A976" s="204">
        <v>974</v>
      </c>
      <c r="B976" s="205" t="s">
        <v>5475</v>
      </c>
      <c r="C976" s="68" t="s">
        <v>5476</v>
      </c>
      <c r="D976" s="68" t="s">
        <v>5477</v>
      </c>
    </row>
    <row r="977" spans="1:4">
      <c r="A977" s="204">
        <v>975</v>
      </c>
      <c r="B977" s="205" t="s">
        <v>5478</v>
      </c>
      <c r="C977" s="68" t="s">
        <v>5479</v>
      </c>
      <c r="D977" s="68" t="s">
        <v>5480</v>
      </c>
    </row>
    <row r="978" spans="1:4">
      <c r="A978" s="204">
        <v>976</v>
      </c>
      <c r="B978" s="205" t="s">
        <v>5481</v>
      </c>
      <c r="C978" s="68" t="s">
        <v>5482</v>
      </c>
      <c r="D978" s="68" t="s">
        <v>5483</v>
      </c>
    </row>
    <row r="979" spans="1:4">
      <c r="A979" s="204">
        <v>977</v>
      </c>
      <c r="B979" s="205" t="s">
        <v>5484</v>
      </c>
      <c r="C979" s="68" t="s">
        <v>5485</v>
      </c>
      <c r="D979" s="68" t="s">
        <v>5486</v>
      </c>
    </row>
    <row r="980" spans="1:4">
      <c r="A980" s="204">
        <v>978</v>
      </c>
      <c r="B980" s="205" t="s">
        <v>5487</v>
      </c>
      <c r="C980" s="68" t="s">
        <v>5488</v>
      </c>
      <c r="D980" s="68" t="s">
        <v>5489</v>
      </c>
    </row>
    <row r="981" spans="1:4">
      <c r="A981" s="204">
        <v>979</v>
      </c>
      <c r="B981" s="205" t="s">
        <v>5490</v>
      </c>
      <c r="C981" s="68" t="s">
        <v>5491</v>
      </c>
      <c r="D981" s="68" t="s">
        <v>5492</v>
      </c>
    </row>
    <row r="982" spans="1:4">
      <c r="A982" s="204">
        <v>980</v>
      </c>
      <c r="B982" s="205" t="s">
        <v>5493</v>
      </c>
      <c r="C982" s="68" t="s">
        <v>5494</v>
      </c>
      <c r="D982" s="68" t="s">
        <v>5495</v>
      </c>
    </row>
    <row r="983" spans="1:4">
      <c r="A983" s="204">
        <v>981</v>
      </c>
      <c r="B983" s="205" t="s">
        <v>5496</v>
      </c>
      <c r="C983" s="68" t="s">
        <v>5497</v>
      </c>
      <c r="D983" s="68" t="s">
        <v>5498</v>
      </c>
    </row>
    <row r="984" spans="1:4">
      <c r="A984" s="204">
        <v>982</v>
      </c>
      <c r="B984" s="205" t="s">
        <v>5499</v>
      </c>
      <c r="C984" s="68" t="s">
        <v>5500</v>
      </c>
      <c r="D984" s="68" t="s">
        <v>5501</v>
      </c>
    </row>
    <row r="985" spans="1:4">
      <c r="A985" s="204">
        <v>983</v>
      </c>
      <c r="B985" s="205" t="s">
        <v>5502</v>
      </c>
      <c r="C985" s="68" t="s">
        <v>5503</v>
      </c>
      <c r="D985" s="68" t="s">
        <v>5504</v>
      </c>
    </row>
    <row r="986" spans="1:4">
      <c r="A986" s="204">
        <v>984</v>
      </c>
      <c r="B986" s="205" t="s">
        <v>5505</v>
      </c>
      <c r="C986" s="68" t="s">
        <v>5506</v>
      </c>
      <c r="D986" s="68" t="s">
        <v>5507</v>
      </c>
    </row>
    <row r="987" spans="1:4">
      <c r="A987" s="204">
        <v>985</v>
      </c>
      <c r="B987" s="205" t="s">
        <v>5508</v>
      </c>
      <c r="C987" s="68" t="s">
        <v>5509</v>
      </c>
      <c r="D987" s="68" t="s">
        <v>5510</v>
      </c>
    </row>
    <row r="988" spans="1:4">
      <c r="A988" s="204">
        <v>986</v>
      </c>
      <c r="B988" s="205" t="s">
        <v>5511</v>
      </c>
      <c r="C988" s="68" t="s">
        <v>5512</v>
      </c>
      <c r="D988" s="68" t="s">
        <v>5513</v>
      </c>
    </row>
    <row r="989" spans="1:4">
      <c r="A989" s="204">
        <v>987</v>
      </c>
      <c r="B989" s="205" t="s">
        <v>5514</v>
      </c>
      <c r="C989" s="68" t="s">
        <v>5515</v>
      </c>
      <c r="D989" s="68" t="s">
        <v>5516</v>
      </c>
    </row>
    <row r="990" spans="1:4">
      <c r="A990" s="204">
        <v>988</v>
      </c>
      <c r="B990" s="205" t="s">
        <v>5517</v>
      </c>
      <c r="C990" s="68" t="s">
        <v>5518</v>
      </c>
      <c r="D990" s="68" t="s">
        <v>5519</v>
      </c>
    </row>
    <row r="991" spans="1:4">
      <c r="A991" s="204">
        <v>989</v>
      </c>
      <c r="B991" s="205" t="s">
        <v>5520</v>
      </c>
      <c r="C991" s="68" t="s">
        <v>5521</v>
      </c>
      <c r="D991" s="68" t="s">
        <v>5522</v>
      </c>
    </row>
    <row r="992" spans="1:4">
      <c r="A992" s="204">
        <v>990</v>
      </c>
      <c r="B992" s="205" t="s">
        <v>5523</v>
      </c>
      <c r="C992" s="68" t="s">
        <v>5524</v>
      </c>
      <c r="D992" s="68" t="s">
        <v>5522</v>
      </c>
    </row>
    <row r="993" spans="1:4">
      <c r="A993" s="204">
        <v>991</v>
      </c>
      <c r="B993" s="205" t="s">
        <v>5525</v>
      </c>
      <c r="C993" s="68" t="s">
        <v>5526</v>
      </c>
      <c r="D993" s="68" t="s">
        <v>5527</v>
      </c>
    </row>
    <row r="994" spans="1:4">
      <c r="A994" s="204">
        <v>992</v>
      </c>
      <c r="B994" s="205" t="s">
        <v>5528</v>
      </c>
      <c r="C994" s="68" t="s">
        <v>5529</v>
      </c>
      <c r="D994" s="68" t="s">
        <v>5527</v>
      </c>
    </row>
    <row r="995" spans="1:4">
      <c r="A995" s="204">
        <v>993</v>
      </c>
      <c r="B995" s="205" t="s">
        <v>5530</v>
      </c>
      <c r="C995" s="68" t="s">
        <v>5531</v>
      </c>
      <c r="D995" s="68" t="s">
        <v>5527</v>
      </c>
    </row>
    <row r="996" spans="1:4">
      <c r="A996" s="204">
        <v>994</v>
      </c>
      <c r="B996" s="205" t="s">
        <v>5532</v>
      </c>
      <c r="C996" s="68" t="s">
        <v>5533</v>
      </c>
      <c r="D996" s="68" t="s">
        <v>5534</v>
      </c>
    </row>
    <row r="997" spans="1:4">
      <c r="A997" s="204">
        <v>995</v>
      </c>
      <c r="B997" s="205" t="s">
        <v>5535</v>
      </c>
      <c r="C997" s="68" t="s">
        <v>5536</v>
      </c>
      <c r="D997" s="68" t="s">
        <v>5534</v>
      </c>
    </row>
    <row r="998" spans="1:4">
      <c r="A998" s="204">
        <v>996</v>
      </c>
      <c r="B998" s="205" t="s">
        <v>5537</v>
      </c>
      <c r="C998" s="68" t="s">
        <v>5538</v>
      </c>
      <c r="D998" s="68" t="s">
        <v>5539</v>
      </c>
    </row>
    <row r="999" spans="1:4">
      <c r="A999" s="204">
        <v>997</v>
      </c>
      <c r="B999" s="205" t="s">
        <v>5540</v>
      </c>
      <c r="C999" s="68" t="s">
        <v>5541</v>
      </c>
      <c r="D999" s="68" t="s">
        <v>5542</v>
      </c>
    </row>
    <row r="1000" spans="1:4">
      <c r="A1000" s="204">
        <v>998</v>
      </c>
      <c r="B1000" s="205" t="s">
        <v>5543</v>
      </c>
      <c r="C1000" s="68" t="s">
        <v>5544</v>
      </c>
      <c r="D1000" s="68" t="s">
        <v>5545</v>
      </c>
    </row>
    <row r="1001" spans="1:4">
      <c r="A1001" s="204">
        <v>999</v>
      </c>
      <c r="B1001" s="205" t="s">
        <v>5546</v>
      </c>
      <c r="C1001" s="68" t="s">
        <v>5547</v>
      </c>
      <c r="D1001" s="68" t="s">
        <v>5545</v>
      </c>
    </row>
    <row r="1002" spans="1:4">
      <c r="A1002" s="204">
        <v>1000</v>
      </c>
      <c r="B1002" s="205" t="s">
        <v>5548</v>
      </c>
      <c r="C1002" s="68" t="s">
        <v>5549</v>
      </c>
      <c r="D1002" s="68" t="s">
        <v>5550</v>
      </c>
    </row>
    <row r="1003" spans="1:4">
      <c r="A1003" s="204">
        <v>1001</v>
      </c>
      <c r="B1003" s="205" t="s">
        <v>5551</v>
      </c>
      <c r="C1003" s="68" t="s">
        <v>5552</v>
      </c>
      <c r="D1003" s="68" t="s">
        <v>5550</v>
      </c>
    </row>
    <row r="1004" spans="1:4">
      <c r="A1004" s="204">
        <v>1002</v>
      </c>
      <c r="B1004" s="205" t="s">
        <v>5553</v>
      </c>
      <c r="C1004" s="68" t="s">
        <v>5554</v>
      </c>
      <c r="D1004" s="68" t="s">
        <v>5550</v>
      </c>
    </row>
    <row r="1005" spans="1:4">
      <c r="A1005" s="204">
        <v>1003</v>
      </c>
      <c r="B1005" s="205" t="s">
        <v>5555</v>
      </c>
      <c r="C1005" s="68" t="s">
        <v>5556</v>
      </c>
      <c r="D1005" s="68" t="s">
        <v>5557</v>
      </c>
    </row>
    <row r="1006" spans="1:4">
      <c r="A1006" s="204">
        <v>1004</v>
      </c>
      <c r="B1006" s="205" t="s">
        <v>5558</v>
      </c>
      <c r="C1006" s="68" t="s">
        <v>5559</v>
      </c>
      <c r="D1006" s="68" t="s">
        <v>5557</v>
      </c>
    </row>
    <row r="1007" spans="1:4">
      <c r="A1007" s="204">
        <v>1005</v>
      </c>
      <c r="B1007" s="205" t="s">
        <v>5560</v>
      </c>
      <c r="C1007" s="68" t="s">
        <v>5561</v>
      </c>
      <c r="D1007" s="68" t="s">
        <v>5562</v>
      </c>
    </row>
    <row r="1008" spans="1:4">
      <c r="A1008" s="204">
        <v>1006</v>
      </c>
      <c r="B1008" s="205" t="s">
        <v>5563</v>
      </c>
      <c r="C1008" s="68" t="s">
        <v>5564</v>
      </c>
      <c r="D1008" s="68" t="s">
        <v>5562</v>
      </c>
    </row>
    <row r="1009" spans="1:4">
      <c r="A1009" s="204">
        <v>1007</v>
      </c>
      <c r="B1009" s="205" t="s">
        <v>5565</v>
      </c>
      <c r="C1009" s="68" t="s">
        <v>5566</v>
      </c>
      <c r="D1009" s="68" t="s">
        <v>5562</v>
      </c>
    </row>
    <row r="1010" spans="1:4">
      <c r="A1010" s="204">
        <v>1008</v>
      </c>
      <c r="B1010" s="205" t="s">
        <v>5567</v>
      </c>
      <c r="C1010" s="68" t="s">
        <v>5568</v>
      </c>
      <c r="D1010" s="68" t="s">
        <v>5569</v>
      </c>
    </row>
    <row r="1011" spans="1:4">
      <c r="A1011" s="204">
        <v>1009</v>
      </c>
      <c r="B1011" s="205" t="s">
        <v>5570</v>
      </c>
      <c r="C1011" s="68" t="s">
        <v>5571</v>
      </c>
      <c r="D1011" s="68" t="s">
        <v>5569</v>
      </c>
    </row>
    <row r="1012" spans="1:4">
      <c r="A1012" s="204">
        <v>1010</v>
      </c>
      <c r="B1012" s="205" t="s">
        <v>5572</v>
      </c>
      <c r="C1012" s="68" t="s">
        <v>5573</v>
      </c>
      <c r="D1012" s="68" t="s">
        <v>5574</v>
      </c>
    </row>
    <row r="1013" spans="1:4">
      <c r="A1013" s="204">
        <v>1011</v>
      </c>
      <c r="B1013" s="205" t="s">
        <v>5575</v>
      </c>
      <c r="C1013" s="68" t="s">
        <v>5576</v>
      </c>
      <c r="D1013" s="68" t="s">
        <v>5574</v>
      </c>
    </row>
    <row r="1014" spans="1:4">
      <c r="A1014" s="204">
        <v>1012</v>
      </c>
      <c r="B1014" s="205" t="s">
        <v>5577</v>
      </c>
      <c r="C1014" s="68" t="s">
        <v>5578</v>
      </c>
      <c r="D1014" s="68" t="s">
        <v>5579</v>
      </c>
    </row>
    <row r="1015" spans="1:4">
      <c r="A1015" s="204">
        <v>1013</v>
      </c>
      <c r="B1015" s="205" t="s">
        <v>5580</v>
      </c>
      <c r="C1015" s="68" t="s">
        <v>5581</v>
      </c>
      <c r="D1015" s="68" t="s">
        <v>5579</v>
      </c>
    </row>
    <row r="1016" spans="1:4">
      <c r="A1016" s="204">
        <v>1014</v>
      </c>
      <c r="B1016" s="205" t="s">
        <v>5582</v>
      </c>
      <c r="C1016" s="68" t="s">
        <v>5583</v>
      </c>
      <c r="D1016" s="68" t="s">
        <v>5584</v>
      </c>
    </row>
    <row r="1017" spans="1:4">
      <c r="A1017" s="204">
        <v>1015</v>
      </c>
      <c r="B1017" s="205" t="s">
        <v>5585</v>
      </c>
      <c r="C1017" s="68" t="s">
        <v>5586</v>
      </c>
      <c r="D1017" s="68" t="s">
        <v>5584</v>
      </c>
    </row>
    <row r="1018" spans="1:4">
      <c r="A1018" s="204">
        <v>1016</v>
      </c>
      <c r="B1018" s="205" t="s">
        <v>5587</v>
      </c>
      <c r="C1018" s="68" t="s">
        <v>5588</v>
      </c>
      <c r="D1018" s="68" t="s">
        <v>5584</v>
      </c>
    </row>
    <row r="1019" spans="1:4">
      <c r="A1019" s="204">
        <v>1017</v>
      </c>
      <c r="B1019" s="205" t="s">
        <v>5589</v>
      </c>
      <c r="C1019" s="68" t="s">
        <v>5590</v>
      </c>
      <c r="D1019" s="68" t="s">
        <v>5591</v>
      </c>
    </row>
    <row r="1020" spans="1:4">
      <c r="A1020" s="204">
        <v>1018</v>
      </c>
      <c r="B1020" s="205" t="s">
        <v>5592</v>
      </c>
      <c r="C1020" s="68" t="s">
        <v>5593</v>
      </c>
      <c r="D1020" s="68" t="s">
        <v>5594</v>
      </c>
    </row>
    <row r="1021" spans="1:4">
      <c r="A1021" s="204">
        <v>1019</v>
      </c>
      <c r="B1021" s="205" t="s">
        <v>5595</v>
      </c>
      <c r="C1021" s="68" t="s">
        <v>5596</v>
      </c>
      <c r="D1021" s="68" t="s">
        <v>5594</v>
      </c>
    </row>
    <row r="1022" spans="1:4">
      <c r="A1022" s="204">
        <v>1020</v>
      </c>
      <c r="B1022" s="205" t="s">
        <v>5597</v>
      </c>
      <c r="C1022" s="68" t="s">
        <v>5598</v>
      </c>
      <c r="D1022" s="68" t="s">
        <v>5594</v>
      </c>
    </row>
    <row r="1023" spans="1:4">
      <c r="A1023" s="204">
        <v>1021</v>
      </c>
      <c r="B1023" s="205" t="s">
        <v>5599</v>
      </c>
      <c r="C1023" s="68" t="s">
        <v>5600</v>
      </c>
      <c r="D1023" s="68" t="s">
        <v>5601</v>
      </c>
    </row>
    <row r="1024" spans="1:4">
      <c r="A1024" s="204">
        <v>1022</v>
      </c>
      <c r="B1024" s="205" t="s">
        <v>5602</v>
      </c>
      <c r="C1024" s="68" t="s">
        <v>5603</v>
      </c>
      <c r="D1024" s="68" t="s">
        <v>5601</v>
      </c>
    </row>
    <row r="1025" spans="1:4">
      <c r="A1025" s="204">
        <v>1023</v>
      </c>
      <c r="B1025" s="205" t="s">
        <v>5604</v>
      </c>
      <c r="C1025" s="68" t="s">
        <v>5605</v>
      </c>
      <c r="D1025" s="68" t="s">
        <v>5601</v>
      </c>
    </row>
    <row r="1026" spans="1:4">
      <c r="A1026" s="204">
        <v>1024</v>
      </c>
      <c r="B1026" s="205" t="s">
        <v>5606</v>
      </c>
      <c r="C1026" s="68" t="s">
        <v>5607</v>
      </c>
      <c r="D1026" s="68" t="s">
        <v>5601</v>
      </c>
    </row>
    <row r="1027" spans="1:4">
      <c r="A1027" s="204">
        <v>1025</v>
      </c>
      <c r="B1027" s="205" t="s">
        <v>5608</v>
      </c>
      <c r="C1027" s="68" t="s">
        <v>5609</v>
      </c>
      <c r="D1027" s="68" t="s">
        <v>5610</v>
      </c>
    </row>
    <row r="1028" spans="1:4">
      <c r="A1028" s="204">
        <v>1026</v>
      </c>
      <c r="B1028" s="205" t="s">
        <v>5611</v>
      </c>
      <c r="C1028" s="68" t="s">
        <v>5612</v>
      </c>
      <c r="D1028" s="68" t="s">
        <v>5610</v>
      </c>
    </row>
    <row r="1029" spans="1:4">
      <c r="A1029" s="204">
        <v>1027</v>
      </c>
      <c r="B1029" s="205" t="s">
        <v>5613</v>
      </c>
      <c r="C1029" s="68" t="s">
        <v>5614</v>
      </c>
      <c r="D1029" s="68" t="s">
        <v>5610</v>
      </c>
    </row>
    <row r="1030" spans="1:4">
      <c r="A1030" s="204">
        <v>1028</v>
      </c>
      <c r="B1030" s="205" t="s">
        <v>5615</v>
      </c>
      <c r="C1030" s="68" t="s">
        <v>5616</v>
      </c>
      <c r="D1030" s="68" t="s">
        <v>5617</v>
      </c>
    </row>
    <row r="1031" spans="1:4">
      <c r="A1031" s="204">
        <v>1029</v>
      </c>
      <c r="B1031" s="205" t="s">
        <v>5618</v>
      </c>
      <c r="C1031" s="68" t="s">
        <v>5619</v>
      </c>
      <c r="D1031" s="68" t="s">
        <v>5620</v>
      </c>
    </row>
    <row r="1032" spans="1:4">
      <c r="A1032" s="204">
        <v>1030</v>
      </c>
      <c r="B1032" s="205" t="s">
        <v>5621</v>
      </c>
      <c r="C1032" s="68" t="s">
        <v>5622</v>
      </c>
      <c r="D1032" s="68" t="s">
        <v>5620</v>
      </c>
    </row>
    <row r="1033" spans="1:4">
      <c r="A1033" s="204">
        <v>1031</v>
      </c>
      <c r="B1033" s="205" t="s">
        <v>5623</v>
      </c>
      <c r="C1033" s="68" t="s">
        <v>5624</v>
      </c>
      <c r="D1033" s="68" t="s">
        <v>5620</v>
      </c>
    </row>
    <row r="1034" spans="1:4">
      <c r="A1034" s="204">
        <v>1032</v>
      </c>
      <c r="B1034" s="205" t="s">
        <v>5625</v>
      </c>
      <c r="C1034" s="68" t="s">
        <v>5626</v>
      </c>
      <c r="D1034" s="68" t="s">
        <v>5620</v>
      </c>
    </row>
    <row r="1035" spans="1:4">
      <c r="A1035" s="204">
        <v>1033</v>
      </c>
      <c r="B1035" s="205" t="s">
        <v>5627</v>
      </c>
      <c r="C1035" s="68" t="s">
        <v>5628</v>
      </c>
      <c r="D1035" s="68" t="s">
        <v>5629</v>
      </c>
    </row>
    <row r="1036" spans="1:4">
      <c r="A1036" s="204">
        <v>1034</v>
      </c>
      <c r="B1036" s="205" t="s">
        <v>5630</v>
      </c>
      <c r="C1036" s="68" t="s">
        <v>5631</v>
      </c>
      <c r="D1036" s="68" t="s">
        <v>5629</v>
      </c>
    </row>
    <row r="1037" spans="1:4">
      <c r="A1037" s="204">
        <v>1035</v>
      </c>
      <c r="B1037" s="205" t="s">
        <v>5632</v>
      </c>
      <c r="C1037" s="68" t="s">
        <v>5633</v>
      </c>
      <c r="D1037" s="68" t="s">
        <v>5629</v>
      </c>
    </row>
    <row r="1038" spans="1:4">
      <c r="A1038" s="204">
        <v>1036</v>
      </c>
      <c r="B1038" s="205" t="s">
        <v>5634</v>
      </c>
      <c r="C1038" s="68" t="s">
        <v>5635</v>
      </c>
      <c r="D1038" s="68" t="s">
        <v>5636</v>
      </c>
    </row>
    <row r="1039" spans="1:4">
      <c r="A1039" s="204">
        <v>1037</v>
      </c>
      <c r="B1039" s="205" t="s">
        <v>5637</v>
      </c>
      <c r="C1039" s="68" t="s">
        <v>5638</v>
      </c>
      <c r="D1039" s="68" t="s">
        <v>5636</v>
      </c>
    </row>
    <row r="1040" spans="1:4">
      <c r="A1040" s="204">
        <v>1038</v>
      </c>
      <c r="B1040" s="205" t="s">
        <v>5639</v>
      </c>
      <c r="C1040" s="68" t="s">
        <v>5640</v>
      </c>
      <c r="D1040" s="68" t="s">
        <v>5636</v>
      </c>
    </row>
    <row r="1041" spans="1:4">
      <c r="A1041" s="204">
        <v>1039</v>
      </c>
      <c r="B1041" s="205" t="s">
        <v>5641</v>
      </c>
      <c r="C1041" s="68" t="s">
        <v>5642</v>
      </c>
      <c r="D1041" s="68" t="s">
        <v>5643</v>
      </c>
    </row>
    <row r="1042" spans="1:4">
      <c r="A1042" s="204">
        <v>1040</v>
      </c>
      <c r="B1042" s="205" t="s">
        <v>5644</v>
      </c>
      <c r="C1042" s="68" t="s">
        <v>5645</v>
      </c>
      <c r="D1042" s="68" t="s">
        <v>5643</v>
      </c>
    </row>
    <row r="1043" spans="1:4">
      <c r="A1043" s="204">
        <v>1041</v>
      </c>
      <c r="B1043" s="205" t="s">
        <v>5646</v>
      </c>
      <c r="C1043" s="68" t="s">
        <v>5647</v>
      </c>
      <c r="D1043" s="68" t="s">
        <v>5648</v>
      </c>
    </row>
    <row r="1044" spans="1:4">
      <c r="A1044" s="204">
        <v>1042</v>
      </c>
      <c r="B1044" s="205" t="s">
        <v>5649</v>
      </c>
      <c r="C1044" s="68" t="s">
        <v>5650</v>
      </c>
      <c r="D1044" s="68" t="s">
        <v>5648</v>
      </c>
    </row>
    <row r="1045" spans="1:4">
      <c r="A1045" s="204">
        <v>1043</v>
      </c>
      <c r="B1045" s="205" t="s">
        <v>5651</v>
      </c>
      <c r="C1045" s="68" t="s">
        <v>5652</v>
      </c>
      <c r="D1045" s="68" t="s">
        <v>5648</v>
      </c>
    </row>
    <row r="1046" spans="1:4">
      <c r="A1046" s="204">
        <v>1044</v>
      </c>
      <c r="B1046" s="205" t="s">
        <v>5653</v>
      </c>
      <c r="C1046" s="68" t="s">
        <v>5654</v>
      </c>
      <c r="D1046" s="68" t="s">
        <v>5655</v>
      </c>
    </row>
    <row r="1047" spans="1:4">
      <c r="A1047" s="204">
        <v>1045</v>
      </c>
      <c r="B1047" s="205" t="s">
        <v>5656</v>
      </c>
      <c r="C1047" s="68" t="s">
        <v>5657</v>
      </c>
      <c r="D1047" s="68" t="s">
        <v>5655</v>
      </c>
    </row>
    <row r="1048" spans="1:4">
      <c r="A1048" s="204">
        <v>1046</v>
      </c>
      <c r="B1048" s="205" t="s">
        <v>5658</v>
      </c>
      <c r="C1048" s="68" t="s">
        <v>5659</v>
      </c>
      <c r="D1048" s="68" t="s">
        <v>5655</v>
      </c>
    </row>
    <row r="1049" spans="1:4">
      <c r="A1049" s="204">
        <v>1047</v>
      </c>
      <c r="B1049" s="205" t="s">
        <v>5660</v>
      </c>
      <c r="C1049" s="68" t="s">
        <v>5661</v>
      </c>
      <c r="D1049" s="68" t="s">
        <v>5655</v>
      </c>
    </row>
    <row r="1050" spans="1:4">
      <c r="A1050" s="204">
        <v>1048</v>
      </c>
      <c r="B1050" s="205" t="s">
        <v>5662</v>
      </c>
      <c r="C1050" s="68" t="s">
        <v>5663</v>
      </c>
      <c r="D1050" s="68" t="s">
        <v>5664</v>
      </c>
    </row>
    <row r="1051" spans="1:4">
      <c r="A1051" s="204">
        <v>1049</v>
      </c>
      <c r="B1051" s="205" t="s">
        <v>5665</v>
      </c>
      <c r="C1051" s="68" t="s">
        <v>5666</v>
      </c>
      <c r="D1051" s="68" t="s">
        <v>5664</v>
      </c>
    </row>
    <row r="1052" spans="1:4">
      <c r="A1052" s="204">
        <v>1050</v>
      </c>
      <c r="B1052" s="205" t="s">
        <v>5667</v>
      </c>
      <c r="C1052" s="68" t="s">
        <v>5668</v>
      </c>
      <c r="D1052" s="68" t="s">
        <v>5664</v>
      </c>
    </row>
    <row r="1053" spans="1:4">
      <c r="A1053" s="204">
        <v>1051</v>
      </c>
      <c r="B1053" s="205" t="s">
        <v>5669</v>
      </c>
      <c r="C1053" s="68" t="s">
        <v>5670</v>
      </c>
      <c r="D1053" s="68" t="s">
        <v>5671</v>
      </c>
    </row>
    <row r="1054" spans="1:4">
      <c r="A1054" s="204">
        <v>1052</v>
      </c>
      <c r="B1054" s="205" t="s">
        <v>5672</v>
      </c>
      <c r="C1054" s="68" t="s">
        <v>5673</v>
      </c>
      <c r="D1054" s="68" t="s">
        <v>5671</v>
      </c>
    </row>
    <row r="1055" spans="1:4">
      <c r="A1055" s="204">
        <v>1053</v>
      </c>
      <c r="B1055" s="205" t="s">
        <v>5674</v>
      </c>
      <c r="C1055" s="68" t="s">
        <v>5675</v>
      </c>
      <c r="D1055" s="68" t="s">
        <v>5671</v>
      </c>
    </row>
    <row r="1056" spans="1:4">
      <c r="A1056" s="204">
        <v>1054</v>
      </c>
      <c r="B1056" s="205" t="s">
        <v>5676</v>
      </c>
      <c r="C1056" s="68" t="s">
        <v>5677</v>
      </c>
      <c r="D1056" s="68" t="s">
        <v>5671</v>
      </c>
    </row>
    <row r="1057" spans="1:4">
      <c r="A1057" s="204">
        <v>1055</v>
      </c>
      <c r="B1057" s="205" t="s">
        <v>5678</v>
      </c>
      <c r="C1057" s="68" t="s">
        <v>5679</v>
      </c>
      <c r="D1057" s="68" t="s">
        <v>5680</v>
      </c>
    </row>
    <row r="1058" spans="1:4">
      <c r="A1058" s="204">
        <v>1056</v>
      </c>
      <c r="B1058" s="205" t="s">
        <v>5681</v>
      </c>
      <c r="C1058" s="68" t="s">
        <v>5682</v>
      </c>
      <c r="D1058" s="68" t="s">
        <v>5680</v>
      </c>
    </row>
    <row r="1059" spans="1:4">
      <c r="A1059" s="204">
        <v>1057</v>
      </c>
      <c r="B1059" s="205" t="s">
        <v>5683</v>
      </c>
      <c r="C1059" s="68" t="s">
        <v>5684</v>
      </c>
      <c r="D1059" s="68" t="s">
        <v>5685</v>
      </c>
    </row>
    <row r="1060" spans="1:4">
      <c r="A1060" s="204">
        <v>1058</v>
      </c>
      <c r="B1060" s="205" t="s">
        <v>5686</v>
      </c>
      <c r="C1060" s="68" t="s">
        <v>5687</v>
      </c>
      <c r="D1060" s="68" t="s">
        <v>5685</v>
      </c>
    </row>
    <row r="1061" spans="1:4">
      <c r="A1061" s="204">
        <v>1059</v>
      </c>
      <c r="B1061" s="205" t="s">
        <v>5688</v>
      </c>
      <c r="C1061" s="68" t="s">
        <v>5689</v>
      </c>
      <c r="D1061" s="68" t="s">
        <v>5685</v>
      </c>
    </row>
    <row r="1062" spans="1:4">
      <c r="A1062" s="204">
        <v>1060</v>
      </c>
      <c r="B1062" s="205" t="s">
        <v>5690</v>
      </c>
      <c r="C1062" s="68" t="s">
        <v>5691</v>
      </c>
      <c r="D1062" s="68" t="s">
        <v>5685</v>
      </c>
    </row>
    <row r="1063" spans="1:4">
      <c r="A1063" s="204">
        <v>1061</v>
      </c>
      <c r="B1063" s="205" t="s">
        <v>5692</v>
      </c>
      <c r="C1063" s="68" t="s">
        <v>5693</v>
      </c>
      <c r="D1063" s="68" t="s">
        <v>5694</v>
      </c>
    </row>
    <row r="1064" spans="1:4">
      <c r="A1064" s="204">
        <v>1062</v>
      </c>
      <c r="B1064" s="205" t="s">
        <v>5695</v>
      </c>
      <c r="C1064" s="68" t="s">
        <v>5696</v>
      </c>
      <c r="D1064" s="68" t="s">
        <v>5694</v>
      </c>
    </row>
    <row r="1065" spans="1:4">
      <c r="A1065" s="204">
        <v>1063</v>
      </c>
      <c r="B1065" s="205" t="s">
        <v>5697</v>
      </c>
      <c r="C1065" s="68" t="s">
        <v>5698</v>
      </c>
      <c r="D1065" s="68" t="s">
        <v>5694</v>
      </c>
    </row>
    <row r="1066" spans="1:4">
      <c r="A1066" s="204">
        <v>1064</v>
      </c>
      <c r="B1066" s="205" t="s">
        <v>5699</v>
      </c>
      <c r="C1066" s="68" t="s">
        <v>5700</v>
      </c>
      <c r="D1066" s="68" t="s">
        <v>5701</v>
      </c>
    </row>
    <row r="1067" spans="1:4">
      <c r="A1067" s="204">
        <v>1065</v>
      </c>
      <c r="B1067" s="205" t="s">
        <v>5702</v>
      </c>
      <c r="C1067" s="68" t="s">
        <v>5703</v>
      </c>
      <c r="D1067" s="68" t="s">
        <v>5701</v>
      </c>
    </row>
    <row r="1068" spans="1:4">
      <c r="A1068" s="204">
        <v>1066</v>
      </c>
      <c r="B1068" s="205" t="s">
        <v>5704</v>
      </c>
      <c r="C1068" s="68" t="s">
        <v>5705</v>
      </c>
      <c r="D1068" s="68" t="s">
        <v>5701</v>
      </c>
    </row>
    <row r="1069" spans="1:4">
      <c r="A1069" s="204">
        <v>1067</v>
      </c>
      <c r="B1069" s="205" t="s">
        <v>5706</v>
      </c>
      <c r="C1069" s="68" t="s">
        <v>5707</v>
      </c>
      <c r="D1069" s="68" t="s">
        <v>5708</v>
      </c>
    </row>
    <row r="1070" spans="1:4">
      <c r="A1070" s="204">
        <v>1068</v>
      </c>
      <c r="B1070" s="205" t="s">
        <v>5709</v>
      </c>
      <c r="C1070" s="68" t="s">
        <v>5710</v>
      </c>
      <c r="D1070" s="68" t="s">
        <v>5708</v>
      </c>
    </row>
    <row r="1071" spans="1:4">
      <c r="A1071" s="204">
        <v>1069</v>
      </c>
      <c r="B1071" s="205" t="s">
        <v>5711</v>
      </c>
      <c r="C1071" s="68" t="s">
        <v>5712</v>
      </c>
      <c r="D1071" s="68" t="s">
        <v>5708</v>
      </c>
    </row>
    <row r="1072" spans="1:4">
      <c r="A1072" s="204">
        <v>1070</v>
      </c>
      <c r="B1072" s="205" t="s">
        <v>5713</v>
      </c>
      <c r="C1072" s="68" t="s">
        <v>5714</v>
      </c>
      <c r="D1072" s="68" t="s">
        <v>5715</v>
      </c>
    </row>
    <row r="1073" spans="1:4">
      <c r="A1073" s="204">
        <v>1071</v>
      </c>
      <c r="B1073" s="205" t="s">
        <v>5716</v>
      </c>
      <c r="C1073" s="68" t="s">
        <v>5717</v>
      </c>
      <c r="D1073" s="68" t="s">
        <v>5718</v>
      </c>
    </row>
    <row r="1074" spans="1:4">
      <c r="A1074" s="204">
        <v>1072</v>
      </c>
      <c r="B1074" s="205" t="s">
        <v>5719</v>
      </c>
      <c r="C1074" s="68" t="s">
        <v>5720</v>
      </c>
      <c r="D1074" s="68" t="s">
        <v>5718</v>
      </c>
    </row>
    <row r="1075" spans="1:4">
      <c r="A1075" s="204">
        <v>1073</v>
      </c>
      <c r="B1075" s="205" t="s">
        <v>5721</v>
      </c>
      <c r="C1075" s="68" t="s">
        <v>5722</v>
      </c>
      <c r="D1075" s="68" t="s">
        <v>5718</v>
      </c>
    </row>
    <row r="1076" spans="1:4">
      <c r="A1076" s="204">
        <v>1074</v>
      </c>
      <c r="B1076" s="205" t="s">
        <v>5723</v>
      </c>
      <c r="C1076" s="68" t="s">
        <v>5724</v>
      </c>
      <c r="D1076" s="68" t="s">
        <v>5725</v>
      </c>
    </row>
    <row r="1077" spans="1:4">
      <c r="A1077" s="204">
        <v>1075</v>
      </c>
      <c r="B1077" s="205" t="s">
        <v>5726</v>
      </c>
      <c r="C1077" s="68" t="s">
        <v>5727</v>
      </c>
      <c r="D1077" s="68" t="s">
        <v>5725</v>
      </c>
    </row>
    <row r="1078" spans="1:4">
      <c r="A1078" s="204">
        <v>1076</v>
      </c>
      <c r="B1078" s="205" t="s">
        <v>5728</v>
      </c>
      <c r="C1078" s="68" t="s">
        <v>5729</v>
      </c>
      <c r="D1078" s="68" t="s">
        <v>5725</v>
      </c>
    </row>
    <row r="1079" spans="1:4">
      <c r="A1079" s="204">
        <v>1077</v>
      </c>
      <c r="B1079" s="205" t="s">
        <v>5730</v>
      </c>
      <c r="C1079" s="68" t="s">
        <v>5731</v>
      </c>
      <c r="D1079" s="68" t="s">
        <v>5725</v>
      </c>
    </row>
    <row r="1080" spans="1:4">
      <c r="A1080" s="204">
        <v>1078</v>
      </c>
      <c r="B1080" s="205" t="s">
        <v>5732</v>
      </c>
      <c r="C1080" s="68" t="s">
        <v>5733</v>
      </c>
      <c r="D1080" s="68" t="s">
        <v>5734</v>
      </c>
    </row>
    <row r="1081" spans="1:4">
      <c r="A1081" s="204">
        <v>1079</v>
      </c>
      <c r="B1081" s="205" t="s">
        <v>5735</v>
      </c>
      <c r="C1081" s="68" t="s">
        <v>5736</v>
      </c>
      <c r="D1081" s="68" t="s">
        <v>5734</v>
      </c>
    </row>
    <row r="1082" spans="1:4">
      <c r="A1082" s="204">
        <v>1080</v>
      </c>
      <c r="B1082" s="205" t="s">
        <v>5737</v>
      </c>
      <c r="C1082" s="68" t="s">
        <v>5738</v>
      </c>
      <c r="D1082" s="68" t="s">
        <v>5734</v>
      </c>
    </row>
    <row r="1083" spans="1:4">
      <c r="A1083" s="204">
        <v>1081</v>
      </c>
      <c r="B1083" s="205" t="s">
        <v>5739</v>
      </c>
      <c r="C1083" s="68" t="s">
        <v>5740</v>
      </c>
      <c r="D1083" s="68" t="s">
        <v>5741</v>
      </c>
    </row>
    <row r="1084" spans="1:4">
      <c r="A1084" s="204">
        <v>1082</v>
      </c>
      <c r="B1084" s="205" t="s">
        <v>5742</v>
      </c>
      <c r="C1084" s="68" t="s">
        <v>5743</v>
      </c>
      <c r="D1084" s="68" t="s">
        <v>5741</v>
      </c>
    </row>
    <row r="1085" spans="1:4">
      <c r="A1085" s="204">
        <v>1083</v>
      </c>
      <c r="B1085" s="205" t="s">
        <v>5744</v>
      </c>
      <c r="C1085" s="68" t="s">
        <v>5745</v>
      </c>
      <c r="D1085" s="68" t="s">
        <v>5746</v>
      </c>
    </row>
    <row r="1086" spans="1:4">
      <c r="A1086" s="204">
        <v>1084</v>
      </c>
      <c r="B1086" s="205" t="s">
        <v>5747</v>
      </c>
      <c r="C1086" s="68" t="s">
        <v>5748</v>
      </c>
      <c r="D1086" s="68" t="s">
        <v>5749</v>
      </c>
    </row>
    <row r="1087" spans="1:4">
      <c r="A1087" s="204">
        <v>1085</v>
      </c>
      <c r="B1087" s="205" t="s">
        <v>5750</v>
      </c>
      <c r="C1087" s="68" t="s">
        <v>5751</v>
      </c>
      <c r="D1087" s="68" t="s">
        <v>5749</v>
      </c>
    </row>
    <row r="1088" spans="1:4">
      <c r="A1088" s="204">
        <v>1086</v>
      </c>
      <c r="B1088" s="205" t="s">
        <v>5752</v>
      </c>
      <c r="C1088" s="68" t="s">
        <v>5753</v>
      </c>
      <c r="D1088" s="68" t="s">
        <v>5754</v>
      </c>
    </row>
    <row r="1089" spans="1:4">
      <c r="A1089" s="204">
        <v>1087</v>
      </c>
      <c r="B1089" s="205" t="s">
        <v>5755</v>
      </c>
      <c r="C1089" s="68" t="s">
        <v>5756</v>
      </c>
      <c r="D1089" s="68" t="s">
        <v>5757</v>
      </c>
    </row>
    <row r="1090" spans="1:4">
      <c r="A1090" s="204">
        <v>1088</v>
      </c>
      <c r="B1090" s="205" t="s">
        <v>5758</v>
      </c>
      <c r="C1090" s="68" t="s">
        <v>5759</v>
      </c>
      <c r="D1090" s="68" t="s">
        <v>5757</v>
      </c>
    </row>
    <row r="1091" spans="1:4">
      <c r="A1091" s="204">
        <v>1089</v>
      </c>
      <c r="B1091" s="205" t="s">
        <v>5760</v>
      </c>
      <c r="C1091" s="68" t="s">
        <v>5761</v>
      </c>
      <c r="D1091" s="68" t="s">
        <v>5762</v>
      </c>
    </row>
    <row r="1092" spans="1:4">
      <c r="A1092" s="204">
        <v>1090</v>
      </c>
      <c r="B1092" s="205" t="s">
        <v>5763</v>
      </c>
      <c r="C1092" s="68" t="s">
        <v>5764</v>
      </c>
      <c r="D1092" s="68" t="s">
        <v>5765</v>
      </c>
    </row>
    <row r="1093" spans="1:4">
      <c r="A1093" s="204">
        <v>1091</v>
      </c>
      <c r="B1093" s="205" t="s">
        <v>5766</v>
      </c>
      <c r="C1093" s="68" t="s">
        <v>5767</v>
      </c>
      <c r="D1093" s="68" t="s">
        <v>5768</v>
      </c>
    </row>
    <row r="1094" spans="1:4">
      <c r="A1094" s="204">
        <v>1092</v>
      </c>
      <c r="B1094" s="205" t="s">
        <v>5699</v>
      </c>
      <c r="C1094" s="68" t="s">
        <v>5700</v>
      </c>
      <c r="D1094" s="68" t="s">
        <v>5701</v>
      </c>
    </row>
    <row r="1095" spans="1:4">
      <c r="A1095" s="204">
        <v>1093</v>
      </c>
      <c r="B1095" s="205" t="s">
        <v>5702</v>
      </c>
      <c r="C1095" s="68" t="s">
        <v>5703</v>
      </c>
      <c r="D1095" s="68" t="s">
        <v>5701</v>
      </c>
    </row>
    <row r="1096" spans="1:4">
      <c r="A1096" s="204">
        <v>1094</v>
      </c>
      <c r="B1096" s="205" t="s">
        <v>5704</v>
      </c>
      <c r="C1096" s="68" t="s">
        <v>5705</v>
      </c>
      <c r="D1096" s="68" t="s">
        <v>5701</v>
      </c>
    </row>
    <row r="1097" spans="1:4">
      <c r="A1097" s="204">
        <v>1095</v>
      </c>
      <c r="B1097" s="205" t="s">
        <v>5706</v>
      </c>
      <c r="C1097" s="68" t="s">
        <v>5707</v>
      </c>
      <c r="D1097" s="68" t="s">
        <v>5708</v>
      </c>
    </row>
    <row r="1098" spans="1:4">
      <c r="A1098" s="204">
        <v>1096</v>
      </c>
      <c r="B1098" s="205" t="s">
        <v>5709</v>
      </c>
      <c r="C1098" s="68" t="s">
        <v>5710</v>
      </c>
      <c r="D1098" s="68" t="s">
        <v>5708</v>
      </c>
    </row>
    <row r="1099" spans="1:4">
      <c r="A1099" s="204">
        <v>1097</v>
      </c>
      <c r="B1099" s="205" t="s">
        <v>5711</v>
      </c>
      <c r="C1099" s="68" t="s">
        <v>5712</v>
      </c>
      <c r="D1099" s="68" t="s">
        <v>5708</v>
      </c>
    </row>
    <row r="1100" spans="1:4">
      <c r="A1100" s="204">
        <v>1098</v>
      </c>
      <c r="B1100" s="205" t="s">
        <v>5713</v>
      </c>
      <c r="C1100" s="68" t="s">
        <v>5714</v>
      </c>
      <c r="D1100" s="68" t="s">
        <v>5715</v>
      </c>
    </row>
    <row r="1101" spans="1:4">
      <c r="A1101" s="204">
        <v>1099</v>
      </c>
      <c r="B1101" s="205" t="s">
        <v>5716</v>
      </c>
      <c r="C1101" s="68" t="s">
        <v>5717</v>
      </c>
      <c r="D1101" s="68" t="s">
        <v>5718</v>
      </c>
    </row>
    <row r="1102" spans="1:4">
      <c r="A1102" s="204">
        <v>1100</v>
      </c>
      <c r="B1102" s="205" t="s">
        <v>5719</v>
      </c>
      <c r="C1102" s="68" t="s">
        <v>5720</v>
      </c>
      <c r="D1102" s="68" t="s">
        <v>5718</v>
      </c>
    </row>
    <row r="1103" spans="1:4">
      <c r="A1103" s="204">
        <v>1101</v>
      </c>
      <c r="B1103" s="205" t="s">
        <v>5721</v>
      </c>
      <c r="C1103" s="68" t="s">
        <v>5722</v>
      </c>
      <c r="D1103" s="68" t="s">
        <v>5718</v>
      </c>
    </row>
    <row r="1104" spans="1:4">
      <c r="A1104" s="204">
        <v>1102</v>
      </c>
      <c r="B1104" s="205" t="s">
        <v>5723</v>
      </c>
      <c r="C1104" s="68" t="s">
        <v>5724</v>
      </c>
      <c r="D1104" s="68" t="s">
        <v>5725</v>
      </c>
    </row>
    <row r="1105" spans="1:4">
      <c r="A1105" s="204">
        <v>1103</v>
      </c>
      <c r="B1105" s="205" t="s">
        <v>5726</v>
      </c>
      <c r="C1105" s="68" t="s">
        <v>5727</v>
      </c>
      <c r="D1105" s="68" t="s">
        <v>5725</v>
      </c>
    </row>
    <row r="1106" spans="1:4">
      <c r="A1106" s="204">
        <v>1104</v>
      </c>
      <c r="B1106" s="205" t="s">
        <v>5728</v>
      </c>
      <c r="C1106" s="68" t="s">
        <v>5729</v>
      </c>
      <c r="D1106" s="68" t="s">
        <v>5725</v>
      </c>
    </row>
    <row r="1107" spans="1:4">
      <c r="A1107" s="204">
        <v>1105</v>
      </c>
      <c r="B1107" s="205" t="s">
        <v>5730</v>
      </c>
      <c r="C1107" s="68" t="s">
        <v>5731</v>
      </c>
      <c r="D1107" s="68" t="s">
        <v>5725</v>
      </c>
    </row>
    <row r="1108" spans="1:4">
      <c r="A1108" s="204">
        <v>1106</v>
      </c>
      <c r="B1108" s="205" t="s">
        <v>5732</v>
      </c>
      <c r="C1108" s="68" t="s">
        <v>5733</v>
      </c>
      <c r="D1108" s="68" t="s">
        <v>5734</v>
      </c>
    </row>
    <row r="1109" spans="1:4">
      <c r="A1109" s="204">
        <v>1107</v>
      </c>
      <c r="B1109" s="205" t="s">
        <v>5735</v>
      </c>
      <c r="C1109" s="68" t="s">
        <v>5736</v>
      </c>
      <c r="D1109" s="68" t="s">
        <v>5734</v>
      </c>
    </row>
    <row r="1110" spans="1:4">
      <c r="A1110" s="204">
        <v>1108</v>
      </c>
      <c r="B1110" s="205" t="s">
        <v>5737</v>
      </c>
      <c r="C1110" s="68" t="s">
        <v>5738</v>
      </c>
      <c r="D1110" s="68" t="s">
        <v>5734</v>
      </c>
    </row>
    <row r="1111" spans="1:4">
      <c r="A1111" s="204">
        <v>1109</v>
      </c>
      <c r="B1111" s="205" t="s">
        <v>5739</v>
      </c>
      <c r="C1111" s="68" t="s">
        <v>5740</v>
      </c>
      <c r="D1111" s="68" t="s">
        <v>5741</v>
      </c>
    </row>
    <row r="1112" spans="1:4">
      <c r="A1112" s="204">
        <v>1110</v>
      </c>
      <c r="B1112" s="205" t="s">
        <v>5742</v>
      </c>
      <c r="C1112" s="68" t="s">
        <v>5743</v>
      </c>
      <c r="D1112" s="68" t="s">
        <v>5741</v>
      </c>
    </row>
    <row r="1113" spans="1:4">
      <c r="A1113" s="204">
        <v>1111</v>
      </c>
      <c r="B1113" s="205" t="s">
        <v>5744</v>
      </c>
      <c r="C1113" s="68" t="s">
        <v>5745</v>
      </c>
      <c r="D1113" s="68" t="s">
        <v>5746</v>
      </c>
    </row>
    <row r="1114" spans="1:4">
      <c r="A1114" s="204">
        <v>1112</v>
      </c>
      <c r="B1114" s="205" t="s">
        <v>5747</v>
      </c>
      <c r="C1114" s="68" t="s">
        <v>5748</v>
      </c>
      <c r="D1114" s="68" t="s">
        <v>5749</v>
      </c>
    </row>
    <row r="1115" spans="1:4">
      <c r="A1115" s="204">
        <v>1113</v>
      </c>
      <c r="B1115" s="205" t="s">
        <v>5750</v>
      </c>
      <c r="C1115" s="68" t="s">
        <v>5751</v>
      </c>
      <c r="D1115" s="68" t="s">
        <v>5749</v>
      </c>
    </row>
    <row r="1116" spans="1:4">
      <c r="A1116" s="204">
        <v>1114</v>
      </c>
      <c r="B1116" s="205" t="s">
        <v>5752</v>
      </c>
      <c r="C1116" s="68" t="s">
        <v>5753</v>
      </c>
      <c r="D1116" s="68" t="s">
        <v>5754</v>
      </c>
    </row>
    <row r="1117" spans="1:4">
      <c r="A1117" s="204">
        <v>1115</v>
      </c>
      <c r="B1117" s="205" t="s">
        <v>5755</v>
      </c>
      <c r="C1117" s="68" t="s">
        <v>5756</v>
      </c>
      <c r="D1117" s="68" t="s">
        <v>5757</v>
      </c>
    </row>
    <row r="1118" spans="1:4">
      <c r="A1118" s="204">
        <v>1116</v>
      </c>
      <c r="B1118" s="205" t="s">
        <v>5758</v>
      </c>
      <c r="C1118" s="68" t="s">
        <v>5759</v>
      </c>
      <c r="D1118" s="68" t="s">
        <v>5757</v>
      </c>
    </row>
    <row r="1119" spans="1:4">
      <c r="A1119" s="204">
        <v>1117</v>
      </c>
      <c r="B1119" s="205" t="s">
        <v>5760</v>
      </c>
      <c r="C1119" s="68" t="s">
        <v>5761</v>
      </c>
      <c r="D1119" s="68" t="s">
        <v>5762</v>
      </c>
    </row>
    <row r="1120" spans="1:4">
      <c r="A1120" s="204">
        <v>1118</v>
      </c>
      <c r="B1120" s="205" t="s">
        <v>5763</v>
      </c>
      <c r="C1120" s="68" t="s">
        <v>5764</v>
      </c>
      <c r="D1120" s="68" t="s">
        <v>5765</v>
      </c>
    </row>
    <row r="1121" spans="1:4">
      <c r="A1121" s="204">
        <v>1119</v>
      </c>
      <c r="B1121" s="205" t="s">
        <v>5766</v>
      </c>
      <c r="C1121" s="68" t="s">
        <v>5767</v>
      </c>
      <c r="D1121" s="68" t="s">
        <v>5768</v>
      </c>
    </row>
    <row r="1122" spans="1:4">
      <c r="A1122" s="204">
        <v>1120</v>
      </c>
      <c r="B1122" s="205" t="s">
        <v>5769</v>
      </c>
      <c r="C1122" s="68" t="s">
        <v>5770</v>
      </c>
      <c r="D1122" s="68" t="s">
        <v>5771</v>
      </c>
    </row>
    <row r="1123" spans="1:4">
      <c r="A1123" s="204">
        <v>1121</v>
      </c>
      <c r="B1123" s="205" t="s">
        <v>5772</v>
      </c>
      <c r="C1123" s="68" t="s">
        <v>5773</v>
      </c>
      <c r="D1123" s="68" t="s">
        <v>5774</v>
      </c>
    </row>
    <row r="1124" spans="1:4">
      <c r="A1124" s="204">
        <v>1122</v>
      </c>
      <c r="B1124" s="205" t="s">
        <v>5775</v>
      </c>
      <c r="C1124" s="68" t="s">
        <v>5776</v>
      </c>
      <c r="D1124" s="68" t="s">
        <v>5774</v>
      </c>
    </row>
    <row r="1125" spans="1:4">
      <c r="A1125" s="204">
        <v>1123</v>
      </c>
      <c r="B1125" s="205" t="s">
        <v>5777</v>
      </c>
      <c r="C1125" s="68" t="s">
        <v>5778</v>
      </c>
      <c r="D1125" s="68" t="s">
        <v>5774</v>
      </c>
    </row>
    <row r="1126" spans="1:4">
      <c r="A1126" s="204">
        <v>1124</v>
      </c>
      <c r="B1126" s="205" t="s">
        <v>5779</v>
      </c>
      <c r="C1126" s="68" t="s">
        <v>5780</v>
      </c>
      <c r="D1126" s="68" t="s">
        <v>5774</v>
      </c>
    </row>
    <row r="1127" spans="1:4">
      <c r="A1127" s="204">
        <v>1125</v>
      </c>
      <c r="B1127" s="205" t="s">
        <v>5781</v>
      </c>
      <c r="C1127" s="68" t="s">
        <v>5782</v>
      </c>
      <c r="D1127" s="68" t="s">
        <v>5783</v>
      </c>
    </row>
    <row r="1128" spans="1:4">
      <c r="A1128" s="204">
        <v>1126</v>
      </c>
      <c r="B1128" s="205" t="s">
        <v>5784</v>
      </c>
      <c r="C1128" s="68" t="s">
        <v>5785</v>
      </c>
      <c r="D1128" s="68" t="s">
        <v>5783</v>
      </c>
    </row>
    <row r="1129" spans="1:4">
      <c r="A1129" s="204">
        <v>1127</v>
      </c>
      <c r="B1129" s="205" t="s">
        <v>5786</v>
      </c>
      <c r="C1129" s="68" t="s">
        <v>5787</v>
      </c>
      <c r="D1129" s="68" t="s">
        <v>5783</v>
      </c>
    </row>
    <row r="1130" spans="1:4">
      <c r="A1130" s="204">
        <v>1128</v>
      </c>
      <c r="B1130" s="205" t="s">
        <v>5788</v>
      </c>
      <c r="C1130" s="68" t="s">
        <v>5789</v>
      </c>
      <c r="D1130" s="68" t="s">
        <v>5783</v>
      </c>
    </row>
    <row r="1131" spans="1:4">
      <c r="A1131" s="204">
        <v>1129</v>
      </c>
      <c r="B1131" s="205" t="s">
        <v>5790</v>
      </c>
      <c r="C1131" s="68" t="s">
        <v>5791</v>
      </c>
      <c r="D1131" s="68" t="s">
        <v>5783</v>
      </c>
    </row>
    <row r="1132" spans="1:4">
      <c r="A1132" s="204">
        <v>1130</v>
      </c>
      <c r="B1132" s="205" t="s">
        <v>5792</v>
      </c>
      <c r="C1132" s="68" t="s">
        <v>5793</v>
      </c>
      <c r="D1132" s="68" t="s">
        <v>5794</v>
      </c>
    </row>
    <row r="1133" spans="1:4">
      <c r="A1133" s="204">
        <v>1131</v>
      </c>
      <c r="B1133" s="205" t="s">
        <v>5795</v>
      </c>
      <c r="C1133" s="68" t="s">
        <v>5796</v>
      </c>
      <c r="D1133" s="68" t="s">
        <v>5794</v>
      </c>
    </row>
    <row r="1134" spans="1:4">
      <c r="A1134" s="204">
        <v>1132</v>
      </c>
      <c r="B1134" s="205" t="s">
        <v>5797</v>
      </c>
      <c r="C1134" s="68" t="s">
        <v>5798</v>
      </c>
      <c r="D1134" s="68" t="s">
        <v>5799</v>
      </c>
    </row>
    <row r="1135" spans="1:4">
      <c r="A1135" s="204">
        <v>1133</v>
      </c>
      <c r="B1135" s="205" t="s">
        <v>5800</v>
      </c>
      <c r="C1135" s="68" t="s">
        <v>5801</v>
      </c>
      <c r="D1135" s="68" t="s">
        <v>5799</v>
      </c>
    </row>
    <row r="1136" spans="1:4">
      <c r="A1136" s="204">
        <v>1134</v>
      </c>
      <c r="B1136" s="205" t="s">
        <v>5802</v>
      </c>
      <c r="C1136" s="68" t="s">
        <v>5803</v>
      </c>
      <c r="D1136" s="68" t="s">
        <v>5804</v>
      </c>
    </row>
    <row r="1137" spans="1:4">
      <c r="A1137" s="204">
        <v>1135</v>
      </c>
      <c r="B1137" s="205" t="s">
        <v>5805</v>
      </c>
      <c r="C1137" s="68" t="s">
        <v>5806</v>
      </c>
      <c r="D1137" s="68" t="s">
        <v>5804</v>
      </c>
    </row>
    <row r="1138" spans="1:4">
      <c r="A1138" s="204">
        <v>1136</v>
      </c>
      <c r="B1138" s="205" t="s">
        <v>5807</v>
      </c>
      <c r="C1138" s="68" t="s">
        <v>5808</v>
      </c>
      <c r="D1138" s="68" t="s">
        <v>5804</v>
      </c>
    </row>
    <row r="1139" spans="1:4">
      <c r="A1139" s="204">
        <v>1137</v>
      </c>
      <c r="B1139" s="205" t="s">
        <v>5809</v>
      </c>
      <c r="C1139" s="68" t="s">
        <v>5810</v>
      </c>
      <c r="D1139" s="68" t="s">
        <v>5811</v>
      </c>
    </row>
    <row r="1140" spans="1:4">
      <c r="A1140" s="204">
        <v>1138</v>
      </c>
      <c r="B1140" s="205" t="s">
        <v>5812</v>
      </c>
      <c r="C1140" s="68" t="s">
        <v>5813</v>
      </c>
      <c r="D1140" s="68" t="s">
        <v>5811</v>
      </c>
    </row>
    <row r="1141" spans="1:4">
      <c r="A1141" s="204">
        <v>1139</v>
      </c>
      <c r="B1141" s="205" t="s">
        <v>5814</v>
      </c>
      <c r="C1141" s="68" t="s">
        <v>5815</v>
      </c>
      <c r="D1141" s="68" t="s">
        <v>5811</v>
      </c>
    </row>
    <row r="1142" spans="1:4">
      <c r="A1142" s="204">
        <v>1140</v>
      </c>
      <c r="B1142" s="205" t="s">
        <v>5816</v>
      </c>
      <c r="C1142" s="68" t="s">
        <v>5817</v>
      </c>
      <c r="D1142" s="68" t="s">
        <v>5818</v>
      </c>
    </row>
    <row r="1143" spans="1:4">
      <c r="A1143" s="204">
        <v>1141</v>
      </c>
      <c r="B1143" s="205" t="s">
        <v>5819</v>
      </c>
      <c r="C1143" s="68" t="s">
        <v>5820</v>
      </c>
      <c r="D1143" s="68" t="s">
        <v>5818</v>
      </c>
    </row>
    <row r="1144" spans="1:4">
      <c r="A1144" s="204">
        <v>1142</v>
      </c>
      <c r="B1144" s="205" t="s">
        <v>5821</v>
      </c>
      <c r="C1144" s="68" t="s">
        <v>5822</v>
      </c>
      <c r="D1144" s="68" t="s">
        <v>5818</v>
      </c>
    </row>
    <row r="1145" spans="1:4">
      <c r="A1145" s="204">
        <v>1143</v>
      </c>
      <c r="B1145" s="205" t="s">
        <v>5823</v>
      </c>
      <c r="C1145" s="68" t="s">
        <v>5824</v>
      </c>
      <c r="D1145" s="68" t="s">
        <v>5818</v>
      </c>
    </row>
    <row r="1146" spans="1:4">
      <c r="A1146" s="204">
        <v>1144</v>
      </c>
      <c r="B1146" s="205" t="s">
        <v>5825</v>
      </c>
      <c r="C1146" s="68" t="s">
        <v>5826</v>
      </c>
      <c r="D1146" s="68" t="s">
        <v>5827</v>
      </c>
    </row>
    <row r="1147" spans="1:4">
      <c r="A1147" s="204">
        <v>1145</v>
      </c>
      <c r="B1147" s="205" t="s">
        <v>5828</v>
      </c>
      <c r="C1147" s="68" t="s">
        <v>5829</v>
      </c>
      <c r="D1147" s="68" t="s">
        <v>5827</v>
      </c>
    </row>
    <row r="1148" spans="1:4">
      <c r="A1148" s="204">
        <v>1146</v>
      </c>
      <c r="B1148" s="205" t="s">
        <v>5830</v>
      </c>
      <c r="C1148" s="68" t="s">
        <v>5831</v>
      </c>
      <c r="D1148" s="68" t="s">
        <v>5827</v>
      </c>
    </row>
    <row r="1149" spans="1:4">
      <c r="A1149" s="204">
        <v>1147</v>
      </c>
      <c r="B1149" s="205" t="s">
        <v>5832</v>
      </c>
      <c r="C1149" s="68" t="s">
        <v>5833</v>
      </c>
      <c r="D1149" s="68" t="s">
        <v>5834</v>
      </c>
    </row>
    <row r="1150" spans="1:4">
      <c r="A1150" s="204">
        <v>1148</v>
      </c>
      <c r="B1150" s="205" t="s">
        <v>5835</v>
      </c>
      <c r="C1150" s="68" t="s">
        <v>5836</v>
      </c>
      <c r="D1150" s="68" t="s">
        <v>5834</v>
      </c>
    </row>
    <row r="1151" spans="1:4">
      <c r="A1151" s="204">
        <v>1149</v>
      </c>
      <c r="B1151" s="205" t="s">
        <v>5837</v>
      </c>
      <c r="C1151" s="68" t="s">
        <v>5838</v>
      </c>
      <c r="D1151" s="68" t="s">
        <v>5834</v>
      </c>
    </row>
    <row r="1152" spans="1:4">
      <c r="A1152" s="204">
        <v>1150</v>
      </c>
      <c r="B1152" s="205" t="s">
        <v>5839</v>
      </c>
      <c r="C1152" s="68" t="s">
        <v>5840</v>
      </c>
      <c r="D1152" s="68" t="s">
        <v>5834</v>
      </c>
    </row>
    <row r="1153" spans="1:4">
      <c r="A1153" s="204">
        <v>1151</v>
      </c>
      <c r="B1153" s="205" t="s">
        <v>5841</v>
      </c>
      <c r="C1153" s="68" t="s">
        <v>5842</v>
      </c>
      <c r="D1153" s="68" t="s">
        <v>5834</v>
      </c>
    </row>
    <row r="1154" spans="1:4">
      <c r="A1154" s="204">
        <v>1152</v>
      </c>
      <c r="B1154" s="205" t="s">
        <v>5843</v>
      </c>
      <c r="C1154" s="68" t="s">
        <v>5844</v>
      </c>
      <c r="D1154" s="68" t="s">
        <v>5845</v>
      </c>
    </row>
    <row r="1155" spans="1:4">
      <c r="A1155" s="204">
        <v>1153</v>
      </c>
      <c r="B1155" s="205" t="s">
        <v>5846</v>
      </c>
      <c r="C1155" s="68" t="s">
        <v>5847</v>
      </c>
      <c r="D1155" s="68" t="s">
        <v>5845</v>
      </c>
    </row>
    <row r="1156" spans="1:4">
      <c r="A1156" s="204">
        <v>1154</v>
      </c>
      <c r="B1156" s="205" t="s">
        <v>5848</v>
      </c>
      <c r="C1156" s="68" t="s">
        <v>5849</v>
      </c>
      <c r="D1156" s="68" t="s">
        <v>5845</v>
      </c>
    </row>
    <row r="1157" spans="1:4">
      <c r="A1157" s="204">
        <v>1155</v>
      </c>
      <c r="B1157" s="205" t="s">
        <v>5850</v>
      </c>
      <c r="C1157" s="68" t="s">
        <v>5851</v>
      </c>
      <c r="D1157" s="68" t="s">
        <v>5845</v>
      </c>
    </row>
    <row r="1158" spans="1:4">
      <c r="A1158" s="204">
        <v>1156</v>
      </c>
      <c r="B1158" s="205" t="s">
        <v>5852</v>
      </c>
      <c r="C1158" s="68" t="s">
        <v>5853</v>
      </c>
      <c r="D1158" s="68" t="s">
        <v>5845</v>
      </c>
    </row>
    <row r="1159" spans="1:4">
      <c r="A1159" s="204">
        <v>1157</v>
      </c>
      <c r="B1159" s="205" t="s">
        <v>5854</v>
      </c>
      <c r="C1159" s="68" t="s">
        <v>5855</v>
      </c>
      <c r="D1159" s="68" t="s">
        <v>5845</v>
      </c>
    </row>
    <row r="1160" spans="1:4">
      <c r="A1160" s="204">
        <v>1158</v>
      </c>
      <c r="B1160" s="205" t="s">
        <v>5856</v>
      </c>
      <c r="C1160" s="68" t="s">
        <v>5857</v>
      </c>
      <c r="D1160" s="68" t="s">
        <v>5858</v>
      </c>
    </row>
    <row r="1161" spans="1:4">
      <c r="A1161" s="204">
        <v>1159</v>
      </c>
      <c r="B1161" s="205" t="s">
        <v>5859</v>
      </c>
      <c r="C1161" s="68" t="s">
        <v>5860</v>
      </c>
      <c r="D1161" s="68" t="s">
        <v>5858</v>
      </c>
    </row>
    <row r="1162" spans="1:4">
      <c r="A1162" s="204">
        <v>1160</v>
      </c>
      <c r="B1162" s="205" t="s">
        <v>5861</v>
      </c>
      <c r="C1162" s="68" t="s">
        <v>5862</v>
      </c>
      <c r="D1162" s="68" t="s">
        <v>5858</v>
      </c>
    </row>
    <row r="1163" spans="1:4">
      <c r="A1163" s="204">
        <v>1161</v>
      </c>
      <c r="B1163" s="205" t="s">
        <v>5863</v>
      </c>
      <c r="C1163" s="68" t="s">
        <v>5864</v>
      </c>
      <c r="D1163" s="68" t="s">
        <v>5858</v>
      </c>
    </row>
    <row r="1164" spans="1:4">
      <c r="A1164" s="204">
        <v>1162</v>
      </c>
      <c r="B1164" s="205" t="s">
        <v>5865</v>
      </c>
      <c r="C1164" s="68" t="s">
        <v>5866</v>
      </c>
      <c r="D1164" s="68" t="s">
        <v>5858</v>
      </c>
    </row>
    <row r="1165" spans="1:4">
      <c r="A1165" s="204">
        <v>1163</v>
      </c>
      <c r="B1165" s="205" t="s">
        <v>5867</v>
      </c>
      <c r="C1165" s="68" t="s">
        <v>5868</v>
      </c>
      <c r="D1165" s="68" t="s">
        <v>5869</v>
      </c>
    </row>
    <row r="1166" spans="1:4">
      <c r="A1166" s="204">
        <v>1164</v>
      </c>
      <c r="B1166" s="205" t="s">
        <v>5870</v>
      </c>
      <c r="C1166" s="68" t="s">
        <v>5871</v>
      </c>
      <c r="D1166" s="68" t="s">
        <v>5872</v>
      </c>
    </row>
  </sheetData>
  <phoneticPr fontId="85" type="noConversion"/>
  <dataValidations count="1">
    <dataValidation type="list" allowBlank="1" sqref="E2:E7" xr:uid="{00000000-0002-0000-0E00-000000000000}">
      <formula1>"Lingyu Meng 孟凌宇,Zhiwen Wang 王志文,Da Xu 徐达,Hepeng Wang 王贺鹏,Zhiang Shen 申志昂,Wei Jin 靳伟"</formula1>
    </dataValidation>
  </dataValidations>
  <hyperlinks>
    <hyperlink ref="B2" r:id="rId1" xr:uid="{00000000-0004-0000-0E00-000000000000}"/>
    <hyperlink ref="B3" r:id="rId2" xr:uid="{00000000-0004-0000-0E00-000001000000}"/>
    <hyperlink ref="B4" r:id="rId3" xr:uid="{00000000-0004-0000-0E00-000002000000}"/>
    <hyperlink ref="B5" r:id="rId4" xr:uid="{00000000-0004-0000-0E00-000003000000}"/>
    <hyperlink ref="B6" r:id="rId5" xr:uid="{00000000-0004-0000-0E00-000004000000}"/>
    <hyperlink ref="B7" r:id="rId6" xr:uid="{00000000-0004-0000-0E00-000005000000}"/>
    <hyperlink ref="B8" r:id="rId7" xr:uid="{00000000-0004-0000-0E00-000006000000}"/>
    <hyperlink ref="B9" r:id="rId8" xr:uid="{00000000-0004-0000-0E00-000007000000}"/>
    <hyperlink ref="B10" r:id="rId9" xr:uid="{00000000-0004-0000-0E00-000008000000}"/>
    <hyperlink ref="B11" r:id="rId10" xr:uid="{00000000-0004-0000-0E00-000009000000}"/>
    <hyperlink ref="B12" r:id="rId11" xr:uid="{00000000-0004-0000-0E00-00000A000000}"/>
    <hyperlink ref="B13" r:id="rId12" xr:uid="{00000000-0004-0000-0E00-00000B000000}"/>
    <hyperlink ref="B14" r:id="rId13" xr:uid="{00000000-0004-0000-0E00-00000C000000}"/>
    <hyperlink ref="B15" r:id="rId14" xr:uid="{00000000-0004-0000-0E00-00000D000000}"/>
    <hyperlink ref="B16" r:id="rId15" xr:uid="{00000000-0004-0000-0E00-00000E000000}"/>
    <hyperlink ref="B17" r:id="rId16" xr:uid="{00000000-0004-0000-0E00-00000F000000}"/>
    <hyperlink ref="B18" r:id="rId17" xr:uid="{00000000-0004-0000-0E00-000010000000}"/>
    <hyperlink ref="B19" r:id="rId18" xr:uid="{00000000-0004-0000-0E00-000011000000}"/>
    <hyperlink ref="B20" r:id="rId19" xr:uid="{00000000-0004-0000-0E00-000012000000}"/>
    <hyperlink ref="B21" r:id="rId20" xr:uid="{00000000-0004-0000-0E00-000013000000}"/>
    <hyperlink ref="B22" r:id="rId21" xr:uid="{00000000-0004-0000-0E00-000014000000}"/>
    <hyperlink ref="B23" r:id="rId22" xr:uid="{00000000-0004-0000-0E00-000015000000}"/>
    <hyperlink ref="B24" r:id="rId23" xr:uid="{00000000-0004-0000-0E00-000016000000}"/>
    <hyperlink ref="B25" r:id="rId24" xr:uid="{00000000-0004-0000-0E00-000017000000}"/>
    <hyperlink ref="B26" r:id="rId25" xr:uid="{00000000-0004-0000-0E00-000018000000}"/>
    <hyperlink ref="B27" r:id="rId26" xr:uid="{00000000-0004-0000-0E00-000019000000}"/>
    <hyperlink ref="B28" r:id="rId27" xr:uid="{00000000-0004-0000-0E00-00001A000000}"/>
    <hyperlink ref="B29" r:id="rId28" xr:uid="{00000000-0004-0000-0E00-00001B000000}"/>
    <hyperlink ref="B30" r:id="rId29" xr:uid="{00000000-0004-0000-0E00-00001C000000}"/>
    <hyperlink ref="B31" r:id="rId30" xr:uid="{00000000-0004-0000-0E00-00001D000000}"/>
    <hyperlink ref="B32" r:id="rId31" xr:uid="{00000000-0004-0000-0E00-00001E000000}"/>
    <hyperlink ref="B33" r:id="rId32" xr:uid="{00000000-0004-0000-0E00-00001F000000}"/>
    <hyperlink ref="B34" r:id="rId33" xr:uid="{00000000-0004-0000-0E00-000020000000}"/>
    <hyperlink ref="B35" r:id="rId34" xr:uid="{00000000-0004-0000-0E00-000021000000}"/>
    <hyperlink ref="B36" r:id="rId35" xr:uid="{00000000-0004-0000-0E00-000022000000}"/>
    <hyperlink ref="B37" r:id="rId36" xr:uid="{00000000-0004-0000-0E00-000023000000}"/>
    <hyperlink ref="B38" r:id="rId37" xr:uid="{00000000-0004-0000-0E00-000024000000}"/>
    <hyperlink ref="B39" r:id="rId38" xr:uid="{00000000-0004-0000-0E00-000025000000}"/>
    <hyperlink ref="B40" r:id="rId39" xr:uid="{00000000-0004-0000-0E00-000026000000}"/>
    <hyperlink ref="B41" r:id="rId40" xr:uid="{00000000-0004-0000-0E00-000027000000}"/>
    <hyperlink ref="B42" r:id="rId41" xr:uid="{00000000-0004-0000-0E00-000028000000}"/>
    <hyperlink ref="B43" r:id="rId42" xr:uid="{00000000-0004-0000-0E00-000029000000}"/>
    <hyperlink ref="B44" r:id="rId43" xr:uid="{00000000-0004-0000-0E00-00002A000000}"/>
    <hyperlink ref="B45" r:id="rId44" xr:uid="{00000000-0004-0000-0E00-00002B000000}"/>
    <hyperlink ref="B46" r:id="rId45" xr:uid="{00000000-0004-0000-0E00-00002C000000}"/>
    <hyperlink ref="B47" r:id="rId46" xr:uid="{00000000-0004-0000-0E00-00002D000000}"/>
    <hyperlink ref="B48" r:id="rId47" xr:uid="{00000000-0004-0000-0E00-00002E000000}"/>
    <hyperlink ref="B49" r:id="rId48" xr:uid="{00000000-0004-0000-0E00-00002F000000}"/>
    <hyperlink ref="B50" r:id="rId49" xr:uid="{00000000-0004-0000-0E00-000030000000}"/>
    <hyperlink ref="B51" r:id="rId50" xr:uid="{00000000-0004-0000-0E00-000031000000}"/>
    <hyperlink ref="B52" r:id="rId51" xr:uid="{00000000-0004-0000-0E00-000032000000}"/>
    <hyperlink ref="B53" r:id="rId52" xr:uid="{00000000-0004-0000-0E00-000033000000}"/>
    <hyperlink ref="B54" r:id="rId53" xr:uid="{00000000-0004-0000-0E00-000034000000}"/>
    <hyperlink ref="B55" r:id="rId54" xr:uid="{00000000-0004-0000-0E00-000035000000}"/>
    <hyperlink ref="B56" r:id="rId55" xr:uid="{00000000-0004-0000-0E00-000036000000}"/>
    <hyperlink ref="B57" r:id="rId56" xr:uid="{00000000-0004-0000-0E00-000037000000}"/>
    <hyperlink ref="B58" r:id="rId57" xr:uid="{00000000-0004-0000-0E00-000038000000}"/>
    <hyperlink ref="B59" r:id="rId58" xr:uid="{00000000-0004-0000-0E00-000039000000}"/>
    <hyperlink ref="B60" r:id="rId59" xr:uid="{00000000-0004-0000-0E00-00003A000000}"/>
    <hyperlink ref="B61" r:id="rId60" xr:uid="{00000000-0004-0000-0E00-00003B000000}"/>
    <hyperlink ref="B62" r:id="rId61" xr:uid="{00000000-0004-0000-0E00-00003C000000}"/>
    <hyperlink ref="B63" r:id="rId62" xr:uid="{00000000-0004-0000-0E00-00003D000000}"/>
    <hyperlink ref="B64" r:id="rId63" xr:uid="{00000000-0004-0000-0E00-00003E000000}"/>
    <hyperlink ref="B65" r:id="rId64" xr:uid="{00000000-0004-0000-0E00-00003F000000}"/>
    <hyperlink ref="B66" r:id="rId65" xr:uid="{00000000-0004-0000-0E00-000040000000}"/>
    <hyperlink ref="B67" r:id="rId66" xr:uid="{00000000-0004-0000-0E00-000041000000}"/>
    <hyperlink ref="B68" r:id="rId67" xr:uid="{00000000-0004-0000-0E00-000042000000}"/>
    <hyperlink ref="B69" r:id="rId68" xr:uid="{00000000-0004-0000-0E00-000043000000}"/>
    <hyperlink ref="B70" r:id="rId69" xr:uid="{00000000-0004-0000-0E00-000044000000}"/>
    <hyperlink ref="B71" r:id="rId70" xr:uid="{00000000-0004-0000-0E00-000045000000}"/>
    <hyperlink ref="B72" r:id="rId71" xr:uid="{00000000-0004-0000-0E00-000046000000}"/>
    <hyperlink ref="B73" r:id="rId72" xr:uid="{00000000-0004-0000-0E00-000047000000}"/>
    <hyperlink ref="B74" r:id="rId73" xr:uid="{00000000-0004-0000-0E00-000048000000}"/>
    <hyperlink ref="B75" r:id="rId74" xr:uid="{00000000-0004-0000-0E00-000049000000}"/>
    <hyperlink ref="B76" r:id="rId75" xr:uid="{00000000-0004-0000-0E00-00004A000000}"/>
    <hyperlink ref="B77" r:id="rId76" xr:uid="{00000000-0004-0000-0E00-00004B000000}"/>
    <hyperlink ref="B78" r:id="rId77" xr:uid="{00000000-0004-0000-0E00-00004C000000}"/>
    <hyperlink ref="B79" r:id="rId78" xr:uid="{00000000-0004-0000-0E00-00004D000000}"/>
    <hyperlink ref="B80" r:id="rId79" xr:uid="{00000000-0004-0000-0E00-00004E000000}"/>
    <hyperlink ref="B81" r:id="rId80" xr:uid="{00000000-0004-0000-0E00-00004F000000}"/>
    <hyperlink ref="B82" r:id="rId81" xr:uid="{00000000-0004-0000-0E00-000050000000}"/>
    <hyperlink ref="B83" r:id="rId82" xr:uid="{00000000-0004-0000-0E00-000051000000}"/>
    <hyperlink ref="B84" r:id="rId83" xr:uid="{00000000-0004-0000-0E00-000052000000}"/>
    <hyperlink ref="B85" r:id="rId84" xr:uid="{00000000-0004-0000-0E00-000053000000}"/>
    <hyperlink ref="B86" r:id="rId85" xr:uid="{00000000-0004-0000-0E00-000054000000}"/>
    <hyperlink ref="B87" r:id="rId86" xr:uid="{00000000-0004-0000-0E00-000055000000}"/>
    <hyperlink ref="B88" r:id="rId87" xr:uid="{00000000-0004-0000-0E00-000056000000}"/>
    <hyperlink ref="B89" r:id="rId88" xr:uid="{00000000-0004-0000-0E00-000057000000}"/>
    <hyperlink ref="B90" r:id="rId89" xr:uid="{00000000-0004-0000-0E00-000058000000}"/>
    <hyperlink ref="B91" r:id="rId90" xr:uid="{00000000-0004-0000-0E00-000059000000}"/>
    <hyperlink ref="B92" r:id="rId91" xr:uid="{00000000-0004-0000-0E00-00005A000000}"/>
    <hyperlink ref="B93" r:id="rId92" xr:uid="{00000000-0004-0000-0E00-00005B000000}"/>
    <hyperlink ref="B94" r:id="rId93" xr:uid="{00000000-0004-0000-0E00-00005C000000}"/>
    <hyperlink ref="B95" r:id="rId94" xr:uid="{00000000-0004-0000-0E00-00005D000000}"/>
    <hyperlink ref="B96" r:id="rId95" xr:uid="{00000000-0004-0000-0E00-00005E000000}"/>
    <hyperlink ref="B97" r:id="rId96" xr:uid="{00000000-0004-0000-0E00-00005F000000}"/>
    <hyperlink ref="B98" r:id="rId97" xr:uid="{00000000-0004-0000-0E00-000060000000}"/>
    <hyperlink ref="B99" r:id="rId98" xr:uid="{00000000-0004-0000-0E00-000061000000}"/>
    <hyperlink ref="B100" r:id="rId99" xr:uid="{00000000-0004-0000-0E00-000062000000}"/>
    <hyperlink ref="B101" r:id="rId100" xr:uid="{00000000-0004-0000-0E00-000063000000}"/>
    <hyperlink ref="B102" r:id="rId101" xr:uid="{00000000-0004-0000-0E00-000064000000}"/>
    <hyperlink ref="B103" r:id="rId102" xr:uid="{00000000-0004-0000-0E00-000065000000}"/>
    <hyperlink ref="B104" r:id="rId103" xr:uid="{00000000-0004-0000-0E00-000066000000}"/>
    <hyperlink ref="B105" r:id="rId104" xr:uid="{00000000-0004-0000-0E00-000067000000}"/>
    <hyperlink ref="B106" r:id="rId105" xr:uid="{00000000-0004-0000-0E00-000068000000}"/>
    <hyperlink ref="B107" r:id="rId106" xr:uid="{00000000-0004-0000-0E00-000069000000}"/>
    <hyperlink ref="B108" r:id="rId107" xr:uid="{00000000-0004-0000-0E00-00006A000000}"/>
    <hyperlink ref="B109" r:id="rId108" xr:uid="{00000000-0004-0000-0E00-00006B000000}"/>
    <hyperlink ref="B110" r:id="rId109" xr:uid="{00000000-0004-0000-0E00-00006C000000}"/>
    <hyperlink ref="B111" r:id="rId110" xr:uid="{00000000-0004-0000-0E00-00006D000000}"/>
    <hyperlink ref="B112" r:id="rId111" xr:uid="{00000000-0004-0000-0E00-00006E000000}"/>
    <hyperlink ref="B113" r:id="rId112" xr:uid="{00000000-0004-0000-0E00-00006F000000}"/>
    <hyperlink ref="B114" r:id="rId113" xr:uid="{00000000-0004-0000-0E00-000070000000}"/>
    <hyperlink ref="B115" r:id="rId114" xr:uid="{00000000-0004-0000-0E00-000071000000}"/>
    <hyperlink ref="B116" r:id="rId115" xr:uid="{00000000-0004-0000-0E00-000072000000}"/>
    <hyperlink ref="B117" r:id="rId116" xr:uid="{00000000-0004-0000-0E00-000073000000}"/>
    <hyperlink ref="B118" r:id="rId117" xr:uid="{00000000-0004-0000-0E00-000074000000}"/>
    <hyperlink ref="B119" r:id="rId118" xr:uid="{00000000-0004-0000-0E00-000075000000}"/>
    <hyperlink ref="B120" r:id="rId119" xr:uid="{00000000-0004-0000-0E00-000076000000}"/>
    <hyperlink ref="B121" r:id="rId120" xr:uid="{00000000-0004-0000-0E00-000077000000}"/>
    <hyperlink ref="B122" r:id="rId121" xr:uid="{00000000-0004-0000-0E00-000078000000}"/>
    <hyperlink ref="B123" r:id="rId122" xr:uid="{00000000-0004-0000-0E00-000079000000}"/>
    <hyperlink ref="B124" r:id="rId123" xr:uid="{00000000-0004-0000-0E00-00007A000000}"/>
    <hyperlink ref="B125" r:id="rId124" xr:uid="{00000000-0004-0000-0E00-00007B000000}"/>
    <hyperlink ref="B126" r:id="rId125" xr:uid="{00000000-0004-0000-0E00-00007C000000}"/>
    <hyperlink ref="B127" r:id="rId126" xr:uid="{00000000-0004-0000-0E00-00007D000000}"/>
    <hyperlink ref="B128" r:id="rId127" xr:uid="{00000000-0004-0000-0E00-00007E000000}"/>
    <hyperlink ref="B129" r:id="rId128" xr:uid="{00000000-0004-0000-0E00-00007F000000}"/>
    <hyperlink ref="B130" r:id="rId129" xr:uid="{00000000-0004-0000-0E00-000080000000}"/>
    <hyperlink ref="B131" r:id="rId130" xr:uid="{00000000-0004-0000-0E00-000081000000}"/>
    <hyperlink ref="B132" r:id="rId131" xr:uid="{00000000-0004-0000-0E00-000082000000}"/>
    <hyperlink ref="B133" r:id="rId132" xr:uid="{00000000-0004-0000-0E00-000083000000}"/>
    <hyperlink ref="B134" r:id="rId133" xr:uid="{00000000-0004-0000-0E00-000084000000}"/>
    <hyperlink ref="B135" r:id="rId134" xr:uid="{00000000-0004-0000-0E00-000085000000}"/>
    <hyperlink ref="B136" r:id="rId135" xr:uid="{00000000-0004-0000-0E00-000086000000}"/>
    <hyperlink ref="B137" r:id="rId136" xr:uid="{00000000-0004-0000-0E00-000087000000}"/>
    <hyperlink ref="B138" r:id="rId137" xr:uid="{00000000-0004-0000-0E00-000088000000}"/>
    <hyperlink ref="B139" r:id="rId138" xr:uid="{00000000-0004-0000-0E00-000089000000}"/>
    <hyperlink ref="B140" r:id="rId139" xr:uid="{00000000-0004-0000-0E00-00008A000000}"/>
    <hyperlink ref="B141" r:id="rId140" xr:uid="{00000000-0004-0000-0E00-00008B000000}"/>
    <hyperlink ref="B142" r:id="rId141" xr:uid="{00000000-0004-0000-0E00-00008C000000}"/>
    <hyperlink ref="B143" r:id="rId142" xr:uid="{00000000-0004-0000-0E00-00008D000000}"/>
    <hyperlink ref="B144" r:id="rId143" xr:uid="{00000000-0004-0000-0E00-00008E000000}"/>
    <hyperlink ref="B145" r:id="rId144" xr:uid="{00000000-0004-0000-0E00-00008F000000}"/>
    <hyperlink ref="B146" r:id="rId145" xr:uid="{00000000-0004-0000-0E00-000090000000}"/>
    <hyperlink ref="B147" r:id="rId146" xr:uid="{00000000-0004-0000-0E00-000091000000}"/>
    <hyperlink ref="B148" r:id="rId147" xr:uid="{00000000-0004-0000-0E00-000092000000}"/>
    <hyperlink ref="B149" r:id="rId148" xr:uid="{00000000-0004-0000-0E00-000093000000}"/>
    <hyperlink ref="B150" r:id="rId149" xr:uid="{00000000-0004-0000-0E00-000094000000}"/>
    <hyperlink ref="B151" r:id="rId150" xr:uid="{00000000-0004-0000-0E00-000095000000}"/>
    <hyperlink ref="B152" r:id="rId151" xr:uid="{00000000-0004-0000-0E00-000096000000}"/>
    <hyperlink ref="B153" r:id="rId152" xr:uid="{00000000-0004-0000-0E00-000097000000}"/>
    <hyperlink ref="B154" r:id="rId153" xr:uid="{00000000-0004-0000-0E00-000098000000}"/>
    <hyperlink ref="B155" r:id="rId154" xr:uid="{00000000-0004-0000-0E00-000099000000}"/>
    <hyperlink ref="B156" r:id="rId155" xr:uid="{00000000-0004-0000-0E00-00009A000000}"/>
    <hyperlink ref="B157" r:id="rId156" xr:uid="{00000000-0004-0000-0E00-00009B000000}"/>
    <hyperlink ref="B158" r:id="rId157" xr:uid="{00000000-0004-0000-0E00-00009C000000}"/>
    <hyperlink ref="B159" r:id="rId158" xr:uid="{00000000-0004-0000-0E00-00009D000000}"/>
    <hyperlink ref="B160" r:id="rId159" xr:uid="{00000000-0004-0000-0E00-00009E000000}"/>
    <hyperlink ref="B161" r:id="rId160" xr:uid="{00000000-0004-0000-0E00-00009F000000}"/>
    <hyperlink ref="B162" r:id="rId161" xr:uid="{00000000-0004-0000-0E00-0000A0000000}"/>
    <hyperlink ref="B163" r:id="rId162" xr:uid="{00000000-0004-0000-0E00-0000A1000000}"/>
    <hyperlink ref="B164" r:id="rId163" xr:uid="{00000000-0004-0000-0E00-0000A2000000}"/>
    <hyperlink ref="B165" r:id="rId164" xr:uid="{00000000-0004-0000-0E00-0000A3000000}"/>
    <hyperlink ref="B166" r:id="rId165" xr:uid="{00000000-0004-0000-0E00-0000A4000000}"/>
    <hyperlink ref="B167" r:id="rId166" xr:uid="{00000000-0004-0000-0E00-0000A5000000}"/>
    <hyperlink ref="B168" r:id="rId167" xr:uid="{00000000-0004-0000-0E00-0000A6000000}"/>
    <hyperlink ref="B169" r:id="rId168" xr:uid="{00000000-0004-0000-0E00-0000A7000000}"/>
    <hyperlink ref="B170" r:id="rId169" xr:uid="{00000000-0004-0000-0E00-0000A8000000}"/>
    <hyperlink ref="B171" r:id="rId170" xr:uid="{00000000-0004-0000-0E00-0000A9000000}"/>
    <hyperlink ref="B172" r:id="rId171" xr:uid="{00000000-0004-0000-0E00-0000AA000000}"/>
    <hyperlink ref="B173" r:id="rId172" xr:uid="{00000000-0004-0000-0E00-0000AB000000}"/>
    <hyperlink ref="B174" r:id="rId173" xr:uid="{00000000-0004-0000-0E00-0000AC000000}"/>
    <hyperlink ref="B175" r:id="rId174" xr:uid="{00000000-0004-0000-0E00-0000AD000000}"/>
    <hyperlink ref="B176" r:id="rId175" xr:uid="{00000000-0004-0000-0E00-0000AE000000}"/>
    <hyperlink ref="B177" r:id="rId176" xr:uid="{00000000-0004-0000-0E00-0000AF000000}"/>
    <hyperlink ref="B178" r:id="rId177" xr:uid="{00000000-0004-0000-0E00-0000B0000000}"/>
    <hyperlink ref="B179" r:id="rId178" xr:uid="{00000000-0004-0000-0E00-0000B1000000}"/>
    <hyperlink ref="B180" r:id="rId179" xr:uid="{00000000-0004-0000-0E00-0000B2000000}"/>
    <hyperlink ref="B181" r:id="rId180" xr:uid="{00000000-0004-0000-0E00-0000B3000000}"/>
    <hyperlink ref="B182" r:id="rId181" xr:uid="{00000000-0004-0000-0E00-0000B4000000}"/>
    <hyperlink ref="B183" r:id="rId182" xr:uid="{00000000-0004-0000-0E00-0000B5000000}"/>
    <hyperlink ref="B184" r:id="rId183" xr:uid="{00000000-0004-0000-0E00-0000B6000000}"/>
    <hyperlink ref="B185" r:id="rId184" xr:uid="{00000000-0004-0000-0E00-0000B7000000}"/>
    <hyperlink ref="B186" r:id="rId185" xr:uid="{00000000-0004-0000-0E00-0000B8000000}"/>
    <hyperlink ref="B187" r:id="rId186" xr:uid="{00000000-0004-0000-0E00-0000B9000000}"/>
    <hyperlink ref="B188" r:id="rId187" xr:uid="{00000000-0004-0000-0E00-0000BA000000}"/>
    <hyperlink ref="B189" r:id="rId188" xr:uid="{00000000-0004-0000-0E00-0000BB000000}"/>
    <hyperlink ref="B190" r:id="rId189" xr:uid="{00000000-0004-0000-0E00-0000BC000000}"/>
    <hyperlink ref="B191" r:id="rId190" xr:uid="{00000000-0004-0000-0E00-0000BD000000}"/>
    <hyperlink ref="B192" r:id="rId191" xr:uid="{00000000-0004-0000-0E00-0000BE000000}"/>
    <hyperlink ref="B193" r:id="rId192" xr:uid="{00000000-0004-0000-0E00-0000BF000000}"/>
    <hyperlink ref="B194" r:id="rId193" xr:uid="{00000000-0004-0000-0E00-0000C0000000}"/>
    <hyperlink ref="B195" r:id="rId194" xr:uid="{00000000-0004-0000-0E00-0000C1000000}"/>
    <hyperlink ref="B196" r:id="rId195" xr:uid="{00000000-0004-0000-0E00-0000C2000000}"/>
    <hyperlink ref="B197" r:id="rId196" xr:uid="{00000000-0004-0000-0E00-0000C3000000}"/>
    <hyperlink ref="B198" r:id="rId197" xr:uid="{00000000-0004-0000-0E00-0000C4000000}"/>
    <hyperlink ref="B199" r:id="rId198" xr:uid="{00000000-0004-0000-0E00-0000C5000000}"/>
    <hyperlink ref="B200" r:id="rId199" xr:uid="{00000000-0004-0000-0E00-0000C6000000}"/>
    <hyperlink ref="B201" r:id="rId200" xr:uid="{00000000-0004-0000-0E00-0000C7000000}"/>
    <hyperlink ref="B202" r:id="rId201" xr:uid="{00000000-0004-0000-0E00-0000C8000000}"/>
    <hyperlink ref="B203" r:id="rId202" xr:uid="{00000000-0004-0000-0E00-0000C9000000}"/>
    <hyperlink ref="B204" r:id="rId203" xr:uid="{00000000-0004-0000-0E00-0000CA000000}"/>
    <hyperlink ref="B205" r:id="rId204" xr:uid="{00000000-0004-0000-0E00-0000CB000000}"/>
    <hyperlink ref="B206" r:id="rId205" xr:uid="{00000000-0004-0000-0E00-0000CC000000}"/>
    <hyperlink ref="B207" r:id="rId206" xr:uid="{00000000-0004-0000-0E00-0000CD000000}"/>
    <hyperlink ref="B208" r:id="rId207" xr:uid="{00000000-0004-0000-0E00-0000CE000000}"/>
    <hyperlink ref="B209" r:id="rId208" xr:uid="{00000000-0004-0000-0E00-0000CF000000}"/>
    <hyperlink ref="B210" r:id="rId209" xr:uid="{00000000-0004-0000-0E00-0000D0000000}"/>
    <hyperlink ref="B211" r:id="rId210" xr:uid="{00000000-0004-0000-0E00-0000D1000000}"/>
    <hyperlink ref="B212" r:id="rId211" xr:uid="{00000000-0004-0000-0E00-0000D2000000}"/>
    <hyperlink ref="B213" r:id="rId212" xr:uid="{00000000-0004-0000-0E00-0000D3000000}"/>
    <hyperlink ref="B214" r:id="rId213" xr:uid="{00000000-0004-0000-0E00-0000D4000000}"/>
    <hyperlink ref="B215" r:id="rId214" xr:uid="{00000000-0004-0000-0E00-0000D5000000}"/>
    <hyperlink ref="B216" r:id="rId215" xr:uid="{00000000-0004-0000-0E00-0000D6000000}"/>
    <hyperlink ref="B217" r:id="rId216" xr:uid="{00000000-0004-0000-0E00-0000D7000000}"/>
    <hyperlink ref="B218" r:id="rId217" xr:uid="{00000000-0004-0000-0E00-0000D8000000}"/>
    <hyperlink ref="B219" r:id="rId218" xr:uid="{00000000-0004-0000-0E00-0000D9000000}"/>
    <hyperlink ref="B220" r:id="rId219" xr:uid="{00000000-0004-0000-0E00-0000DA000000}"/>
    <hyperlink ref="B221" r:id="rId220" xr:uid="{00000000-0004-0000-0E00-0000DB000000}"/>
    <hyperlink ref="B222" r:id="rId221" xr:uid="{00000000-0004-0000-0E00-0000DC000000}"/>
    <hyperlink ref="B223" r:id="rId222" xr:uid="{00000000-0004-0000-0E00-0000DD000000}"/>
    <hyperlink ref="B224" r:id="rId223" xr:uid="{00000000-0004-0000-0E00-0000DE000000}"/>
    <hyperlink ref="B225" r:id="rId224" xr:uid="{00000000-0004-0000-0E00-0000DF000000}"/>
    <hyperlink ref="B226" r:id="rId225" xr:uid="{00000000-0004-0000-0E00-0000E0000000}"/>
    <hyperlink ref="B227" r:id="rId226" xr:uid="{00000000-0004-0000-0E00-0000E1000000}"/>
    <hyperlink ref="B228" r:id="rId227" xr:uid="{00000000-0004-0000-0E00-0000E2000000}"/>
    <hyperlink ref="B229" r:id="rId228" xr:uid="{00000000-0004-0000-0E00-0000E3000000}"/>
    <hyperlink ref="B230" r:id="rId229" xr:uid="{00000000-0004-0000-0E00-0000E4000000}"/>
    <hyperlink ref="B231" r:id="rId230" xr:uid="{00000000-0004-0000-0E00-0000E5000000}"/>
    <hyperlink ref="B232" r:id="rId231" xr:uid="{00000000-0004-0000-0E00-0000E6000000}"/>
    <hyperlink ref="B233" r:id="rId232" xr:uid="{00000000-0004-0000-0E00-0000E7000000}"/>
    <hyperlink ref="B234" r:id="rId233" xr:uid="{00000000-0004-0000-0E00-0000E8000000}"/>
    <hyperlink ref="B235" r:id="rId234" xr:uid="{00000000-0004-0000-0E00-0000E9000000}"/>
    <hyperlink ref="B236" r:id="rId235" xr:uid="{00000000-0004-0000-0E00-0000EA000000}"/>
    <hyperlink ref="B237" r:id="rId236" xr:uid="{00000000-0004-0000-0E00-0000EB000000}"/>
    <hyperlink ref="B238" r:id="rId237" xr:uid="{00000000-0004-0000-0E00-0000EC000000}"/>
    <hyperlink ref="B239" r:id="rId238" xr:uid="{00000000-0004-0000-0E00-0000ED000000}"/>
    <hyperlink ref="B240" r:id="rId239" xr:uid="{00000000-0004-0000-0E00-0000EE000000}"/>
    <hyperlink ref="B241" r:id="rId240" xr:uid="{00000000-0004-0000-0E00-0000EF000000}"/>
    <hyperlink ref="B242" r:id="rId241" xr:uid="{00000000-0004-0000-0E00-0000F0000000}"/>
    <hyperlink ref="B243" r:id="rId242" xr:uid="{00000000-0004-0000-0E00-0000F1000000}"/>
    <hyperlink ref="B244" r:id="rId243" xr:uid="{00000000-0004-0000-0E00-0000F2000000}"/>
    <hyperlink ref="B245" r:id="rId244" xr:uid="{00000000-0004-0000-0E00-0000F3000000}"/>
    <hyperlink ref="B246" r:id="rId245" xr:uid="{00000000-0004-0000-0E00-0000F4000000}"/>
    <hyperlink ref="B247" r:id="rId246" xr:uid="{00000000-0004-0000-0E00-0000F5000000}"/>
    <hyperlink ref="B248" r:id="rId247" xr:uid="{00000000-0004-0000-0E00-0000F6000000}"/>
    <hyperlink ref="B249" r:id="rId248" xr:uid="{00000000-0004-0000-0E00-0000F7000000}"/>
    <hyperlink ref="B250" r:id="rId249" xr:uid="{00000000-0004-0000-0E00-0000F8000000}"/>
    <hyperlink ref="B251" r:id="rId250" xr:uid="{00000000-0004-0000-0E00-0000F9000000}"/>
    <hyperlink ref="B252" r:id="rId251" xr:uid="{00000000-0004-0000-0E00-0000FA000000}"/>
    <hyperlink ref="B253" r:id="rId252" xr:uid="{00000000-0004-0000-0E00-0000FB000000}"/>
    <hyperlink ref="B254" r:id="rId253" xr:uid="{00000000-0004-0000-0E00-0000FC000000}"/>
    <hyperlink ref="B255" r:id="rId254" xr:uid="{00000000-0004-0000-0E00-0000FD000000}"/>
    <hyperlink ref="B256" r:id="rId255" xr:uid="{00000000-0004-0000-0E00-0000FE000000}"/>
    <hyperlink ref="B257" r:id="rId256" xr:uid="{00000000-0004-0000-0E00-0000FF000000}"/>
    <hyperlink ref="B258" r:id="rId257" xr:uid="{00000000-0004-0000-0E00-000000010000}"/>
    <hyperlink ref="B259" r:id="rId258" xr:uid="{00000000-0004-0000-0E00-000001010000}"/>
    <hyperlink ref="B260" r:id="rId259" xr:uid="{00000000-0004-0000-0E00-000002010000}"/>
    <hyperlink ref="B261" r:id="rId260" xr:uid="{00000000-0004-0000-0E00-000003010000}"/>
    <hyperlink ref="B262" r:id="rId261" xr:uid="{00000000-0004-0000-0E00-000004010000}"/>
    <hyperlink ref="B263" r:id="rId262" xr:uid="{00000000-0004-0000-0E00-000005010000}"/>
    <hyperlink ref="B264" r:id="rId263" xr:uid="{00000000-0004-0000-0E00-000006010000}"/>
    <hyperlink ref="B265" r:id="rId264" xr:uid="{00000000-0004-0000-0E00-000007010000}"/>
    <hyperlink ref="B266" r:id="rId265" xr:uid="{00000000-0004-0000-0E00-000008010000}"/>
    <hyperlink ref="B267" r:id="rId266" xr:uid="{00000000-0004-0000-0E00-000009010000}"/>
    <hyperlink ref="B268" r:id="rId267" xr:uid="{00000000-0004-0000-0E00-00000A010000}"/>
    <hyperlink ref="B269" r:id="rId268" xr:uid="{00000000-0004-0000-0E00-00000B010000}"/>
    <hyperlink ref="B270" r:id="rId269" xr:uid="{00000000-0004-0000-0E00-00000C010000}"/>
    <hyperlink ref="B271" r:id="rId270" xr:uid="{00000000-0004-0000-0E00-00000D010000}"/>
    <hyperlink ref="B272" r:id="rId271" xr:uid="{00000000-0004-0000-0E00-00000E010000}"/>
    <hyperlink ref="B273" r:id="rId272" xr:uid="{00000000-0004-0000-0E00-00000F010000}"/>
    <hyperlink ref="B274" r:id="rId273" xr:uid="{00000000-0004-0000-0E00-000010010000}"/>
    <hyperlink ref="B275" r:id="rId274" xr:uid="{00000000-0004-0000-0E00-000011010000}"/>
    <hyperlink ref="B276" r:id="rId275" xr:uid="{00000000-0004-0000-0E00-000012010000}"/>
    <hyperlink ref="B277" r:id="rId276" xr:uid="{00000000-0004-0000-0E00-000013010000}"/>
    <hyperlink ref="B278" r:id="rId277" xr:uid="{00000000-0004-0000-0E00-000014010000}"/>
    <hyperlink ref="B279" r:id="rId278" xr:uid="{00000000-0004-0000-0E00-000015010000}"/>
    <hyperlink ref="B280" r:id="rId279" xr:uid="{00000000-0004-0000-0E00-000016010000}"/>
    <hyperlink ref="B281" r:id="rId280" xr:uid="{00000000-0004-0000-0E00-000017010000}"/>
    <hyperlink ref="B282" r:id="rId281" xr:uid="{00000000-0004-0000-0E00-000018010000}"/>
    <hyperlink ref="B283" r:id="rId282" xr:uid="{00000000-0004-0000-0E00-000019010000}"/>
    <hyperlink ref="B284" r:id="rId283" xr:uid="{00000000-0004-0000-0E00-00001A010000}"/>
    <hyperlink ref="B285" r:id="rId284" xr:uid="{00000000-0004-0000-0E00-00001B010000}"/>
    <hyperlink ref="B286" r:id="rId285" xr:uid="{00000000-0004-0000-0E00-00001C010000}"/>
    <hyperlink ref="B287" r:id="rId286" xr:uid="{00000000-0004-0000-0E00-00001D010000}"/>
    <hyperlink ref="B288" r:id="rId287" xr:uid="{00000000-0004-0000-0E00-00001E010000}"/>
    <hyperlink ref="B289" r:id="rId288" xr:uid="{00000000-0004-0000-0E00-00001F010000}"/>
    <hyperlink ref="B290" r:id="rId289" xr:uid="{00000000-0004-0000-0E00-000020010000}"/>
    <hyperlink ref="B291" r:id="rId290" xr:uid="{00000000-0004-0000-0E00-000021010000}"/>
    <hyperlink ref="B292" r:id="rId291" xr:uid="{00000000-0004-0000-0E00-000022010000}"/>
    <hyperlink ref="B293" r:id="rId292" xr:uid="{00000000-0004-0000-0E00-000023010000}"/>
    <hyperlink ref="B294" r:id="rId293" xr:uid="{00000000-0004-0000-0E00-000024010000}"/>
    <hyperlink ref="B295" r:id="rId294" xr:uid="{00000000-0004-0000-0E00-000025010000}"/>
    <hyperlink ref="B296" r:id="rId295" xr:uid="{00000000-0004-0000-0E00-000026010000}"/>
    <hyperlink ref="B297" r:id="rId296" xr:uid="{00000000-0004-0000-0E00-000027010000}"/>
    <hyperlink ref="B298" r:id="rId297" xr:uid="{00000000-0004-0000-0E00-000028010000}"/>
    <hyperlink ref="B299" r:id="rId298" xr:uid="{00000000-0004-0000-0E00-000029010000}"/>
    <hyperlink ref="B300" r:id="rId299" xr:uid="{00000000-0004-0000-0E00-00002A010000}"/>
    <hyperlink ref="B301" r:id="rId300" xr:uid="{00000000-0004-0000-0E00-00002B010000}"/>
    <hyperlink ref="B302" r:id="rId301" xr:uid="{00000000-0004-0000-0E00-00002C010000}"/>
    <hyperlink ref="B303" r:id="rId302" xr:uid="{00000000-0004-0000-0E00-00002D010000}"/>
    <hyperlink ref="B304" r:id="rId303" xr:uid="{00000000-0004-0000-0E00-00002E010000}"/>
    <hyperlink ref="B305" r:id="rId304" xr:uid="{00000000-0004-0000-0E00-00002F010000}"/>
    <hyperlink ref="B306" r:id="rId305" xr:uid="{00000000-0004-0000-0E00-000030010000}"/>
    <hyperlink ref="B307" r:id="rId306" xr:uid="{00000000-0004-0000-0E00-000031010000}"/>
    <hyperlink ref="B308" r:id="rId307" xr:uid="{00000000-0004-0000-0E00-000032010000}"/>
    <hyperlink ref="B309" r:id="rId308" xr:uid="{00000000-0004-0000-0E00-000033010000}"/>
    <hyperlink ref="B310" r:id="rId309" xr:uid="{00000000-0004-0000-0E00-000034010000}"/>
    <hyperlink ref="B311" r:id="rId310" xr:uid="{00000000-0004-0000-0E00-000035010000}"/>
    <hyperlink ref="B312" r:id="rId311" xr:uid="{00000000-0004-0000-0E00-000036010000}"/>
    <hyperlink ref="B313" r:id="rId312" xr:uid="{00000000-0004-0000-0E00-000037010000}"/>
    <hyperlink ref="B314" r:id="rId313" xr:uid="{00000000-0004-0000-0E00-000038010000}"/>
    <hyperlink ref="B315" r:id="rId314" xr:uid="{00000000-0004-0000-0E00-000039010000}"/>
    <hyperlink ref="B316" r:id="rId315" xr:uid="{00000000-0004-0000-0E00-00003A010000}"/>
    <hyperlink ref="B317" r:id="rId316" xr:uid="{00000000-0004-0000-0E00-00003B010000}"/>
    <hyperlink ref="B318" r:id="rId317" xr:uid="{00000000-0004-0000-0E00-00003C010000}"/>
    <hyperlink ref="B319" r:id="rId318" xr:uid="{00000000-0004-0000-0E00-00003D010000}"/>
    <hyperlink ref="B320" r:id="rId319" xr:uid="{00000000-0004-0000-0E00-00003E010000}"/>
    <hyperlink ref="B321" r:id="rId320" xr:uid="{00000000-0004-0000-0E00-00003F010000}"/>
    <hyperlink ref="B322" r:id="rId321" xr:uid="{00000000-0004-0000-0E00-000040010000}"/>
    <hyperlink ref="B323" r:id="rId322" xr:uid="{00000000-0004-0000-0E00-000041010000}"/>
    <hyperlink ref="B324" r:id="rId323" xr:uid="{00000000-0004-0000-0E00-000042010000}"/>
    <hyperlink ref="B325" r:id="rId324" xr:uid="{00000000-0004-0000-0E00-000043010000}"/>
    <hyperlink ref="B326" r:id="rId325" xr:uid="{00000000-0004-0000-0E00-000044010000}"/>
    <hyperlink ref="B327" r:id="rId326" xr:uid="{00000000-0004-0000-0E00-000045010000}"/>
    <hyperlink ref="B328" r:id="rId327" xr:uid="{00000000-0004-0000-0E00-000046010000}"/>
    <hyperlink ref="B329" r:id="rId328" xr:uid="{00000000-0004-0000-0E00-000047010000}"/>
    <hyperlink ref="B330" r:id="rId329" xr:uid="{00000000-0004-0000-0E00-000048010000}"/>
    <hyperlink ref="B331" r:id="rId330" xr:uid="{00000000-0004-0000-0E00-000049010000}"/>
    <hyperlink ref="B332" r:id="rId331" xr:uid="{00000000-0004-0000-0E00-00004A010000}"/>
    <hyperlink ref="B333" r:id="rId332" xr:uid="{00000000-0004-0000-0E00-00004B010000}"/>
    <hyperlink ref="B334" r:id="rId333" xr:uid="{00000000-0004-0000-0E00-00004C010000}"/>
    <hyperlink ref="B335" r:id="rId334" xr:uid="{00000000-0004-0000-0E00-00004D010000}"/>
    <hyperlink ref="B336" r:id="rId335" xr:uid="{00000000-0004-0000-0E00-00004E010000}"/>
    <hyperlink ref="B337" r:id="rId336" xr:uid="{00000000-0004-0000-0E00-00004F010000}"/>
    <hyperlink ref="B338" r:id="rId337" xr:uid="{00000000-0004-0000-0E00-000050010000}"/>
    <hyperlink ref="B339" r:id="rId338" xr:uid="{00000000-0004-0000-0E00-000051010000}"/>
    <hyperlink ref="B340" r:id="rId339" xr:uid="{00000000-0004-0000-0E00-000052010000}"/>
    <hyperlink ref="B341" r:id="rId340" xr:uid="{00000000-0004-0000-0E00-000053010000}"/>
    <hyperlink ref="B342" r:id="rId341" xr:uid="{00000000-0004-0000-0E00-000054010000}"/>
    <hyperlink ref="B343" r:id="rId342" xr:uid="{00000000-0004-0000-0E00-000055010000}"/>
    <hyperlink ref="B344" r:id="rId343" xr:uid="{00000000-0004-0000-0E00-000056010000}"/>
    <hyperlink ref="B345" r:id="rId344" xr:uid="{00000000-0004-0000-0E00-000057010000}"/>
    <hyperlink ref="B346" r:id="rId345" xr:uid="{00000000-0004-0000-0E00-000058010000}"/>
    <hyperlink ref="B347" r:id="rId346" xr:uid="{00000000-0004-0000-0E00-000059010000}"/>
    <hyperlink ref="B348" r:id="rId347" xr:uid="{00000000-0004-0000-0E00-00005A010000}"/>
    <hyperlink ref="B349" r:id="rId348" xr:uid="{00000000-0004-0000-0E00-00005B010000}"/>
    <hyperlink ref="B350" r:id="rId349" xr:uid="{00000000-0004-0000-0E00-00005C010000}"/>
    <hyperlink ref="B351" r:id="rId350" xr:uid="{00000000-0004-0000-0E00-00005D010000}"/>
    <hyperlink ref="B352" r:id="rId351" xr:uid="{00000000-0004-0000-0E00-00005E010000}"/>
    <hyperlink ref="B353" r:id="rId352" xr:uid="{00000000-0004-0000-0E00-00005F010000}"/>
    <hyperlink ref="B354" r:id="rId353" xr:uid="{00000000-0004-0000-0E00-000060010000}"/>
    <hyperlink ref="B355" r:id="rId354" xr:uid="{00000000-0004-0000-0E00-000061010000}"/>
    <hyperlink ref="B356" r:id="rId355" xr:uid="{00000000-0004-0000-0E00-000062010000}"/>
    <hyperlink ref="B357" r:id="rId356" xr:uid="{00000000-0004-0000-0E00-000063010000}"/>
    <hyperlink ref="B358" r:id="rId357" xr:uid="{00000000-0004-0000-0E00-000064010000}"/>
    <hyperlink ref="B359" r:id="rId358" xr:uid="{00000000-0004-0000-0E00-000065010000}"/>
    <hyperlink ref="B360" r:id="rId359" xr:uid="{00000000-0004-0000-0E00-000066010000}"/>
    <hyperlink ref="B361" r:id="rId360" xr:uid="{00000000-0004-0000-0E00-000067010000}"/>
    <hyperlink ref="B362" r:id="rId361" xr:uid="{00000000-0004-0000-0E00-000068010000}"/>
    <hyperlink ref="B363" r:id="rId362" xr:uid="{00000000-0004-0000-0E00-000069010000}"/>
    <hyperlink ref="B364" r:id="rId363" xr:uid="{00000000-0004-0000-0E00-00006A010000}"/>
    <hyperlink ref="B365" r:id="rId364" xr:uid="{00000000-0004-0000-0E00-00006B010000}"/>
    <hyperlink ref="B366" r:id="rId365" xr:uid="{00000000-0004-0000-0E00-00006C010000}"/>
    <hyperlink ref="B367" r:id="rId366" xr:uid="{00000000-0004-0000-0E00-00006D010000}"/>
    <hyperlink ref="B368" r:id="rId367" xr:uid="{00000000-0004-0000-0E00-00006E010000}"/>
    <hyperlink ref="B369" r:id="rId368" xr:uid="{00000000-0004-0000-0E00-00006F010000}"/>
    <hyperlink ref="B370" r:id="rId369" xr:uid="{00000000-0004-0000-0E00-000070010000}"/>
    <hyperlink ref="B371" r:id="rId370" xr:uid="{00000000-0004-0000-0E00-000071010000}"/>
    <hyperlink ref="B372" r:id="rId371" xr:uid="{00000000-0004-0000-0E00-000072010000}"/>
    <hyperlink ref="B373" r:id="rId372" xr:uid="{00000000-0004-0000-0E00-000073010000}"/>
    <hyperlink ref="B374" r:id="rId373" xr:uid="{00000000-0004-0000-0E00-000074010000}"/>
    <hyperlink ref="B375" r:id="rId374" xr:uid="{00000000-0004-0000-0E00-000075010000}"/>
    <hyperlink ref="B376" r:id="rId375" xr:uid="{00000000-0004-0000-0E00-000076010000}"/>
    <hyperlink ref="B377" r:id="rId376" xr:uid="{00000000-0004-0000-0E00-000077010000}"/>
    <hyperlink ref="B378" r:id="rId377" xr:uid="{00000000-0004-0000-0E00-000078010000}"/>
    <hyperlink ref="B379" r:id="rId378" xr:uid="{00000000-0004-0000-0E00-000079010000}"/>
    <hyperlink ref="B380" r:id="rId379" xr:uid="{00000000-0004-0000-0E00-00007A010000}"/>
    <hyperlink ref="B381" r:id="rId380" xr:uid="{00000000-0004-0000-0E00-00007B010000}"/>
    <hyperlink ref="B382" r:id="rId381" xr:uid="{00000000-0004-0000-0E00-00007C010000}"/>
    <hyperlink ref="B383" r:id="rId382" xr:uid="{00000000-0004-0000-0E00-00007D010000}"/>
    <hyperlink ref="B384" r:id="rId383" xr:uid="{00000000-0004-0000-0E00-00007E010000}"/>
    <hyperlink ref="B385" r:id="rId384" xr:uid="{00000000-0004-0000-0E00-00007F010000}"/>
    <hyperlink ref="B386" r:id="rId385" xr:uid="{00000000-0004-0000-0E00-000080010000}"/>
    <hyperlink ref="B387" r:id="rId386" xr:uid="{00000000-0004-0000-0E00-000081010000}"/>
    <hyperlink ref="B388" r:id="rId387" xr:uid="{00000000-0004-0000-0E00-000082010000}"/>
    <hyperlink ref="B389" r:id="rId388" xr:uid="{00000000-0004-0000-0E00-000083010000}"/>
    <hyperlink ref="B390" r:id="rId389" xr:uid="{00000000-0004-0000-0E00-000084010000}"/>
    <hyperlink ref="B391" r:id="rId390" xr:uid="{00000000-0004-0000-0E00-000085010000}"/>
    <hyperlink ref="B392" r:id="rId391" xr:uid="{00000000-0004-0000-0E00-000086010000}"/>
    <hyperlink ref="B393" r:id="rId392" xr:uid="{00000000-0004-0000-0E00-000087010000}"/>
    <hyperlink ref="B394" r:id="rId393" xr:uid="{00000000-0004-0000-0E00-000088010000}"/>
    <hyperlink ref="B395" r:id="rId394" xr:uid="{00000000-0004-0000-0E00-000089010000}"/>
    <hyperlink ref="B396" r:id="rId395" xr:uid="{00000000-0004-0000-0E00-00008A010000}"/>
    <hyperlink ref="B397" r:id="rId396" xr:uid="{00000000-0004-0000-0E00-00008B010000}"/>
    <hyperlink ref="B398" r:id="rId397" xr:uid="{00000000-0004-0000-0E00-00008C010000}"/>
    <hyperlink ref="B399" r:id="rId398" xr:uid="{00000000-0004-0000-0E00-00008D010000}"/>
    <hyperlink ref="B400" r:id="rId399" xr:uid="{00000000-0004-0000-0E00-00008E010000}"/>
    <hyperlink ref="B401" r:id="rId400" xr:uid="{00000000-0004-0000-0E00-00008F010000}"/>
    <hyperlink ref="B402" r:id="rId401" xr:uid="{00000000-0004-0000-0E00-000090010000}"/>
    <hyperlink ref="B403" r:id="rId402" xr:uid="{00000000-0004-0000-0E00-000091010000}"/>
    <hyperlink ref="B404" r:id="rId403" xr:uid="{00000000-0004-0000-0E00-000092010000}"/>
    <hyperlink ref="B405" r:id="rId404" xr:uid="{00000000-0004-0000-0E00-000093010000}"/>
    <hyperlink ref="B406" r:id="rId405" xr:uid="{00000000-0004-0000-0E00-000094010000}"/>
    <hyperlink ref="B407" r:id="rId406" xr:uid="{00000000-0004-0000-0E00-000095010000}"/>
    <hyperlink ref="B408" r:id="rId407" xr:uid="{00000000-0004-0000-0E00-000096010000}"/>
    <hyperlink ref="B409" r:id="rId408" xr:uid="{00000000-0004-0000-0E00-000097010000}"/>
    <hyperlink ref="B410" r:id="rId409" xr:uid="{00000000-0004-0000-0E00-000098010000}"/>
    <hyperlink ref="B411" r:id="rId410" xr:uid="{00000000-0004-0000-0E00-000099010000}"/>
    <hyperlink ref="B412" r:id="rId411" xr:uid="{00000000-0004-0000-0E00-00009A010000}"/>
    <hyperlink ref="B413" r:id="rId412" xr:uid="{00000000-0004-0000-0E00-00009B010000}"/>
    <hyperlink ref="B414" r:id="rId413" xr:uid="{00000000-0004-0000-0E00-00009C010000}"/>
    <hyperlink ref="B415" r:id="rId414" xr:uid="{00000000-0004-0000-0E00-00009D010000}"/>
    <hyperlink ref="B416" r:id="rId415" xr:uid="{00000000-0004-0000-0E00-00009E010000}"/>
    <hyperlink ref="B417" r:id="rId416" xr:uid="{00000000-0004-0000-0E00-00009F010000}"/>
    <hyperlink ref="B418" r:id="rId417" xr:uid="{00000000-0004-0000-0E00-0000A0010000}"/>
    <hyperlink ref="B419" r:id="rId418" xr:uid="{00000000-0004-0000-0E00-0000A1010000}"/>
    <hyperlink ref="B420" r:id="rId419" xr:uid="{00000000-0004-0000-0E00-0000A2010000}"/>
    <hyperlink ref="B421" r:id="rId420" xr:uid="{00000000-0004-0000-0E00-0000A3010000}"/>
    <hyperlink ref="B422" r:id="rId421" xr:uid="{00000000-0004-0000-0E00-0000A4010000}"/>
    <hyperlink ref="B423" r:id="rId422" xr:uid="{00000000-0004-0000-0E00-0000A5010000}"/>
    <hyperlink ref="B424" r:id="rId423" xr:uid="{00000000-0004-0000-0E00-0000A6010000}"/>
    <hyperlink ref="B425" r:id="rId424" xr:uid="{00000000-0004-0000-0E00-0000A7010000}"/>
    <hyperlink ref="B426" r:id="rId425" xr:uid="{00000000-0004-0000-0E00-0000A8010000}"/>
    <hyperlink ref="B427" r:id="rId426" xr:uid="{00000000-0004-0000-0E00-0000A9010000}"/>
    <hyperlink ref="B428" r:id="rId427" xr:uid="{00000000-0004-0000-0E00-0000AA010000}"/>
    <hyperlink ref="B429" r:id="rId428" xr:uid="{00000000-0004-0000-0E00-0000AB010000}"/>
    <hyperlink ref="B430" r:id="rId429" xr:uid="{00000000-0004-0000-0E00-0000AC010000}"/>
    <hyperlink ref="B431" r:id="rId430" xr:uid="{00000000-0004-0000-0E00-0000AD010000}"/>
    <hyperlink ref="B432" r:id="rId431" xr:uid="{00000000-0004-0000-0E00-0000AE010000}"/>
    <hyperlink ref="B433" r:id="rId432" xr:uid="{00000000-0004-0000-0E00-0000AF010000}"/>
    <hyperlink ref="B434" r:id="rId433" xr:uid="{00000000-0004-0000-0E00-0000B0010000}"/>
    <hyperlink ref="B435" r:id="rId434" xr:uid="{00000000-0004-0000-0E00-0000B1010000}"/>
    <hyperlink ref="B436" r:id="rId435" xr:uid="{00000000-0004-0000-0E00-0000B2010000}"/>
    <hyperlink ref="B437" r:id="rId436" xr:uid="{00000000-0004-0000-0E00-0000B3010000}"/>
    <hyperlink ref="B438" r:id="rId437" xr:uid="{00000000-0004-0000-0E00-0000B4010000}"/>
    <hyperlink ref="B439" r:id="rId438" xr:uid="{00000000-0004-0000-0E00-0000B5010000}"/>
    <hyperlink ref="B440" r:id="rId439" xr:uid="{00000000-0004-0000-0E00-0000B6010000}"/>
    <hyperlink ref="B441" r:id="rId440" xr:uid="{00000000-0004-0000-0E00-0000B7010000}"/>
    <hyperlink ref="B442" r:id="rId441" xr:uid="{00000000-0004-0000-0E00-0000B8010000}"/>
    <hyperlink ref="B443" r:id="rId442" xr:uid="{00000000-0004-0000-0E00-0000B9010000}"/>
    <hyperlink ref="B444" r:id="rId443" xr:uid="{00000000-0004-0000-0E00-0000BA010000}"/>
    <hyperlink ref="B445" r:id="rId444" xr:uid="{00000000-0004-0000-0E00-0000BB010000}"/>
    <hyperlink ref="B446" r:id="rId445" xr:uid="{00000000-0004-0000-0E00-0000BC010000}"/>
    <hyperlink ref="B447" r:id="rId446" xr:uid="{00000000-0004-0000-0E00-0000BD010000}"/>
    <hyperlink ref="B448" r:id="rId447" xr:uid="{00000000-0004-0000-0E00-0000BE010000}"/>
    <hyperlink ref="B449" r:id="rId448" xr:uid="{00000000-0004-0000-0E00-0000BF010000}"/>
    <hyperlink ref="B450" r:id="rId449" xr:uid="{00000000-0004-0000-0E00-0000C0010000}"/>
    <hyperlink ref="B451" r:id="rId450" xr:uid="{00000000-0004-0000-0E00-0000C1010000}"/>
    <hyperlink ref="B452" r:id="rId451" xr:uid="{00000000-0004-0000-0E00-0000C2010000}"/>
    <hyperlink ref="B453" r:id="rId452" xr:uid="{00000000-0004-0000-0E00-0000C3010000}"/>
    <hyperlink ref="B454" r:id="rId453" xr:uid="{00000000-0004-0000-0E00-0000C4010000}"/>
    <hyperlink ref="B455" r:id="rId454" xr:uid="{00000000-0004-0000-0E00-0000C5010000}"/>
    <hyperlink ref="B456" r:id="rId455" xr:uid="{00000000-0004-0000-0E00-0000C6010000}"/>
    <hyperlink ref="B457" r:id="rId456" xr:uid="{00000000-0004-0000-0E00-0000C7010000}"/>
    <hyperlink ref="B458" r:id="rId457" xr:uid="{00000000-0004-0000-0E00-0000C8010000}"/>
    <hyperlink ref="B459" r:id="rId458" xr:uid="{00000000-0004-0000-0E00-0000C9010000}"/>
    <hyperlink ref="B460" r:id="rId459" xr:uid="{00000000-0004-0000-0E00-0000CA010000}"/>
    <hyperlink ref="B461" r:id="rId460" xr:uid="{00000000-0004-0000-0E00-0000CB010000}"/>
    <hyperlink ref="B462" r:id="rId461" xr:uid="{00000000-0004-0000-0E00-0000CC010000}"/>
    <hyperlink ref="B463" r:id="rId462" xr:uid="{00000000-0004-0000-0E00-0000CD010000}"/>
    <hyperlink ref="B464" r:id="rId463" xr:uid="{00000000-0004-0000-0E00-0000CE010000}"/>
    <hyperlink ref="B465" r:id="rId464" xr:uid="{00000000-0004-0000-0E00-0000CF010000}"/>
    <hyperlink ref="B466" r:id="rId465" xr:uid="{00000000-0004-0000-0E00-0000D0010000}"/>
    <hyperlink ref="B467" r:id="rId466" xr:uid="{00000000-0004-0000-0E00-0000D1010000}"/>
    <hyperlink ref="B468" r:id="rId467" xr:uid="{00000000-0004-0000-0E00-0000D2010000}"/>
    <hyperlink ref="B469" r:id="rId468" xr:uid="{00000000-0004-0000-0E00-0000D3010000}"/>
    <hyperlink ref="B470" r:id="rId469" xr:uid="{00000000-0004-0000-0E00-0000D4010000}"/>
    <hyperlink ref="B471" r:id="rId470" xr:uid="{00000000-0004-0000-0E00-0000D5010000}"/>
    <hyperlink ref="B472" r:id="rId471" xr:uid="{00000000-0004-0000-0E00-0000D6010000}"/>
    <hyperlink ref="B473" r:id="rId472" xr:uid="{00000000-0004-0000-0E00-0000D7010000}"/>
    <hyperlink ref="B474" r:id="rId473" xr:uid="{00000000-0004-0000-0E00-0000D8010000}"/>
    <hyperlink ref="B475" r:id="rId474" xr:uid="{00000000-0004-0000-0E00-0000D9010000}"/>
    <hyperlink ref="B476" r:id="rId475" xr:uid="{00000000-0004-0000-0E00-0000DA010000}"/>
    <hyperlink ref="B477" r:id="rId476" xr:uid="{00000000-0004-0000-0E00-0000DB010000}"/>
    <hyperlink ref="B478" r:id="rId477" xr:uid="{00000000-0004-0000-0E00-0000DC010000}"/>
    <hyperlink ref="B479" r:id="rId478" xr:uid="{00000000-0004-0000-0E00-0000DD010000}"/>
    <hyperlink ref="B480" r:id="rId479" xr:uid="{00000000-0004-0000-0E00-0000DE010000}"/>
    <hyperlink ref="B481" r:id="rId480" xr:uid="{00000000-0004-0000-0E00-0000DF010000}"/>
    <hyperlink ref="B482" r:id="rId481" xr:uid="{00000000-0004-0000-0E00-0000E0010000}"/>
    <hyperlink ref="B483" r:id="rId482" xr:uid="{00000000-0004-0000-0E00-0000E1010000}"/>
    <hyperlink ref="B484" r:id="rId483" xr:uid="{00000000-0004-0000-0E00-0000E2010000}"/>
    <hyperlink ref="B485" r:id="rId484" xr:uid="{00000000-0004-0000-0E00-0000E3010000}"/>
    <hyperlink ref="B486" r:id="rId485" xr:uid="{00000000-0004-0000-0E00-0000E4010000}"/>
    <hyperlink ref="B487" r:id="rId486" xr:uid="{00000000-0004-0000-0E00-0000E5010000}"/>
    <hyperlink ref="B488" r:id="rId487" xr:uid="{00000000-0004-0000-0E00-0000E6010000}"/>
    <hyperlink ref="B489" r:id="rId488" xr:uid="{00000000-0004-0000-0E00-0000E7010000}"/>
    <hyperlink ref="B490" r:id="rId489" xr:uid="{00000000-0004-0000-0E00-0000E8010000}"/>
    <hyperlink ref="B491" r:id="rId490" xr:uid="{00000000-0004-0000-0E00-0000E9010000}"/>
    <hyperlink ref="B492" r:id="rId491" xr:uid="{00000000-0004-0000-0E00-0000EA010000}"/>
    <hyperlink ref="B493" r:id="rId492" xr:uid="{00000000-0004-0000-0E00-0000EB010000}"/>
    <hyperlink ref="B494" r:id="rId493" xr:uid="{00000000-0004-0000-0E00-0000EC010000}"/>
    <hyperlink ref="B495" r:id="rId494" xr:uid="{00000000-0004-0000-0E00-0000ED010000}"/>
    <hyperlink ref="B496" r:id="rId495" xr:uid="{00000000-0004-0000-0E00-0000EE010000}"/>
    <hyperlink ref="B497" r:id="rId496" xr:uid="{00000000-0004-0000-0E00-0000EF010000}"/>
    <hyperlink ref="B498" r:id="rId497" xr:uid="{00000000-0004-0000-0E00-0000F0010000}"/>
    <hyperlink ref="B499" r:id="rId498" xr:uid="{00000000-0004-0000-0E00-0000F1010000}"/>
    <hyperlink ref="B500" r:id="rId499" xr:uid="{00000000-0004-0000-0E00-0000F2010000}"/>
    <hyperlink ref="B501" r:id="rId500" xr:uid="{00000000-0004-0000-0E00-0000F3010000}"/>
    <hyperlink ref="B502" r:id="rId501" xr:uid="{00000000-0004-0000-0E00-0000F4010000}"/>
    <hyperlink ref="B503" r:id="rId502" xr:uid="{00000000-0004-0000-0E00-0000F5010000}"/>
    <hyperlink ref="B504" r:id="rId503" xr:uid="{00000000-0004-0000-0E00-0000F6010000}"/>
    <hyperlink ref="B505" r:id="rId504" xr:uid="{00000000-0004-0000-0E00-0000F7010000}"/>
    <hyperlink ref="B506" r:id="rId505" xr:uid="{00000000-0004-0000-0E00-0000F8010000}"/>
    <hyperlink ref="B507" r:id="rId506" xr:uid="{00000000-0004-0000-0E00-0000F9010000}"/>
    <hyperlink ref="B508" r:id="rId507" xr:uid="{00000000-0004-0000-0E00-0000FA010000}"/>
    <hyperlink ref="B509" r:id="rId508" xr:uid="{00000000-0004-0000-0E00-0000FB010000}"/>
    <hyperlink ref="B510" r:id="rId509" xr:uid="{00000000-0004-0000-0E00-0000FC010000}"/>
    <hyperlink ref="B511" r:id="rId510" xr:uid="{00000000-0004-0000-0E00-0000FD010000}"/>
    <hyperlink ref="B512" r:id="rId511" xr:uid="{00000000-0004-0000-0E00-0000FE010000}"/>
    <hyperlink ref="B513" r:id="rId512" xr:uid="{00000000-0004-0000-0E00-0000FF010000}"/>
    <hyperlink ref="B514" r:id="rId513" xr:uid="{00000000-0004-0000-0E00-000000020000}"/>
    <hyperlink ref="B515" r:id="rId514" xr:uid="{00000000-0004-0000-0E00-000001020000}"/>
    <hyperlink ref="B516" r:id="rId515" xr:uid="{00000000-0004-0000-0E00-000002020000}"/>
    <hyperlink ref="B517" r:id="rId516" xr:uid="{00000000-0004-0000-0E00-000003020000}"/>
    <hyperlink ref="B518" r:id="rId517" xr:uid="{00000000-0004-0000-0E00-000004020000}"/>
    <hyperlink ref="B519" r:id="rId518" xr:uid="{00000000-0004-0000-0E00-000005020000}"/>
    <hyperlink ref="B520" r:id="rId519" xr:uid="{00000000-0004-0000-0E00-000006020000}"/>
    <hyperlink ref="B521" r:id="rId520" xr:uid="{00000000-0004-0000-0E00-000007020000}"/>
    <hyperlink ref="B522" r:id="rId521" xr:uid="{00000000-0004-0000-0E00-000008020000}"/>
    <hyperlink ref="B523" r:id="rId522" xr:uid="{00000000-0004-0000-0E00-000009020000}"/>
    <hyperlink ref="B524" r:id="rId523" xr:uid="{00000000-0004-0000-0E00-00000A020000}"/>
    <hyperlink ref="B525" r:id="rId524" xr:uid="{00000000-0004-0000-0E00-00000B020000}"/>
    <hyperlink ref="B526" r:id="rId525" xr:uid="{00000000-0004-0000-0E00-00000C020000}"/>
    <hyperlink ref="B527" r:id="rId526" xr:uid="{00000000-0004-0000-0E00-00000D020000}"/>
    <hyperlink ref="B528" r:id="rId527" xr:uid="{00000000-0004-0000-0E00-00000E020000}"/>
    <hyperlink ref="B529" r:id="rId528" xr:uid="{00000000-0004-0000-0E00-00000F020000}"/>
    <hyperlink ref="B530" r:id="rId529" xr:uid="{00000000-0004-0000-0E00-000010020000}"/>
    <hyperlink ref="B531" r:id="rId530" xr:uid="{00000000-0004-0000-0E00-000011020000}"/>
    <hyperlink ref="B532" r:id="rId531" xr:uid="{00000000-0004-0000-0E00-000012020000}"/>
    <hyperlink ref="B533" r:id="rId532" xr:uid="{00000000-0004-0000-0E00-000013020000}"/>
    <hyperlink ref="B534" r:id="rId533" xr:uid="{00000000-0004-0000-0E00-000014020000}"/>
    <hyperlink ref="B535" r:id="rId534" xr:uid="{00000000-0004-0000-0E00-000015020000}"/>
    <hyperlink ref="B536" r:id="rId535" xr:uid="{00000000-0004-0000-0E00-000016020000}"/>
    <hyperlink ref="B537" r:id="rId536" xr:uid="{00000000-0004-0000-0E00-000017020000}"/>
    <hyperlink ref="B538" r:id="rId537" xr:uid="{00000000-0004-0000-0E00-000018020000}"/>
    <hyperlink ref="B539" r:id="rId538" xr:uid="{00000000-0004-0000-0E00-000019020000}"/>
    <hyperlink ref="B540" r:id="rId539" xr:uid="{00000000-0004-0000-0E00-00001A020000}"/>
    <hyperlink ref="B541" r:id="rId540" xr:uid="{00000000-0004-0000-0E00-00001B020000}"/>
    <hyperlink ref="B542" r:id="rId541" xr:uid="{00000000-0004-0000-0E00-00001C020000}"/>
    <hyperlink ref="B543" r:id="rId542" xr:uid="{00000000-0004-0000-0E00-00001D020000}"/>
    <hyperlink ref="B544" r:id="rId543" xr:uid="{00000000-0004-0000-0E00-00001E020000}"/>
    <hyperlink ref="B545" r:id="rId544" xr:uid="{00000000-0004-0000-0E00-00001F020000}"/>
    <hyperlink ref="B546" r:id="rId545" xr:uid="{00000000-0004-0000-0E00-000020020000}"/>
    <hyperlink ref="B547" r:id="rId546" xr:uid="{00000000-0004-0000-0E00-000021020000}"/>
    <hyperlink ref="B548" r:id="rId547" xr:uid="{00000000-0004-0000-0E00-000022020000}"/>
    <hyperlink ref="B549" r:id="rId548" xr:uid="{00000000-0004-0000-0E00-000023020000}"/>
    <hyperlink ref="B550" r:id="rId549" xr:uid="{00000000-0004-0000-0E00-000024020000}"/>
    <hyperlink ref="B551" r:id="rId550" xr:uid="{00000000-0004-0000-0E00-000025020000}"/>
    <hyperlink ref="B552" r:id="rId551" xr:uid="{00000000-0004-0000-0E00-000026020000}"/>
    <hyperlink ref="B553" r:id="rId552" xr:uid="{00000000-0004-0000-0E00-000027020000}"/>
    <hyperlink ref="B554" r:id="rId553" xr:uid="{00000000-0004-0000-0E00-000028020000}"/>
    <hyperlink ref="B555" r:id="rId554" xr:uid="{00000000-0004-0000-0E00-000029020000}"/>
    <hyperlink ref="B556" r:id="rId555" xr:uid="{00000000-0004-0000-0E00-00002A020000}"/>
    <hyperlink ref="B557" r:id="rId556" xr:uid="{00000000-0004-0000-0E00-00002B020000}"/>
    <hyperlink ref="B558" r:id="rId557" xr:uid="{00000000-0004-0000-0E00-00002C020000}"/>
    <hyperlink ref="B559" r:id="rId558" xr:uid="{00000000-0004-0000-0E00-00002D020000}"/>
    <hyperlink ref="B560" r:id="rId559" xr:uid="{00000000-0004-0000-0E00-00002E020000}"/>
    <hyperlink ref="B561" r:id="rId560" xr:uid="{00000000-0004-0000-0E00-00002F020000}"/>
    <hyperlink ref="B562" r:id="rId561" xr:uid="{00000000-0004-0000-0E00-000030020000}"/>
    <hyperlink ref="B563" r:id="rId562" xr:uid="{00000000-0004-0000-0E00-000031020000}"/>
    <hyperlink ref="B564" r:id="rId563" xr:uid="{00000000-0004-0000-0E00-000032020000}"/>
    <hyperlink ref="B565" r:id="rId564" xr:uid="{00000000-0004-0000-0E00-000033020000}"/>
    <hyperlink ref="B566" r:id="rId565" xr:uid="{00000000-0004-0000-0E00-000034020000}"/>
    <hyperlink ref="B567" r:id="rId566" xr:uid="{00000000-0004-0000-0E00-000035020000}"/>
    <hyperlink ref="B568" r:id="rId567" xr:uid="{00000000-0004-0000-0E00-000036020000}"/>
    <hyperlink ref="B569" r:id="rId568" xr:uid="{00000000-0004-0000-0E00-000037020000}"/>
    <hyperlink ref="B570" r:id="rId569" xr:uid="{00000000-0004-0000-0E00-000038020000}"/>
    <hyperlink ref="B571" r:id="rId570" xr:uid="{00000000-0004-0000-0E00-000039020000}"/>
    <hyperlink ref="B572" r:id="rId571" xr:uid="{00000000-0004-0000-0E00-00003A020000}"/>
    <hyperlink ref="B573" r:id="rId572" xr:uid="{00000000-0004-0000-0E00-00003B020000}"/>
    <hyperlink ref="B574" r:id="rId573" xr:uid="{00000000-0004-0000-0E00-00003C020000}"/>
    <hyperlink ref="B575" r:id="rId574" xr:uid="{00000000-0004-0000-0E00-00003D020000}"/>
    <hyperlink ref="B576" r:id="rId575" xr:uid="{00000000-0004-0000-0E00-00003E020000}"/>
    <hyperlink ref="B577" r:id="rId576" xr:uid="{00000000-0004-0000-0E00-00003F020000}"/>
    <hyperlink ref="B578" r:id="rId577" xr:uid="{00000000-0004-0000-0E00-000040020000}"/>
    <hyperlink ref="B579" r:id="rId578" xr:uid="{00000000-0004-0000-0E00-000041020000}"/>
    <hyperlink ref="B580" r:id="rId579" xr:uid="{00000000-0004-0000-0E00-000042020000}"/>
    <hyperlink ref="B581" r:id="rId580" xr:uid="{00000000-0004-0000-0E00-000043020000}"/>
    <hyperlink ref="B582" r:id="rId581" xr:uid="{00000000-0004-0000-0E00-000044020000}"/>
    <hyperlink ref="B583" r:id="rId582" xr:uid="{00000000-0004-0000-0E00-000045020000}"/>
    <hyperlink ref="B584" r:id="rId583" xr:uid="{00000000-0004-0000-0E00-000046020000}"/>
    <hyperlink ref="B585" r:id="rId584" xr:uid="{00000000-0004-0000-0E00-000047020000}"/>
    <hyperlink ref="B586" r:id="rId585" xr:uid="{00000000-0004-0000-0E00-000048020000}"/>
    <hyperlink ref="B587" r:id="rId586" xr:uid="{00000000-0004-0000-0E00-000049020000}"/>
    <hyperlink ref="B588" r:id="rId587" xr:uid="{00000000-0004-0000-0E00-00004A020000}"/>
    <hyperlink ref="B589" r:id="rId588" xr:uid="{00000000-0004-0000-0E00-00004B020000}"/>
    <hyperlink ref="B590" r:id="rId589" xr:uid="{00000000-0004-0000-0E00-00004C020000}"/>
    <hyperlink ref="B591" r:id="rId590" xr:uid="{00000000-0004-0000-0E00-00004D020000}"/>
    <hyperlink ref="B592" r:id="rId591" xr:uid="{00000000-0004-0000-0E00-00004E020000}"/>
    <hyperlink ref="B593" r:id="rId592" xr:uid="{00000000-0004-0000-0E00-00004F020000}"/>
    <hyperlink ref="B594" r:id="rId593" xr:uid="{00000000-0004-0000-0E00-000050020000}"/>
    <hyperlink ref="B595" r:id="rId594" xr:uid="{00000000-0004-0000-0E00-000051020000}"/>
    <hyperlink ref="B596" r:id="rId595" xr:uid="{00000000-0004-0000-0E00-000052020000}"/>
    <hyperlink ref="B597" r:id="rId596" xr:uid="{00000000-0004-0000-0E00-000053020000}"/>
    <hyperlink ref="B598" r:id="rId597" xr:uid="{00000000-0004-0000-0E00-000054020000}"/>
    <hyperlink ref="B599" r:id="rId598" xr:uid="{00000000-0004-0000-0E00-000055020000}"/>
    <hyperlink ref="B600" r:id="rId599" xr:uid="{00000000-0004-0000-0E00-000056020000}"/>
    <hyperlink ref="B601" r:id="rId600" xr:uid="{00000000-0004-0000-0E00-000057020000}"/>
    <hyperlink ref="B602" r:id="rId601" xr:uid="{00000000-0004-0000-0E00-000058020000}"/>
    <hyperlink ref="B603" r:id="rId602" xr:uid="{00000000-0004-0000-0E00-000059020000}"/>
    <hyperlink ref="B604" r:id="rId603" xr:uid="{00000000-0004-0000-0E00-00005A020000}"/>
    <hyperlink ref="B605" r:id="rId604" xr:uid="{00000000-0004-0000-0E00-00005B020000}"/>
    <hyperlink ref="B606" r:id="rId605" xr:uid="{00000000-0004-0000-0E00-00005C020000}"/>
    <hyperlink ref="B607" r:id="rId606" xr:uid="{00000000-0004-0000-0E00-00005D020000}"/>
    <hyperlink ref="B608" r:id="rId607" xr:uid="{00000000-0004-0000-0E00-00005E020000}"/>
    <hyperlink ref="B609" r:id="rId608" xr:uid="{00000000-0004-0000-0E00-00005F020000}"/>
    <hyperlink ref="B610" r:id="rId609" xr:uid="{00000000-0004-0000-0E00-000060020000}"/>
    <hyperlink ref="B611" r:id="rId610" xr:uid="{00000000-0004-0000-0E00-000061020000}"/>
    <hyperlink ref="B612" r:id="rId611" xr:uid="{00000000-0004-0000-0E00-000062020000}"/>
    <hyperlink ref="B613" r:id="rId612" xr:uid="{00000000-0004-0000-0E00-000063020000}"/>
    <hyperlink ref="B614" r:id="rId613" xr:uid="{00000000-0004-0000-0E00-000064020000}"/>
    <hyperlink ref="B615" r:id="rId614" xr:uid="{00000000-0004-0000-0E00-000065020000}"/>
    <hyperlink ref="B616" r:id="rId615" xr:uid="{00000000-0004-0000-0E00-000066020000}"/>
    <hyperlink ref="B617" r:id="rId616" xr:uid="{00000000-0004-0000-0E00-000067020000}"/>
    <hyperlink ref="B618" r:id="rId617" xr:uid="{00000000-0004-0000-0E00-000068020000}"/>
    <hyperlink ref="B619" r:id="rId618" xr:uid="{00000000-0004-0000-0E00-000069020000}"/>
    <hyperlink ref="B620" r:id="rId619" xr:uid="{00000000-0004-0000-0E00-00006A020000}"/>
    <hyperlink ref="B621" r:id="rId620" xr:uid="{00000000-0004-0000-0E00-00006B020000}"/>
    <hyperlink ref="B622" r:id="rId621" xr:uid="{00000000-0004-0000-0E00-00006C020000}"/>
    <hyperlink ref="B623" r:id="rId622" xr:uid="{00000000-0004-0000-0E00-00006D020000}"/>
    <hyperlink ref="B624" r:id="rId623" xr:uid="{00000000-0004-0000-0E00-00006E020000}"/>
    <hyperlink ref="B625" r:id="rId624" xr:uid="{00000000-0004-0000-0E00-00006F020000}"/>
    <hyperlink ref="B626" r:id="rId625" xr:uid="{00000000-0004-0000-0E00-000070020000}"/>
    <hyperlink ref="B627" r:id="rId626" xr:uid="{00000000-0004-0000-0E00-000071020000}"/>
    <hyperlink ref="B628" r:id="rId627" xr:uid="{00000000-0004-0000-0E00-000072020000}"/>
    <hyperlink ref="B629" r:id="rId628" xr:uid="{00000000-0004-0000-0E00-000073020000}"/>
    <hyperlink ref="B630" r:id="rId629" xr:uid="{00000000-0004-0000-0E00-000074020000}"/>
    <hyperlink ref="B631" r:id="rId630" xr:uid="{00000000-0004-0000-0E00-000075020000}"/>
    <hyperlink ref="B632" r:id="rId631" xr:uid="{00000000-0004-0000-0E00-000076020000}"/>
    <hyperlink ref="B633" r:id="rId632" xr:uid="{00000000-0004-0000-0E00-000077020000}"/>
    <hyperlink ref="B634" r:id="rId633" xr:uid="{00000000-0004-0000-0E00-000078020000}"/>
    <hyperlink ref="B635" r:id="rId634" xr:uid="{00000000-0004-0000-0E00-000079020000}"/>
    <hyperlink ref="B636" r:id="rId635" xr:uid="{00000000-0004-0000-0E00-00007A020000}"/>
    <hyperlink ref="B637" r:id="rId636" xr:uid="{00000000-0004-0000-0E00-00007B020000}"/>
    <hyperlink ref="B638" r:id="rId637" xr:uid="{00000000-0004-0000-0E00-00007C020000}"/>
    <hyperlink ref="B639" r:id="rId638" xr:uid="{00000000-0004-0000-0E00-00007D020000}"/>
    <hyperlink ref="B640" r:id="rId639" xr:uid="{00000000-0004-0000-0E00-00007E020000}"/>
    <hyperlink ref="B641" r:id="rId640" xr:uid="{00000000-0004-0000-0E00-00007F020000}"/>
    <hyperlink ref="B642" r:id="rId641" xr:uid="{00000000-0004-0000-0E00-000080020000}"/>
    <hyperlink ref="B643" r:id="rId642" xr:uid="{00000000-0004-0000-0E00-000081020000}"/>
    <hyperlink ref="B644" r:id="rId643" xr:uid="{00000000-0004-0000-0E00-000082020000}"/>
    <hyperlink ref="B645" r:id="rId644" xr:uid="{00000000-0004-0000-0E00-000083020000}"/>
    <hyperlink ref="B646" r:id="rId645" xr:uid="{00000000-0004-0000-0E00-000084020000}"/>
    <hyperlink ref="B647" r:id="rId646" xr:uid="{00000000-0004-0000-0E00-000085020000}"/>
    <hyperlink ref="B648" r:id="rId647" xr:uid="{00000000-0004-0000-0E00-000086020000}"/>
    <hyperlink ref="B649" r:id="rId648" xr:uid="{00000000-0004-0000-0E00-000087020000}"/>
    <hyperlink ref="B650" r:id="rId649" xr:uid="{00000000-0004-0000-0E00-000088020000}"/>
    <hyperlink ref="B651" r:id="rId650" xr:uid="{00000000-0004-0000-0E00-000089020000}"/>
    <hyperlink ref="B652" r:id="rId651" xr:uid="{00000000-0004-0000-0E00-00008A020000}"/>
    <hyperlink ref="B653" r:id="rId652" xr:uid="{00000000-0004-0000-0E00-00008B020000}"/>
    <hyperlink ref="B654" r:id="rId653" xr:uid="{00000000-0004-0000-0E00-00008C020000}"/>
    <hyperlink ref="B655" r:id="rId654" xr:uid="{00000000-0004-0000-0E00-00008D020000}"/>
    <hyperlink ref="B656" r:id="rId655" xr:uid="{00000000-0004-0000-0E00-00008E020000}"/>
    <hyperlink ref="B657" r:id="rId656" xr:uid="{00000000-0004-0000-0E00-00008F020000}"/>
    <hyperlink ref="B658" r:id="rId657" xr:uid="{00000000-0004-0000-0E00-000090020000}"/>
    <hyperlink ref="B659" r:id="rId658" xr:uid="{00000000-0004-0000-0E00-000091020000}"/>
    <hyperlink ref="B660" r:id="rId659" xr:uid="{00000000-0004-0000-0E00-000092020000}"/>
    <hyperlink ref="B661" r:id="rId660" xr:uid="{00000000-0004-0000-0E00-000093020000}"/>
    <hyperlink ref="B662" r:id="rId661" xr:uid="{00000000-0004-0000-0E00-000094020000}"/>
    <hyperlink ref="B663" r:id="rId662" xr:uid="{00000000-0004-0000-0E00-000095020000}"/>
    <hyperlink ref="B664" r:id="rId663" xr:uid="{00000000-0004-0000-0E00-000096020000}"/>
    <hyperlink ref="B665" r:id="rId664" xr:uid="{00000000-0004-0000-0E00-000097020000}"/>
    <hyperlink ref="B666" r:id="rId665" xr:uid="{00000000-0004-0000-0E00-000098020000}"/>
    <hyperlink ref="B667" r:id="rId666" xr:uid="{00000000-0004-0000-0E00-000099020000}"/>
    <hyperlink ref="B668" r:id="rId667" xr:uid="{00000000-0004-0000-0E00-00009A020000}"/>
    <hyperlink ref="B669" r:id="rId668" xr:uid="{00000000-0004-0000-0E00-00009B020000}"/>
    <hyperlink ref="B670" r:id="rId669" xr:uid="{00000000-0004-0000-0E00-00009C020000}"/>
    <hyperlink ref="B671" r:id="rId670" xr:uid="{00000000-0004-0000-0E00-00009D020000}"/>
    <hyperlink ref="B672" r:id="rId671" xr:uid="{00000000-0004-0000-0E00-00009E020000}"/>
    <hyperlink ref="B673" r:id="rId672" xr:uid="{00000000-0004-0000-0E00-00009F020000}"/>
    <hyperlink ref="B674" r:id="rId673" xr:uid="{00000000-0004-0000-0E00-0000A0020000}"/>
    <hyperlink ref="B675" r:id="rId674" xr:uid="{00000000-0004-0000-0E00-0000A1020000}"/>
    <hyperlink ref="B676" r:id="rId675" xr:uid="{00000000-0004-0000-0E00-0000A2020000}"/>
    <hyperlink ref="B677" r:id="rId676" xr:uid="{00000000-0004-0000-0E00-0000A3020000}"/>
    <hyperlink ref="B678" r:id="rId677" xr:uid="{00000000-0004-0000-0E00-0000A4020000}"/>
    <hyperlink ref="B679" r:id="rId678" xr:uid="{00000000-0004-0000-0E00-0000A5020000}"/>
    <hyperlink ref="B680" r:id="rId679" xr:uid="{00000000-0004-0000-0E00-0000A6020000}"/>
    <hyperlink ref="B681" r:id="rId680" xr:uid="{00000000-0004-0000-0E00-0000A7020000}"/>
    <hyperlink ref="B682" r:id="rId681" xr:uid="{00000000-0004-0000-0E00-0000A8020000}"/>
    <hyperlink ref="B683" r:id="rId682" xr:uid="{00000000-0004-0000-0E00-0000A9020000}"/>
    <hyperlink ref="B684" r:id="rId683" xr:uid="{00000000-0004-0000-0E00-0000AA020000}"/>
    <hyperlink ref="B685" r:id="rId684" xr:uid="{00000000-0004-0000-0E00-0000AB020000}"/>
    <hyperlink ref="B686" r:id="rId685" xr:uid="{00000000-0004-0000-0E00-0000AC020000}"/>
    <hyperlink ref="B687" r:id="rId686" xr:uid="{00000000-0004-0000-0E00-0000AD020000}"/>
    <hyperlink ref="B688" r:id="rId687" xr:uid="{00000000-0004-0000-0E00-0000AE020000}"/>
    <hyperlink ref="B689" r:id="rId688" xr:uid="{00000000-0004-0000-0E00-0000AF020000}"/>
    <hyperlink ref="B690" r:id="rId689" xr:uid="{00000000-0004-0000-0E00-0000B0020000}"/>
    <hyperlink ref="B691" r:id="rId690" xr:uid="{00000000-0004-0000-0E00-0000B1020000}"/>
    <hyperlink ref="B692" r:id="rId691" xr:uid="{00000000-0004-0000-0E00-0000B2020000}"/>
    <hyperlink ref="B693" r:id="rId692" xr:uid="{00000000-0004-0000-0E00-0000B3020000}"/>
    <hyperlink ref="B694" r:id="rId693" xr:uid="{00000000-0004-0000-0E00-0000B4020000}"/>
    <hyperlink ref="B695" r:id="rId694" xr:uid="{00000000-0004-0000-0E00-0000B5020000}"/>
    <hyperlink ref="B696" r:id="rId695" xr:uid="{00000000-0004-0000-0E00-0000B6020000}"/>
    <hyperlink ref="B697" r:id="rId696" xr:uid="{00000000-0004-0000-0E00-0000B7020000}"/>
    <hyperlink ref="B698" r:id="rId697" xr:uid="{00000000-0004-0000-0E00-0000B8020000}"/>
    <hyperlink ref="B699" r:id="rId698" xr:uid="{00000000-0004-0000-0E00-0000B9020000}"/>
    <hyperlink ref="B700" r:id="rId699" xr:uid="{00000000-0004-0000-0E00-0000BA020000}"/>
    <hyperlink ref="B701" r:id="rId700" xr:uid="{00000000-0004-0000-0E00-0000BB020000}"/>
    <hyperlink ref="B702" r:id="rId701" xr:uid="{00000000-0004-0000-0E00-0000BC020000}"/>
    <hyperlink ref="B703" r:id="rId702" xr:uid="{00000000-0004-0000-0E00-0000BD020000}"/>
    <hyperlink ref="B704" r:id="rId703" xr:uid="{00000000-0004-0000-0E00-0000BE020000}"/>
    <hyperlink ref="B705" r:id="rId704" xr:uid="{00000000-0004-0000-0E00-0000BF020000}"/>
    <hyperlink ref="B706" r:id="rId705" xr:uid="{00000000-0004-0000-0E00-0000C0020000}"/>
    <hyperlink ref="B707" r:id="rId706" xr:uid="{00000000-0004-0000-0E00-0000C1020000}"/>
    <hyperlink ref="B708" r:id="rId707" xr:uid="{00000000-0004-0000-0E00-0000C2020000}"/>
    <hyperlink ref="B709" r:id="rId708" xr:uid="{00000000-0004-0000-0E00-0000C3020000}"/>
    <hyperlink ref="B710" r:id="rId709" xr:uid="{00000000-0004-0000-0E00-0000C4020000}"/>
    <hyperlink ref="B711" r:id="rId710" xr:uid="{00000000-0004-0000-0E00-0000C5020000}"/>
    <hyperlink ref="B712" r:id="rId711" xr:uid="{00000000-0004-0000-0E00-0000C6020000}"/>
    <hyperlink ref="B713" r:id="rId712" xr:uid="{00000000-0004-0000-0E00-0000C7020000}"/>
    <hyperlink ref="B714" r:id="rId713" xr:uid="{00000000-0004-0000-0E00-0000C8020000}"/>
    <hyperlink ref="B715" r:id="rId714" xr:uid="{00000000-0004-0000-0E00-0000C9020000}"/>
    <hyperlink ref="B716" r:id="rId715" xr:uid="{00000000-0004-0000-0E00-0000CA020000}"/>
    <hyperlink ref="B717" r:id="rId716" xr:uid="{00000000-0004-0000-0E00-0000CB020000}"/>
    <hyperlink ref="B718" r:id="rId717" xr:uid="{00000000-0004-0000-0E00-0000CC020000}"/>
    <hyperlink ref="B719" r:id="rId718" xr:uid="{00000000-0004-0000-0E00-0000CD020000}"/>
    <hyperlink ref="B720" r:id="rId719" xr:uid="{00000000-0004-0000-0E00-0000CE020000}"/>
    <hyperlink ref="B721" r:id="rId720" xr:uid="{00000000-0004-0000-0E00-0000CF020000}"/>
    <hyperlink ref="B722" r:id="rId721" xr:uid="{00000000-0004-0000-0E00-0000D0020000}"/>
    <hyperlink ref="B723" r:id="rId722" xr:uid="{00000000-0004-0000-0E00-0000D1020000}"/>
    <hyperlink ref="B724" r:id="rId723" xr:uid="{00000000-0004-0000-0E00-0000D2020000}"/>
    <hyperlink ref="B725" r:id="rId724" xr:uid="{00000000-0004-0000-0E00-0000D3020000}"/>
    <hyperlink ref="B726" r:id="rId725" xr:uid="{00000000-0004-0000-0E00-0000D4020000}"/>
    <hyperlink ref="B727" r:id="rId726" xr:uid="{00000000-0004-0000-0E00-0000D5020000}"/>
    <hyperlink ref="B728" r:id="rId727" xr:uid="{00000000-0004-0000-0E00-0000D6020000}"/>
    <hyperlink ref="B729" r:id="rId728" xr:uid="{00000000-0004-0000-0E00-0000D7020000}"/>
    <hyperlink ref="B730" r:id="rId729" xr:uid="{00000000-0004-0000-0E00-0000D8020000}"/>
    <hyperlink ref="B731" r:id="rId730" xr:uid="{00000000-0004-0000-0E00-0000D9020000}"/>
    <hyperlink ref="B732" r:id="rId731" xr:uid="{00000000-0004-0000-0E00-0000DA020000}"/>
    <hyperlink ref="B733" r:id="rId732" xr:uid="{00000000-0004-0000-0E00-0000DB020000}"/>
    <hyperlink ref="B734" r:id="rId733" xr:uid="{00000000-0004-0000-0E00-0000DC020000}"/>
    <hyperlink ref="B735" r:id="rId734" xr:uid="{00000000-0004-0000-0E00-0000DD020000}"/>
    <hyperlink ref="B736" r:id="rId735" xr:uid="{00000000-0004-0000-0E00-0000DE020000}"/>
    <hyperlink ref="B737" r:id="rId736" xr:uid="{00000000-0004-0000-0E00-0000DF020000}"/>
    <hyperlink ref="B738" r:id="rId737" xr:uid="{00000000-0004-0000-0E00-0000E0020000}"/>
    <hyperlink ref="B739" r:id="rId738" xr:uid="{00000000-0004-0000-0E00-0000E1020000}"/>
    <hyperlink ref="B740" r:id="rId739" xr:uid="{00000000-0004-0000-0E00-0000E2020000}"/>
    <hyperlink ref="B741" r:id="rId740" xr:uid="{00000000-0004-0000-0E00-0000E3020000}"/>
    <hyperlink ref="B742" r:id="rId741" xr:uid="{00000000-0004-0000-0E00-0000E4020000}"/>
    <hyperlink ref="B743" r:id="rId742" xr:uid="{00000000-0004-0000-0E00-0000E5020000}"/>
    <hyperlink ref="B744" r:id="rId743" xr:uid="{00000000-0004-0000-0E00-0000E6020000}"/>
    <hyperlink ref="B745" r:id="rId744" xr:uid="{00000000-0004-0000-0E00-0000E7020000}"/>
    <hyperlink ref="B746" r:id="rId745" xr:uid="{00000000-0004-0000-0E00-0000E8020000}"/>
    <hyperlink ref="B747" r:id="rId746" xr:uid="{00000000-0004-0000-0E00-0000E9020000}"/>
    <hyperlink ref="B748" r:id="rId747" xr:uid="{00000000-0004-0000-0E00-0000EA020000}"/>
    <hyperlink ref="B749" r:id="rId748" xr:uid="{00000000-0004-0000-0E00-0000EB020000}"/>
    <hyperlink ref="B750" r:id="rId749" xr:uid="{00000000-0004-0000-0E00-0000EC020000}"/>
    <hyperlink ref="B751" r:id="rId750" xr:uid="{00000000-0004-0000-0E00-0000ED020000}"/>
    <hyperlink ref="B752" r:id="rId751" xr:uid="{00000000-0004-0000-0E00-0000EE020000}"/>
    <hyperlink ref="B753" r:id="rId752" xr:uid="{00000000-0004-0000-0E00-0000EF020000}"/>
    <hyperlink ref="B754" r:id="rId753" xr:uid="{00000000-0004-0000-0E00-0000F0020000}"/>
    <hyperlink ref="B755" r:id="rId754" xr:uid="{00000000-0004-0000-0E00-0000F1020000}"/>
    <hyperlink ref="B756" r:id="rId755" xr:uid="{00000000-0004-0000-0E00-0000F2020000}"/>
    <hyperlink ref="B757" r:id="rId756" xr:uid="{00000000-0004-0000-0E00-0000F3020000}"/>
    <hyperlink ref="B758" r:id="rId757" xr:uid="{00000000-0004-0000-0E00-0000F4020000}"/>
    <hyperlink ref="B759" r:id="rId758" xr:uid="{00000000-0004-0000-0E00-0000F5020000}"/>
    <hyperlink ref="B760" r:id="rId759" xr:uid="{00000000-0004-0000-0E00-0000F6020000}"/>
    <hyperlink ref="B761" r:id="rId760" xr:uid="{00000000-0004-0000-0E00-0000F7020000}"/>
    <hyperlink ref="B762" r:id="rId761" xr:uid="{00000000-0004-0000-0E00-0000F8020000}"/>
    <hyperlink ref="B763" r:id="rId762" xr:uid="{00000000-0004-0000-0E00-0000F9020000}"/>
    <hyperlink ref="B764" r:id="rId763" xr:uid="{00000000-0004-0000-0E00-0000FA020000}"/>
    <hyperlink ref="B765" r:id="rId764" xr:uid="{00000000-0004-0000-0E00-0000FB020000}"/>
    <hyperlink ref="B766" r:id="rId765" xr:uid="{00000000-0004-0000-0E00-0000FC020000}"/>
    <hyperlink ref="B767" r:id="rId766" xr:uid="{00000000-0004-0000-0E00-0000FD020000}"/>
    <hyperlink ref="B768" r:id="rId767" xr:uid="{00000000-0004-0000-0E00-0000FE020000}"/>
    <hyperlink ref="B769" r:id="rId768" xr:uid="{00000000-0004-0000-0E00-0000FF020000}"/>
    <hyperlink ref="B770" r:id="rId769" xr:uid="{00000000-0004-0000-0E00-000000030000}"/>
    <hyperlink ref="B771" r:id="rId770" xr:uid="{00000000-0004-0000-0E00-000001030000}"/>
    <hyperlink ref="B772" r:id="rId771" xr:uid="{00000000-0004-0000-0E00-000002030000}"/>
    <hyperlink ref="B773" r:id="rId772" xr:uid="{00000000-0004-0000-0E00-000003030000}"/>
    <hyperlink ref="B774" r:id="rId773" xr:uid="{00000000-0004-0000-0E00-000004030000}"/>
    <hyperlink ref="B775" r:id="rId774" xr:uid="{00000000-0004-0000-0E00-000005030000}"/>
    <hyperlink ref="B776" r:id="rId775" xr:uid="{00000000-0004-0000-0E00-000006030000}"/>
    <hyperlink ref="B777" r:id="rId776" xr:uid="{00000000-0004-0000-0E00-000007030000}"/>
    <hyperlink ref="B778" r:id="rId777" xr:uid="{00000000-0004-0000-0E00-000008030000}"/>
    <hyperlink ref="B779" r:id="rId778" xr:uid="{00000000-0004-0000-0E00-000009030000}"/>
    <hyperlink ref="B780" r:id="rId779" xr:uid="{00000000-0004-0000-0E00-00000A030000}"/>
    <hyperlink ref="B781" r:id="rId780" xr:uid="{00000000-0004-0000-0E00-00000B030000}"/>
    <hyperlink ref="B782" r:id="rId781" xr:uid="{00000000-0004-0000-0E00-00000C030000}"/>
    <hyperlink ref="B783" r:id="rId782" xr:uid="{00000000-0004-0000-0E00-00000D030000}"/>
    <hyperlink ref="B784" r:id="rId783" xr:uid="{00000000-0004-0000-0E00-00000E030000}"/>
    <hyperlink ref="B785" r:id="rId784" xr:uid="{00000000-0004-0000-0E00-00000F030000}"/>
    <hyperlink ref="B786" r:id="rId785" xr:uid="{00000000-0004-0000-0E00-000010030000}"/>
    <hyperlink ref="B787" r:id="rId786" xr:uid="{00000000-0004-0000-0E00-000011030000}"/>
    <hyperlink ref="B788" r:id="rId787" xr:uid="{00000000-0004-0000-0E00-000012030000}"/>
    <hyperlink ref="B789" r:id="rId788" xr:uid="{00000000-0004-0000-0E00-000013030000}"/>
    <hyperlink ref="B790" r:id="rId789" xr:uid="{00000000-0004-0000-0E00-000014030000}"/>
    <hyperlink ref="B791" r:id="rId790" xr:uid="{00000000-0004-0000-0E00-000015030000}"/>
    <hyperlink ref="B792" r:id="rId791" xr:uid="{00000000-0004-0000-0E00-000016030000}"/>
    <hyperlink ref="B793" r:id="rId792" xr:uid="{00000000-0004-0000-0E00-000017030000}"/>
    <hyperlink ref="B794" r:id="rId793" xr:uid="{00000000-0004-0000-0E00-000018030000}"/>
    <hyperlink ref="B795" r:id="rId794" xr:uid="{00000000-0004-0000-0E00-000019030000}"/>
    <hyperlink ref="B796" r:id="rId795" xr:uid="{00000000-0004-0000-0E00-00001A030000}"/>
    <hyperlink ref="B797" r:id="rId796" xr:uid="{00000000-0004-0000-0E00-00001B030000}"/>
    <hyperlink ref="B798" r:id="rId797" xr:uid="{00000000-0004-0000-0E00-00001C030000}"/>
    <hyperlink ref="B799" r:id="rId798" xr:uid="{00000000-0004-0000-0E00-00001D030000}"/>
    <hyperlink ref="B800" r:id="rId799" xr:uid="{00000000-0004-0000-0E00-00001E030000}"/>
    <hyperlink ref="B801" r:id="rId800" xr:uid="{00000000-0004-0000-0E00-00001F030000}"/>
    <hyperlink ref="B802" r:id="rId801" xr:uid="{00000000-0004-0000-0E00-000020030000}"/>
    <hyperlink ref="B803" r:id="rId802" xr:uid="{00000000-0004-0000-0E00-000021030000}"/>
    <hyperlink ref="B804" r:id="rId803" xr:uid="{00000000-0004-0000-0E00-000022030000}"/>
    <hyperlink ref="B805" r:id="rId804" xr:uid="{00000000-0004-0000-0E00-000023030000}"/>
    <hyperlink ref="B806" r:id="rId805" xr:uid="{00000000-0004-0000-0E00-000024030000}"/>
    <hyperlink ref="B807" r:id="rId806" xr:uid="{00000000-0004-0000-0E00-000025030000}"/>
    <hyperlink ref="B808" r:id="rId807" xr:uid="{00000000-0004-0000-0E00-000026030000}"/>
    <hyperlink ref="B809" r:id="rId808" xr:uid="{00000000-0004-0000-0E00-000027030000}"/>
    <hyperlink ref="B810" r:id="rId809" xr:uid="{00000000-0004-0000-0E00-000028030000}"/>
    <hyperlink ref="B811" r:id="rId810" xr:uid="{00000000-0004-0000-0E00-000029030000}"/>
    <hyperlink ref="B812" r:id="rId811" xr:uid="{00000000-0004-0000-0E00-00002A030000}"/>
    <hyperlink ref="B813" r:id="rId812" xr:uid="{00000000-0004-0000-0E00-00002B030000}"/>
    <hyperlink ref="B814" r:id="rId813" xr:uid="{00000000-0004-0000-0E00-00002C030000}"/>
    <hyperlink ref="B815" r:id="rId814" xr:uid="{00000000-0004-0000-0E00-00002D030000}"/>
    <hyperlink ref="B816" r:id="rId815" xr:uid="{00000000-0004-0000-0E00-00002E030000}"/>
    <hyperlink ref="B817" r:id="rId816" xr:uid="{00000000-0004-0000-0E00-00002F030000}"/>
    <hyperlink ref="B818" r:id="rId817" xr:uid="{00000000-0004-0000-0E00-000030030000}"/>
    <hyperlink ref="B819" r:id="rId818" xr:uid="{00000000-0004-0000-0E00-000031030000}"/>
    <hyperlink ref="B820" r:id="rId819" xr:uid="{00000000-0004-0000-0E00-000032030000}"/>
    <hyperlink ref="B821" r:id="rId820" xr:uid="{00000000-0004-0000-0E00-000033030000}"/>
    <hyperlink ref="B822" r:id="rId821" xr:uid="{00000000-0004-0000-0E00-000034030000}"/>
    <hyperlink ref="B823" r:id="rId822" xr:uid="{00000000-0004-0000-0E00-000035030000}"/>
    <hyperlink ref="B824" r:id="rId823" xr:uid="{00000000-0004-0000-0E00-000036030000}"/>
    <hyperlink ref="B825" r:id="rId824" xr:uid="{00000000-0004-0000-0E00-000037030000}"/>
    <hyperlink ref="B826" r:id="rId825" xr:uid="{00000000-0004-0000-0E00-000038030000}"/>
    <hyperlink ref="B827" r:id="rId826" xr:uid="{00000000-0004-0000-0E00-000039030000}"/>
    <hyperlink ref="B828" r:id="rId827" xr:uid="{00000000-0004-0000-0E00-00003A030000}"/>
    <hyperlink ref="B829" r:id="rId828" xr:uid="{00000000-0004-0000-0E00-00003B030000}"/>
    <hyperlink ref="B830" r:id="rId829" xr:uid="{00000000-0004-0000-0E00-00003C030000}"/>
    <hyperlink ref="B831" r:id="rId830" xr:uid="{00000000-0004-0000-0E00-00003D030000}"/>
    <hyperlink ref="B832" r:id="rId831" xr:uid="{00000000-0004-0000-0E00-00003E030000}"/>
    <hyperlink ref="B833" r:id="rId832" xr:uid="{00000000-0004-0000-0E00-00003F030000}"/>
    <hyperlink ref="B834" r:id="rId833" xr:uid="{00000000-0004-0000-0E00-000040030000}"/>
    <hyperlink ref="B835" r:id="rId834" xr:uid="{00000000-0004-0000-0E00-000041030000}"/>
    <hyperlink ref="B836" r:id="rId835" xr:uid="{00000000-0004-0000-0E00-000042030000}"/>
    <hyperlink ref="B837" r:id="rId836" xr:uid="{00000000-0004-0000-0E00-000043030000}"/>
    <hyperlink ref="B838" r:id="rId837" xr:uid="{00000000-0004-0000-0E00-000044030000}"/>
    <hyperlink ref="B839" r:id="rId838" xr:uid="{00000000-0004-0000-0E00-000045030000}"/>
    <hyperlink ref="B840" r:id="rId839" xr:uid="{00000000-0004-0000-0E00-000046030000}"/>
    <hyperlink ref="B841" r:id="rId840" xr:uid="{00000000-0004-0000-0E00-000047030000}"/>
    <hyperlink ref="B842" r:id="rId841" xr:uid="{00000000-0004-0000-0E00-000048030000}"/>
    <hyperlink ref="B843" r:id="rId842" xr:uid="{00000000-0004-0000-0E00-000049030000}"/>
    <hyperlink ref="B844" r:id="rId843" xr:uid="{00000000-0004-0000-0E00-00004A030000}"/>
    <hyperlink ref="B845" r:id="rId844" xr:uid="{00000000-0004-0000-0E00-00004B030000}"/>
    <hyperlink ref="B846" r:id="rId845" xr:uid="{00000000-0004-0000-0E00-00004C030000}"/>
    <hyperlink ref="B847" r:id="rId846" xr:uid="{00000000-0004-0000-0E00-00004D030000}"/>
    <hyperlink ref="B848" r:id="rId847" xr:uid="{00000000-0004-0000-0E00-00004E030000}"/>
    <hyperlink ref="B849" r:id="rId848" xr:uid="{00000000-0004-0000-0E00-00004F030000}"/>
    <hyperlink ref="B850" r:id="rId849" xr:uid="{00000000-0004-0000-0E00-000050030000}"/>
    <hyperlink ref="B851" r:id="rId850" xr:uid="{00000000-0004-0000-0E00-000051030000}"/>
    <hyperlink ref="B852" r:id="rId851" xr:uid="{00000000-0004-0000-0E00-000052030000}"/>
    <hyperlink ref="B853" r:id="rId852" xr:uid="{00000000-0004-0000-0E00-000053030000}"/>
    <hyperlink ref="B854" r:id="rId853" xr:uid="{00000000-0004-0000-0E00-000054030000}"/>
    <hyperlink ref="B855" r:id="rId854" xr:uid="{00000000-0004-0000-0E00-000055030000}"/>
    <hyperlink ref="B856" r:id="rId855" xr:uid="{00000000-0004-0000-0E00-000056030000}"/>
    <hyperlink ref="B857" r:id="rId856" xr:uid="{00000000-0004-0000-0E00-000057030000}"/>
    <hyperlink ref="B858" r:id="rId857" xr:uid="{00000000-0004-0000-0E00-000058030000}"/>
    <hyperlink ref="B859" r:id="rId858" xr:uid="{00000000-0004-0000-0E00-000059030000}"/>
    <hyperlink ref="B860" r:id="rId859" xr:uid="{00000000-0004-0000-0E00-00005A030000}"/>
    <hyperlink ref="B861" r:id="rId860" xr:uid="{00000000-0004-0000-0E00-00005B030000}"/>
    <hyperlink ref="B862" r:id="rId861" xr:uid="{00000000-0004-0000-0E00-00005C030000}"/>
    <hyperlink ref="B863" r:id="rId862" xr:uid="{00000000-0004-0000-0E00-00005D030000}"/>
    <hyperlink ref="B864" r:id="rId863" xr:uid="{00000000-0004-0000-0E00-00005E030000}"/>
    <hyperlink ref="B865" r:id="rId864" xr:uid="{00000000-0004-0000-0E00-00005F030000}"/>
    <hyperlink ref="B866" r:id="rId865" xr:uid="{00000000-0004-0000-0E00-000060030000}"/>
    <hyperlink ref="B867" r:id="rId866" xr:uid="{00000000-0004-0000-0E00-000061030000}"/>
    <hyperlink ref="B868" r:id="rId867" xr:uid="{00000000-0004-0000-0E00-000062030000}"/>
    <hyperlink ref="B869" r:id="rId868" xr:uid="{00000000-0004-0000-0E00-000063030000}"/>
    <hyperlink ref="B870" r:id="rId869" xr:uid="{00000000-0004-0000-0E00-000064030000}"/>
    <hyperlink ref="B871" r:id="rId870" xr:uid="{00000000-0004-0000-0E00-000065030000}"/>
    <hyperlink ref="B872" r:id="rId871" xr:uid="{00000000-0004-0000-0E00-000066030000}"/>
    <hyperlink ref="B873" r:id="rId872" xr:uid="{00000000-0004-0000-0E00-000067030000}"/>
    <hyperlink ref="B874" r:id="rId873" xr:uid="{00000000-0004-0000-0E00-000068030000}"/>
    <hyperlink ref="B875" r:id="rId874" xr:uid="{00000000-0004-0000-0E00-000069030000}"/>
    <hyperlink ref="B876" r:id="rId875" xr:uid="{00000000-0004-0000-0E00-00006A030000}"/>
    <hyperlink ref="B877" r:id="rId876" xr:uid="{00000000-0004-0000-0E00-00006B030000}"/>
    <hyperlink ref="B878" r:id="rId877" xr:uid="{00000000-0004-0000-0E00-00006C030000}"/>
    <hyperlink ref="B879" r:id="rId878" xr:uid="{00000000-0004-0000-0E00-00006D030000}"/>
    <hyperlink ref="B880" r:id="rId879" xr:uid="{00000000-0004-0000-0E00-00006E030000}"/>
    <hyperlink ref="B881" r:id="rId880" xr:uid="{00000000-0004-0000-0E00-00006F030000}"/>
    <hyperlink ref="B882" r:id="rId881" xr:uid="{00000000-0004-0000-0E00-000070030000}"/>
    <hyperlink ref="B883" r:id="rId882" xr:uid="{00000000-0004-0000-0E00-000071030000}"/>
    <hyperlink ref="B884" r:id="rId883" xr:uid="{00000000-0004-0000-0E00-000072030000}"/>
    <hyperlink ref="B885" r:id="rId884" xr:uid="{00000000-0004-0000-0E00-000073030000}"/>
    <hyperlink ref="B886" r:id="rId885" xr:uid="{00000000-0004-0000-0E00-000074030000}"/>
    <hyperlink ref="B887" r:id="rId886" xr:uid="{00000000-0004-0000-0E00-000075030000}"/>
    <hyperlink ref="B888" r:id="rId887" xr:uid="{00000000-0004-0000-0E00-000076030000}"/>
    <hyperlink ref="B889" r:id="rId888" xr:uid="{00000000-0004-0000-0E00-000077030000}"/>
    <hyperlink ref="B890" r:id="rId889" xr:uid="{00000000-0004-0000-0E00-000078030000}"/>
    <hyperlink ref="B891" r:id="rId890" xr:uid="{00000000-0004-0000-0E00-000079030000}"/>
    <hyperlink ref="B892" r:id="rId891" xr:uid="{00000000-0004-0000-0E00-00007A030000}"/>
    <hyperlink ref="B893" r:id="rId892" xr:uid="{00000000-0004-0000-0E00-00007B030000}"/>
    <hyperlink ref="B894" r:id="rId893" xr:uid="{00000000-0004-0000-0E00-00007C030000}"/>
    <hyperlink ref="B895" r:id="rId894" xr:uid="{00000000-0004-0000-0E00-00007D030000}"/>
    <hyperlink ref="B896" r:id="rId895" xr:uid="{00000000-0004-0000-0E00-00007E030000}"/>
    <hyperlink ref="B897" r:id="rId896" xr:uid="{00000000-0004-0000-0E00-00007F030000}"/>
    <hyperlink ref="B898" r:id="rId897" xr:uid="{00000000-0004-0000-0E00-000080030000}"/>
    <hyperlink ref="B899" r:id="rId898" xr:uid="{00000000-0004-0000-0E00-000081030000}"/>
    <hyperlink ref="B900" r:id="rId899" xr:uid="{00000000-0004-0000-0E00-000082030000}"/>
    <hyperlink ref="B901" r:id="rId900" xr:uid="{00000000-0004-0000-0E00-000083030000}"/>
    <hyperlink ref="B902" r:id="rId901" xr:uid="{00000000-0004-0000-0E00-000084030000}"/>
    <hyperlink ref="B903" r:id="rId902" xr:uid="{00000000-0004-0000-0E00-000085030000}"/>
    <hyperlink ref="B904" r:id="rId903" xr:uid="{00000000-0004-0000-0E00-000086030000}"/>
    <hyperlink ref="B905" r:id="rId904" xr:uid="{00000000-0004-0000-0E00-000087030000}"/>
    <hyperlink ref="B906" r:id="rId905" xr:uid="{00000000-0004-0000-0E00-000088030000}"/>
    <hyperlink ref="B907" r:id="rId906" xr:uid="{00000000-0004-0000-0E00-000089030000}"/>
    <hyperlink ref="B908" r:id="rId907" xr:uid="{00000000-0004-0000-0E00-00008A030000}"/>
    <hyperlink ref="B909" r:id="rId908" xr:uid="{00000000-0004-0000-0E00-00008B030000}"/>
    <hyperlink ref="B910" r:id="rId909" xr:uid="{00000000-0004-0000-0E00-00008C030000}"/>
    <hyperlink ref="B911" r:id="rId910" xr:uid="{00000000-0004-0000-0E00-00008D030000}"/>
    <hyperlink ref="B912" r:id="rId911" xr:uid="{00000000-0004-0000-0E00-00008E030000}"/>
    <hyperlink ref="B913" r:id="rId912" xr:uid="{00000000-0004-0000-0E00-00008F030000}"/>
    <hyperlink ref="B914" r:id="rId913" xr:uid="{00000000-0004-0000-0E00-000090030000}"/>
    <hyperlink ref="B915" r:id="rId914" xr:uid="{00000000-0004-0000-0E00-000091030000}"/>
    <hyperlink ref="B916" r:id="rId915" xr:uid="{00000000-0004-0000-0E00-000092030000}"/>
    <hyperlink ref="B917" r:id="rId916" xr:uid="{00000000-0004-0000-0E00-000093030000}"/>
    <hyperlink ref="B918" r:id="rId917" xr:uid="{00000000-0004-0000-0E00-000094030000}"/>
    <hyperlink ref="B919" r:id="rId918" xr:uid="{00000000-0004-0000-0E00-000095030000}"/>
    <hyperlink ref="B920" r:id="rId919" xr:uid="{00000000-0004-0000-0E00-000096030000}"/>
    <hyperlink ref="B921" r:id="rId920" xr:uid="{00000000-0004-0000-0E00-000097030000}"/>
    <hyperlink ref="B922" r:id="rId921" xr:uid="{00000000-0004-0000-0E00-000098030000}"/>
    <hyperlink ref="B923" r:id="rId922" xr:uid="{00000000-0004-0000-0E00-000099030000}"/>
    <hyperlink ref="B924" r:id="rId923" xr:uid="{00000000-0004-0000-0E00-00009A030000}"/>
    <hyperlink ref="B925" r:id="rId924" xr:uid="{00000000-0004-0000-0E00-00009B030000}"/>
    <hyperlink ref="B926" r:id="rId925" xr:uid="{00000000-0004-0000-0E00-00009C030000}"/>
    <hyperlink ref="B927" r:id="rId926" xr:uid="{00000000-0004-0000-0E00-00009D030000}"/>
    <hyperlink ref="B928" r:id="rId927" xr:uid="{00000000-0004-0000-0E00-00009E030000}"/>
    <hyperlink ref="B929" r:id="rId928" xr:uid="{00000000-0004-0000-0E00-00009F030000}"/>
    <hyperlink ref="B930" r:id="rId929" xr:uid="{00000000-0004-0000-0E00-0000A0030000}"/>
    <hyperlink ref="B931" r:id="rId930" xr:uid="{00000000-0004-0000-0E00-0000A1030000}"/>
    <hyperlink ref="B932" r:id="rId931" xr:uid="{00000000-0004-0000-0E00-0000A2030000}"/>
    <hyperlink ref="B933" r:id="rId932" xr:uid="{00000000-0004-0000-0E00-0000A3030000}"/>
    <hyperlink ref="B934" r:id="rId933" xr:uid="{00000000-0004-0000-0E00-0000A4030000}"/>
    <hyperlink ref="B935" r:id="rId934" xr:uid="{00000000-0004-0000-0E00-0000A5030000}"/>
    <hyperlink ref="B936" r:id="rId935" xr:uid="{00000000-0004-0000-0E00-0000A6030000}"/>
    <hyperlink ref="B937" r:id="rId936" xr:uid="{00000000-0004-0000-0E00-0000A7030000}"/>
    <hyperlink ref="B938" r:id="rId937" xr:uid="{00000000-0004-0000-0E00-0000A8030000}"/>
    <hyperlink ref="B939" r:id="rId938" xr:uid="{00000000-0004-0000-0E00-0000A9030000}"/>
    <hyperlink ref="B940" r:id="rId939" xr:uid="{00000000-0004-0000-0E00-0000AA030000}"/>
    <hyperlink ref="B941" r:id="rId940" xr:uid="{00000000-0004-0000-0E00-0000AB030000}"/>
    <hyperlink ref="B942" r:id="rId941" xr:uid="{00000000-0004-0000-0E00-0000AC030000}"/>
    <hyperlink ref="B943" r:id="rId942" xr:uid="{00000000-0004-0000-0E00-0000AD030000}"/>
    <hyperlink ref="B944" r:id="rId943" xr:uid="{00000000-0004-0000-0E00-0000AE030000}"/>
    <hyperlink ref="B945" r:id="rId944" xr:uid="{00000000-0004-0000-0E00-0000AF030000}"/>
    <hyperlink ref="B946" r:id="rId945" xr:uid="{00000000-0004-0000-0E00-0000B0030000}"/>
    <hyperlink ref="B947" r:id="rId946" xr:uid="{00000000-0004-0000-0E00-0000B1030000}"/>
    <hyperlink ref="B948" r:id="rId947" xr:uid="{00000000-0004-0000-0E00-0000B2030000}"/>
    <hyperlink ref="B949" r:id="rId948" xr:uid="{00000000-0004-0000-0E00-0000B3030000}"/>
    <hyperlink ref="B950" r:id="rId949" xr:uid="{00000000-0004-0000-0E00-0000B4030000}"/>
    <hyperlink ref="B951" r:id="rId950" xr:uid="{00000000-0004-0000-0E00-0000B5030000}"/>
    <hyperlink ref="B952" r:id="rId951" xr:uid="{00000000-0004-0000-0E00-0000B6030000}"/>
    <hyperlink ref="B953" r:id="rId952" xr:uid="{00000000-0004-0000-0E00-0000B7030000}"/>
    <hyperlink ref="B954" r:id="rId953" xr:uid="{00000000-0004-0000-0E00-0000B8030000}"/>
    <hyperlink ref="B955" r:id="rId954" xr:uid="{00000000-0004-0000-0E00-0000B9030000}"/>
    <hyperlink ref="B956" r:id="rId955" xr:uid="{00000000-0004-0000-0E00-0000BA030000}"/>
    <hyperlink ref="B957" r:id="rId956" xr:uid="{00000000-0004-0000-0E00-0000BB030000}"/>
    <hyperlink ref="B958" r:id="rId957" xr:uid="{00000000-0004-0000-0E00-0000BC030000}"/>
    <hyperlink ref="B959" r:id="rId958" xr:uid="{00000000-0004-0000-0E00-0000BD030000}"/>
    <hyperlink ref="B960" r:id="rId959" xr:uid="{00000000-0004-0000-0E00-0000BE030000}"/>
    <hyperlink ref="B961" r:id="rId960" xr:uid="{00000000-0004-0000-0E00-0000BF030000}"/>
    <hyperlink ref="B962" r:id="rId961" xr:uid="{00000000-0004-0000-0E00-0000C0030000}"/>
    <hyperlink ref="B963" r:id="rId962" xr:uid="{00000000-0004-0000-0E00-0000C1030000}"/>
    <hyperlink ref="B964" r:id="rId963" xr:uid="{00000000-0004-0000-0E00-0000C2030000}"/>
    <hyperlink ref="B965" r:id="rId964" xr:uid="{00000000-0004-0000-0E00-0000C3030000}"/>
    <hyperlink ref="B966" r:id="rId965" xr:uid="{00000000-0004-0000-0E00-0000C4030000}"/>
    <hyperlink ref="B967" r:id="rId966" xr:uid="{00000000-0004-0000-0E00-0000C5030000}"/>
    <hyperlink ref="B968" r:id="rId967" xr:uid="{00000000-0004-0000-0E00-0000C6030000}"/>
    <hyperlink ref="B969" r:id="rId968" xr:uid="{00000000-0004-0000-0E00-0000C7030000}"/>
    <hyperlink ref="B970" r:id="rId969" xr:uid="{00000000-0004-0000-0E00-0000C8030000}"/>
    <hyperlink ref="B971" r:id="rId970" xr:uid="{00000000-0004-0000-0E00-0000C9030000}"/>
    <hyperlink ref="B972" r:id="rId971" xr:uid="{00000000-0004-0000-0E00-0000CA030000}"/>
    <hyperlink ref="B973" r:id="rId972" xr:uid="{00000000-0004-0000-0E00-0000CB030000}"/>
    <hyperlink ref="B974" r:id="rId973" xr:uid="{00000000-0004-0000-0E00-0000CC030000}"/>
    <hyperlink ref="B975" r:id="rId974" xr:uid="{00000000-0004-0000-0E00-0000CD030000}"/>
    <hyperlink ref="B976" r:id="rId975" xr:uid="{00000000-0004-0000-0E00-0000CE030000}"/>
    <hyperlink ref="B977" r:id="rId976" xr:uid="{00000000-0004-0000-0E00-0000CF030000}"/>
    <hyperlink ref="B978" r:id="rId977" xr:uid="{00000000-0004-0000-0E00-0000D0030000}"/>
    <hyperlink ref="B979" r:id="rId978" xr:uid="{00000000-0004-0000-0E00-0000D1030000}"/>
    <hyperlink ref="B980" r:id="rId979" xr:uid="{00000000-0004-0000-0E00-0000D2030000}"/>
    <hyperlink ref="B981" r:id="rId980" xr:uid="{00000000-0004-0000-0E00-0000D3030000}"/>
    <hyperlink ref="B982" r:id="rId981" xr:uid="{00000000-0004-0000-0E00-0000D4030000}"/>
    <hyperlink ref="B983" r:id="rId982" xr:uid="{00000000-0004-0000-0E00-0000D5030000}"/>
    <hyperlink ref="B984" r:id="rId983" xr:uid="{00000000-0004-0000-0E00-0000D6030000}"/>
    <hyperlink ref="B985" r:id="rId984" xr:uid="{00000000-0004-0000-0E00-0000D7030000}"/>
    <hyperlink ref="B986" r:id="rId985" xr:uid="{00000000-0004-0000-0E00-0000D8030000}"/>
    <hyperlink ref="B987" r:id="rId986" xr:uid="{00000000-0004-0000-0E00-0000D9030000}"/>
    <hyperlink ref="B988" r:id="rId987" xr:uid="{00000000-0004-0000-0E00-0000DA030000}"/>
    <hyperlink ref="B989" r:id="rId988" xr:uid="{00000000-0004-0000-0E00-0000DB030000}"/>
    <hyperlink ref="B990" r:id="rId989" xr:uid="{00000000-0004-0000-0E00-0000DC030000}"/>
    <hyperlink ref="B991" r:id="rId990" xr:uid="{00000000-0004-0000-0E00-0000DD030000}"/>
    <hyperlink ref="B992" r:id="rId991" xr:uid="{00000000-0004-0000-0E00-0000DE030000}"/>
    <hyperlink ref="B993" r:id="rId992" xr:uid="{00000000-0004-0000-0E00-0000DF030000}"/>
    <hyperlink ref="B994" r:id="rId993" xr:uid="{00000000-0004-0000-0E00-0000E0030000}"/>
    <hyperlink ref="B995" r:id="rId994" xr:uid="{00000000-0004-0000-0E00-0000E1030000}"/>
    <hyperlink ref="B996" r:id="rId995" xr:uid="{00000000-0004-0000-0E00-0000E2030000}"/>
    <hyperlink ref="B997" r:id="rId996" xr:uid="{00000000-0004-0000-0E00-0000E3030000}"/>
    <hyperlink ref="B998" r:id="rId997" xr:uid="{00000000-0004-0000-0E00-0000E4030000}"/>
    <hyperlink ref="B999" r:id="rId998" xr:uid="{00000000-0004-0000-0E00-0000E5030000}"/>
    <hyperlink ref="B1000" r:id="rId999" xr:uid="{00000000-0004-0000-0E00-0000E6030000}"/>
    <hyperlink ref="B1001" r:id="rId1000" xr:uid="{00000000-0004-0000-0E00-0000E7030000}"/>
    <hyperlink ref="B1002" r:id="rId1001" xr:uid="{00000000-0004-0000-0E00-0000E8030000}"/>
    <hyperlink ref="B1003" r:id="rId1002" xr:uid="{00000000-0004-0000-0E00-0000E9030000}"/>
    <hyperlink ref="B1004" r:id="rId1003" xr:uid="{00000000-0004-0000-0E00-0000EA030000}"/>
    <hyperlink ref="B1005" r:id="rId1004" xr:uid="{00000000-0004-0000-0E00-0000EB030000}"/>
    <hyperlink ref="B1006" r:id="rId1005" xr:uid="{00000000-0004-0000-0E00-0000EC030000}"/>
    <hyperlink ref="B1007" r:id="rId1006" xr:uid="{00000000-0004-0000-0E00-0000ED030000}"/>
    <hyperlink ref="B1008" r:id="rId1007" xr:uid="{00000000-0004-0000-0E00-0000EE030000}"/>
    <hyperlink ref="B1009" r:id="rId1008" xr:uid="{00000000-0004-0000-0E00-0000EF030000}"/>
    <hyperlink ref="B1010" r:id="rId1009" xr:uid="{00000000-0004-0000-0E00-0000F0030000}"/>
    <hyperlink ref="B1011" r:id="rId1010" xr:uid="{00000000-0004-0000-0E00-0000F1030000}"/>
    <hyperlink ref="B1012" r:id="rId1011" xr:uid="{00000000-0004-0000-0E00-0000F2030000}"/>
    <hyperlink ref="B1013" r:id="rId1012" xr:uid="{00000000-0004-0000-0E00-0000F3030000}"/>
    <hyperlink ref="B1014" r:id="rId1013" xr:uid="{00000000-0004-0000-0E00-0000F4030000}"/>
    <hyperlink ref="B1015" r:id="rId1014" xr:uid="{00000000-0004-0000-0E00-0000F5030000}"/>
    <hyperlink ref="B1016" r:id="rId1015" xr:uid="{00000000-0004-0000-0E00-0000F6030000}"/>
    <hyperlink ref="B1017" r:id="rId1016" xr:uid="{00000000-0004-0000-0E00-0000F7030000}"/>
    <hyperlink ref="B1018" r:id="rId1017" xr:uid="{00000000-0004-0000-0E00-0000F8030000}"/>
    <hyperlink ref="B1019" r:id="rId1018" xr:uid="{00000000-0004-0000-0E00-0000F9030000}"/>
    <hyperlink ref="B1020" r:id="rId1019" xr:uid="{00000000-0004-0000-0E00-0000FA030000}"/>
    <hyperlink ref="B1021" r:id="rId1020" xr:uid="{00000000-0004-0000-0E00-0000FB030000}"/>
    <hyperlink ref="B1022" r:id="rId1021" xr:uid="{00000000-0004-0000-0E00-0000FC030000}"/>
    <hyperlink ref="B1023" r:id="rId1022" xr:uid="{00000000-0004-0000-0E00-0000FD030000}"/>
    <hyperlink ref="B1024" r:id="rId1023" xr:uid="{00000000-0004-0000-0E00-0000FE030000}"/>
    <hyperlink ref="B1025" r:id="rId1024" xr:uid="{00000000-0004-0000-0E00-0000FF030000}"/>
    <hyperlink ref="B1026" r:id="rId1025" xr:uid="{00000000-0004-0000-0E00-000000040000}"/>
    <hyperlink ref="B1027" r:id="rId1026" xr:uid="{00000000-0004-0000-0E00-000001040000}"/>
    <hyperlink ref="B1028" r:id="rId1027" xr:uid="{00000000-0004-0000-0E00-000002040000}"/>
    <hyperlink ref="B1029" r:id="rId1028" xr:uid="{00000000-0004-0000-0E00-000003040000}"/>
    <hyperlink ref="B1030" r:id="rId1029" xr:uid="{00000000-0004-0000-0E00-000004040000}"/>
    <hyperlink ref="B1031" r:id="rId1030" xr:uid="{00000000-0004-0000-0E00-000005040000}"/>
    <hyperlink ref="B1032" r:id="rId1031" xr:uid="{00000000-0004-0000-0E00-000006040000}"/>
    <hyperlink ref="B1033" r:id="rId1032" xr:uid="{00000000-0004-0000-0E00-000007040000}"/>
    <hyperlink ref="B1034" r:id="rId1033" xr:uid="{00000000-0004-0000-0E00-000008040000}"/>
    <hyperlink ref="B1035" r:id="rId1034" xr:uid="{00000000-0004-0000-0E00-000009040000}"/>
    <hyperlink ref="B1036" r:id="rId1035" xr:uid="{00000000-0004-0000-0E00-00000A040000}"/>
    <hyperlink ref="B1037" r:id="rId1036" xr:uid="{00000000-0004-0000-0E00-00000B040000}"/>
    <hyperlink ref="B1038" r:id="rId1037" xr:uid="{00000000-0004-0000-0E00-00000C040000}"/>
    <hyperlink ref="B1039" r:id="rId1038" xr:uid="{00000000-0004-0000-0E00-00000D040000}"/>
    <hyperlink ref="B1040" r:id="rId1039" xr:uid="{00000000-0004-0000-0E00-00000E040000}"/>
    <hyperlink ref="B1041" r:id="rId1040" xr:uid="{00000000-0004-0000-0E00-00000F040000}"/>
    <hyperlink ref="B1042" r:id="rId1041" xr:uid="{00000000-0004-0000-0E00-000010040000}"/>
    <hyperlink ref="B1043" r:id="rId1042" xr:uid="{00000000-0004-0000-0E00-000011040000}"/>
    <hyperlink ref="B1044" r:id="rId1043" xr:uid="{00000000-0004-0000-0E00-000012040000}"/>
    <hyperlink ref="B1045" r:id="rId1044" xr:uid="{00000000-0004-0000-0E00-000013040000}"/>
    <hyperlink ref="B1046" r:id="rId1045" xr:uid="{00000000-0004-0000-0E00-000014040000}"/>
    <hyperlink ref="B1047" r:id="rId1046" xr:uid="{00000000-0004-0000-0E00-000015040000}"/>
    <hyperlink ref="B1048" r:id="rId1047" xr:uid="{00000000-0004-0000-0E00-000016040000}"/>
    <hyperlink ref="B1049" r:id="rId1048" xr:uid="{00000000-0004-0000-0E00-000017040000}"/>
    <hyperlink ref="B1050" r:id="rId1049" xr:uid="{00000000-0004-0000-0E00-000018040000}"/>
    <hyperlink ref="B1051" r:id="rId1050" xr:uid="{00000000-0004-0000-0E00-000019040000}"/>
    <hyperlink ref="B1052" r:id="rId1051" xr:uid="{00000000-0004-0000-0E00-00001A040000}"/>
    <hyperlink ref="B1053" r:id="rId1052" xr:uid="{00000000-0004-0000-0E00-00001B040000}"/>
    <hyperlink ref="B1054" r:id="rId1053" xr:uid="{00000000-0004-0000-0E00-00001C040000}"/>
    <hyperlink ref="B1055" r:id="rId1054" xr:uid="{00000000-0004-0000-0E00-00001D040000}"/>
    <hyperlink ref="B1056" r:id="rId1055" xr:uid="{00000000-0004-0000-0E00-00001E040000}"/>
    <hyperlink ref="B1057" r:id="rId1056" xr:uid="{00000000-0004-0000-0E00-00001F040000}"/>
    <hyperlink ref="B1058" r:id="rId1057" xr:uid="{00000000-0004-0000-0E00-000020040000}"/>
    <hyperlink ref="B1059" r:id="rId1058" xr:uid="{00000000-0004-0000-0E00-000021040000}"/>
    <hyperlink ref="B1060" r:id="rId1059" xr:uid="{00000000-0004-0000-0E00-000022040000}"/>
    <hyperlink ref="B1061" r:id="rId1060" xr:uid="{00000000-0004-0000-0E00-000023040000}"/>
    <hyperlink ref="B1062" r:id="rId1061" xr:uid="{00000000-0004-0000-0E00-000024040000}"/>
    <hyperlink ref="B1063" r:id="rId1062" xr:uid="{00000000-0004-0000-0E00-000025040000}"/>
    <hyperlink ref="B1064" r:id="rId1063" xr:uid="{00000000-0004-0000-0E00-000026040000}"/>
    <hyperlink ref="B1065" r:id="rId1064" xr:uid="{00000000-0004-0000-0E00-000027040000}"/>
    <hyperlink ref="B1066" r:id="rId1065" xr:uid="{00000000-0004-0000-0E00-000028040000}"/>
    <hyperlink ref="B1067" r:id="rId1066" xr:uid="{00000000-0004-0000-0E00-000029040000}"/>
    <hyperlink ref="B1068" r:id="rId1067" xr:uid="{00000000-0004-0000-0E00-00002A040000}"/>
    <hyperlink ref="B1069" r:id="rId1068" xr:uid="{00000000-0004-0000-0E00-00002B040000}"/>
    <hyperlink ref="B1070" r:id="rId1069" xr:uid="{00000000-0004-0000-0E00-00002C040000}"/>
    <hyperlink ref="B1071" r:id="rId1070" xr:uid="{00000000-0004-0000-0E00-00002D040000}"/>
    <hyperlink ref="B1072" r:id="rId1071" xr:uid="{00000000-0004-0000-0E00-00002E040000}"/>
    <hyperlink ref="B1073" r:id="rId1072" xr:uid="{00000000-0004-0000-0E00-00002F040000}"/>
    <hyperlink ref="B1074" r:id="rId1073" xr:uid="{00000000-0004-0000-0E00-000030040000}"/>
    <hyperlink ref="B1075" r:id="rId1074" xr:uid="{00000000-0004-0000-0E00-000031040000}"/>
    <hyperlink ref="B1076" r:id="rId1075" xr:uid="{00000000-0004-0000-0E00-000032040000}"/>
    <hyperlink ref="B1077" r:id="rId1076" xr:uid="{00000000-0004-0000-0E00-000033040000}"/>
    <hyperlink ref="B1078" r:id="rId1077" xr:uid="{00000000-0004-0000-0E00-000034040000}"/>
    <hyperlink ref="B1079" r:id="rId1078" xr:uid="{00000000-0004-0000-0E00-000035040000}"/>
    <hyperlink ref="B1080" r:id="rId1079" xr:uid="{00000000-0004-0000-0E00-000036040000}"/>
    <hyperlink ref="B1081" r:id="rId1080" xr:uid="{00000000-0004-0000-0E00-000037040000}"/>
    <hyperlink ref="B1082" r:id="rId1081" xr:uid="{00000000-0004-0000-0E00-000038040000}"/>
    <hyperlink ref="B1083" r:id="rId1082" xr:uid="{00000000-0004-0000-0E00-000039040000}"/>
    <hyperlink ref="B1084" r:id="rId1083" xr:uid="{00000000-0004-0000-0E00-00003A040000}"/>
    <hyperlink ref="B1085" r:id="rId1084" xr:uid="{00000000-0004-0000-0E00-00003B040000}"/>
    <hyperlink ref="B1086" r:id="rId1085" xr:uid="{00000000-0004-0000-0E00-00003C040000}"/>
    <hyperlink ref="B1087" r:id="rId1086" xr:uid="{00000000-0004-0000-0E00-00003D040000}"/>
    <hyperlink ref="B1088" r:id="rId1087" xr:uid="{00000000-0004-0000-0E00-00003E040000}"/>
    <hyperlink ref="B1089" r:id="rId1088" xr:uid="{00000000-0004-0000-0E00-00003F040000}"/>
    <hyperlink ref="B1090" r:id="rId1089" xr:uid="{00000000-0004-0000-0E00-000040040000}"/>
    <hyperlink ref="B1091" r:id="rId1090" xr:uid="{00000000-0004-0000-0E00-000041040000}"/>
    <hyperlink ref="B1092" r:id="rId1091" xr:uid="{00000000-0004-0000-0E00-000042040000}"/>
    <hyperlink ref="B1093" r:id="rId1092" xr:uid="{00000000-0004-0000-0E00-000043040000}"/>
    <hyperlink ref="B1094" r:id="rId1093" xr:uid="{00000000-0004-0000-0E00-000044040000}"/>
    <hyperlink ref="B1095" r:id="rId1094" xr:uid="{00000000-0004-0000-0E00-000045040000}"/>
    <hyperlink ref="B1096" r:id="rId1095" xr:uid="{00000000-0004-0000-0E00-000046040000}"/>
    <hyperlink ref="B1097" r:id="rId1096" xr:uid="{00000000-0004-0000-0E00-000047040000}"/>
    <hyperlink ref="B1098" r:id="rId1097" xr:uid="{00000000-0004-0000-0E00-000048040000}"/>
    <hyperlink ref="B1099" r:id="rId1098" xr:uid="{00000000-0004-0000-0E00-000049040000}"/>
    <hyperlink ref="B1100" r:id="rId1099" xr:uid="{00000000-0004-0000-0E00-00004A040000}"/>
    <hyperlink ref="B1101" r:id="rId1100" xr:uid="{00000000-0004-0000-0E00-00004B040000}"/>
    <hyperlink ref="B1102" r:id="rId1101" xr:uid="{00000000-0004-0000-0E00-00004C040000}"/>
    <hyperlink ref="B1103" r:id="rId1102" xr:uid="{00000000-0004-0000-0E00-00004D040000}"/>
    <hyperlink ref="B1104" r:id="rId1103" xr:uid="{00000000-0004-0000-0E00-00004E040000}"/>
    <hyperlink ref="B1105" r:id="rId1104" xr:uid="{00000000-0004-0000-0E00-00004F040000}"/>
    <hyperlink ref="B1106" r:id="rId1105" xr:uid="{00000000-0004-0000-0E00-000050040000}"/>
    <hyperlink ref="B1107" r:id="rId1106" xr:uid="{00000000-0004-0000-0E00-000051040000}"/>
    <hyperlink ref="B1108" r:id="rId1107" xr:uid="{00000000-0004-0000-0E00-000052040000}"/>
    <hyperlink ref="B1109" r:id="rId1108" xr:uid="{00000000-0004-0000-0E00-000053040000}"/>
    <hyperlink ref="B1110" r:id="rId1109" xr:uid="{00000000-0004-0000-0E00-000054040000}"/>
    <hyperlink ref="B1111" r:id="rId1110" xr:uid="{00000000-0004-0000-0E00-000055040000}"/>
    <hyperlink ref="B1112" r:id="rId1111" xr:uid="{00000000-0004-0000-0E00-000056040000}"/>
    <hyperlink ref="B1113" r:id="rId1112" xr:uid="{00000000-0004-0000-0E00-000057040000}"/>
    <hyperlink ref="B1114" r:id="rId1113" xr:uid="{00000000-0004-0000-0E00-000058040000}"/>
    <hyperlink ref="B1115" r:id="rId1114" xr:uid="{00000000-0004-0000-0E00-000059040000}"/>
    <hyperlink ref="B1116" r:id="rId1115" xr:uid="{00000000-0004-0000-0E00-00005A040000}"/>
    <hyperlink ref="B1117" r:id="rId1116" xr:uid="{00000000-0004-0000-0E00-00005B040000}"/>
    <hyperlink ref="B1118" r:id="rId1117" xr:uid="{00000000-0004-0000-0E00-00005C040000}"/>
    <hyperlink ref="B1119" r:id="rId1118" xr:uid="{00000000-0004-0000-0E00-00005D040000}"/>
    <hyperlink ref="B1120" r:id="rId1119" xr:uid="{00000000-0004-0000-0E00-00005E040000}"/>
    <hyperlink ref="B1121" r:id="rId1120" xr:uid="{00000000-0004-0000-0E00-00005F040000}"/>
    <hyperlink ref="B1122" r:id="rId1121" xr:uid="{00000000-0004-0000-0E00-000060040000}"/>
    <hyperlink ref="B1123" r:id="rId1122" xr:uid="{00000000-0004-0000-0E00-000061040000}"/>
    <hyperlink ref="B1124" r:id="rId1123" xr:uid="{00000000-0004-0000-0E00-000062040000}"/>
    <hyperlink ref="B1125" r:id="rId1124" xr:uid="{00000000-0004-0000-0E00-000063040000}"/>
    <hyperlink ref="B1126" r:id="rId1125" xr:uid="{00000000-0004-0000-0E00-000064040000}"/>
    <hyperlink ref="B1127" r:id="rId1126" xr:uid="{00000000-0004-0000-0E00-000065040000}"/>
    <hyperlink ref="B1128" r:id="rId1127" xr:uid="{00000000-0004-0000-0E00-000066040000}"/>
    <hyperlink ref="B1129" r:id="rId1128" xr:uid="{00000000-0004-0000-0E00-000067040000}"/>
    <hyperlink ref="B1130" r:id="rId1129" xr:uid="{00000000-0004-0000-0E00-000068040000}"/>
    <hyperlink ref="B1131" r:id="rId1130" xr:uid="{00000000-0004-0000-0E00-000069040000}"/>
    <hyperlink ref="B1132" r:id="rId1131" xr:uid="{00000000-0004-0000-0E00-00006A040000}"/>
    <hyperlink ref="B1133" r:id="rId1132" xr:uid="{00000000-0004-0000-0E00-00006B040000}"/>
    <hyperlink ref="B1134" r:id="rId1133" xr:uid="{00000000-0004-0000-0E00-00006C040000}"/>
    <hyperlink ref="B1135" r:id="rId1134" xr:uid="{00000000-0004-0000-0E00-00006D040000}"/>
    <hyperlink ref="B1136" r:id="rId1135" xr:uid="{00000000-0004-0000-0E00-00006E040000}"/>
    <hyperlink ref="B1137" r:id="rId1136" xr:uid="{00000000-0004-0000-0E00-00006F040000}"/>
    <hyperlink ref="B1138" r:id="rId1137" xr:uid="{00000000-0004-0000-0E00-000070040000}"/>
    <hyperlink ref="B1139" r:id="rId1138" xr:uid="{00000000-0004-0000-0E00-000071040000}"/>
    <hyperlink ref="B1140" r:id="rId1139" xr:uid="{00000000-0004-0000-0E00-000072040000}"/>
    <hyperlink ref="B1141" r:id="rId1140" xr:uid="{00000000-0004-0000-0E00-000073040000}"/>
    <hyperlink ref="B1142" r:id="rId1141" xr:uid="{00000000-0004-0000-0E00-000074040000}"/>
    <hyperlink ref="B1143" r:id="rId1142" xr:uid="{00000000-0004-0000-0E00-000075040000}"/>
    <hyperlink ref="B1144" r:id="rId1143" xr:uid="{00000000-0004-0000-0E00-000076040000}"/>
    <hyperlink ref="B1145" r:id="rId1144" xr:uid="{00000000-0004-0000-0E00-000077040000}"/>
    <hyperlink ref="B1146" r:id="rId1145" xr:uid="{00000000-0004-0000-0E00-000078040000}"/>
    <hyperlink ref="B1147" r:id="rId1146" xr:uid="{00000000-0004-0000-0E00-000079040000}"/>
    <hyperlink ref="B1148" r:id="rId1147" xr:uid="{00000000-0004-0000-0E00-00007A040000}"/>
    <hyperlink ref="B1149" r:id="rId1148" xr:uid="{00000000-0004-0000-0E00-00007B040000}"/>
    <hyperlink ref="B1150" r:id="rId1149" xr:uid="{00000000-0004-0000-0E00-00007C040000}"/>
    <hyperlink ref="B1151" r:id="rId1150" xr:uid="{00000000-0004-0000-0E00-00007D040000}"/>
    <hyperlink ref="B1152" r:id="rId1151" xr:uid="{00000000-0004-0000-0E00-00007E040000}"/>
    <hyperlink ref="B1153" r:id="rId1152" xr:uid="{00000000-0004-0000-0E00-00007F040000}"/>
    <hyperlink ref="B1154" r:id="rId1153" xr:uid="{00000000-0004-0000-0E00-000080040000}"/>
    <hyperlink ref="B1155" r:id="rId1154" xr:uid="{00000000-0004-0000-0E00-000081040000}"/>
    <hyperlink ref="B1156" r:id="rId1155" xr:uid="{00000000-0004-0000-0E00-000082040000}"/>
    <hyperlink ref="B1157" r:id="rId1156" xr:uid="{00000000-0004-0000-0E00-000083040000}"/>
    <hyperlink ref="B1158" r:id="rId1157" xr:uid="{00000000-0004-0000-0E00-000084040000}"/>
    <hyperlink ref="B1159" r:id="rId1158" xr:uid="{00000000-0004-0000-0E00-000085040000}"/>
    <hyperlink ref="B1160" r:id="rId1159" xr:uid="{00000000-0004-0000-0E00-000086040000}"/>
    <hyperlink ref="B1161" r:id="rId1160" xr:uid="{00000000-0004-0000-0E00-000087040000}"/>
    <hyperlink ref="B1162" r:id="rId1161" xr:uid="{00000000-0004-0000-0E00-000088040000}"/>
    <hyperlink ref="B1163" r:id="rId1162" xr:uid="{00000000-0004-0000-0E00-000089040000}"/>
    <hyperlink ref="B1164" r:id="rId1163" xr:uid="{00000000-0004-0000-0E00-00008A040000}"/>
    <hyperlink ref="B1165" r:id="rId1164" xr:uid="{00000000-0004-0000-0E00-00008B040000}"/>
    <hyperlink ref="B1166" r:id="rId1165" xr:uid="{00000000-0004-0000-0E00-00008C04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H1000"/>
  <sheetViews>
    <sheetView workbookViewId="0">
      <pane ySplit="2" topLeftCell="A3" activePane="bottomLeft" state="frozen"/>
      <selection pane="bottomLeft" activeCell="B4" sqref="B4"/>
    </sheetView>
  </sheetViews>
  <sheetFormatPr defaultColWidth="14.3984375" defaultRowHeight="15.75" customHeight="1"/>
  <cols>
    <col min="1" max="1" width="17" customWidth="1"/>
    <col min="2" max="2" width="13.296875" customWidth="1"/>
    <col min="3" max="3" width="49.09765625" customWidth="1"/>
    <col min="4" max="6" width="12.3984375" customWidth="1"/>
    <col min="7" max="7" width="16.59765625" customWidth="1"/>
    <col min="8" max="8" width="29.59765625" customWidth="1"/>
    <col min="9" max="9" width="16.3984375" customWidth="1"/>
    <col min="10" max="10" width="16.296875" customWidth="1"/>
    <col min="11" max="11" width="10" customWidth="1"/>
    <col min="12" max="12" width="11.59765625" customWidth="1"/>
    <col min="13" max="13" width="13.59765625" customWidth="1"/>
    <col min="14" max="14" width="56.09765625" customWidth="1"/>
    <col min="15" max="15" width="84.69921875" customWidth="1"/>
    <col min="16" max="16" width="22.09765625" customWidth="1"/>
    <col min="17" max="17" width="26.8984375" customWidth="1"/>
  </cols>
  <sheetData>
    <row r="1" spans="1:34" ht="15.75" customHeight="1">
      <c r="A1" s="257" t="s">
        <v>5873</v>
      </c>
      <c r="B1" s="258"/>
      <c r="C1" s="258"/>
      <c r="D1" s="258"/>
      <c r="E1" s="258"/>
      <c r="F1" s="258"/>
      <c r="G1" s="259"/>
      <c r="H1" s="260" t="s">
        <v>5874</v>
      </c>
      <c r="I1" s="261"/>
      <c r="J1" s="261"/>
      <c r="K1" s="261"/>
      <c r="L1" s="261"/>
      <c r="M1" s="261"/>
      <c r="N1" s="261"/>
      <c r="O1" s="262"/>
      <c r="P1" s="206"/>
      <c r="Q1" s="206"/>
      <c r="R1" s="206"/>
      <c r="S1" s="34"/>
      <c r="T1" s="34"/>
      <c r="U1" s="34"/>
      <c r="V1" s="34"/>
      <c r="W1" s="34"/>
      <c r="X1" s="34"/>
      <c r="Y1" s="34"/>
      <c r="Z1" s="34"/>
      <c r="AA1" s="34"/>
      <c r="AB1" s="34"/>
      <c r="AC1" s="34"/>
      <c r="AD1" s="34"/>
      <c r="AE1" s="34"/>
      <c r="AF1" s="34"/>
      <c r="AG1" s="34"/>
      <c r="AH1" s="34"/>
    </row>
    <row r="2" spans="1:34">
      <c r="A2" s="207" t="s">
        <v>2340</v>
      </c>
      <c r="B2" s="208" t="s">
        <v>5875</v>
      </c>
      <c r="C2" s="209" t="s">
        <v>24</v>
      </c>
      <c r="D2" s="210" t="s">
        <v>25</v>
      </c>
      <c r="E2" s="210" t="s">
        <v>26</v>
      </c>
      <c r="F2" s="210" t="s">
        <v>27</v>
      </c>
      <c r="G2" s="209" t="s">
        <v>5876</v>
      </c>
      <c r="H2" s="211" t="s">
        <v>2341</v>
      </c>
      <c r="I2" s="212" t="s">
        <v>29</v>
      </c>
      <c r="J2" s="212" t="s">
        <v>31</v>
      </c>
      <c r="K2" s="213" t="s">
        <v>30</v>
      </c>
      <c r="L2" s="212" t="s">
        <v>2342</v>
      </c>
      <c r="M2" s="212" t="s">
        <v>5877</v>
      </c>
      <c r="N2" s="209" t="s">
        <v>32</v>
      </c>
      <c r="O2" s="214" t="s">
        <v>33</v>
      </c>
      <c r="P2" s="212"/>
      <c r="Q2" s="215"/>
      <c r="R2" s="215"/>
      <c r="S2" s="215"/>
      <c r="T2" s="216"/>
      <c r="U2" s="209"/>
      <c r="V2" s="209"/>
      <c r="W2" s="209"/>
      <c r="X2" s="216"/>
      <c r="Y2" s="216"/>
      <c r="Z2" s="216"/>
      <c r="AA2" s="216"/>
      <c r="AB2" s="216"/>
      <c r="AC2" s="216"/>
      <c r="AD2" s="216"/>
      <c r="AE2" s="216"/>
      <c r="AF2" s="216"/>
      <c r="AG2" s="216"/>
      <c r="AH2" s="216"/>
    </row>
    <row r="3" spans="1:34" ht="15.75" customHeight="1">
      <c r="A3" s="217" t="s">
        <v>5878</v>
      </c>
      <c r="B3" s="218">
        <v>44348</v>
      </c>
      <c r="C3" s="219" t="s">
        <v>5879</v>
      </c>
      <c r="D3" s="220" t="s">
        <v>146</v>
      </c>
      <c r="E3" s="220"/>
      <c r="F3" s="220"/>
      <c r="G3" s="220" t="s">
        <v>741</v>
      </c>
      <c r="H3" s="221" t="s">
        <v>1194</v>
      </c>
      <c r="I3" s="220" t="s">
        <v>741</v>
      </c>
      <c r="J3" s="220" t="s">
        <v>741</v>
      </c>
      <c r="K3" s="222" t="s">
        <v>71</v>
      </c>
      <c r="L3" s="218">
        <v>44348</v>
      </c>
      <c r="M3" s="222" t="s">
        <v>5880</v>
      </c>
      <c r="N3" s="223"/>
      <c r="O3" s="224"/>
      <c r="P3" s="223"/>
      <c r="Q3" s="223"/>
      <c r="R3" s="223"/>
      <c r="S3" s="223"/>
      <c r="T3" s="223"/>
      <c r="U3" s="223"/>
      <c r="V3" s="223"/>
      <c r="W3" s="223"/>
      <c r="X3" s="223"/>
      <c r="Y3" s="223"/>
      <c r="Z3" s="223"/>
      <c r="AA3" s="223"/>
      <c r="AB3" s="223"/>
      <c r="AC3" s="223"/>
      <c r="AD3" s="223"/>
      <c r="AE3" s="223"/>
      <c r="AF3" s="223"/>
      <c r="AG3" s="223"/>
      <c r="AH3" s="223"/>
    </row>
    <row r="4" spans="1:34" ht="15.75" customHeight="1">
      <c r="A4" s="225"/>
      <c r="B4" s="132"/>
      <c r="H4" s="226"/>
      <c r="O4" s="227"/>
    </row>
    <row r="5" spans="1:34" ht="15.75" customHeight="1">
      <c r="A5" s="225"/>
      <c r="B5" s="132"/>
      <c r="H5" s="226"/>
      <c r="O5" s="227"/>
    </row>
    <row r="6" spans="1:34" ht="15.75" customHeight="1">
      <c r="A6" s="225"/>
      <c r="B6" s="132"/>
      <c r="H6" s="226"/>
      <c r="O6" s="227"/>
    </row>
    <row r="7" spans="1:34" ht="15.75" customHeight="1">
      <c r="A7" s="225"/>
      <c r="B7" s="132"/>
      <c r="H7" s="226"/>
      <c r="O7" s="227"/>
    </row>
    <row r="8" spans="1:34" ht="15.75" customHeight="1">
      <c r="A8" s="225"/>
      <c r="B8" s="132"/>
      <c r="H8" s="226"/>
      <c r="O8" s="227"/>
    </row>
    <row r="9" spans="1:34" ht="15.75" customHeight="1">
      <c r="A9" s="225"/>
      <c r="B9" s="132"/>
      <c r="H9" s="226"/>
      <c r="O9" s="227"/>
    </row>
    <row r="10" spans="1:34" ht="15.75" customHeight="1">
      <c r="A10" s="225"/>
      <c r="B10" s="132"/>
      <c r="H10" s="226"/>
      <c r="O10" s="227"/>
    </row>
    <row r="11" spans="1:34" ht="15.75" customHeight="1">
      <c r="A11" s="225"/>
      <c r="B11" s="132"/>
      <c r="H11" s="226"/>
      <c r="O11" s="227"/>
    </row>
    <row r="12" spans="1:34" ht="15.75" customHeight="1">
      <c r="A12" s="225"/>
      <c r="B12" s="132"/>
      <c r="H12" s="226"/>
      <c r="O12" s="227"/>
    </row>
    <row r="13" spans="1:34" ht="15.75" customHeight="1">
      <c r="A13" s="225"/>
      <c r="B13" s="132"/>
      <c r="H13" s="226"/>
      <c r="O13" s="227"/>
    </row>
    <row r="14" spans="1:34" ht="15.75" customHeight="1">
      <c r="A14" s="225"/>
      <c r="B14" s="132"/>
      <c r="H14" s="226"/>
      <c r="O14" s="227"/>
    </row>
    <row r="15" spans="1:34" ht="15.75" customHeight="1">
      <c r="A15" s="225"/>
      <c r="B15" s="132"/>
      <c r="H15" s="226"/>
      <c r="O15" s="227"/>
    </row>
    <row r="16" spans="1:34" ht="15.75" customHeight="1">
      <c r="A16" s="225"/>
      <c r="B16" s="132"/>
      <c r="H16" s="226"/>
      <c r="O16" s="227"/>
    </row>
    <row r="17" spans="1:15" ht="15.75" customHeight="1">
      <c r="A17" s="225"/>
      <c r="B17" s="132"/>
      <c r="H17" s="226"/>
      <c r="O17" s="227"/>
    </row>
    <row r="18" spans="1:15" ht="15.75" customHeight="1">
      <c r="A18" s="225"/>
      <c r="B18" s="132"/>
      <c r="H18" s="226"/>
      <c r="O18" s="227"/>
    </row>
    <row r="19" spans="1:15" ht="15.75" customHeight="1">
      <c r="A19" s="225"/>
      <c r="B19" s="132"/>
      <c r="H19" s="226"/>
      <c r="O19" s="227"/>
    </row>
    <row r="20" spans="1:15" ht="15.75" customHeight="1">
      <c r="A20" s="225"/>
      <c r="B20" s="132"/>
      <c r="H20" s="226"/>
      <c r="O20" s="227"/>
    </row>
    <row r="21" spans="1:15" ht="15.75" customHeight="1">
      <c r="A21" s="225"/>
      <c r="B21" s="132"/>
      <c r="H21" s="226"/>
      <c r="O21" s="227"/>
    </row>
    <row r="22" spans="1:15" ht="15.75" customHeight="1">
      <c r="A22" s="225"/>
      <c r="B22" s="132"/>
      <c r="H22" s="226"/>
      <c r="O22" s="227"/>
    </row>
    <row r="23" spans="1:15" ht="15.75" customHeight="1">
      <c r="A23" s="225"/>
      <c r="B23" s="132"/>
      <c r="H23" s="226"/>
      <c r="O23" s="227"/>
    </row>
    <row r="24" spans="1:15" ht="15.75" customHeight="1">
      <c r="A24" s="225"/>
      <c r="B24" s="132"/>
      <c r="H24" s="226"/>
      <c r="O24" s="227"/>
    </row>
    <row r="25" spans="1:15" ht="15.75" customHeight="1">
      <c r="A25" s="225"/>
      <c r="B25" s="132"/>
      <c r="H25" s="226"/>
      <c r="O25" s="227"/>
    </row>
    <row r="26" spans="1:15" ht="15.75" customHeight="1">
      <c r="A26" s="225"/>
      <c r="B26" s="132"/>
      <c r="H26" s="226"/>
      <c r="O26" s="227"/>
    </row>
    <row r="27" spans="1:15" ht="15.75" customHeight="1">
      <c r="A27" s="225"/>
      <c r="B27" s="132"/>
      <c r="H27" s="226"/>
      <c r="O27" s="227"/>
    </row>
    <row r="28" spans="1:15" ht="13">
      <c r="A28" s="225"/>
      <c r="B28" s="132"/>
      <c r="H28" s="226"/>
      <c r="O28" s="227"/>
    </row>
    <row r="29" spans="1:15" ht="13">
      <c r="A29" s="225"/>
      <c r="B29" s="132"/>
      <c r="H29" s="226"/>
      <c r="O29" s="227"/>
    </row>
    <row r="30" spans="1:15" ht="13">
      <c r="A30" s="225"/>
      <c r="B30" s="132"/>
      <c r="H30" s="226"/>
      <c r="O30" s="227"/>
    </row>
    <row r="31" spans="1:15" ht="13">
      <c r="A31" s="225"/>
      <c r="B31" s="132"/>
      <c r="H31" s="226"/>
      <c r="O31" s="227"/>
    </row>
    <row r="32" spans="1:15" ht="13">
      <c r="A32" s="225"/>
      <c r="B32" s="132"/>
      <c r="H32" s="226"/>
      <c r="O32" s="227"/>
    </row>
    <row r="33" spans="1:15" ht="13">
      <c r="A33" s="225"/>
      <c r="B33" s="132"/>
      <c r="H33" s="226"/>
      <c r="O33" s="227"/>
    </row>
    <row r="34" spans="1:15" ht="13">
      <c r="A34" s="225"/>
      <c r="B34" s="132"/>
      <c r="H34" s="226"/>
      <c r="O34" s="227"/>
    </row>
    <row r="35" spans="1:15" ht="13">
      <c r="A35" s="225"/>
      <c r="B35" s="132"/>
      <c r="H35" s="226"/>
      <c r="O35" s="227"/>
    </row>
    <row r="36" spans="1:15" ht="13">
      <c r="A36" s="225"/>
      <c r="B36" s="132"/>
      <c r="H36" s="226"/>
      <c r="O36" s="227"/>
    </row>
    <row r="37" spans="1:15" ht="13">
      <c r="A37" s="225"/>
      <c r="B37" s="132"/>
      <c r="H37" s="226"/>
      <c r="O37" s="227"/>
    </row>
    <row r="38" spans="1:15" ht="13">
      <c r="A38" s="225"/>
      <c r="B38" s="132"/>
      <c r="H38" s="226"/>
      <c r="O38" s="227"/>
    </row>
    <row r="39" spans="1:15" ht="13">
      <c r="A39" s="225"/>
      <c r="B39" s="132"/>
      <c r="H39" s="226"/>
      <c r="O39" s="227"/>
    </row>
    <row r="40" spans="1:15" ht="13">
      <c r="A40" s="225"/>
      <c r="B40" s="132"/>
      <c r="H40" s="226"/>
      <c r="O40" s="227"/>
    </row>
    <row r="41" spans="1:15" ht="13">
      <c r="A41" s="225"/>
      <c r="B41" s="132"/>
      <c r="H41" s="226"/>
      <c r="O41" s="227"/>
    </row>
    <row r="42" spans="1:15" ht="13">
      <c r="A42" s="225"/>
      <c r="B42" s="132"/>
      <c r="H42" s="226"/>
      <c r="O42" s="227"/>
    </row>
    <row r="43" spans="1:15" ht="13">
      <c r="A43" s="225"/>
      <c r="B43" s="132"/>
      <c r="H43" s="226"/>
      <c r="O43" s="227"/>
    </row>
    <row r="44" spans="1:15" ht="13">
      <c r="A44" s="225"/>
      <c r="B44" s="132"/>
      <c r="H44" s="226"/>
      <c r="O44" s="227"/>
    </row>
    <row r="45" spans="1:15" ht="13">
      <c r="A45" s="225"/>
      <c r="B45" s="132"/>
      <c r="H45" s="226"/>
      <c r="O45" s="227"/>
    </row>
    <row r="46" spans="1:15" ht="13">
      <c r="A46" s="225"/>
      <c r="B46" s="132"/>
      <c r="H46" s="226"/>
      <c r="O46" s="227"/>
    </row>
    <row r="47" spans="1:15" ht="13">
      <c r="A47" s="225"/>
      <c r="B47" s="132"/>
      <c r="H47" s="226"/>
      <c r="O47" s="227"/>
    </row>
    <row r="48" spans="1:15" ht="13">
      <c r="A48" s="225"/>
      <c r="B48" s="132"/>
      <c r="H48" s="226"/>
      <c r="O48" s="227"/>
    </row>
    <row r="49" spans="1:15" ht="13">
      <c r="A49" s="225"/>
      <c r="B49" s="132"/>
      <c r="H49" s="226"/>
      <c r="O49" s="227"/>
    </row>
    <row r="50" spans="1:15" ht="13">
      <c r="A50" s="225"/>
      <c r="B50" s="132"/>
      <c r="H50" s="226"/>
      <c r="O50" s="227"/>
    </row>
    <row r="51" spans="1:15" ht="13">
      <c r="A51" s="225"/>
      <c r="B51" s="132"/>
      <c r="H51" s="226"/>
      <c r="O51" s="227"/>
    </row>
    <row r="52" spans="1:15" ht="13">
      <c r="A52" s="225"/>
      <c r="B52" s="132"/>
      <c r="H52" s="226"/>
      <c r="O52" s="227"/>
    </row>
    <row r="53" spans="1:15" ht="13">
      <c r="A53" s="225"/>
      <c r="B53" s="132"/>
      <c r="H53" s="226"/>
      <c r="O53" s="227"/>
    </row>
    <row r="54" spans="1:15" ht="13">
      <c r="A54" s="225"/>
      <c r="B54" s="132"/>
      <c r="H54" s="226"/>
      <c r="O54" s="227"/>
    </row>
    <row r="55" spans="1:15" ht="13">
      <c r="A55" s="225"/>
      <c r="B55" s="132"/>
      <c r="H55" s="226"/>
      <c r="O55" s="227"/>
    </row>
    <row r="56" spans="1:15" ht="13">
      <c r="A56" s="225"/>
      <c r="B56" s="132"/>
      <c r="H56" s="226"/>
      <c r="O56" s="227"/>
    </row>
    <row r="57" spans="1:15" ht="13">
      <c r="A57" s="225"/>
      <c r="B57" s="132"/>
      <c r="H57" s="226"/>
      <c r="O57" s="227"/>
    </row>
    <row r="58" spans="1:15" ht="13">
      <c r="A58" s="225"/>
      <c r="B58" s="132"/>
      <c r="H58" s="226"/>
      <c r="O58" s="227"/>
    </row>
    <row r="59" spans="1:15" ht="13">
      <c r="A59" s="225"/>
      <c r="B59" s="132"/>
      <c r="H59" s="226"/>
      <c r="O59" s="227"/>
    </row>
    <row r="60" spans="1:15" ht="13">
      <c r="A60" s="225"/>
      <c r="B60" s="132"/>
      <c r="H60" s="226"/>
      <c r="O60" s="227"/>
    </row>
    <row r="61" spans="1:15" ht="13">
      <c r="A61" s="225"/>
      <c r="B61" s="132"/>
      <c r="H61" s="226"/>
      <c r="O61" s="227"/>
    </row>
    <row r="62" spans="1:15" ht="13">
      <c r="A62" s="225"/>
      <c r="B62" s="132"/>
      <c r="H62" s="226"/>
      <c r="O62" s="227"/>
    </row>
    <row r="63" spans="1:15" ht="13">
      <c r="A63" s="225"/>
      <c r="B63" s="132"/>
      <c r="H63" s="226"/>
      <c r="O63" s="227"/>
    </row>
    <row r="64" spans="1:15" ht="13">
      <c r="A64" s="225"/>
      <c r="B64" s="132"/>
      <c r="H64" s="226"/>
      <c r="O64" s="227"/>
    </row>
    <row r="65" spans="1:15" ht="13">
      <c r="A65" s="225"/>
      <c r="B65" s="132"/>
      <c r="H65" s="226"/>
      <c r="O65" s="227"/>
    </row>
    <row r="66" spans="1:15" ht="13">
      <c r="A66" s="225"/>
      <c r="B66" s="132"/>
      <c r="H66" s="226"/>
      <c r="O66" s="227"/>
    </row>
    <row r="67" spans="1:15" ht="13">
      <c r="A67" s="225"/>
      <c r="B67" s="132"/>
      <c r="H67" s="226"/>
      <c r="O67" s="227"/>
    </row>
    <row r="68" spans="1:15" ht="13">
      <c r="A68" s="225"/>
      <c r="B68" s="132"/>
      <c r="H68" s="226"/>
      <c r="O68" s="227"/>
    </row>
    <row r="69" spans="1:15" ht="13">
      <c r="A69" s="225"/>
      <c r="B69" s="132"/>
      <c r="H69" s="226"/>
      <c r="O69" s="227"/>
    </row>
    <row r="70" spans="1:15" ht="13">
      <c r="A70" s="225"/>
      <c r="B70" s="132"/>
      <c r="H70" s="226"/>
      <c r="O70" s="227"/>
    </row>
    <row r="71" spans="1:15" ht="13">
      <c r="A71" s="225"/>
      <c r="B71" s="132"/>
      <c r="H71" s="226"/>
      <c r="O71" s="227"/>
    </row>
    <row r="72" spans="1:15" ht="13">
      <c r="A72" s="225"/>
      <c r="B72" s="132"/>
      <c r="H72" s="226"/>
      <c r="O72" s="227"/>
    </row>
    <row r="73" spans="1:15" ht="13">
      <c r="A73" s="225"/>
      <c r="B73" s="132"/>
      <c r="H73" s="226"/>
      <c r="O73" s="227"/>
    </row>
    <row r="74" spans="1:15" ht="13">
      <c r="A74" s="225"/>
      <c r="B74" s="132"/>
      <c r="H74" s="226"/>
      <c r="O74" s="227"/>
    </row>
    <row r="75" spans="1:15" ht="13">
      <c r="A75" s="225"/>
      <c r="B75" s="132"/>
      <c r="H75" s="226"/>
      <c r="O75" s="227"/>
    </row>
    <row r="76" spans="1:15" ht="13">
      <c r="A76" s="225"/>
      <c r="B76" s="132"/>
      <c r="H76" s="226"/>
      <c r="O76" s="227"/>
    </row>
    <row r="77" spans="1:15" ht="13">
      <c r="A77" s="225"/>
      <c r="B77" s="132"/>
      <c r="H77" s="226"/>
      <c r="O77" s="227"/>
    </row>
    <row r="78" spans="1:15" ht="13">
      <c r="A78" s="225"/>
      <c r="B78" s="132"/>
      <c r="H78" s="226"/>
      <c r="O78" s="227"/>
    </row>
    <row r="79" spans="1:15" ht="13">
      <c r="A79" s="225"/>
      <c r="B79" s="132"/>
      <c r="H79" s="226"/>
      <c r="O79" s="227"/>
    </row>
    <row r="80" spans="1:15" ht="13">
      <c r="A80" s="225"/>
      <c r="B80" s="132"/>
      <c r="H80" s="226"/>
      <c r="O80" s="227"/>
    </row>
    <row r="81" spans="1:15" ht="13">
      <c r="A81" s="225"/>
      <c r="B81" s="132"/>
      <c r="H81" s="226"/>
      <c r="O81" s="227"/>
    </row>
    <row r="82" spans="1:15" ht="13">
      <c r="A82" s="225"/>
      <c r="B82" s="132"/>
      <c r="H82" s="226"/>
      <c r="O82" s="227"/>
    </row>
    <row r="83" spans="1:15" ht="13">
      <c r="A83" s="225"/>
      <c r="B83" s="132"/>
      <c r="H83" s="226"/>
      <c r="O83" s="227"/>
    </row>
    <row r="84" spans="1:15" ht="13">
      <c r="A84" s="225"/>
      <c r="B84" s="132"/>
      <c r="H84" s="226"/>
      <c r="O84" s="227"/>
    </row>
    <row r="85" spans="1:15" ht="13">
      <c r="A85" s="225"/>
      <c r="B85" s="132"/>
      <c r="H85" s="226"/>
      <c r="O85" s="227"/>
    </row>
    <row r="86" spans="1:15" ht="13">
      <c r="A86" s="225"/>
      <c r="B86" s="132"/>
      <c r="H86" s="226"/>
      <c r="O86" s="227"/>
    </row>
    <row r="87" spans="1:15" ht="13">
      <c r="A87" s="225"/>
      <c r="B87" s="132"/>
      <c r="H87" s="226"/>
      <c r="O87" s="227"/>
    </row>
    <row r="88" spans="1:15" ht="13">
      <c r="A88" s="225"/>
      <c r="B88" s="132"/>
      <c r="H88" s="226"/>
      <c r="O88" s="227"/>
    </row>
    <row r="89" spans="1:15" ht="13">
      <c r="A89" s="225"/>
      <c r="B89" s="132"/>
      <c r="H89" s="226"/>
      <c r="O89" s="227"/>
    </row>
    <row r="90" spans="1:15" ht="13">
      <c r="A90" s="225"/>
      <c r="B90" s="132"/>
      <c r="H90" s="226"/>
      <c r="O90" s="227"/>
    </row>
    <row r="91" spans="1:15" ht="13">
      <c r="A91" s="225"/>
      <c r="B91" s="132"/>
      <c r="H91" s="226"/>
      <c r="O91" s="227"/>
    </row>
    <row r="92" spans="1:15" ht="13">
      <c r="A92" s="225"/>
      <c r="B92" s="132"/>
      <c r="H92" s="226"/>
      <c r="O92" s="227"/>
    </row>
    <row r="93" spans="1:15" ht="13">
      <c r="A93" s="225"/>
      <c r="B93" s="132"/>
      <c r="H93" s="226"/>
      <c r="O93" s="227"/>
    </row>
    <row r="94" spans="1:15" ht="13">
      <c r="A94" s="225"/>
      <c r="B94" s="132"/>
      <c r="H94" s="226"/>
      <c r="O94" s="227"/>
    </row>
    <row r="95" spans="1:15" ht="13">
      <c r="A95" s="225"/>
      <c r="B95" s="132"/>
      <c r="H95" s="226"/>
      <c r="O95" s="227"/>
    </row>
    <row r="96" spans="1:15" ht="13">
      <c r="A96" s="225"/>
      <c r="B96" s="132"/>
      <c r="H96" s="226"/>
      <c r="O96" s="227"/>
    </row>
    <row r="97" spans="1:15" ht="13">
      <c r="A97" s="225"/>
      <c r="B97" s="132"/>
      <c r="H97" s="226"/>
      <c r="O97" s="227"/>
    </row>
    <row r="98" spans="1:15" ht="13">
      <c r="A98" s="225"/>
      <c r="B98" s="132"/>
      <c r="H98" s="226"/>
      <c r="O98" s="227"/>
    </row>
    <row r="99" spans="1:15" ht="13">
      <c r="A99" s="225"/>
      <c r="B99" s="132"/>
      <c r="H99" s="226"/>
      <c r="O99" s="227"/>
    </row>
    <row r="100" spans="1:15" ht="13">
      <c r="A100" s="225"/>
      <c r="B100" s="132"/>
      <c r="H100" s="226"/>
      <c r="O100" s="227"/>
    </row>
    <row r="101" spans="1:15" ht="13">
      <c r="A101" s="225"/>
      <c r="B101" s="132"/>
      <c r="H101" s="226"/>
      <c r="O101" s="227"/>
    </row>
    <row r="102" spans="1:15" ht="13">
      <c r="A102" s="225"/>
      <c r="B102" s="132"/>
      <c r="H102" s="226"/>
      <c r="O102" s="227"/>
    </row>
    <row r="103" spans="1:15" ht="13">
      <c r="A103" s="225"/>
      <c r="B103" s="132"/>
      <c r="H103" s="226"/>
      <c r="O103" s="227"/>
    </row>
    <row r="104" spans="1:15" ht="13">
      <c r="A104" s="225"/>
      <c r="B104" s="132"/>
      <c r="H104" s="226"/>
      <c r="O104" s="227"/>
    </row>
    <row r="105" spans="1:15" ht="13">
      <c r="A105" s="225"/>
      <c r="B105" s="132"/>
      <c r="H105" s="226"/>
      <c r="O105" s="227"/>
    </row>
    <row r="106" spans="1:15" ht="13">
      <c r="A106" s="225"/>
      <c r="B106" s="132"/>
      <c r="H106" s="226"/>
      <c r="O106" s="227"/>
    </row>
    <row r="107" spans="1:15" ht="13">
      <c r="A107" s="225"/>
      <c r="B107" s="132"/>
      <c r="H107" s="226"/>
      <c r="O107" s="227"/>
    </row>
    <row r="108" spans="1:15" ht="13">
      <c r="A108" s="225"/>
      <c r="B108" s="132"/>
      <c r="H108" s="226"/>
      <c r="O108" s="227"/>
    </row>
    <row r="109" spans="1:15" ht="13">
      <c r="A109" s="225"/>
      <c r="B109" s="132"/>
      <c r="H109" s="226"/>
      <c r="O109" s="227"/>
    </row>
    <row r="110" spans="1:15" ht="13">
      <c r="A110" s="225"/>
      <c r="B110" s="132"/>
      <c r="H110" s="226"/>
      <c r="O110" s="227"/>
    </row>
    <row r="111" spans="1:15" ht="13">
      <c r="A111" s="225"/>
      <c r="B111" s="132"/>
      <c r="H111" s="226"/>
      <c r="O111" s="227"/>
    </row>
    <row r="112" spans="1:15" ht="13">
      <c r="A112" s="225"/>
      <c r="B112" s="132"/>
      <c r="H112" s="226"/>
      <c r="O112" s="227"/>
    </row>
    <row r="113" spans="1:15" ht="13">
      <c r="A113" s="225"/>
      <c r="B113" s="132"/>
      <c r="H113" s="226"/>
      <c r="O113" s="227"/>
    </row>
    <row r="114" spans="1:15" ht="13">
      <c r="A114" s="225"/>
      <c r="B114" s="132"/>
      <c r="H114" s="226"/>
      <c r="O114" s="227"/>
    </row>
    <row r="115" spans="1:15" ht="13">
      <c r="A115" s="225"/>
      <c r="B115" s="132"/>
      <c r="H115" s="226"/>
      <c r="O115" s="227"/>
    </row>
    <row r="116" spans="1:15" ht="13">
      <c r="A116" s="225"/>
      <c r="B116" s="132"/>
      <c r="H116" s="226"/>
      <c r="O116" s="227"/>
    </row>
    <row r="117" spans="1:15" ht="13">
      <c r="A117" s="225"/>
      <c r="B117" s="132"/>
      <c r="H117" s="226"/>
      <c r="O117" s="227"/>
    </row>
    <row r="118" spans="1:15" ht="13">
      <c r="A118" s="225"/>
      <c r="B118" s="132"/>
      <c r="H118" s="226"/>
      <c r="O118" s="227"/>
    </row>
    <row r="119" spans="1:15" ht="13">
      <c r="A119" s="225"/>
      <c r="B119" s="132"/>
      <c r="H119" s="226"/>
      <c r="O119" s="227"/>
    </row>
    <row r="120" spans="1:15" ht="13">
      <c r="A120" s="225"/>
      <c r="B120" s="132"/>
      <c r="H120" s="226"/>
      <c r="O120" s="227"/>
    </row>
    <row r="121" spans="1:15" ht="13">
      <c r="A121" s="225"/>
      <c r="B121" s="132"/>
      <c r="H121" s="226"/>
      <c r="O121" s="227"/>
    </row>
    <row r="122" spans="1:15" ht="13">
      <c r="A122" s="225"/>
      <c r="B122" s="132"/>
      <c r="H122" s="226"/>
      <c r="O122" s="227"/>
    </row>
    <row r="123" spans="1:15" ht="13">
      <c r="A123" s="225"/>
      <c r="B123" s="132"/>
      <c r="H123" s="226"/>
      <c r="O123" s="227"/>
    </row>
    <row r="124" spans="1:15" ht="13">
      <c r="A124" s="225"/>
      <c r="B124" s="132"/>
      <c r="H124" s="226"/>
      <c r="O124" s="227"/>
    </row>
    <row r="125" spans="1:15" ht="13">
      <c r="A125" s="225"/>
      <c r="B125" s="132"/>
      <c r="H125" s="226"/>
      <c r="O125" s="227"/>
    </row>
    <row r="126" spans="1:15" ht="13">
      <c r="A126" s="225"/>
      <c r="B126" s="132"/>
      <c r="H126" s="226"/>
      <c r="O126" s="227"/>
    </row>
    <row r="127" spans="1:15" ht="13">
      <c r="A127" s="225"/>
      <c r="B127" s="132"/>
      <c r="H127" s="226"/>
      <c r="O127" s="227"/>
    </row>
    <row r="128" spans="1:15" ht="13">
      <c r="A128" s="225"/>
      <c r="B128" s="132"/>
      <c r="H128" s="226"/>
      <c r="O128" s="227"/>
    </row>
    <row r="129" spans="1:15" ht="13">
      <c r="A129" s="225"/>
      <c r="B129" s="132"/>
      <c r="H129" s="226"/>
      <c r="O129" s="227"/>
    </row>
    <row r="130" spans="1:15" ht="13">
      <c r="A130" s="225"/>
      <c r="B130" s="132"/>
      <c r="H130" s="226"/>
      <c r="O130" s="227"/>
    </row>
    <row r="131" spans="1:15" ht="13">
      <c r="A131" s="225"/>
      <c r="B131" s="132"/>
      <c r="H131" s="226"/>
      <c r="O131" s="227"/>
    </row>
    <row r="132" spans="1:15" ht="13">
      <c r="A132" s="225"/>
      <c r="B132" s="132"/>
      <c r="H132" s="226"/>
      <c r="O132" s="227"/>
    </row>
    <row r="133" spans="1:15" ht="13">
      <c r="A133" s="225"/>
      <c r="B133" s="132"/>
      <c r="H133" s="226"/>
      <c r="O133" s="227"/>
    </row>
    <row r="134" spans="1:15" ht="13">
      <c r="A134" s="225"/>
      <c r="B134" s="132"/>
      <c r="H134" s="226"/>
      <c r="O134" s="227"/>
    </row>
    <row r="135" spans="1:15" ht="13">
      <c r="A135" s="225"/>
      <c r="B135" s="132"/>
      <c r="H135" s="226"/>
      <c r="O135" s="227"/>
    </row>
    <row r="136" spans="1:15" ht="13">
      <c r="A136" s="225"/>
      <c r="B136" s="132"/>
      <c r="H136" s="226"/>
      <c r="O136" s="227"/>
    </row>
    <row r="137" spans="1:15" ht="13">
      <c r="A137" s="225"/>
      <c r="B137" s="132"/>
      <c r="H137" s="226"/>
      <c r="O137" s="227"/>
    </row>
    <row r="138" spans="1:15" ht="13">
      <c r="A138" s="225"/>
      <c r="B138" s="132"/>
      <c r="H138" s="226"/>
      <c r="O138" s="227"/>
    </row>
    <row r="139" spans="1:15" ht="13">
      <c r="A139" s="225"/>
      <c r="B139" s="132"/>
      <c r="H139" s="226"/>
      <c r="O139" s="227"/>
    </row>
    <row r="140" spans="1:15" ht="13">
      <c r="A140" s="225"/>
      <c r="B140" s="132"/>
      <c r="H140" s="226"/>
      <c r="O140" s="227"/>
    </row>
    <row r="141" spans="1:15" ht="13">
      <c r="A141" s="225"/>
      <c r="B141" s="132"/>
      <c r="H141" s="226"/>
      <c r="O141" s="227"/>
    </row>
    <row r="142" spans="1:15" ht="13">
      <c r="A142" s="225"/>
      <c r="B142" s="132"/>
      <c r="H142" s="226"/>
      <c r="O142" s="227"/>
    </row>
    <row r="143" spans="1:15" ht="13">
      <c r="A143" s="225"/>
      <c r="B143" s="132"/>
      <c r="H143" s="226"/>
      <c r="O143" s="227"/>
    </row>
    <row r="144" spans="1:15" ht="13">
      <c r="A144" s="225"/>
      <c r="B144" s="132"/>
      <c r="H144" s="226"/>
      <c r="O144" s="227"/>
    </row>
    <row r="145" spans="1:15" ht="13">
      <c r="A145" s="225"/>
      <c r="B145" s="132"/>
      <c r="H145" s="226"/>
      <c r="O145" s="227"/>
    </row>
    <row r="146" spans="1:15" ht="13">
      <c r="A146" s="225"/>
      <c r="B146" s="132"/>
      <c r="H146" s="226"/>
      <c r="O146" s="227"/>
    </row>
    <row r="147" spans="1:15" ht="13">
      <c r="A147" s="225"/>
      <c r="B147" s="132"/>
      <c r="H147" s="226"/>
      <c r="O147" s="227"/>
    </row>
    <row r="148" spans="1:15" ht="13">
      <c r="A148" s="225"/>
      <c r="B148" s="132"/>
      <c r="H148" s="226"/>
      <c r="O148" s="227"/>
    </row>
    <row r="149" spans="1:15" ht="13">
      <c r="A149" s="225"/>
      <c r="B149" s="132"/>
      <c r="H149" s="226"/>
      <c r="O149" s="227"/>
    </row>
    <row r="150" spans="1:15" ht="13">
      <c r="A150" s="225"/>
      <c r="B150" s="132"/>
      <c r="H150" s="226"/>
      <c r="O150" s="227"/>
    </row>
    <row r="151" spans="1:15" ht="13">
      <c r="A151" s="225"/>
      <c r="B151" s="132"/>
      <c r="H151" s="226"/>
      <c r="O151" s="227"/>
    </row>
    <row r="152" spans="1:15" ht="13">
      <c r="A152" s="225"/>
      <c r="B152" s="132"/>
      <c r="H152" s="226"/>
      <c r="O152" s="227"/>
    </row>
    <row r="153" spans="1:15" ht="13">
      <c r="A153" s="225"/>
      <c r="B153" s="132"/>
      <c r="H153" s="226"/>
      <c r="O153" s="227"/>
    </row>
    <row r="154" spans="1:15" ht="13">
      <c r="A154" s="225"/>
      <c r="B154" s="132"/>
      <c r="H154" s="226"/>
      <c r="O154" s="227"/>
    </row>
    <row r="155" spans="1:15" ht="13">
      <c r="A155" s="225"/>
      <c r="B155" s="132"/>
      <c r="H155" s="226"/>
      <c r="O155" s="227"/>
    </row>
    <row r="156" spans="1:15" ht="13">
      <c r="A156" s="225"/>
      <c r="B156" s="132"/>
      <c r="H156" s="226"/>
      <c r="O156" s="227"/>
    </row>
    <row r="157" spans="1:15" ht="13">
      <c r="A157" s="225"/>
      <c r="B157" s="132"/>
      <c r="H157" s="226"/>
      <c r="O157" s="227"/>
    </row>
    <row r="158" spans="1:15" ht="13">
      <c r="A158" s="225"/>
      <c r="B158" s="132"/>
      <c r="H158" s="226"/>
      <c r="O158" s="227"/>
    </row>
    <row r="159" spans="1:15" ht="13">
      <c r="A159" s="225"/>
      <c r="B159" s="132"/>
      <c r="H159" s="226"/>
      <c r="O159" s="227"/>
    </row>
    <row r="160" spans="1:15" ht="13">
      <c r="A160" s="225"/>
      <c r="B160" s="132"/>
      <c r="H160" s="226"/>
      <c r="O160" s="227"/>
    </row>
    <row r="161" spans="1:15" ht="13">
      <c r="A161" s="225"/>
      <c r="B161" s="132"/>
      <c r="H161" s="226"/>
      <c r="O161" s="227"/>
    </row>
    <row r="162" spans="1:15" ht="13">
      <c r="A162" s="225"/>
      <c r="B162" s="132"/>
      <c r="H162" s="226"/>
      <c r="O162" s="227"/>
    </row>
    <row r="163" spans="1:15" ht="13">
      <c r="A163" s="225"/>
      <c r="B163" s="132"/>
      <c r="H163" s="226"/>
      <c r="O163" s="227"/>
    </row>
    <row r="164" spans="1:15" ht="13">
      <c r="A164" s="225"/>
      <c r="B164" s="132"/>
      <c r="H164" s="226"/>
      <c r="O164" s="227"/>
    </row>
    <row r="165" spans="1:15" ht="13">
      <c r="A165" s="225"/>
      <c r="B165" s="132"/>
      <c r="H165" s="226"/>
      <c r="O165" s="227"/>
    </row>
    <row r="166" spans="1:15" ht="13">
      <c r="A166" s="225"/>
      <c r="B166" s="132"/>
      <c r="H166" s="226"/>
      <c r="O166" s="227"/>
    </row>
    <row r="167" spans="1:15" ht="13">
      <c r="A167" s="225"/>
      <c r="B167" s="132"/>
      <c r="H167" s="226"/>
      <c r="O167" s="227"/>
    </row>
    <row r="168" spans="1:15" ht="13">
      <c r="A168" s="225"/>
      <c r="B168" s="132"/>
      <c r="H168" s="226"/>
      <c r="O168" s="227"/>
    </row>
    <row r="169" spans="1:15" ht="13">
      <c r="A169" s="225"/>
      <c r="B169" s="132"/>
      <c r="H169" s="226"/>
      <c r="O169" s="227"/>
    </row>
    <row r="170" spans="1:15" ht="13">
      <c r="A170" s="225"/>
      <c r="B170" s="132"/>
      <c r="H170" s="226"/>
      <c r="O170" s="227"/>
    </row>
    <row r="171" spans="1:15" ht="13">
      <c r="A171" s="225"/>
      <c r="B171" s="132"/>
      <c r="H171" s="226"/>
      <c r="O171" s="227"/>
    </row>
    <row r="172" spans="1:15" ht="13">
      <c r="A172" s="225"/>
      <c r="B172" s="132"/>
      <c r="H172" s="226"/>
      <c r="O172" s="227"/>
    </row>
    <row r="173" spans="1:15" ht="13">
      <c r="A173" s="225"/>
      <c r="B173" s="132"/>
      <c r="H173" s="226"/>
      <c r="O173" s="227"/>
    </row>
    <row r="174" spans="1:15" ht="13">
      <c r="A174" s="225"/>
      <c r="B174" s="132"/>
      <c r="H174" s="226"/>
      <c r="O174" s="227"/>
    </row>
    <row r="175" spans="1:15" ht="13">
      <c r="A175" s="225"/>
      <c r="B175" s="132"/>
      <c r="H175" s="226"/>
      <c r="O175" s="227"/>
    </row>
    <row r="176" spans="1:15" ht="13">
      <c r="A176" s="225"/>
      <c r="B176" s="132"/>
      <c r="H176" s="226"/>
      <c r="O176" s="227"/>
    </row>
    <row r="177" spans="1:15" ht="13">
      <c r="A177" s="225"/>
      <c r="B177" s="132"/>
      <c r="H177" s="226"/>
      <c r="O177" s="227"/>
    </row>
    <row r="178" spans="1:15" ht="13">
      <c r="A178" s="225"/>
      <c r="B178" s="132"/>
      <c r="H178" s="226"/>
      <c r="O178" s="227"/>
    </row>
    <row r="179" spans="1:15" ht="13">
      <c r="A179" s="225"/>
      <c r="B179" s="132"/>
      <c r="H179" s="226"/>
      <c r="O179" s="227"/>
    </row>
    <row r="180" spans="1:15" ht="13">
      <c r="A180" s="225"/>
      <c r="B180" s="132"/>
      <c r="H180" s="226"/>
      <c r="O180" s="227"/>
    </row>
    <row r="181" spans="1:15" ht="13">
      <c r="A181" s="225"/>
      <c r="B181" s="132"/>
      <c r="H181" s="226"/>
      <c r="O181" s="227"/>
    </row>
    <row r="182" spans="1:15" ht="13">
      <c r="A182" s="225"/>
      <c r="B182" s="132"/>
      <c r="H182" s="226"/>
      <c r="O182" s="227"/>
    </row>
    <row r="183" spans="1:15" ht="13">
      <c r="A183" s="225"/>
      <c r="B183" s="132"/>
      <c r="H183" s="226"/>
      <c r="O183" s="227"/>
    </row>
    <row r="184" spans="1:15" ht="13">
      <c r="A184" s="225"/>
      <c r="B184" s="132"/>
      <c r="H184" s="226"/>
      <c r="O184" s="227"/>
    </row>
    <row r="185" spans="1:15" ht="13">
      <c r="A185" s="225"/>
      <c r="B185" s="132"/>
      <c r="H185" s="226"/>
      <c r="O185" s="227"/>
    </row>
    <row r="186" spans="1:15" ht="13">
      <c r="A186" s="225"/>
      <c r="B186" s="132"/>
      <c r="H186" s="226"/>
      <c r="O186" s="227"/>
    </row>
    <row r="187" spans="1:15" ht="13">
      <c r="A187" s="225"/>
      <c r="B187" s="132"/>
      <c r="H187" s="226"/>
      <c r="O187" s="227"/>
    </row>
    <row r="188" spans="1:15" ht="13">
      <c r="A188" s="225"/>
      <c r="B188" s="132"/>
      <c r="H188" s="226"/>
      <c r="O188" s="227"/>
    </row>
    <row r="189" spans="1:15" ht="13">
      <c r="A189" s="225"/>
      <c r="B189" s="132"/>
      <c r="H189" s="226"/>
      <c r="O189" s="227"/>
    </row>
    <row r="190" spans="1:15" ht="13">
      <c r="A190" s="225"/>
      <c r="B190" s="132"/>
      <c r="H190" s="226"/>
      <c r="O190" s="227"/>
    </row>
    <row r="191" spans="1:15" ht="13">
      <c r="A191" s="225"/>
      <c r="B191" s="132"/>
      <c r="H191" s="226"/>
      <c r="O191" s="227"/>
    </row>
    <row r="192" spans="1:15" ht="13">
      <c r="A192" s="225"/>
      <c r="B192" s="132"/>
      <c r="H192" s="226"/>
      <c r="O192" s="227"/>
    </row>
    <row r="193" spans="1:15" ht="13">
      <c r="A193" s="225"/>
      <c r="B193" s="132"/>
      <c r="H193" s="226"/>
      <c r="O193" s="227"/>
    </row>
    <row r="194" spans="1:15" ht="13">
      <c r="A194" s="225"/>
      <c r="B194" s="132"/>
      <c r="H194" s="226"/>
      <c r="O194" s="227"/>
    </row>
    <row r="195" spans="1:15" ht="13">
      <c r="A195" s="225"/>
      <c r="B195" s="132"/>
      <c r="H195" s="226"/>
      <c r="O195" s="227"/>
    </row>
    <row r="196" spans="1:15" ht="13">
      <c r="A196" s="225"/>
      <c r="B196" s="132"/>
      <c r="H196" s="226"/>
      <c r="O196" s="227"/>
    </row>
    <row r="197" spans="1:15" ht="13">
      <c r="A197" s="225"/>
      <c r="B197" s="132"/>
      <c r="H197" s="226"/>
      <c r="O197" s="227"/>
    </row>
    <row r="198" spans="1:15" ht="13">
      <c r="A198" s="225"/>
      <c r="B198" s="132"/>
      <c r="H198" s="226"/>
      <c r="O198" s="227"/>
    </row>
    <row r="199" spans="1:15" ht="13">
      <c r="A199" s="225"/>
      <c r="B199" s="132"/>
      <c r="H199" s="226"/>
      <c r="O199" s="227"/>
    </row>
    <row r="200" spans="1:15" ht="13">
      <c r="A200" s="225"/>
      <c r="B200" s="132"/>
      <c r="H200" s="226"/>
      <c r="O200" s="227"/>
    </row>
    <row r="201" spans="1:15" ht="13">
      <c r="A201" s="225"/>
      <c r="B201" s="132"/>
      <c r="H201" s="226"/>
      <c r="O201" s="227"/>
    </row>
    <row r="202" spans="1:15" ht="13">
      <c r="A202" s="225"/>
      <c r="B202" s="132"/>
      <c r="H202" s="226"/>
      <c r="O202" s="227"/>
    </row>
    <row r="203" spans="1:15" ht="13">
      <c r="A203" s="225"/>
      <c r="B203" s="132"/>
      <c r="H203" s="226"/>
      <c r="O203" s="227"/>
    </row>
    <row r="204" spans="1:15" ht="13">
      <c r="A204" s="225"/>
      <c r="B204" s="132"/>
      <c r="H204" s="226"/>
      <c r="O204" s="227"/>
    </row>
    <row r="205" spans="1:15" ht="13">
      <c r="A205" s="225"/>
      <c r="B205" s="132"/>
      <c r="H205" s="226"/>
      <c r="O205" s="227"/>
    </row>
    <row r="206" spans="1:15" ht="13">
      <c r="A206" s="225"/>
      <c r="B206" s="132"/>
      <c r="H206" s="226"/>
      <c r="O206" s="227"/>
    </row>
    <row r="207" spans="1:15" ht="13">
      <c r="A207" s="225"/>
      <c r="B207" s="132"/>
      <c r="H207" s="226"/>
      <c r="O207" s="227"/>
    </row>
    <row r="208" spans="1:15" ht="13">
      <c r="A208" s="225"/>
      <c r="B208" s="132"/>
      <c r="H208" s="226"/>
      <c r="O208" s="227"/>
    </row>
    <row r="209" spans="1:15" ht="13">
      <c r="A209" s="225"/>
      <c r="B209" s="132"/>
      <c r="H209" s="226"/>
      <c r="O209" s="227"/>
    </row>
    <row r="210" spans="1:15" ht="13">
      <c r="A210" s="225"/>
      <c r="B210" s="132"/>
      <c r="H210" s="226"/>
      <c r="O210" s="227"/>
    </row>
    <row r="211" spans="1:15" ht="13">
      <c r="A211" s="225"/>
      <c r="B211" s="132"/>
      <c r="H211" s="226"/>
      <c r="O211" s="227"/>
    </row>
    <row r="212" spans="1:15" ht="13">
      <c r="A212" s="225"/>
      <c r="B212" s="132"/>
      <c r="H212" s="226"/>
      <c r="O212" s="227"/>
    </row>
    <row r="213" spans="1:15" ht="13">
      <c r="A213" s="225"/>
      <c r="B213" s="132"/>
      <c r="H213" s="226"/>
      <c r="O213" s="227"/>
    </row>
    <row r="214" spans="1:15" ht="13">
      <c r="A214" s="225"/>
      <c r="B214" s="132"/>
      <c r="H214" s="226"/>
      <c r="O214" s="227"/>
    </row>
    <row r="215" spans="1:15" ht="13">
      <c r="A215" s="225"/>
      <c r="B215" s="132"/>
      <c r="H215" s="226"/>
      <c r="O215" s="227"/>
    </row>
    <row r="216" spans="1:15" ht="13">
      <c r="A216" s="225"/>
      <c r="B216" s="132"/>
      <c r="H216" s="226"/>
      <c r="O216" s="227"/>
    </row>
    <row r="217" spans="1:15" ht="13">
      <c r="A217" s="225"/>
      <c r="B217" s="132"/>
      <c r="H217" s="226"/>
      <c r="O217" s="227"/>
    </row>
    <row r="218" spans="1:15" ht="13">
      <c r="A218" s="225"/>
      <c r="B218" s="132"/>
      <c r="H218" s="226"/>
      <c r="O218" s="227"/>
    </row>
    <row r="219" spans="1:15" ht="13">
      <c r="A219" s="225"/>
      <c r="B219" s="132"/>
      <c r="H219" s="226"/>
      <c r="O219" s="227"/>
    </row>
    <row r="220" spans="1:15" ht="13">
      <c r="A220" s="225"/>
      <c r="B220" s="132"/>
      <c r="H220" s="226"/>
      <c r="O220" s="227"/>
    </row>
    <row r="221" spans="1:15" ht="13">
      <c r="A221" s="225"/>
      <c r="B221" s="132"/>
      <c r="H221" s="226"/>
      <c r="O221" s="227"/>
    </row>
    <row r="222" spans="1:15" ht="13">
      <c r="A222" s="225"/>
      <c r="B222" s="132"/>
      <c r="H222" s="226"/>
      <c r="O222" s="227"/>
    </row>
    <row r="223" spans="1:15" ht="13">
      <c r="A223" s="225"/>
      <c r="B223" s="132"/>
      <c r="H223" s="226"/>
      <c r="O223" s="227"/>
    </row>
    <row r="224" spans="1:15" ht="13">
      <c r="A224" s="225"/>
      <c r="B224" s="132"/>
      <c r="H224" s="226"/>
      <c r="O224" s="227"/>
    </row>
    <row r="225" spans="1:15" ht="13">
      <c r="A225" s="225"/>
      <c r="B225" s="132"/>
      <c r="H225" s="226"/>
      <c r="O225" s="227"/>
    </row>
    <row r="226" spans="1:15" ht="13">
      <c r="A226" s="225"/>
      <c r="B226" s="132"/>
      <c r="H226" s="226"/>
      <c r="O226" s="227"/>
    </row>
    <row r="227" spans="1:15" ht="13">
      <c r="A227" s="225"/>
      <c r="B227" s="132"/>
      <c r="H227" s="226"/>
      <c r="O227" s="227"/>
    </row>
    <row r="228" spans="1:15" ht="13">
      <c r="A228" s="225"/>
      <c r="B228" s="132"/>
      <c r="H228" s="226"/>
      <c r="O228" s="227"/>
    </row>
    <row r="229" spans="1:15" ht="13">
      <c r="A229" s="225"/>
      <c r="B229" s="132"/>
      <c r="H229" s="226"/>
      <c r="O229" s="227"/>
    </row>
    <row r="230" spans="1:15" ht="13">
      <c r="A230" s="225"/>
      <c r="B230" s="132"/>
      <c r="H230" s="226"/>
      <c r="O230" s="227"/>
    </row>
    <row r="231" spans="1:15" ht="13">
      <c r="A231" s="225"/>
      <c r="B231" s="132"/>
      <c r="H231" s="226"/>
      <c r="O231" s="227"/>
    </row>
    <row r="232" spans="1:15" ht="13">
      <c r="A232" s="225"/>
      <c r="B232" s="132"/>
      <c r="H232" s="226"/>
      <c r="O232" s="227"/>
    </row>
    <row r="233" spans="1:15" ht="13">
      <c r="A233" s="225"/>
      <c r="B233" s="132"/>
      <c r="H233" s="226"/>
      <c r="O233" s="227"/>
    </row>
    <row r="234" spans="1:15" ht="13">
      <c r="A234" s="225"/>
      <c r="B234" s="132"/>
      <c r="H234" s="226"/>
      <c r="O234" s="227"/>
    </row>
    <row r="235" spans="1:15" ht="13">
      <c r="A235" s="225"/>
      <c r="B235" s="132"/>
      <c r="H235" s="226"/>
      <c r="O235" s="227"/>
    </row>
    <row r="236" spans="1:15" ht="13">
      <c r="A236" s="225"/>
      <c r="B236" s="132"/>
      <c r="H236" s="226"/>
      <c r="O236" s="227"/>
    </row>
    <row r="237" spans="1:15" ht="13">
      <c r="A237" s="225"/>
      <c r="B237" s="132"/>
      <c r="H237" s="226"/>
      <c r="O237" s="227"/>
    </row>
    <row r="238" spans="1:15" ht="13">
      <c r="A238" s="225"/>
      <c r="B238" s="132"/>
      <c r="H238" s="226"/>
      <c r="O238" s="227"/>
    </row>
    <row r="239" spans="1:15" ht="13">
      <c r="A239" s="225"/>
      <c r="B239" s="132"/>
      <c r="H239" s="226"/>
      <c r="O239" s="227"/>
    </row>
    <row r="240" spans="1:15" ht="13">
      <c r="A240" s="225"/>
      <c r="B240" s="132"/>
      <c r="H240" s="226"/>
      <c r="O240" s="227"/>
    </row>
    <row r="241" spans="1:15" ht="13">
      <c r="A241" s="225"/>
      <c r="B241" s="132"/>
      <c r="H241" s="226"/>
      <c r="O241" s="227"/>
    </row>
    <row r="242" spans="1:15" ht="13">
      <c r="A242" s="225"/>
      <c r="B242" s="132"/>
      <c r="H242" s="226"/>
      <c r="O242" s="227"/>
    </row>
    <row r="243" spans="1:15" ht="13">
      <c r="A243" s="225"/>
      <c r="B243" s="132"/>
      <c r="H243" s="226"/>
      <c r="O243" s="227"/>
    </row>
    <row r="244" spans="1:15" ht="13">
      <c r="A244" s="225"/>
      <c r="B244" s="132"/>
      <c r="H244" s="226"/>
      <c r="O244" s="227"/>
    </row>
    <row r="245" spans="1:15" ht="13">
      <c r="A245" s="225"/>
      <c r="B245" s="132"/>
      <c r="H245" s="226"/>
      <c r="O245" s="227"/>
    </row>
    <row r="246" spans="1:15" ht="13">
      <c r="A246" s="225"/>
      <c r="B246" s="132"/>
      <c r="H246" s="226"/>
      <c r="O246" s="227"/>
    </row>
    <row r="247" spans="1:15" ht="13">
      <c r="A247" s="225"/>
      <c r="B247" s="132"/>
      <c r="H247" s="226"/>
      <c r="O247" s="227"/>
    </row>
    <row r="248" spans="1:15" ht="13">
      <c r="A248" s="225"/>
      <c r="B248" s="132"/>
      <c r="H248" s="226"/>
      <c r="O248" s="227"/>
    </row>
    <row r="249" spans="1:15" ht="13">
      <c r="A249" s="225"/>
      <c r="B249" s="132"/>
      <c r="H249" s="226"/>
      <c r="O249" s="227"/>
    </row>
    <row r="250" spans="1:15" ht="13">
      <c r="A250" s="225"/>
      <c r="B250" s="132"/>
      <c r="H250" s="226"/>
      <c r="O250" s="227"/>
    </row>
    <row r="251" spans="1:15" ht="13">
      <c r="A251" s="225"/>
      <c r="B251" s="132"/>
      <c r="H251" s="226"/>
      <c r="O251" s="227"/>
    </row>
    <row r="252" spans="1:15" ht="13">
      <c r="A252" s="225"/>
      <c r="B252" s="132"/>
      <c r="H252" s="226"/>
      <c r="O252" s="227"/>
    </row>
    <row r="253" spans="1:15" ht="13">
      <c r="A253" s="225"/>
      <c r="B253" s="132"/>
      <c r="H253" s="226"/>
      <c r="O253" s="227"/>
    </row>
    <row r="254" spans="1:15" ht="13">
      <c r="A254" s="225"/>
      <c r="B254" s="132"/>
      <c r="H254" s="226"/>
      <c r="O254" s="227"/>
    </row>
    <row r="255" spans="1:15" ht="13">
      <c r="A255" s="225"/>
      <c r="B255" s="132"/>
      <c r="H255" s="226"/>
      <c r="O255" s="227"/>
    </row>
    <row r="256" spans="1:15" ht="13">
      <c r="A256" s="225"/>
      <c r="B256" s="132"/>
      <c r="H256" s="226"/>
      <c r="O256" s="227"/>
    </row>
    <row r="257" spans="1:15" ht="13">
      <c r="A257" s="225"/>
      <c r="B257" s="132"/>
      <c r="H257" s="226"/>
      <c r="O257" s="227"/>
    </row>
    <row r="258" spans="1:15" ht="13">
      <c r="A258" s="225"/>
      <c r="B258" s="132"/>
      <c r="H258" s="226"/>
      <c r="O258" s="227"/>
    </row>
    <row r="259" spans="1:15" ht="13">
      <c r="A259" s="225"/>
      <c r="B259" s="132"/>
      <c r="H259" s="226"/>
      <c r="O259" s="227"/>
    </row>
    <row r="260" spans="1:15" ht="13">
      <c r="A260" s="225"/>
      <c r="B260" s="132"/>
      <c r="H260" s="226"/>
      <c r="O260" s="227"/>
    </row>
    <row r="261" spans="1:15" ht="13">
      <c r="A261" s="225"/>
      <c r="B261" s="132"/>
      <c r="H261" s="226"/>
      <c r="O261" s="227"/>
    </row>
    <row r="262" spans="1:15" ht="13">
      <c r="A262" s="225"/>
      <c r="B262" s="132"/>
      <c r="H262" s="226"/>
      <c r="O262" s="227"/>
    </row>
    <row r="263" spans="1:15" ht="13">
      <c r="A263" s="225"/>
      <c r="B263" s="132"/>
      <c r="H263" s="226"/>
      <c r="O263" s="227"/>
    </row>
    <row r="264" spans="1:15" ht="13">
      <c r="A264" s="225"/>
      <c r="B264" s="132"/>
      <c r="H264" s="226"/>
      <c r="O264" s="227"/>
    </row>
    <row r="265" spans="1:15" ht="13">
      <c r="A265" s="225"/>
      <c r="B265" s="132"/>
      <c r="H265" s="226"/>
      <c r="O265" s="227"/>
    </row>
    <row r="266" spans="1:15" ht="13">
      <c r="A266" s="225"/>
      <c r="B266" s="132"/>
      <c r="H266" s="226"/>
      <c r="O266" s="227"/>
    </row>
    <row r="267" spans="1:15" ht="13">
      <c r="A267" s="225"/>
      <c r="B267" s="132"/>
      <c r="H267" s="226"/>
      <c r="O267" s="227"/>
    </row>
    <row r="268" spans="1:15" ht="13">
      <c r="A268" s="225"/>
      <c r="B268" s="132"/>
      <c r="H268" s="226"/>
      <c r="O268" s="227"/>
    </row>
    <row r="269" spans="1:15" ht="13">
      <c r="A269" s="225"/>
      <c r="B269" s="132"/>
      <c r="H269" s="226"/>
      <c r="O269" s="227"/>
    </row>
    <row r="270" spans="1:15" ht="13">
      <c r="A270" s="225"/>
      <c r="B270" s="132"/>
      <c r="H270" s="226"/>
      <c r="O270" s="227"/>
    </row>
    <row r="271" spans="1:15" ht="13">
      <c r="A271" s="225"/>
      <c r="B271" s="132"/>
      <c r="H271" s="226"/>
      <c r="O271" s="227"/>
    </row>
    <row r="272" spans="1:15" ht="13">
      <c r="A272" s="225"/>
      <c r="B272" s="132"/>
      <c r="H272" s="226"/>
      <c r="O272" s="227"/>
    </row>
    <row r="273" spans="1:15" ht="13">
      <c r="A273" s="225"/>
      <c r="B273" s="132"/>
      <c r="H273" s="226"/>
      <c r="O273" s="227"/>
    </row>
    <row r="274" spans="1:15" ht="13">
      <c r="A274" s="225"/>
      <c r="B274" s="132"/>
      <c r="H274" s="226"/>
      <c r="O274" s="227"/>
    </row>
    <row r="275" spans="1:15" ht="13">
      <c r="A275" s="225"/>
      <c r="B275" s="132"/>
      <c r="H275" s="226"/>
      <c r="O275" s="227"/>
    </row>
    <row r="276" spans="1:15" ht="13">
      <c r="A276" s="225"/>
      <c r="B276" s="132"/>
      <c r="H276" s="226"/>
      <c r="O276" s="227"/>
    </row>
    <row r="277" spans="1:15" ht="13">
      <c r="A277" s="225"/>
      <c r="B277" s="132"/>
      <c r="H277" s="226"/>
      <c r="O277" s="227"/>
    </row>
    <row r="278" spans="1:15" ht="13">
      <c r="A278" s="225"/>
      <c r="B278" s="132"/>
      <c r="H278" s="226"/>
      <c r="O278" s="227"/>
    </row>
    <row r="279" spans="1:15" ht="13">
      <c r="A279" s="225"/>
      <c r="B279" s="132"/>
      <c r="H279" s="226"/>
      <c r="O279" s="227"/>
    </row>
    <row r="280" spans="1:15" ht="13">
      <c r="A280" s="225"/>
      <c r="B280" s="132"/>
      <c r="H280" s="226"/>
      <c r="O280" s="227"/>
    </row>
    <row r="281" spans="1:15" ht="13">
      <c r="A281" s="225"/>
      <c r="B281" s="132"/>
      <c r="H281" s="226"/>
      <c r="O281" s="227"/>
    </row>
    <row r="282" spans="1:15" ht="13">
      <c r="A282" s="225"/>
      <c r="B282" s="132"/>
      <c r="H282" s="226"/>
      <c r="O282" s="227"/>
    </row>
    <row r="283" spans="1:15" ht="13">
      <c r="A283" s="225"/>
      <c r="B283" s="132"/>
      <c r="H283" s="226"/>
      <c r="O283" s="227"/>
    </row>
    <row r="284" spans="1:15" ht="13">
      <c r="A284" s="225"/>
      <c r="B284" s="132"/>
      <c r="H284" s="226"/>
      <c r="O284" s="227"/>
    </row>
    <row r="285" spans="1:15" ht="13">
      <c r="A285" s="225"/>
      <c r="B285" s="132"/>
      <c r="H285" s="226"/>
      <c r="O285" s="227"/>
    </row>
    <row r="286" spans="1:15" ht="13">
      <c r="A286" s="225"/>
      <c r="B286" s="132"/>
      <c r="H286" s="226"/>
      <c r="O286" s="227"/>
    </row>
    <row r="287" spans="1:15" ht="13">
      <c r="A287" s="225"/>
      <c r="B287" s="132"/>
      <c r="H287" s="226"/>
      <c r="O287" s="227"/>
    </row>
    <row r="288" spans="1:15" ht="13">
      <c r="A288" s="225"/>
      <c r="B288" s="132"/>
      <c r="H288" s="226"/>
      <c r="O288" s="227"/>
    </row>
    <row r="289" spans="1:15" ht="13">
      <c r="A289" s="225"/>
      <c r="B289" s="132"/>
      <c r="H289" s="226"/>
      <c r="O289" s="227"/>
    </row>
    <row r="290" spans="1:15" ht="13">
      <c r="A290" s="225"/>
      <c r="B290" s="132"/>
      <c r="H290" s="226"/>
      <c r="O290" s="227"/>
    </row>
    <row r="291" spans="1:15" ht="13">
      <c r="A291" s="225"/>
      <c r="B291" s="132"/>
      <c r="H291" s="226"/>
      <c r="O291" s="227"/>
    </row>
    <row r="292" spans="1:15" ht="13">
      <c r="A292" s="225"/>
      <c r="B292" s="132"/>
      <c r="H292" s="226"/>
      <c r="O292" s="227"/>
    </row>
    <row r="293" spans="1:15" ht="13">
      <c r="A293" s="225"/>
      <c r="B293" s="132"/>
      <c r="H293" s="226"/>
      <c r="O293" s="227"/>
    </row>
    <row r="294" spans="1:15" ht="13">
      <c r="A294" s="225"/>
      <c r="B294" s="132"/>
      <c r="H294" s="226"/>
      <c r="O294" s="227"/>
    </row>
    <row r="295" spans="1:15" ht="13">
      <c r="A295" s="225"/>
      <c r="B295" s="132"/>
      <c r="H295" s="226"/>
      <c r="O295" s="227"/>
    </row>
    <row r="296" spans="1:15" ht="13">
      <c r="A296" s="225"/>
      <c r="B296" s="132"/>
      <c r="H296" s="226"/>
      <c r="O296" s="227"/>
    </row>
    <row r="297" spans="1:15" ht="13">
      <c r="A297" s="225"/>
      <c r="B297" s="132"/>
      <c r="H297" s="226"/>
      <c r="O297" s="227"/>
    </row>
    <row r="298" spans="1:15" ht="13">
      <c r="A298" s="225"/>
      <c r="B298" s="132"/>
      <c r="H298" s="226"/>
      <c r="O298" s="227"/>
    </row>
    <row r="299" spans="1:15" ht="13">
      <c r="A299" s="225"/>
      <c r="B299" s="132"/>
      <c r="H299" s="226"/>
      <c r="O299" s="227"/>
    </row>
    <row r="300" spans="1:15" ht="13">
      <c r="A300" s="225"/>
      <c r="B300" s="132"/>
      <c r="H300" s="226"/>
      <c r="O300" s="227"/>
    </row>
    <row r="301" spans="1:15" ht="13">
      <c r="A301" s="225"/>
      <c r="B301" s="132"/>
      <c r="H301" s="226"/>
      <c r="O301" s="227"/>
    </row>
    <row r="302" spans="1:15" ht="13">
      <c r="A302" s="225"/>
      <c r="B302" s="132"/>
      <c r="H302" s="226"/>
      <c r="O302" s="227"/>
    </row>
    <row r="303" spans="1:15" ht="13">
      <c r="A303" s="225"/>
      <c r="B303" s="132"/>
      <c r="H303" s="226"/>
      <c r="O303" s="227"/>
    </row>
    <row r="304" spans="1:15" ht="13">
      <c r="A304" s="225"/>
      <c r="B304" s="132"/>
      <c r="H304" s="226"/>
      <c r="O304" s="227"/>
    </row>
    <row r="305" spans="1:15" ht="13">
      <c r="A305" s="225"/>
      <c r="B305" s="132"/>
      <c r="H305" s="226"/>
      <c r="O305" s="227"/>
    </row>
    <row r="306" spans="1:15" ht="13">
      <c r="A306" s="225"/>
      <c r="B306" s="132"/>
      <c r="H306" s="226"/>
      <c r="O306" s="227"/>
    </row>
    <row r="307" spans="1:15" ht="13">
      <c r="A307" s="225"/>
      <c r="B307" s="132"/>
      <c r="H307" s="226"/>
      <c r="O307" s="227"/>
    </row>
    <row r="308" spans="1:15" ht="13">
      <c r="A308" s="225"/>
      <c r="B308" s="132"/>
      <c r="H308" s="226"/>
      <c r="O308" s="227"/>
    </row>
    <row r="309" spans="1:15" ht="13">
      <c r="A309" s="225"/>
      <c r="B309" s="132"/>
      <c r="H309" s="226"/>
      <c r="O309" s="227"/>
    </row>
    <row r="310" spans="1:15" ht="13">
      <c r="A310" s="225"/>
      <c r="B310" s="132"/>
      <c r="H310" s="226"/>
      <c r="O310" s="227"/>
    </row>
    <row r="311" spans="1:15" ht="13">
      <c r="A311" s="225"/>
      <c r="B311" s="132"/>
      <c r="H311" s="226"/>
      <c r="O311" s="227"/>
    </row>
    <row r="312" spans="1:15" ht="13">
      <c r="A312" s="225"/>
      <c r="B312" s="132"/>
      <c r="H312" s="226"/>
      <c r="O312" s="227"/>
    </row>
    <row r="313" spans="1:15" ht="13">
      <c r="A313" s="225"/>
      <c r="B313" s="132"/>
      <c r="H313" s="226"/>
      <c r="O313" s="227"/>
    </row>
    <row r="314" spans="1:15" ht="13">
      <c r="A314" s="225"/>
      <c r="B314" s="132"/>
      <c r="H314" s="226"/>
      <c r="O314" s="227"/>
    </row>
    <row r="315" spans="1:15" ht="13">
      <c r="A315" s="225"/>
      <c r="B315" s="132"/>
      <c r="H315" s="226"/>
      <c r="O315" s="227"/>
    </row>
    <row r="316" spans="1:15" ht="13">
      <c r="A316" s="225"/>
      <c r="B316" s="132"/>
      <c r="H316" s="226"/>
      <c r="O316" s="227"/>
    </row>
    <row r="317" spans="1:15" ht="13">
      <c r="A317" s="225"/>
      <c r="B317" s="132"/>
      <c r="H317" s="226"/>
      <c r="O317" s="227"/>
    </row>
    <row r="318" spans="1:15" ht="13">
      <c r="A318" s="225"/>
      <c r="B318" s="132"/>
      <c r="H318" s="226"/>
      <c r="O318" s="227"/>
    </row>
    <row r="319" spans="1:15" ht="13">
      <c r="A319" s="225"/>
      <c r="B319" s="132"/>
      <c r="H319" s="226"/>
      <c r="O319" s="227"/>
    </row>
    <row r="320" spans="1:15" ht="13">
      <c r="A320" s="225"/>
      <c r="B320" s="132"/>
      <c r="H320" s="226"/>
      <c r="O320" s="227"/>
    </row>
    <row r="321" spans="1:15" ht="13">
      <c r="A321" s="225"/>
      <c r="B321" s="132"/>
      <c r="H321" s="226"/>
      <c r="O321" s="227"/>
    </row>
    <row r="322" spans="1:15" ht="13">
      <c r="A322" s="225"/>
      <c r="B322" s="132"/>
      <c r="H322" s="226"/>
      <c r="O322" s="227"/>
    </row>
    <row r="323" spans="1:15" ht="13">
      <c r="A323" s="225"/>
      <c r="B323" s="132"/>
      <c r="H323" s="226"/>
      <c r="O323" s="227"/>
    </row>
    <row r="324" spans="1:15" ht="13">
      <c r="A324" s="225"/>
      <c r="B324" s="132"/>
      <c r="H324" s="226"/>
      <c r="O324" s="227"/>
    </row>
    <row r="325" spans="1:15" ht="13">
      <c r="A325" s="225"/>
      <c r="B325" s="132"/>
      <c r="H325" s="226"/>
      <c r="O325" s="227"/>
    </row>
    <row r="326" spans="1:15" ht="13">
      <c r="A326" s="225"/>
      <c r="B326" s="132"/>
      <c r="H326" s="226"/>
      <c r="O326" s="227"/>
    </row>
    <row r="327" spans="1:15" ht="13">
      <c r="A327" s="225"/>
      <c r="B327" s="132"/>
      <c r="H327" s="226"/>
      <c r="O327" s="227"/>
    </row>
    <row r="328" spans="1:15" ht="13">
      <c r="A328" s="225"/>
      <c r="B328" s="132"/>
      <c r="H328" s="226"/>
      <c r="O328" s="227"/>
    </row>
    <row r="329" spans="1:15" ht="13">
      <c r="A329" s="225"/>
      <c r="B329" s="132"/>
      <c r="H329" s="226"/>
      <c r="O329" s="227"/>
    </row>
    <row r="330" spans="1:15" ht="13">
      <c r="A330" s="225"/>
      <c r="B330" s="132"/>
      <c r="H330" s="226"/>
      <c r="O330" s="227"/>
    </row>
    <row r="331" spans="1:15" ht="13">
      <c r="A331" s="225"/>
      <c r="B331" s="132"/>
      <c r="H331" s="226"/>
      <c r="O331" s="227"/>
    </row>
    <row r="332" spans="1:15" ht="13">
      <c r="A332" s="225"/>
      <c r="B332" s="132"/>
      <c r="H332" s="226"/>
      <c r="O332" s="227"/>
    </row>
    <row r="333" spans="1:15" ht="13">
      <c r="A333" s="225"/>
      <c r="B333" s="132"/>
      <c r="H333" s="226"/>
      <c r="O333" s="227"/>
    </row>
    <row r="334" spans="1:15" ht="13">
      <c r="A334" s="225"/>
      <c r="B334" s="132"/>
      <c r="H334" s="226"/>
      <c r="O334" s="227"/>
    </row>
    <row r="335" spans="1:15" ht="13">
      <c r="A335" s="225"/>
      <c r="B335" s="132"/>
      <c r="H335" s="226"/>
      <c r="O335" s="227"/>
    </row>
    <row r="336" spans="1:15" ht="13">
      <c r="A336" s="225"/>
      <c r="B336" s="132"/>
      <c r="H336" s="226"/>
      <c r="O336" s="227"/>
    </row>
    <row r="337" spans="1:15" ht="13">
      <c r="A337" s="225"/>
      <c r="B337" s="132"/>
      <c r="H337" s="226"/>
      <c r="O337" s="227"/>
    </row>
    <row r="338" spans="1:15" ht="13">
      <c r="A338" s="225"/>
      <c r="B338" s="132"/>
      <c r="H338" s="226"/>
      <c r="O338" s="227"/>
    </row>
    <row r="339" spans="1:15" ht="13">
      <c r="A339" s="225"/>
      <c r="B339" s="132"/>
      <c r="H339" s="226"/>
      <c r="O339" s="227"/>
    </row>
    <row r="340" spans="1:15" ht="13">
      <c r="A340" s="225"/>
      <c r="B340" s="132"/>
      <c r="H340" s="226"/>
      <c r="O340" s="227"/>
    </row>
    <row r="341" spans="1:15" ht="13">
      <c r="A341" s="225"/>
      <c r="B341" s="132"/>
      <c r="H341" s="226"/>
      <c r="O341" s="227"/>
    </row>
    <row r="342" spans="1:15" ht="13">
      <c r="A342" s="225"/>
      <c r="B342" s="132"/>
      <c r="H342" s="226"/>
      <c r="O342" s="227"/>
    </row>
    <row r="343" spans="1:15" ht="13">
      <c r="A343" s="225"/>
      <c r="B343" s="132"/>
      <c r="H343" s="226"/>
      <c r="O343" s="227"/>
    </row>
    <row r="344" spans="1:15" ht="13">
      <c r="A344" s="225"/>
      <c r="B344" s="132"/>
      <c r="H344" s="226"/>
      <c r="O344" s="227"/>
    </row>
    <row r="345" spans="1:15" ht="13">
      <c r="A345" s="225"/>
      <c r="B345" s="132"/>
      <c r="H345" s="226"/>
      <c r="O345" s="227"/>
    </row>
    <row r="346" spans="1:15" ht="13">
      <c r="A346" s="225"/>
      <c r="B346" s="132"/>
      <c r="H346" s="226"/>
      <c r="O346" s="227"/>
    </row>
    <row r="347" spans="1:15" ht="13">
      <c r="A347" s="225"/>
      <c r="B347" s="132"/>
      <c r="H347" s="226"/>
      <c r="O347" s="227"/>
    </row>
    <row r="348" spans="1:15" ht="13">
      <c r="A348" s="225"/>
      <c r="B348" s="132"/>
      <c r="H348" s="226"/>
      <c r="O348" s="227"/>
    </row>
    <row r="349" spans="1:15" ht="13">
      <c r="A349" s="225"/>
      <c r="B349" s="132"/>
      <c r="H349" s="226"/>
      <c r="O349" s="227"/>
    </row>
    <row r="350" spans="1:15" ht="13">
      <c r="A350" s="225"/>
      <c r="B350" s="132"/>
      <c r="H350" s="226"/>
      <c r="O350" s="227"/>
    </row>
    <row r="351" spans="1:15" ht="13">
      <c r="A351" s="225"/>
      <c r="B351" s="132"/>
      <c r="H351" s="226"/>
      <c r="O351" s="227"/>
    </row>
    <row r="352" spans="1:15" ht="13">
      <c r="A352" s="225"/>
      <c r="B352" s="132"/>
      <c r="H352" s="226"/>
      <c r="O352" s="227"/>
    </row>
    <row r="353" spans="1:15" ht="13">
      <c r="A353" s="225"/>
      <c r="B353" s="132"/>
      <c r="H353" s="226"/>
      <c r="O353" s="227"/>
    </row>
    <row r="354" spans="1:15" ht="13">
      <c r="A354" s="225"/>
      <c r="B354" s="132"/>
      <c r="H354" s="226"/>
      <c r="O354" s="227"/>
    </row>
    <row r="355" spans="1:15" ht="13">
      <c r="A355" s="225"/>
      <c r="B355" s="132"/>
      <c r="H355" s="226"/>
      <c r="O355" s="227"/>
    </row>
    <row r="356" spans="1:15" ht="13">
      <c r="A356" s="225"/>
      <c r="B356" s="132"/>
      <c r="H356" s="226"/>
      <c r="O356" s="227"/>
    </row>
    <row r="357" spans="1:15" ht="13">
      <c r="A357" s="225"/>
      <c r="B357" s="132"/>
      <c r="H357" s="226"/>
      <c r="O357" s="227"/>
    </row>
    <row r="358" spans="1:15" ht="13">
      <c r="A358" s="225"/>
      <c r="B358" s="132"/>
      <c r="H358" s="226"/>
      <c r="O358" s="227"/>
    </row>
    <row r="359" spans="1:15" ht="13">
      <c r="A359" s="225"/>
      <c r="B359" s="132"/>
      <c r="H359" s="226"/>
      <c r="O359" s="227"/>
    </row>
    <row r="360" spans="1:15" ht="13">
      <c r="A360" s="225"/>
      <c r="B360" s="132"/>
      <c r="H360" s="226"/>
      <c r="O360" s="227"/>
    </row>
    <row r="361" spans="1:15" ht="13">
      <c r="A361" s="225"/>
      <c r="B361" s="132"/>
      <c r="H361" s="226"/>
      <c r="O361" s="227"/>
    </row>
    <row r="362" spans="1:15" ht="13">
      <c r="A362" s="225"/>
      <c r="B362" s="132"/>
      <c r="H362" s="226"/>
      <c r="O362" s="227"/>
    </row>
    <row r="363" spans="1:15" ht="13">
      <c r="A363" s="225"/>
      <c r="B363" s="132"/>
      <c r="H363" s="226"/>
      <c r="O363" s="227"/>
    </row>
    <row r="364" spans="1:15" ht="13">
      <c r="A364" s="225"/>
      <c r="B364" s="132"/>
      <c r="H364" s="226"/>
      <c r="O364" s="227"/>
    </row>
    <row r="365" spans="1:15" ht="13">
      <c r="A365" s="225"/>
      <c r="B365" s="132"/>
      <c r="H365" s="226"/>
      <c r="O365" s="227"/>
    </row>
    <row r="366" spans="1:15" ht="13">
      <c r="A366" s="225"/>
      <c r="B366" s="132"/>
      <c r="H366" s="226"/>
      <c r="O366" s="227"/>
    </row>
    <row r="367" spans="1:15" ht="13">
      <c r="A367" s="225"/>
      <c r="B367" s="132"/>
      <c r="H367" s="226"/>
      <c r="O367" s="227"/>
    </row>
    <row r="368" spans="1:15" ht="13">
      <c r="A368" s="225"/>
      <c r="B368" s="132"/>
      <c r="H368" s="226"/>
      <c r="O368" s="227"/>
    </row>
    <row r="369" spans="1:15" ht="13">
      <c r="A369" s="225"/>
      <c r="B369" s="132"/>
      <c r="H369" s="226"/>
      <c r="O369" s="227"/>
    </row>
    <row r="370" spans="1:15" ht="13">
      <c r="A370" s="225"/>
      <c r="B370" s="132"/>
      <c r="H370" s="226"/>
      <c r="O370" s="227"/>
    </row>
    <row r="371" spans="1:15" ht="13">
      <c r="A371" s="225"/>
      <c r="B371" s="132"/>
      <c r="H371" s="226"/>
      <c r="O371" s="227"/>
    </row>
    <row r="372" spans="1:15" ht="13">
      <c r="A372" s="225"/>
      <c r="B372" s="132"/>
      <c r="H372" s="226"/>
      <c r="O372" s="227"/>
    </row>
    <row r="373" spans="1:15" ht="13">
      <c r="A373" s="225"/>
      <c r="B373" s="132"/>
      <c r="H373" s="226"/>
      <c r="O373" s="227"/>
    </row>
    <row r="374" spans="1:15" ht="13">
      <c r="A374" s="225"/>
      <c r="B374" s="132"/>
      <c r="H374" s="226"/>
      <c r="O374" s="227"/>
    </row>
    <row r="375" spans="1:15" ht="13">
      <c r="A375" s="225"/>
      <c r="B375" s="132"/>
      <c r="H375" s="226"/>
      <c r="O375" s="227"/>
    </row>
    <row r="376" spans="1:15" ht="13">
      <c r="A376" s="225"/>
      <c r="B376" s="132"/>
      <c r="H376" s="226"/>
      <c r="O376" s="227"/>
    </row>
    <row r="377" spans="1:15" ht="13">
      <c r="A377" s="225"/>
      <c r="B377" s="132"/>
      <c r="H377" s="226"/>
      <c r="O377" s="227"/>
    </row>
    <row r="378" spans="1:15" ht="13">
      <c r="A378" s="225"/>
      <c r="B378" s="132"/>
      <c r="H378" s="226"/>
      <c r="O378" s="227"/>
    </row>
    <row r="379" spans="1:15" ht="13">
      <c r="A379" s="225"/>
      <c r="B379" s="132"/>
      <c r="H379" s="226"/>
      <c r="O379" s="227"/>
    </row>
    <row r="380" spans="1:15" ht="13">
      <c r="A380" s="225"/>
      <c r="B380" s="132"/>
      <c r="H380" s="226"/>
      <c r="O380" s="227"/>
    </row>
    <row r="381" spans="1:15" ht="13">
      <c r="A381" s="225"/>
      <c r="B381" s="132"/>
      <c r="H381" s="226"/>
      <c r="O381" s="227"/>
    </row>
    <row r="382" spans="1:15" ht="13">
      <c r="A382" s="225"/>
      <c r="B382" s="132"/>
      <c r="H382" s="226"/>
      <c r="O382" s="227"/>
    </row>
    <row r="383" spans="1:15" ht="13">
      <c r="A383" s="225"/>
      <c r="B383" s="132"/>
      <c r="H383" s="226"/>
      <c r="O383" s="227"/>
    </row>
    <row r="384" spans="1:15" ht="13">
      <c r="A384" s="225"/>
      <c r="B384" s="132"/>
      <c r="H384" s="226"/>
      <c r="O384" s="227"/>
    </row>
    <row r="385" spans="1:15" ht="13">
      <c r="A385" s="225"/>
      <c r="B385" s="132"/>
      <c r="H385" s="226"/>
      <c r="O385" s="227"/>
    </row>
    <row r="386" spans="1:15" ht="13">
      <c r="A386" s="225"/>
      <c r="B386" s="132"/>
      <c r="H386" s="226"/>
      <c r="O386" s="227"/>
    </row>
    <row r="387" spans="1:15" ht="13">
      <c r="A387" s="225"/>
      <c r="B387" s="132"/>
      <c r="H387" s="226"/>
      <c r="O387" s="227"/>
    </row>
    <row r="388" spans="1:15" ht="13">
      <c r="A388" s="225"/>
      <c r="B388" s="132"/>
      <c r="H388" s="226"/>
      <c r="O388" s="227"/>
    </row>
    <row r="389" spans="1:15" ht="13">
      <c r="A389" s="225"/>
      <c r="B389" s="132"/>
      <c r="H389" s="226"/>
      <c r="O389" s="227"/>
    </row>
    <row r="390" spans="1:15" ht="13">
      <c r="A390" s="225"/>
      <c r="B390" s="132"/>
      <c r="H390" s="226"/>
      <c r="O390" s="227"/>
    </row>
    <row r="391" spans="1:15" ht="13">
      <c r="A391" s="225"/>
      <c r="B391" s="132"/>
      <c r="H391" s="226"/>
      <c r="O391" s="227"/>
    </row>
    <row r="392" spans="1:15" ht="13">
      <c r="A392" s="225"/>
      <c r="B392" s="132"/>
      <c r="H392" s="226"/>
      <c r="O392" s="227"/>
    </row>
    <row r="393" spans="1:15" ht="13">
      <c r="A393" s="225"/>
      <c r="B393" s="132"/>
      <c r="H393" s="226"/>
      <c r="O393" s="227"/>
    </row>
    <row r="394" spans="1:15" ht="13">
      <c r="A394" s="225"/>
      <c r="B394" s="132"/>
      <c r="H394" s="226"/>
      <c r="O394" s="227"/>
    </row>
    <row r="395" spans="1:15" ht="13">
      <c r="A395" s="225"/>
      <c r="B395" s="132"/>
      <c r="H395" s="226"/>
      <c r="O395" s="227"/>
    </row>
    <row r="396" spans="1:15" ht="13">
      <c r="A396" s="225"/>
      <c r="B396" s="132"/>
      <c r="H396" s="226"/>
      <c r="O396" s="227"/>
    </row>
    <row r="397" spans="1:15" ht="13">
      <c r="A397" s="225"/>
      <c r="B397" s="132"/>
      <c r="H397" s="226"/>
      <c r="O397" s="227"/>
    </row>
    <row r="398" spans="1:15" ht="13">
      <c r="A398" s="225"/>
      <c r="B398" s="132"/>
      <c r="H398" s="226"/>
      <c r="O398" s="227"/>
    </row>
    <row r="399" spans="1:15" ht="13">
      <c r="A399" s="225"/>
      <c r="B399" s="132"/>
      <c r="H399" s="226"/>
      <c r="O399" s="227"/>
    </row>
    <row r="400" spans="1:15" ht="13">
      <c r="A400" s="225"/>
      <c r="B400" s="132"/>
      <c r="H400" s="226"/>
      <c r="O400" s="227"/>
    </row>
    <row r="401" spans="1:15" ht="13">
      <c r="A401" s="225"/>
      <c r="B401" s="132"/>
      <c r="H401" s="226"/>
      <c r="O401" s="227"/>
    </row>
    <row r="402" spans="1:15" ht="13">
      <c r="A402" s="225"/>
      <c r="B402" s="132"/>
      <c r="H402" s="226"/>
      <c r="O402" s="227"/>
    </row>
    <row r="403" spans="1:15" ht="13">
      <c r="A403" s="225"/>
      <c r="B403" s="132"/>
      <c r="H403" s="226"/>
      <c r="O403" s="227"/>
    </row>
    <row r="404" spans="1:15" ht="13">
      <c r="A404" s="225"/>
      <c r="B404" s="132"/>
      <c r="H404" s="226"/>
      <c r="O404" s="227"/>
    </row>
    <row r="405" spans="1:15" ht="13">
      <c r="A405" s="225"/>
      <c r="B405" s="132"/>
      <c r="H405" s="226"/>
      <c r="O405" s="227"/>
    </row>
    <row r="406" spans="1:15" ht="13">
      <c r="A406" s="225"/>
      <c r="B406" s="132"/>
      <c r="H406" s="226"/>
      <c r="O406" s="227"/>
    </row>
    <row r="407" spans="1:15" ht="13">
      <c r="A407" s="225"/>
      <c r="B407" s="132"/>
      <c r="H407" s="226"/>
      <c r="O407" s="227"/>
    </row>
    <row r="408" spans="1:15" ht="13">
      <c r="A408" s="225"/>
      <c r="B408" s="132"/>
      <c r="H408" s="226"/>
      <c r="O408" s="227"/>
    </row>
    <row r="409" spans="1:15" ht="13">
      <c r="A409" s="225"/>
      <c r="B409" s="132"/>
      <c r="H409" s="226"/>
      <c r="O409" s="227"/>
    </row>
    <row r="410" spans="1:15" ht="13">
      <c r="A410" s="225"/>
      <c r="B410" s="132"/>
      <c r="H410" s="226"/>
      <c r="O410" s="227"/>
    </row>
    <row r="411" spans="1:15" ht="13">
      <c r="A411" s="225"/>
      <c r="B411" s="132"/>
      <c r="H411" s="226"/>
      <c r="O411" s="227"/>
    </row>
    <row r="412" spans="1:15" ht="13">
      <c r="A412" s="225"/>
      <c r="B412" s="132"/>
      <c r="H412" s="226"/>
      <c r="O412" s="227"/>
    </row>
    <row r="413" spans="1:15" ht="13">
      <c r="A413" s="225"/>
      <c r="B413" s="132"/>
      <c r="H413" s="226"/>
      <c r="O413" s="227"/>
    </row>
    <row r="414" spans="1:15" ht="13">
      <c r="A414" s="225"/>
      <c r="B414" s="132"/>
      <c r="H414" s="226"/>
      <c r="O414" s="227"/>
    </row>
    <row r="415" spans="1:15" ht="13">
      <c r="A415" s="225"/>
      <c r="B415" s="132"/>
      <c r="H415" s="226"/>
      <c r="O415" s="227"/>
    </row>
    <row r="416" spans="1:15" ht="13">
      <c r="A416" s="225"/>
      <c r="B416" s="132"/>
      <c r="H416" s="226"/>
      <c r="O416" s="227"/>
    </row>
    <row r="417" spans="1:15" ht="13">
      <c r="A417" s="225"/>
      <c r="B417" s="132"/>
      <c r="H417" s="226"/>
      <c r="O417" s="227"/>
    </row>
    <row r="418" spans="1:15" ht="13">
      <c r="A418" s="225"/>
      <c r="B418" s="132"/>
      <c r="H418" s="226"/>
      <c r="O418" s="227"/>
    </row>
    <row r="419" spans="1:15" ht="13">
      <c r="A419" s="225"/>
      <c r="B419" s="132"/>
      <c r="H419" s="226"/>
      <c r="O419" s="227"/>
    </row>
    <row r="420" spans="1:15" ht="13">
      <c r="A420" s="225"/>
      <c r="B420" s="132"/>
      <c r="H420" s="226"/>
      <c r="O420" s="227"/>
    </row>
    <row r="421" spans="1:15" ht="13">
      <c r="A421" s="225"/>
      <c r="B421" s="132"/>
      <c r="H421" s="226"/>
      <c r="O421" s="227"/>
    </row>
    <row r="422" spans="1:15" ht="13">
      <c r="A422" s="225"/>
      <c r="B422" s="132"/>
      <c r="H422" s="226"/>
      <c r="O422" s="227"/>
    </row>
    <row r="423" spans="1:15" ht="13">
      <c r="A423" s="225"/>
      <c r="B423" s="132"/>
      <c r="H423" s="226"/>
      <c r="O423" s="227"/>
    </row>
    <row r="424" spans="1:15" ht="13">
      <c r="A424" s="225"/>
      <c r="B424" s="132"/>
      <c r="H424" s="226"/>
      <c r="O424" s="227"/>
    </row>
    <row r="425" spans="1:15" ht="13">
      <c r="A425" s="225"/>
      <c r="B425" s="132"/>
      <c r="H425" s="226"/>
      <c r="O425" s="227"/>
    </row>
    <row r="426" spans="1:15" ht="13">
      <c r="A426" s="225"/>
      <c r="B426" s="132"/>
      <c r="H426" s="226"/>
      <c r="O426" s="227"/>
    </row>
    <row r="427" spans="1:15" ht="13">
      <c r="A427" s="225"/>
      <c r="B427" s="132"/>
      <c r="H427" s="226"/>
      <c r="O427" s="227"/>
    </row>
    <row r="428" spans="1:15" ht="13">
      <c r="A428" s="225"/>
      <c r="B428" s="132"/>
      <c r="H428" s="226"/>
      <c r="O428" s="227"/>
    </row>
    <row r="429" spans="1:15" ht="13">
      <c r="A429" s="225"/>
      <c r="B429" s="132"/>
      <c r="H429" s="226"/>
      <c r="O429" s="227"/>
    </row>
    <row r="430" spans="1:15" ht="13">
      <c r="A430" s="225"/>
      <c r="B430" s="132"/>
      <c r="H430" s="226"/>
      <c r="O430" s="227"/>
    </row>
    <row r="431" spans="1:15" ht="13">
      <c r="A431" s="225"/>
      <c r="B431" s="132"/>
      <c r="H431" s="226"/>
      <c r="O431" s="227"/>
    </row>
    <row r="432" spans="1:15" ht="13">
      <c r="A432" s="225"/>
      <c r="B432" s="132"/>
      <c r="H432" s="226"/>
      <c r="O432" s="227"/>
    </row>
    <row r="433" spans="1:15" ht="13">
      <c r="A433" s="225"/>
      <c r="B433" s="132"/>
      <c r="H433" s="226"/>
      <c r="O433" s="227"/>
    </row>
    <row r="434" spans="1:15" ht="13">
      <c r="A434" s="225"/>
      <c r="B434" s="132"/>
      <c r="H434" s="226"/>
      <c r="O434" s="227"/>
    </row>
    <row r="435" spans="1:15" ht="13">
      <c r="A435" s="225"/>
      <c r="B435" s="132"/>
      <c r="H435" s="226"/>
      <c r="O435" s="227"/>
    </row>
    <row r="436" spans="1:15" ht="13">
      <c r="A436" s="225"/>
      <c r="B436" s="132"/>
      <c r="H436" s="226"/>
      <c r="O436" s="227"/>
    </row>
    <row r="437" spans="1:15" ht="13">
      <c r="A437" s="225"/>
      <c r="B437" s="132"/>
      <c r="H437" s="226"/>
      <c r="O437" s="227"/>
    </row>
    <row r="438" spans="1:15" ht="13">
      <c r="A438" s="225"/>
      <c r="B438" s="132"/>
      <c r="H438" s="226"/>
      <c r="O438" s="227"/>
    </row>
    <row r="439" spans="1:15" ht="13">
      <c r="A439" s="225"/>
      <c r="B439" s="132"/>
      <c r="H439" s="226"/>
      <c r="O439" s="227"/>
    </row>
    <row r="440" spans="1:15" ht="13">
      <c r="A440" s="225"/>
      <c r="B440" s="132"/>
      <c r="H440" s="226"/>
      <c r="O440" s="227"/>
    </row>
    <row r="441" spans="1:15" ht="13">
      <c r="A441" s="225"/>
      <c r="B441" s="132"/>
      <c r="H441" s="226"/>
      <c r="O441" s="227"/>
    </row>
    <row r="442" spans="1:15" ht="13">
      <c r="A442" s="225"/>
      <c r="B442" s="132"/>
      <c r="H442" s="226"/>
      <c r="O442" s="227"/>
    </row>
    <row r="443" spans="1:15" ht="13">
      <c r="A443" s="225"/>
      <c r="B443" s="132"/>
      <c r="H443" s="226"/>
      <c r="O443" s="227"/>
    </row>
    <row r="444" spans="1:15" ht="13">
      <c r="A444" s="225"/>
      <c r="B444" s="132"/>
      <c r="H444" s="226"/>
      <c r="O444" s="227"/>
    </row>
    <row r="445" spans="1:15" ht="13">
      <c r="A445" s="225"/>
      <c r="B445" s="132"/>
      <c r="H445" s="226"/>
      <c r="O445" s="227"/>
    </row>
    <row r="446" spans="1:15" ht="13">
      <c r="A446" s="225"/>
      <c r="B446" s="132"/>
      <c r="H446" s="226"/>
      <c r="O446" s="227"/>
    </row>
    <row r="447" spans="1:15" ht="13">
      <c r="A447" s="225"/>
      <c r="B447" s="132"/>
      <c r="H447" s="226"/>
      <c r="O447" s="227"/>
    </row>
    <row r="448" spans="1:15" ht="13">
      <c r="A448" s="225"/>
      <c r="B448" s="132"/>
      <c r="H448" s="226"/>
      <c r="O448" s="227"/>
    </row>
    <row r="449" spans="1:15" ht="13">
      <c r="A449" s="225"/>
      <c r="B449" s="132"/>
      <c r="H449" s="226"/>
      <c r="O449" s="227"/>
    </row>
    <row r="450" spans="1:15" ht="13">
      <c r="A450" s="225"/>
      <c r="B450" s="132"/>
      <c r="H450" s="226"/>
      <c r="O450" s="227"/>
    </row>
    <row r="451" spans="1:15" ht="13">
      <c r="A451" s="225"/>
      <c r="B451" s="132"/>
      <c r="H451" s="226"/>
      <c r="O451" s="227"/>
    </row>
    <row r="452" spans="1:15" ht="13">
      <c r="A452" s="225"/>
      <c r="B452" s="132"/>
      <c r="H452" s="226"/>
      <c r="O452" s="227"/>
    </row>
    <row r="453" spans="1:15" ht="13">
      <c r="A453" s="225"/>
      <c r="B453" s="132"/>
      <c r="H453" s="226"/>
      <c r="O453" s="227"/>
    </row>
    <row r="454" spans="1:15" ht="13">
      <c r="A454" s="225"/>
      <c r="B454" s="132"/>
      <c r="H454" s="226"/>
      <c r="O454" s="227"/>
    </row>
    <row r="455" spans="1:15" ht="13">
      <c r="A455" s="225"/>
      <c r="B455" s="132"/>
      <c r="H455" s="226"/>
      <c r="O455" s="227"/>
    </row>
    <row r="456" spans="1:15" ht="13">
      <c r="A456" s="225"/>
      <c r="B456" s="132"/>
      <c r="H456" s="226"/>
      <c r="O456" s="227"/>
    </row>
    <row r="457" spans="1:15" ht="13">
      <c r="A457" s="225"/>
      <c r="B457" s="132"/>
      <c r="H457" s="226"/>
      <c r="O457" s="227"/>
    </row>
    <row r="458" spans="1:15" ht="13">
      <c r="A458" s="225"/>
      <c r="B458" s="132"/>
      <c r="H458" s="226"/>
      <c r="O458" s="227"/>
    </row>
    <row r="459" spans="1:15" ht="13">
      <c r="A459" s="225"/>
      <c r="B459" s="132"/>
      <c r="H459" s="226"/>
      <c r="O459" s="227"/>
    </row>
    <row r="460" spans="1:15" ht="13">
      <c r="A460" s="225"/>
      <c r="B460" s="132"/>
      <c r="H460" s="226"/>
      <c r="O460" s="227"/>
    </row>
    <row r="461" spans="1:15" ht="13">
      <c r="A461" s="225"/>
      <c r="B461" s="132"/>
      <c r="H461" s="226"/>
      <c r="O461" s="227"/>
    </row>
    <row r="462" spans="1:15" ht="13">
      <c r="A462" s="225"/>
      <c r="B462" s="132"/>
      <c r="H462" s="226"/>
      <c r="O462" s="227"/>
    </row>
    <row r="463" spans="1:15" ht="13">
      <c r="A463" s="225"/>
      <c r="B463" s="132"/>
      <c r="H463" s="226"/>
      <c r="O463" s="227"/>
    </row>
    <row r="464" spans="1:15" ht="13">
      <c r="A464" s="225"/>
      <c r="B464" s="132"/>
      <c r="H464" s="226"/>
      <c r="O464" s="227"/>
    </row>
    <row r="465" spans="1:15" ht="13">
      <c r="A465" s="225"/>
      <c r="B465" s="132"/>
      <c r="H465" s="226"/>
      <c r="O465" s="227"/>
    </row>
    <row r="466" spans="1:15" ht="13">
      <c r="A466" s="225"/>
      <c r="B466" s="132"/>
      <c r="H466" s="226"/>
      <c r="O466" s="227"/>
    </row>
    <row r="467" spans="1:15" ht="13">
      <c r="A467" s="225"/>
      <c r="B467" s="132"/>
      <c r="H467" s="226"/>
      <c r="O467" s="227"/>
    </row>
    <row r="468" spans="1:15" ht="13">
      <c r="A468" s="225"/>
      <c r="B468" s="132"/>
      <c r="H468" s="226"/>
      <c r="O468" s="227"/>
    </row>
    <row r="469" spans="1:15" ht="13">
      <c r="A469" s="225"/>
      <c r="B469" s="132"/>
      <c r="H469" s="226"/>
      <c r="O469" s="227"/>
    </row>
    <row r="470" spans="1:15" ht="13">
      <c r="A470" s="225"/>
      <c r="B470" s="132"/>
      <c r="H470" s="226"/>
      <c r="O470" s="227"/>
    </row>
    <row r="471" spans="1:15" ht="13">
      <c r="A471" s="225"/>
      <c r="B471" s="132"/>
      <c r="H471" s="226"/>
      <c r="O471" s="227"/>
    </row>
    <row r="472" spans="1:15" ht="13">
      <c r="A472" s="225"/>
      <c r="B472" s="132"/>
      <c r="H472" s="226"/>
      <c r="O472" s="227"/>
    </row>
    <row r="473" spans="1:15" ht="13">
      <c r="A473" s="225"/>
      <c r="B473" s="132"/>
      <c r="H473" s="226"/>
      <c r="O473" s="227"/>
    </row>
    <row r="474" spans="1:15" ht="13">
      <c r="A474" s="225"/>
      <c r="B474" s="132"/>
      <c r="H474" s="226"/>
      <c r="O474" s="227"/>
    </row>
    <row r="475" spans="1:15" ht="13">
      <c r="A475" s="225"/>
      <c r="B475" s="132"/>
      <c r="H475" s="226"/>
      <c r="O475" s="227"/>
    </row>
    <row r="476" spans="1:15" ht="13">
      <c r="A476" s="225"/>
      <c r="B476" s="132"/>
      <c r="H476" s="226"/>
      <c r="O476" s="227"/>
    </row>
    <row r="477" spans="1:15" ht="13">
      <c r="A477" s="225"/>
      <c r="B477" s="132"/>
      <c r="H477" s="226"/>
      <c r="O477" s="227"/>
    </row>
    <row r="478" spans="1:15" ht="13">
      <c r="A478" s="225"/>
      <c r="B478" s="132"/>
      <c r="H478" s="226"/>
      <c r="O478" s="227"/>
    </row>
    <row r="479" spans="1:15" ht="13">
      <c r="A479" s="225"/>
      <c r="B479" s="132"/>
      <c r="H479" s="226"/>
      <c r="O479" s="227"/>
    </row>
    <row r="480" spans="1:15" ht="13">
      <c r="A480" s="225"/>
      <c r="B480" s="132"/>
      <c r="H480" s="226"/>
      <c r="O480" s="227"/>
    </row>
    <row r="481" spans="1:15" ht="13">
      <c r="A481" s="225"/>
      <c r="B481" s="132"/>
      <c r="H481" s="226"/>
      <c r="O481" s="227"/>
    </row>
    <row r="482" spans="1:15" ht="13">
      <c r="A482" s="225"/>
      <c r="B482" s="132"/>
      <c r="H482" s="226"/>
      <c r="O482" s="227"/>
    </row>
    <row r="483" spans="1:15" ht="13">
      <c r="A483" s="225"/>
      <c r="B483" s="132"/>
      <c r="H483" s="226"/>
      <c r="O483" s="227"/>
    </row>
    <row r="484" spans="1:15" ht="13">
      <c r="A484" s="225"/>
      <c r="B484" s="132"/>
      <c r="H484" s="226"/>
      <c r="O484" s="227"/>
    </row>
    <row r="485" spans="1:15" ht="13">
      <c r="A485" s="225"/>
      <c r="B485" s="132"/>
      <c r="H485" s="226"/>
      <c r="O485" s="227"/>
    </row>
    <row r="486" spans="1:15" ht="13">
      <c r="A486" s="225"/>
      <c r="B486" s="132"/>
      <c r="H486" s="226"/>
      <c r="O486" s="227"/>
    </row>
    <row r="487" spans="1:15" ht="13">
      <c r="A487" s="225"/>
      <c r="B487" s="132"/>
      <c r="H487" s="226"/>
      <c r="O487" s="227"/>
    </row>
    <row r="488" spans="1:15" ht="13">
      <c r="A488" s="225"/>
      <c r="B488" s="132"/>
      <c r="H488" s="226"/>
      <c r="O488" s="227"/>
    </row>
    <row r="489" spans="1:15" ht="13">
      <c r="A489" s="225"/>
      <c r="B489" s="132"/>
      <c r="H489" s="226"/>
      <c r="O489" s="227"/>
    </row>
    <row r="490" spans="1:15" ht="13">
      <c r="A490" s="225"/>
      <c r="B490" s="132"/>
      <c r="H490" s="226"/>
      <c r="O490" s="227"/>
    </row>
    <row r="491" spans="1:15" ht="13">
      <c r="A491" s="225"/>
      <c r="B491" s="132"/>
      <c r="H491" s="226"/>
      <c r="O491" s="227"/>
    </row>
    <row r="492" spans="1:15" ht="13">
      <c r="A492" s="225"/>
      <c r="B492" s="132"/>
      <c r="H492" s="226"/>
      <c r="O492" s="227"/>
    </row>
    <row r="493" spans="1:15" ht="13">
      <c r="A493" s="225"/>
      <c r="B493" s="132"/>
      <c r="H493" s="226"/>
      <c r="O493" s="227"/>
    </row>
    <row r="494" spans="1:15" ht="13">
      <c r="A494" s="225"/>
      <c r="B494" s="132"/>
      <c r="H494" s="226"/>
      <c r="O494" s="227"/>
    </row>
    <row r="495" spans="1:15" ht="13">
      <c r="A495" s="225"/>
      <c r="B495" s="132"/>
      <c r="H495" s="226"/>
      <c r="O495" s="227"/>
    </row>
    <row r="496" spans="1:15" ht="13">
      <c r="A496" s="225"/>
      <c r="B496" s="132"/>
      <c r="H496" s="226"/>
      <c r="O496" s="227"/>
    </row>
    <row r="497" spans="1:15" ht="13">
      <c r="A497" s="225"/>
      <c r="B497" s="132"/>
      <c r="H497" s="226"/>
      <c r="O497" s="227"/>
    </row>
    <row r="498" spans="1:15" ht="13">
      <c r="A498" s="225"/>
      <c r="B498" s="132"/>
      <c r="H498" s="226"/>
      <c r="O498" s="227"/>
    </row>
    <row r="499" spans="1:15" ht="13">
      <c r="A499" s="225"/>
      <c r="B499" s="132"/>
      <c r="H499" s="226"/>
      <c r="O499" s="227"/>
    </row>
    <row r="500" spans="1:15" ht="13">
      <c r="A500" s="225"/>
      <c r="B500" s="132"/>
      <c r="H500" s="226"/>
      <c r="O500" s="227"/>
    </row>
    <row r="501" spans="1:15" ht="13">
      <c r="A501" s="225"/>
      <c r="B501" s="132"/>
      <c r="H501" s="226"/>
      <c r="O501" s="227"/>
    </row>
    <row r="502" spans="1:15" ht="13">
      <c r="A502" s="225"/>
      <c r="B502" s="132"/>
      <c r="H502" s="226"/>
      <c r="O502" s="227"/>
    </row>
    <row r="503" spans="1:15" ht="13">
      <c r="A503" s="225"/>
      <c r="B503" s="132"/>
      <c r="H503" s="226"/>
      <c r="O503" s="227"/>
    </row>
    <row r="504" spans="1:15" ht="13">
      <c r="A504" s="225"/>
      <c r="B504" s="132"/>
      <c r="H504" s="226"/>
      <c r="O504" s="227"/>
    </row>
    <row r="505" spans="1:15" ht="13">
      <c r="A505" s="225"/>
      <c r="B505" s="132"/>
      <c r="H505" s="226"/>
      <c r="O505" s="227"/>
    </row>
    <row r="506" spans="1:15" ht="13">
      <c r="A506" s="225"/>
      <c r="B506" s="132"/>
      <c r="H506" s="226"/>
      <c r="O506" s="227"/>
    </row>
    <row r="507" spans="1:15" ht="13">
      <c r="A507" s="225"/>
      <c r="B507" s="132"/>
      <c r="H507" s="226"/>
      <c r="O507" s="227"/>
    </row>
    <row r="508" spans="1:15" ht="13">
      <c r="A508" s="225"/>
      <c r="B508" s="132"/>
      <c r="H508" s="226"/>
      <c r="O508" s="227"/>
    </row>
    <row r="509" spans="1:15" ht="13">
      <c r="A509" s="225"/>
      <c r="B509" s="132"/>
      <c r="H509" s="226"/>
      <c r="O509" s="227"/>
    </row>
    <row r="510" spans="1:15" ht="13">
      <c r="A510" s="225"/>
      <c r="B510" s="132"/>
      <c r="H510" s="226"/>
      <c r="O510" s="227"/>
    </row>
    <row r="511" spans="1:15" ht="13">
      <c r="A511" s="225"/>
      <c r="B511" s="132"/>
      <c r="H511" s="226"/>
      <c r="O511" s="227"/>
    </row>
    <row r="512" spans="1:15" ht="13">
      <c r="A512" s="225"/>
      <c r="B512" s="132"/>
      <c r="H512" s="226"/>
      <c r="O512" s="227"/>
    </row>
    <row r="513" spans="1:15" ht="13">
      <c r="A513" s="225"/>
      <c r="B513" s="132"/>
      <c r="H513" s="226"/>
      <c r="O513" s="227"/>
    </row>
    <row r="514" spans="1:15" ht="13">
      <c r="A514" s="225"/>
      <c r="B514" s="132"/>
      <c r="H514" s="226"/>
      <c r="O514" s="227"/>
    </row>
    <row r="515" spans="1:15" ht="13">
      <c r="A515" s="225"/>
      <c r="B515" s="132"/>
      <c r="H515" s="226"/>
      <c r="O515" s="227"/>
    </row>
    <row r="516" spans="1:15" ht="13">
      <c r="A516" s="225"/>
      <c r="B516" s="132"/>
      <c r="H516" s="226"/>
      <c r="O516" s="227"/>
    </row>
    <row r="517" spans="1:15" ht="13">
      <c r="A517" s="225"/>
      <c r="B517" s="132"/>
      <c r="H517" s="226"/>
      <c r="O517" s="227"/>
    </row>
    <row r="518" spans="1:15" ht="13">
      <c r="A518" s="225"/>
      <c r="B518" s="132"/>
      <c r="H518" s="226"/>
      <c r="O518" s="227"/>
    </row>
    <row r="519" spans="1:15" ht="13">
      <c r="A519" s="225"/>
      <c r="B519" s="132"/>
      <c r="H519" s="226"/>
      <c r="O519" s="227"/>
    </row>
    <row r="520" spans="1:15" ht="13">
      <c r="A520" s="225"/>
      <c r="B520" s="132"/>
      <c r="H520" s="226"/>
      <c r="O520" s="227"/>
    </row>
    <row r="521" spans="1:15" ht="13">
      <c r="A521" s="225"/>
      <c r="B521" s="132"/>
      <c r="H521" s="226"/>
      <c r="O521" s="227"/>
    </row>
    <row r="522" spans="1:15" ht="13">
      <c r="A522" s="225"/>
      <c r="B522" s="132"/>
      <c r="H522" s="226"/>
      <c r="O522" s="227"/>
    </row>
    <row r="523" spans="1:15" ht="13">
      <c r="A523" s="225"/>
      <c r="B523" s="132"/>
      <c r="H523" s="226"/>
      <c r="O523" s="227"/>
    </row>
    <row r="524" spans="1:15" ht="13">
      <c r="A524" s="225"/>
      <c r="B524" s="132"/>
      <c r="H524" s="226"/>
      <c r="O524" s="227"/>
    </row>
    <row r="525" spans="1:15" ht="13">
      <c r="A525" s="225"/>
      <c r="B525" s="132"/>
      <c r="H525" s="226"/>
      <c r="O525" s="227"/>
    </row>
    <row r="526" spans="1:15" ht="13">
      <c r="A526" s="225"/>
      <c r="B526" s="132"/>
      <c r="H526" s="226"/>
      <c r="O526" s="227"/>
    </row>
    <row r="527" spans="1:15" ht="13">
      <c r="A527" s="225"/>
      <c r="B527" s="132"/>
      <c r="H527" s="226"/>
      <c r="O527" s="227"/>
    </row>
    <row r="528" spans="1:15" ht="13">
      <c r="A528" s="225"/>
      <c r="B528" s="132"/>
      <c r="H528" s="226"/>
      <c r="O528" s="227"/>
    </row>
    <row r="529" spans="1:15" ht="13">
      <c r="A529" s="225"/>
      <c r="B529" s="132"/>
      <c r="H529" s="226"/>
      <c r="O529" s="227"/>
    </row>
    <row r="530" spans="1:15" ht="13">
      <c r="A530" s="225"/>
      <c r="B530" s="132"/>
      <c r="H530" s="226"/>
      <c r="O530" s="227"/>
    </row>
    <row r="531" spans="1:15" ht="13">
      <c r="A531" s="225"/>
      <c r="B531" s="132"/>
      <c r="H531" s="226"/>
      <c r="O531" s="227"/>
    </row>
    <row r="532" spans="1:15" ht="13">
      <c r="A532" s="225"/>
      <c r="B532" s="132"/>
      <c r="H532" s="226"/>
      <c r="O532" s="227"/>
    </row>
    <row r="533" spans="1:15" ht="13">
      <c r="A533" s="225"/>
      <c r="B533" s="132"/>
      <c r="H533" s="226"/>
      <c r="O533" s="227"/>
    </row>
    <row r="534" spans="1:15" ht="13">
      <c r="A534" s="225"/>
      <c r="B534" s="132"/>
      <c r="H534" s="226"/>
      <c r="O534" s="227"/>
    </row>
    <row r="535" spans="1:15" ht="13">
      <c r="A535" s="225"/>
      <c r="B535" s="132"/>
      <c r="H535" s="226"/>
      <c r="O535" s="227"/>
    </row>
    <row r="536" spans="1:15" ht="13">
      <c r="A536" s="225"/>
      <c r="B536" s="132"/>
      <c r="H536" s="226"/>
      <c r="O536" s="227"/>
    </row>
    <row r="537" spans="1:15" ht="13">
      <c r="A537" s="225"/>
      <c r="B537" s="132"/>
      <c r="H537" s="226"/>
      <c r="O537" s="227"/>
    </row>
    <row r="538" spans="1:15" ht="13">
      <c r="A538" s="225"/>
      <c r="B538" s="132"/>
      <c r="H538" s="226"/>
      <c r="O538" s="227"/>
    </row>
    <row r="539" spans="1:15" ht="13">
      <c r="A539" s="225"/>
      <c r="B539" s="132"/>
      <c r="H539" s="226"/>
      <c r="O539" s="227"/>
    </row>
    <row r="540" spans="1:15" ht="13">
      <c r="A540" s="225"/>
      <c r="B540" s="132"/>
      <c r="H540" s="226"/>
      <c r="O540" s="227"/>
    </row>
    <row r="541" spans="1:15" ht="13">
      <c r="A541" s="225"/>
      <c r="B541" s="132"/>
      <c r="H541" s="226"/>
      <c r="O541" s="227"/>
    </row>
    <row r="542" spans="1:15" ht="13">
      <c r="A542" s="225"/>
      <c r="B542" s="132"/>
      <c r="H542" s="226"/>
      <c r="O542" s="227"/>
    </row>
    <row r="543" spans="1:15" ht="13">
      <c r="A543" s="225"/>
      <c r="B543" s="132"/>
      <c r="H543" s="226"/>
      <c r="O543" s="227"/>
    </row>
    <row r="544" spans="1:15" ht="13">
      <c r="A544" s="225"/>
      <c r="B544" s="132"/>
      <c r="H544" s="226"/>
      <c r="O544" s="227"/>
    </row>
    <row r="545" spans="1:15" ht="13">
      <c r="A545" s="225"/>
      <c r="B545" s="132"/>
      <c r="H545" s="226"/>
      <c r="O545" s="227"/>
    </row>
    <row r="546" spans="1:15" ht="13">
      <c r="A546" s="225"/>
      <c r="B546" s="132"/>
      <c r="H546" s="226"/>
      <c r="O546" s="227"/>
    </row>
    <row r="547" spans="1:15" ht="13">
      <c r="A547" s="225"/>
      <c r="B547" s="132"/>
      <c r="H547" s="226"/>
      <c r="O547" s="227"/>
    </row>
    <row r="548" spans="1:15" ht="13">
      <c r="A548" s="225"/>
      <c r="B548" s="132"/>
      <c r="H548" s="226"/>
      <c r="O548" s="227"/>
    </row>
    <row r="549" spans="1:15" ht="13">
      <c r="A549" s="225"/>
      <c r="B549" s="132"/>
      <c r="H549" s="226"/>
      <c r="O549" s="227"/>
    </row>
    <row r="550" spans="1:15" ht="13">
      <c r="A550" s="225"/>
      <c r="B550" s="132"/>
      <c r="H550" s="226"/>
      <c r="O550" s="227"/>
    </row>
    <row r="551" spans="1:15" ht="13">
      <c r="A551" s="225"/>
      <c r="B551" s="132"/>
      <c r="H551" s="226"/>
      <c r="O551" s="227"/>
    </row>
    <row r="552" spans="1:15" ht="13">
      <c r="A552" s="225"/>
      <c r="B552" s="132"/>
      <c r="H552" s="226"/>
      <c r="O552" s="227"/>
    </row>
    <row r="553" spans="1:15" ht="13">
      <c r="A553" s="225"/>
      <c r="B553" s="132"/>
      <c r="H553" s="226"/>
      <c r="O553" s="227"/>
    </row>
    <row r="554" spans="1:15" ht="13">
      <c r="A554" s="225"/>
      <c r="B554" s="132"/>
      <c r="H554" s="226"/>
      <c r="O554" s="227"/>
    </row>
    <row r="555" spans="1:15" ht="13">
      <c r="A555" s="225"/>
      <c r="B555" s="132"/>
      <c r="H555" s="226"/>
      <c r="O555" s="227"/>
    </row>
    <row r="556" spans="1:15" ht="13">
      <c r="A556" s="225"/>
      <c r="B556" s="132"/>
      <c r="H556" s="226"/>
      <c r="O556" s="227"/>
    </row>
    <row r="557" spans="1:15" ht="13">
      <c r="A557" s="225"/>
      <c r="B557" s="132"/>
      <c r="H557" s="226"/>
      <c r="O557" s="227"/>
    </row>
    <row r="558" spans="1:15" ht="13">
      <c r="A558" s="225"/>
      <c r="B558" s="132"/>
      <c r="H558" s="226"/>
      <c r="O558" s="227"/>
    </row>
    <row r="559" spans="1:15" ht="13">
      <c r="A559" s="225"/>
      <c r="B559" s="132"/>
      <c r="H559" s="226"/>
      <c r="O559" s="227"/>
    </row>
    <row r="560" spans="1:15" ht="13">
      <c r="A560" s="225"/>
      <c r="B560" s="132"/>
      <c r="H560" s="226"/>
      <c r="O560" s="227"/>
    </row>
    <row r="561" spans="1:15" ht="13">
      <c r="A561" s="225"/>
      <c r="B561" s="132"/>
      <c r="H561" s="226"/>
      <c r="O561" s="227"/>
    </row>
    <row r="562" spans="1:15" ht="13">
      <c r="A562" s="225"/>
      <c r="B562" s="132"/>
      <c r="H562" s="226"/>
      <c r="O562" s="227"/>
    </row>
    <row r="563" spans="1:15" ht="13">
      <c r="A563" s="225"/>
      <c r="B563" s="132"/>
      <c r="H563" s="226"/>
      <c r="O563" s="227"/>
    </row>
    <row r="564" spans="1:15" ht="13">
      <c r="A564" s="225"/>
      <c r="B564" s="132"/>
      <c r="H564" s="226"/>
      <c r="O564" s="227"/>
    </row>
    <row r="565" spans="1:15" ht="13">
      <c r="A565" s="225"/>
      <c r="B565" s="132"/>
      <c r="H565" s="226"/>
      <c r="O565" s="227"/>
    </row>
    <row r="566" spans="1:15" ht="13">
      <c r="A566" s="225"/>
      <c r="B566" s="132"/>
      <c r="H566" s="226"/>
      <c r="O566" s="227"/>
    </row>
    <row r="567" spans="1:15" ht="13">
      <c r="A567" s="225"/>
      <c r="B567" s="132"/>
      <c r="H567" s="226"/>
      <c r="O567" s="227"/>
    </row>
    <row r="568" spans="1:15" ht="13">
      <c r="A568" s="225"/>
      <c r="B568" s="132"/>
      <c r="H568" s="226"/>
      <c r="O568" s="227"/>
    </row>
    <row r="569" spans="1:15" ht="13">
      <c r="A569" s="225"/>
      <c r="B569" s="132"/>
      <c r="H569" s="226"/>
      <c r="O569" s="227"/>
    </row>
    <row r="570" spans="1:15" ht="13">
      <c r="A570" s="225"/>
      <c r="B570" s="132"/>
      <c r="H570" s="226"/>
      <c r="O570" s="227"/>
    </row>
    <row r="571" spans="1:15" ht="13">
      <c r="A571" s="225"/>
      <c r="B571" s="132"/>
      <c r="H571" s="226"/>
      <c r="O571" s="227"/>
    </row>
    <row r="572" spans="1:15" ht="13">
      <c r="A572" s="225"/>
      <c r="B572" s="132"/>
      <c r="H572" s="226"/>
      <c r="O572" s="227"/>
    </row>
    <row r="573" spans="1:15" ht="13">
      <c r="A573" s="225"/>
      <c r="B573" s="132"/>
      <c r="H573" s="226"/>
      <c r="O573" s="227"/>
    </row>
    <row r="574" spans="1:15" ht="13">
      <c r="A574" s="225"/>
      <c r="B574" s="132"/>
      <c r="H574" s="226"/>
      <c r="O574" s="227"/>
    </row>
    <row r="575" spans="1:15" ht="13">
      <c r="A575" s="225"/>
      <c r="B575" s="132"/>
      <c r="H575" s="226"/>
      <c r="O575" s="227"/>
    </row>
    <row r="576" spans="1:15" ht="13">
      <c r="A576" s="225"/>
      <c r="B576" s="132"/>
      <c r="H576" s="226"/>
      <c r="O576" s="227"/>
    </row>
    <row r="577" spans="1:15" ht="13">
      <c r="A577" s="225"/>
      <c r="B577" s="132"/>
      <c r="H577" s="226"/>
      <c r="O577" s="227"/>
    </row>
    <row r="578" spans="1:15" ht="13">
      <c r="A578" s="225"/>
      <c r="B578" s="132"/>
      <c r="H578" s="226"/>
      <c r="O578" s="227"/>
    </row>
    <row r="579" spans="1:15" ht="13">
      <c r="A579" s="225"/>
      <c r="B579" s="132"/>
      <c r="H579" s="226"/>
      <c r="O579" s="227"/>
    </row>
    <row r="580" spans="1:15" ht="13">
      <c r="A580" s="225"/>
      <c r="B580" s="132"/>
      <c r="H580" s="226"/>
      <c r="O580" s="227"/>
    </row>
    <row r="581" spans="1:15" ht="13">
      <c r="A581" s="225"/>
      <c r="B581" s="132"/>
      <c r="H581" s="226"/>
      <c r="O581" s="227"/>
    </row>
    <row r="582" spans="1:15" ht="13">
      <c r="A582" s="225"/>
      <c r="B582" s="132"/>
      <c r="H582" s="226"/>
      <c r="O582" s="227"/>
    </row>
    <row r="583" spans="1:15" ht="13">
      <c r="A583" s="225"/>
      <c r="B583" s="132"/>
      <c r="H583" s="226"/>
      <c r="O583" s="227"/>
    </row>
    <row r="584" spans="1:15" ht="13">
      <c r="A584" s="225"/>
      <c r="B584" s="132"/>
      <c r="H584" s="226"/>
      <c r="O584" s="227"/>
    </row>
    <row r="585" spans="1:15" ht="13">
      <c r="A585" s="225"/>
      <c r="B585" s="132"/>
      <c r="H585" s="226"/>
      <c r="O585" s="227"/>
    </row>
    <row r="586" spans="1:15" ht="13">
      <c r="A586" s="225"/>
      <c r="B586" s="132"/>
      <c r="H586" s="226"/>
      <c r="O586" s="227"/>
    </row>
    <row r="587" spans="1:15" ht="13">
      <c r="A587" s="225"/>
      <c r="B587" s="132"/>
      <c r="H587" s="226"/>
      <c r="O587" s="227"/>
    </row>
    <row r="588" spans="1:15" ht="13">
      <c r="A588" s="225"/>
      <c r="B588" s="132"/>
      <c r="H588" s="226"/>
      <c r="O588" s="227"/>
    </row>
    <row r="589" spans="1:15" ht="13">
      <c r="A589" s="225"/>
      <c r="B589" s="132"/>
      <c r="H589" s="226"/>
      <c r="O589" s="227"/>
    </row>
    <row r="590" spans="1:15" ht="13">
      <c r="A590" s="225"/>
      <c r="B590" s="132"/>
      <c r="H590" s="226"/>
      <c r="O590" s="227"/>
    </row>
    <row r="591" spans="1:15" ht="13">
      <c r="A591" s="225"/>
      <c r="B591" s="132"/>
      <c r="H591" s="226"/>
      <c r="O591" s="227"/>
    </row>
    <row r="592" spans="1:15" ht="13">
      <c r="A592" s="225"/>
      <c r="B592" s="132"/>
      <c r="H592" s="226"/>
      <c r="O592" s="227"/>
    </row>
    <row r="593" spans="1:15" ht="13">
      <c r="A593" s="225"/>
      <c r="B593" s="132"/>
      <c r="H593" s="226"/>
      <c r="O593" s="227"/>
    </row>
    <row r="594" spans="1:15" ht="13">
      <c r="A594" s="225"/>
      <c r="B594" s="132"/>
      <c r="H594" s="226"/>
      <c r="O594" s="227"/>
    </row>
    <row r="595" spans="1:15" ht="13">
      <c r="A595" s="225"/>
      <c r="B595" s="132"/>
      <c r="H595" s="226"/>
      <c r="O595" s="227"/>
    </row>
    <row r="596" spans="1:15" ht="13">
      <c r="A596" s="225"/>
      <c r="B596" s="132"/>
      <c r="H596" s="226"/>
      <c r="O596" s="227"/>
    </row>
    <row r="597" spans="1:15" ht="13">
      <c r="A597" s="225"/>
      <c r="B597" s="132"/>
      <c r="H597" s="226"/>
      <c r="O597" s="227"/>
    </row>
    <row r="598" spans="1:15" ht="13">
      <c r="A598" s="225"/>
      <c r="B598" s="132"/>
      <c r="H598" s="226"/>
      <c r="O598" s="227"/>
    </row>
    <row r="599" spans="1:15" ht="13">
      <c r="A599" s="225"/>
      <c r="B599" s="132"/>
      <c r="H599" s="226"/>
      <c r="O599" s="227"/>
    </row>
    <row r="600" spans="1:15" ht="13">
      <c r="A600" s="225"/>
      <c r="B600" s="132"/>
      <c r="H600" s="226"/>
      <c r="O600" s="227"/>
    </row>
    <row r="601" spans="1:15" ht="13">
      <c r="A601" s="225"/>
      <c r="B601" s="132"/>
      <c r="H601" s="226"/>
      <c r="O601" s="227"/>
    </row>
    <row r="602" spans="1:15" ht="13">
      <c r="A602" s="225"/>
      <c r="B602" s="132"/>
      <c r="H602" s="226"/>
      <c r="O602" s="227"/>
    </row>
    <row r="603" spans="1:15" ht="13">
      <c r="A603" s="225"/>
      <c r="B603" s="132"/>
      <c r="H603" s="226"/>
      <c r="O603" s="227"/>
    </row>
    <row r="604" spans="1:15" ht="13">
      <c r="A604" s="225"/>
      <c r="B604" s="132"/>
      <c r="H604" s="226"/>
      <c r="O604" s="227"/>
    </row>
    <row r="605" spans="1:15" ht="13">
      <c r="A605" s="225"/>
      <c r="B605" s="132"/>
      <c r="H605" s="226"/>
      <c r="O605" s="227"/>
    </row>
    <row r="606" spans="1:15" ht="13">
      <c r="A606" s="225"/>
      <c r="B606" s="132"/>
      <c r="H606" s="226"/>
      <c r="O606" s="227"/>
    </row>
    <row r="607" spans="1:15" ht="13">
      <c r="A607" s="225"/>
      <c r="B607" s="132"/>
      <c r="H607" s="226"/>
      <c r="O607" s="227"/>
    </row>
    <row r="608" spans="1:15" ht="13">
      <c r="A608" s="225"/>
      <c r="B608" s="132"/>
      <c r="H608" s="226"/>
      <c r="O608" s="227"/>
    </row>
    <row r="609" spans="1:15" ht="13">
      <c r="A609" s="225"/>
      <c r="B609" s="132"/>
      <c r="H609" s="226"/>
      <c r="O609" s="227"/>
    </row>
    <row r="610" spans="1:15" ht="13">
      <c r="A610" s="225"/>
      <c r="B610" s="132"/>
      <c r="H610" s="226"/>
      <c r="O610" s="227"/>
    </row>
    <row r="611" spans="1:15" ht="13">
      <c r="A611" s="225"/>
      <c r="B611" s="132"/>
      <c r="H611" s="226"/>
      <c r="O611" s="227"/>
    </row>
    <row r="612" spans="1:15" ht="13">
      <c r="A612" s="225"/>
      <c r="B612" s="132"/>
      <c r="H612" s="226"/>
      <c r="O612" s="227"/>
    </row>
    <row r="613" spans="1:15" ht="13">
      <c r="A613" s="225"/>
      <c r="B613" s="132"/>
      <c r="H613" s="226"/>
      <c r="O613" s="227"/>
    </row>
    <row r="614" spans="1:15" ht="13">
      <c r="A614" s="225"/>
      <c r="B614" s="132"/>
      <c r="H614" s="226"/>
      <c r="O614" s="227"/>
    </row>
    <row r="615" spans="1:15" ht="13">
      <c r="A615" s="225"/>
      <c r="B615" s="132"/>
      <c r="H615" s="226"/>
      <c r="O615" s="227"/>
    </row>
    <row r="616" spans="1:15" ht="13">
      <c r="A616" s="225"/>
      <c r="B616" s="132"/>
      <c r="H616" s="226"/>
      <c r="O616" s="227"/>
    </row>
    <row r="617" spans="1:15" ht="13">
      <c r="A617" s="225"/>
      <c r="B617" s="132"/>
      <c r="H617" s="226"/>
      <c r="O617" s="227"/>
    </row>
    <row r="618" spans="1:15" ht="13">
      <c r="A618" s="225"/>
      <c r="B618" s="132"/>
      <c r="H618" s="226"/>
      <c r="O618" s="227"/>
    </row>
    <row r="619" spans="1:15" ht="13">
      <c r="A619" s="225"/>
      <c r="B619" s="132"/>
      <c r="H619" s="226"/>
      <c r="O619" s="227"/>
    </row>
    <row r="620" spans="1:15" ht="13">
      <c r="A620" s="225"/>
      <c r="B620" s="132"/>
      <c r="H620" s="226"/>
      <c r="O620" s="227"/>
    </row>
    <row r="621" spans="1:15" ht="13">
      <c r="A621" s="225"/>
      <c r="B621" s="132"/>
      <c r="H621" s="226"/>
      <c r="O621" s="227"/>
    </row>
    <row r="622" spans="1:15" ht="13">
      <c r="A622" s="225"/>
      <c r="B622" s="132"/>
      <c r="H622" s="226"/>
      <c r="O622" s="227"/>
    </row>
    <row r="623" spans="1:15" ht="13">
      <c r="A623" s="225"/>
      <c r="B623" s="132"/>
      <c r="H623" s="226"/>
      <c r="O623" s="227"/>
    </row>
    <row r="624" spans="1:15" ht="13">
      <c r="A624" s="225"/>
      <c r="B624" s="132"/>
      <c r="H624" s="226"/>
      <c r="O624" s="227"/>
    </row>
    <row r="625" spans="1:15" ht="13">
      <c r="A625" s="225"/>
      <c r="B625" s="132"/>
      <c r="H625" s="226"/>
      <c r="O625" s="227"/>
    </row>
    <row r="626" spans="1:15" ht="13">
      <c r="A626" s="225"/>
      <c r="B626" s="132"/>
      <c r="H626" s="226"/>
      <c r="O626" s="227"/>
    </row>
    <row r="627" spans="1:15" ht="13">
      <c r="A627" s="225"/>
      <c r="B627" s="132"/>
      <c r="H627" s="226"/>
      <c r="O627" s="227"/>
    </row>
    <row r="628" spans="1:15" ht="13">
      <c r="A628" s="225"/>
      <c r="B628" s="132"/>
      <c r="H628" s="226"/>
      <c r="O628" s="227"/>
    </row>
    <row r="629" spans="1:15" ht="13">
      <c r="A629" s="225"/>
      <c r="B629" s="132"/>
      <c r="H629" s="226"/>
      <c r="O629" s="227"/>
    </row>
    <row r="630" spans="1:15" ht="13">
      <c r="A630" s="225"/>
      <c r="B630" s="132"/>
      <c r="H630" s="226"/>
      <c r="O630" s="227"/>
    </row>
    <row r="631" spans="1:15" ht="13">
      <c r="A631" s="225"/>
      <c r="B631" s="132"/>
      <c r="H631" s="226"/>
      <c r="O631" s="227"/>
    </row>
    <row r="632" spans="1:15" ht="13">
      <c r="A632" s="225"/>
      <c r="B632" s="132"/>
      <c r="H632" s="226"/>
      <c r="O632" s="227"/>
    </row>
    <row r="633" spans="1:15" ht="13">
      <c r="A633" s="225"/>
      <c r="B633" s="132"/>
      <c r="H633" s="226"/>
      <c r="O633" s="227"/>
    </row>
    <row r="634" spans="1:15" ht="13">
      <c r="A634" s="225"/>
      <c r="B634" s="132"/>
      <c r="H634" s="226"/>
      <c r="O634" s="227"/>
    </row>
    <row r="635" spans="1:15" ht="13">
      <c r="A635" s="225"/>
      <c r="B635" s="132"/>
      <c r="H635" s="226"/>
      <c r="O635" s="227"/>
    </row>
    <row r="636" spans="1:15" ht="13">
      <c r="A636" s="225"/>
      <c r="B636" s="132"/>
      <c r="H636" s="226"/>
      <c r="O636" s="227"/>
    </row>
    <row r="637" spans="1:15" ht="13">
      <c r="A637" s="225"/>
      <c r="B637" s="132"/>
      <c r="H637" s="226"/>
      <c r="O637" s="227"/>
    </row>
    <row r="638" spans="1:15" ht="13">
      <c r="A638" s="225"/>
      <c r="B638" s="132"/>
      <c r="H638" s="226"/>
      <c r="O638" s="227"/>
    </row>
    <row r="639" spans="1:15" ht="13">
      <c r="A639" s="225"/>
      <c r="B639" s="132"/>
      <c r="H639" s="226"/>
      <c r="O639" s="227"/>
    </row>
    <row r="640" spans="1:15" ht="13">
      <c r="A640" s="225"/>
      <c r="B640" s="132"/>
      <c r="H640" s="226"/>
      <c r="O640" s="227"/>
    </row>
    <row r="641" spans="1:15" ht="13">
      <c r="A641" s="225"/>
      <c r="B641" s="132"/>
      <c r="H641" s="226"/>
      <c r="O641" s="227"/>
    </row>
    <row r="642" spans="1:15" ht="13">
      <c r="A642" s="225"/>
      <c r="B642" s="132"/>
      <c r="H642" s="226"/>
      <c r="O642" s="227"/>
    </row>
    <row r="643" spans="1:15" ht="13">
      <c r="A643" s="225"/>
      <c r="B643" s="132"/>
      <c r="H643" s="226"/>
      <c r="O643" s="227"/>
    </row>
    <row r="644" spans="1:15" ht="13">
      <c r="A644" s="225"/>
      <c r="B644" s="132"/>
      <c r="H644" s="226"/>
      <c r="O644" s="227"/>
    </row>
    <row r="645" spans="1:15" ht="13">
      <c r="A645" s="225"/>
      <c r="B645" s="132"/>
      <c r="H645" s="226"/>
      <c r="O645" s="227"/>
    </row>
    <row r="646" spans="1:15" ht="13">
      <c r="A646" s="225"/>
      <c r="B646" s="132"/>
      <c r="H646" s="226"/>
      <c r="O646" s="227"/>
    </row>
    <row r="647" spans="1:15" ht="13">
      <c r="A647" s="225"/>
      <c r="B647" s="132"/>
      <c r="H647" s="226"/>
      <c r="O647" s="227"/>
    </row>
    <row r="648" spans="1:15" ht="13">
      <c r="A648" s="225"/>
      <c r="B648" s="132"/>
      <c r="H648" s="226"/>
      <c r="O648" s="227"/>
    </row>
    <row r="649" spans="1:15" ht="13">
      <c r="A649" s="225"/>
      <c r="B649" s="132"/>
      <c r="H649" s="226"/>
      <c r="O649" s="227"/>
    </row>
    <row r="650" spans="1:15" ht="13">
      <c r="A650" s="225"/>
      <c r="B650" s="132"/>
      <c r="H650" s="226"/>
      <c r="O650" s="227"/>
    </row>
    <row r="651" spans="1:15" ht="13">
      <c r="A651" s="225"/>
      <c r="B651" s="132"/>
      <c r="H651" s="226"/>
      <c r="O651" s="227"/>
    </row>
    <row r="652" spans="1:15" ht="13">
      <c r="A652" s="225"/>
      <c r="B652" s="132"/>
      <c r="H652" s="226"/>
      <c r="O652" s="227"/>
    </row>
    <row r="653" spans="1:15" ht="13">
      <c r="A653" s="225"/>
      <c r="B653" s="132"/>
      <c r="H653" s="226"/>
      <c r="O653" s="227"/>
    </row>
    <row r="654" spans="1:15" ht="13">
      <c r="A654" s="225"/>
      <c r="B654" s="132"/>
      <c r="H654" s="226"/>
      <c r="O654" s="227"/>
    </row>
    <row r="655" spans="1:15" ht="13">
      <c r="A655" s="225"/>
      <c r="B655" s="132"/>
      <c r="H655" s="226"/>
      <c r="O655" s="227"/>
    </row>
    <row r="656" spans="1:15" ht="13">
      <c r="A656" s="225"/>
      <c r="B656" s="132"/>
      <c r="H656" s="226"/>
      <c r="O656" s="227"/>
    </row>
    <row r="657" spans="1:15" ht="13">
      <c r="A657" s="225"/>
      <c r="B657" s="132"/>
      <c r="H657" s="226"/>
      <c r="O657" s="227"/>
    </row>
    <row r="658" spans="1:15" ht="13">
      <c r="A658" s="225"/>
      <c r="B658" s="132"/>
      <c r="H658" s="226"/>
      <c r="O658" s="227"/>
    </row>
    <row r="659" spans="1:15" ht="13">
      <c r="A659" s="225"/>
      <c r="B659" s="132"/>
      <c r="H659" s="226"/>
      <c r="O659" s="227"/>
    </row>
    <row r="660" spans="1:15" ht="13">
      <c r="A660" s="225"/>
      <c r="B660" s="132"/>
      <c r="H660" s="226"/>
      <c r="O660" s="227"/>
    </row>
    <row r="661" spans="1:15" ht="13">
      <c r="A661" s="225"/>
      <c r="B661" s="132"/>
      <c r="H661" s="226"/>
      <c r="O661" s="227"/>
    </row>
    <row r="662" spans="1:15" ht="13">
      <c r="A662" s="225"/>
      <c r="B662" s="132"/>
      <c r="H662" s="226"/>
      <c r="O662" s="227"/>
    </row>
    <row r="663" spans="1:15" ht="13">
      <c r="A663" s="225"/>
      <c r="B663" s="132"/>
      <c r="H663" s="226"/>
      <c r="O663" s="227"/>
    </row>
    <row r="664" spans="1:15" ht="13">
      <c r="A664" s="225"/>
      <c r="B664" s="132"/>
      <c r="H664" s="226"/>
      <c r="O664" s="227"/>
    </row>
    <row r="665" spans="1:15" ht="13">
      <c r="A665" s="225"/>
      <c r="B665" s="132"/>
      <c r="H665" s="226"/>
      <c r="O665" s="227"/>
    </row>
    <row r="666" spans="1:15" ht="13">
      <c r="A666" s="225"/>
      <c r="B666" s="132"/>
      <c r="H666" s="226"/>
      <c r="O666" s="227"/>
    </row>
    <row r="667" spans="1:15" ht="13">
      <c r="A667" s="225"/>
      <c r="B667" s="132"/>
      <c r="H667" s="226"/>
      <c r="O667" s="227"/>
    </row>
    <row r="668" spans="1:15" ht="13">
      <c r="A668" s="225"/>
      <c r="B668" s="132"/>
      <c r="H668" s="226"/>
      <c r="O668" s="227"/>
    </row>
    <row r="669" spans="1:15" ht="13">
      <c r="A669" s="225"/>
      <c r="B669" s="132"/>
      <c r="H669" s="226"/>
      <c r="O669" s="227"/>
    </row>
    <row r="670" spans="1:15" ht="13">
      <c r="A670" s="225"/>
      <c r="B670" s="132"/>
      <c r="H670" s="226"/>
      <c r="O670" s="227"/>
    </row>
    <row r="671" spans="1:15" ht="13">
      <c r="A671" s="225"/>
      <c r="B671" s="132"/>
      <c r="H671" s="226"/>
      <c r="O671" s="227"/>
    </row>
    <row r="672" spans="1:15" ht="13">
      <c r="A672" s="225"/>
      <c r="B672" s="132"/>
      <c r="H672" s="226"/>
      <c r="O672" s="227"/>
    </row>
    <row r="673" spans="1:15" ht="13">
      <c r="A673" s="225"/>
      <c r="B673" s="132"/>
      <c r="H673" s="226"/>
      <c r="O673" s="227"/>
    </row>
    <row r="674" spans="1:15" ht="13">
      <c r="A674" s="225"/>
      <c r="B674" s="132"/>
      <c r="H674" s="226"/>
      <c r="O674" s="227"/>
    </row>
    <row r="675" spans="1:15" ht="13">
      <c r="A675" s="225"/>
      <c r="B675" s="132"/>
      <c r="H675" s="226"/>
      <c r="O675" s="227"/>
    </row>
    <row r="676" spans="1:15" ht="13">
      <c r="A676" s="225"/>
      <c r="B676" s="132"/>
      <c r="H676" s="226"/>
      <c r="O676" s="227"/>
    </row>
    <row r="677" spans="1:15" ht="13">
      <c r="A677" s="225"/>
      <c r="B677" s="132"/>
      <c r="H677" s="226"/>
      <c r="O677" s="227"/>
    </row>
    <row r="678" spans="1:15" ht="13">
      <c r="A678" s="225"/>
      <c r="B678" s="132"/>
      <c r="H678" s="226"/>
      <c r="O678" s="227"/>
    </row>
    <row r="679" spans="1:15" ht="13">
      <c r="A679" s="225"/>
      <c r="B679" s="132"/>
      <c r="H679" s="226"/>
      <c r="O679" s="227"/>
    </row>
    <row r="680" spans="1:15" ht="13">
      <c r="A680" s="225"/>
      <c r="B680" s="132"/>
      <c r="H680" s="226"/>
      <c r="O680" s="227"/>
    </row>
    <row r="681" spans="1:15" ht="13">
      <c r="A681" s="225"/>
      <c r="B681" s="132"/>
      <c r="H681" s="226"/>
      <c r="O681" s="227"/>
    </row>
    <row r="682" spans="1:15" ht="13">
      <c r="A682" s="225"/>
      <c r="B682" s="132"/>
      <c r="H682" s="226"/>
      <c r="O682" s="227"/>
    </row>
    <row r="683" spans="1:15" ht="13">
      <c r="A683" s="225"/>
      <c r="B683" s="132"/>
      <c r="H683" s="226"/>
      <c r="O683" s="227"/>
    </row>
    <row r="684" spans="1:15" ht="13">
      <c r="A684" s="225"/>
      <c r="B684" s="132"/>
      <c r="H684" s="226"/>
      <c r="O684" s="227"/>
    </row>
    <row r="685" spans="1:15" ht="13">
      <c r="A685" s="225"/>
      <c r="B685" s="132"/>
      <c r="H685" s="226"/>
      <c r="O685" s="227"/>
    </row>
    <row r="686" spans="1:15" ht="13">
      <c r="A686" s="225"/>
      <c r="B686" s="132"/>
      <c r="H686" s="226"/>
      <c r="O686" s="227"/>
    </row>
    <row r="687" spans="1:15" ht="13">
      <c r="A687" s="225"/>
      <c r="B687" s="132"/>
      <c r="H687" s="226"/>
      <c r="O687" s="227"/>
    </row>
    <row r="688" spans="1:15" ht="13">
      <c r="A688" s="225"/>
      <c r="B688" s="132"/>
      <c r="H688" s="226"/>
      <c r="O688" s="227"/>
    </row>
    <row r="689" spans="1:15" ht="13">
      <c r="A689" s="225"/>
      <c r="B689" s="132"/>
      <c r="H689" s="226"/>
      <c r="O689" s="227"/>
    </row>
    <row r="690" spans="1:15" ht="13">
      <c r="A690" s="225"/>
      <c r="B690" s="132"/>
      <c r="H690" s="226"/>
      <c r="O690" s="227"/>
    </row>
    <row r="691" spans="1:15" ht="13">
      <c r="A691" s="225"/>
      <c r="B691" s="132"/>
      <c r="H691" s="226"/>
      <c r="O691" s="227"/>
    </row>
    <row r="692" spans="1:15" ht="13">
      <c r="A692" s="225"/>
      <c r="B692" s="132"/>
      <c r="H692" s="226"/>
      <c r="O692" s="227"/>
    </row>
    <row r="693" spans="1:15" ht="13">
      <c r="A693" s="225"/>
      <c r="B693" s="132"/>
      <c r="H693" s="226"/>
      <c r="O693" s="227"/>
    </row>
    <row r="694" spans="1:15" ht="13">
      <c r="A694" s="225"/>
      <c r="B694" s="132"/>
      <c r="H694" s="226"/>
      <c r="O694" s="227"/>
    </row>
    <row r="695" spans="1:15" ht="13">
      <c r="A695" s="225"/>
      <c r="B695" s="132"/>
      <c r="H695" s="226"/>
      <c r="O695" s="227"/>
    </row>
    <row r="696" spans="1:15" ht="13">
      <c r="A696" s="225"/>
      <c r="B696" s="132"/>
      <c r="H696" s="226"/>
      <c r="O696" s="227"/>
    </row>
    <row r="697" spans="1:15" ht="13">
      <c r="A697" s="225"/>
      <c r="B697" s="132"/>
      <c r="H697" s="226"/>
      <c r="O697" s="227"/>
    </row>
    <row r="698" spans="1:15" ht="13">
      <c r="A698" s="225"/>
      <c r="B698" s="132"/>
      <c r="H698" s="226"/>
      <c r="O698" s="227"/>
    </row>
    <row r="699" spans="1:15" ht="13">
      <c r="A699" s="225"/>
      <c r="B699" s="132"/>
      <c r="H699" s="226"/>
      <c r="O699" s="227"/>
    </row>
    <row r="700" spans="1:15" ht="13">
      <c r="A700" s="225"/>
      <c r="B700" s="132"/>
      <c r="H700" s="226"/>
      <c r="O700" s="227"/>
    </row>
    <row r="701" spans="1:15" ht="13">
      <c r="A701" s="225"/>
      <c r="B701" s="132"/>
      <c r="H701" s="226"/>
      <c r="O701" s="227"/>
    </row>
    <row r="702" spans="1:15" ht="13">
      <c r="A702" s="225"/>
      <c r="B702" s="132"/>
      <c r="H702" s="226"/>
      <c r="O702" s="227"/>
    </row>
    <row r="703" spans="1:15" ht="13">
      <c r="A703" s="225"/>
      <c r="B703" s="132"/>
      <c r="H703" s="226"/>
      <c r="O703" s="227"/>
    </row>
    <row r="704" spans="1:15" ht="13">
      <c r="A704" s="225"/>
      <c r="B704" s="132"/>
      <c r="H704" s="226"/>
      <c r="O704" s="227"/>
    </row>
    <row r="705" spans="1:15" ht="13">
      <c r="A705" s="225"/>
      <c r="B705" s="132"/>
      <c r="H705" s="226"/>
      <c r="O705" s="227"/>
    </row>
    <row r="706" spans="1:15" ht="13">
      <c r="A706" s="225"/>
      <c r="B706" s="132"/>
      <c r="H706" s="226"/>
      <c r="O706" s="227"/>
    </row>
    <row r="707" spans="1:15" ht="13">
      <c r="A707" s="225"/>
      <c r="B707" s="132"/>
      <c r="H707" s="226"/>
      <c r="O707" s="227"/>
    </row>
    <row r="708" spans="1:15" ht="13">
      <c r="A708" s="225"/>
      <c r="B708" s="132"/>
      <c r="H708" s="226"/>
      <c r="O708" s="227"/>
    </row>
    <row r="709" spans="1:15" ht="13">
      <c r="A709" s="225"/>
      <c r="B709" s="132"/>
      <c r="H709" s="226"/>
      <c r="O709" s="227"/>
    </row>
    <row r="710" spans="1:15" ht="13">
      <c r="A710" s="225"/>
      <c r="B710" s="132"/>
      <c r="H710" s="226"/>
      <c r="O710" s="227"/>
    </row>
    <row r="711" spans="1:15" ht="13">
      <c r="A711" s="225"/>
      <c r="B711" s="132"/>
      <c r="H711" s="226"/>
      <c r="O711" s="227"/>
    </row>
    <row r="712" spans="1:15" ht="13">
      <c r="A712" s="225"/>
      <c r="B712" s="132"/>
      <c r="H712" s="226"/>
      <c r="O712" s="227"/>
    </row>
    <row r="713" spans="1:15" ht="13">
      <c r="A713" s="225"/>
      <c r="B713" s="132"/>
      <c r="H713" s="226"/>
      <c r="O713" s="227"/>
    </row>
    <row r="714" spans="1:15" ht="13">
      <c r="A714" s="225"/>
      <c r="B714" s="132"/>
      <c r="H714" s="226"/>
      <c r="O714" s="227"/>
    </row>
    <row r="715" spans="1:15" ht="13">
      <c r="A715" s="225"/>
      <c r="B715" s="132"/>
      <c r="H715" s="226"/>
      <c r="O715" s="227"/>
    </row>
    <row r="716" spans="1:15" ht="13">
      <c r="A716" s="225"/>
      <c r="B716" s="132"/>
      <c r="H716" s="226"/>
      <c r="O716" s="227"/>
    </row>
    <row r="717" spans="1:15" ht="13">
      <c r="A717" s="225"/>
      <c r="B717" s="132"/>
      <c r="H717" s="226"/>
      <c r="O717" s="227"/>
    </row>
    <row r="718" spans="1:15" ht="13">
      <c r="A718" s="225"/>
      <c r="B718" s="132"/>
      <c r="H718" s="226"/>
      <c r="O718" s="227"/>
    </row>
    <row r="719" spans="1:15" ht="13">
      <c r="A719" s="225"/>
      <c r="B719" s="132"/>
      <c r="H719" s="226"/>
      <c r="O719" s="227"/>
    </row>
    <row r="720" spans="1:15" ht="13">
      <c r="A720" s="225"/>
      <c r="B720" s="132"/>
      <c r="H720" s="226"/>
      <c r="O720" s="227"/>
    </row>
    <row r="721" spans="1:15" ht="13">
      <c r="A721" s="225"/>
      <c r="B721" s="132"/>
      <c r="H721" s="226"/>
      <c r="O721" s="227"/>
    </row>
    <row r="722" spans="1:15" ht="13">
      <c r="A722" s="225"/>
      <c r="B722" s="132"/>
      <c r="H722" s="226"/>
      <c r="O722" s="227"/>
    </row>
    <row r="723" spans="1:15" ht="13">
      <c r="A723" s="225"/>
      <c r="B723" s="132"/>
      <c r="H723" s="226"/>
      <c r="O723" s="227"/>
    </row>
    <row r="724" spans="1:15" ht="13">
      <c r="A724" s="225"/>
      <c r="B724" s="132"/>
      <c r="H724" s="226"/>
      <c r="O724" s="227"/>
    </row>
    <row r="725" spans="1:15" ht="13">
      <c r="A725" s="225"/>
      <c r="B725" s="132"/>
      <c r="H725" s="226"/>
      <c r="O725" s="227"/>
    </row>
    <row r="726" spans="1:15" ht="13">
      <c r="A726" s="225"/>
      <c r="B726" s="132"/>
      <c r="H726" s="226"/>
      <c r="O726" s="227"/>
    </row>
    <row r="727" spans="1:15" ht="13">
      <c r="A727" s="225"/>
      <c r="B727" s="132"/>
      <c r="H727" s="226"/>
      <c r="O727" s="227"/>
    </row>
    <row r="728" spans="1:15" ht="13">
      <c r="A728" s="225"/>
      <c r="B728" s="132"/>
      <c r="H728" s="226"/>
      <c r="O728" s="227"/>
    </row>
    <row r="729" spans="1:15" ht="13">
      <c r="A729" s="225"/>
      <c r="B729" s="132"/>
      <c r="H729" s="226"/>
      <c r="O729" s="227"/>
    </row>
    <row r="730" spans="1:15" ht="13">
      <c r="A730" s="225"/>
      <c r="B730" s="132"/>
      <c r="H730" s="226"/>
      <c r="O730" s="227"/>
    </row>
    <row r="731" spans="1:15" ht="13">
      <c r="A731" s="225"/>
      <c r="B731" s="132"/>
      <c r="H731" s="226"/>
      <c r="O731" s="227"/>
    </row>
    <row r="732" spans="1:15" ht="13">
      <c r="A732" s="225"/>
      <c r="B732" s="132"/>
      <c r="H732" s="226"/>
      <c r="O732" s="227"/>
    </row>
    <row r="733" spans="1:15" ht="13">
      <c r="A733" s="225"/>
      <c r="B733" s="132"/>
      <c r="H733" s="226"/>
      <c r="O733" s="227"/>
    </row>
    <row r="734" spans="1:15" ht="13">
      <c r="A734" s="225"/>
      <c r="B734" s="132"/>
      <c r="H734" s="226"/>
      <c r="O734" s="227"/>
    </row>
    <row r="735" spans="1:15" ht="13">
      <c r="A735" s="225"/>
      <c r="B735" s="132"/>
      <c r="H735" s="226"/>
      <c r="O735" s="227"/>
    </row>
    <row r="736" spans="1:15" ht="13">
      <c r="A736" s="225"/>
      <c r="B736" s="132"/>
      <c r="H736" s="226"/>
      <c r="O736" s="227"/>
    </row>
    <row r="737" spans="1:15" ht="13">
      <c r="A737" s="225"/>
      <c r="B737" s="132"/>
      <c r="H737" s="226"/>
      <c r="O737" s="227"/>
    </row>
    <row r="738" spans="1:15" ht="13">
      <c r="A738" s="225"/>
      <c r="B738" s="132"/>
      <c r="H738" s="226"/>
      <c r="O738" s="227"/>
    </row>
    <row r="739" spans="1:15" ht="13">
      <c r="A739" s="225"/>
      <c r="B739" s="132"/>
      <c r="H739" s="226"/>
      <c r="O739" s="227"/>
    </row>
    <row r="740" spans="1:15" ht="13">
      <c r="A740" s="225"/>
      <c r="B740" s="132"/>
      <c r="H740" s="226"/>
      <c r="O740" s="227"/>
    </row>
    <row r="741" spans="1:15" ht="13">
      <c r="A741" s="225"/>
      <c r="B741" s="132"/>
      <c r="H741" s="226"/>
      <c r="O741" s="227"/>
    </row>
    <row r="742" spans="1:15" ht="13">
      <c r="A742" s="225"/>
      <c r="B742" s="132"/>
      <c r="H742" s="226"/>
      <c r="O742" s="227"/>
    </row>
    <row r="743" spans="1:15" ht="13">
      <c r="A743" s="225"/>
      <c r="B743" s="132"/>
      <c r="H743" s="226"/>
      <c r="O743" s="227"/>
    </row>
    <row r="744" spans="1:15" ht="13">
      <c r="A744" s="225"/>
      <c r="B744" s="132"/>
      <c r="H744" s="226"/>
      <c r="O744" s="227"/>
    </row>
    <row r="745" spans="1:15" ht="13">
      <c r="A745" s="225"/>
      <c r="B745" s="132"/>
      <c r="H745" s="226"/>
      <c r="O745" s="227"/>
    </row>
    <row r="746" spans="1:15" ht="13">
      <c r="A746" s="225"/>
      <c r="B746" s="132"/>
      <c r="H746" s="226"/>
      <c r="O746" s="227"/>
    </row>
    <row r="747" spans="1:15" ht="13">
      <c r="A747" s="225"/>
      <c r="B747" s="132"/>
      <c r="H747" s="226"/>
      <c r="O747" s="227"/>
    </row>
    <row r="748" spans="1:15" ht="13">
      <c r="A748" s="225"/>
      <c r="B748" s="132"/>
      <c r="H748" s="226"/>
      <c r="O748" s="227"/>
    </row>
    <row r="749" spans="1:15" ht="13">
      <c r="A749" s="225"/>
      <c r="B749" s="132"/>
      <c r="H749" s="226"/>
      <c r="O749" s="227"/>
    </row>
    <row r="750" spans="1:15" ht="13">
      <c r="A750" s="225"/>
      <c r="B750" s="132"/>
      <c r="H750" s="226"/>
      <c r="O750" s="227"/>
    </row>
    <row r="751" spans="1:15" ht="13">
      <c r="A751" s="225"/>
      <c r="B751" s="132"/>
      <c r="H751" s="226"/>
      <c r="O751" s="227"/>
    </row>
    <row r="752" spans="1:15" ht="13">
      <c r="A752" s="225"/>
      <c r="B752" s="132"/>
      <c r="H752" s="226"/>
      <c r="O752" s="227"/>
    </row>
    <row r="753" spans="1:15" ht="13">
      <c r="A753" s="225"/>
      <c r="B753" s="132"/>
      <c r="H753" s="226"/>
      <c r="O753" s="227"/>
    </row>
    <row r="754" spans="1:15" ht="13">
      <c r="A754" s="225"/>
      <c r="B754" s="132"/>
      <c r="H754" s="226"/>
      <c r="O754" s="227"/>
    </row>
    <row r="755" spans="1:15" ht="13">
      <c r="A755" s="225"/>
      <c r="B755" s="132"/>
      <c r="H755" s="226"/>
      <c r="O755" s="227"/>
    </row>
    <row r="756" spans="1:15" ht="13">
      <c r="A756" s="225"/>
      <c r="B756" s="132"/>
      <c r="H756" s="226"/>
      <c r="O756" s="227"/>
    </row>
    <row r="757" spans="1:15" ht="13">
      <c r="A757" s="225"/>
      <c r="B757" s="132"/>
      <c r="H757" s="226"/>
      <c r="O757" s="227"/>
    </row>
    <row r="758" spans="1:15" ht="13">
      <c r="A758" s="225"/>
      <c r="B758" s="132"/>
      <c r="H758" s="226"/>
      <c r="O758" s="227"/>
    </row>
    <row r="759" spans="1:15" ht="13">
      <c r="A759" s="225"/>
      <c r="B759" s="132"/>
      <c r="H759" s="226"/>
      <c r="O759" s="227"/>
    </row>
    <row r="760" spans="1:15" ht="13">
      <c r="A760" s="225"/>
      <c r="B760" s="132"/>
      <c r="H760" s="226"/>
      <c r="O760" s="227"/>
    </row>
    <row r="761" spans="1:15" ht="13">
      <c r="A761" s="225"/>
      <c r="B761" s="132"/>
      <c r="H761" s="226"/>
      <c r="O761" s="227"/>
    </row>
    <row r="762" spans="1:15" ht="13">
      <c r="A762" s="225"/>
      <c r="B762" s="132"/>
      <c r="H762" s="226"/>
      <c r="O762" s="227"/>
    </row>
    <row r="763" spans="1:15" ht="13">
      <c r="A763" s="225"/>
      <c r="B763" s="132"/>
      <c r="H763" s="226"/>
      <c r="O763" s="227"/>
    </row>
    <row r="764" spans="1:15" ht="13">
      <c r="A764" s="225"/>
      <c r="B764" s="132"/>
      <c r="H764" s="226"/>
      <c r="O764" s="227"/>
    </row>
    <row r="765" spans="1:15" ht="13">
      <c r="A765" s="225"/>
      <c r="B765" s="132"/>
      <c r="H765" s="226"/>
      <c r="O765" s="227"/>
    </row>
    <row r="766" spans="1:15" ht="13">
      <c r="A766" s="225"/>
      <c r="B766" s="132"/>
      <c r="H766" s="226"/>
      <c r="O766" s="227"/>
    </row>
    <row r="767" spans="1:15" ht="13">
      <c r="A767" s="225"/>
      <c r="B767" s="132"/>
      <c r="H767" s="226"/>
      <c r="O767" s="227"/>
    </row>
    <row r="768" spans="1:15" ht="13">
      <c r="A768" s="225"/>
      <c r="B768" s="132"/>
      <c r="H768" s="226"/>
      <c r="O768" s="227"/>
    </row>
    <row r="769" spans="1:15" ht="13">
      <c r="A769" s="225"/>
      <c r="B769" s="132"/>
      <c r="H769" s="226"/>
      <c r="O769" s="227"/>
    </row>
    <row r="770" spans="1:15" ht="13">
      <c r="A770" s="225"/>
      <c r="B770" s="132"/>
      <c r="H770" s="226"/>
      <c r="O770" s="227"/>
    </row>
    <row r="771" spans="1:15" ht="13">
      <c r="A771" s="225"/>
      <c r="B771" s="132"/>
      <c r="H771" s="226"/>
      <c r="O771" s="227"/>
    </row>
    <row r="772" spans="1:15" ht="13">
      <c r="A772" s="225"/>
      <c r="B772" s="132"/>
      <c r="H772" s="226"/>
      <c r="O772" s="227"/>
    </row>
    <row r="773" spans="1:15" ht="13">
      <c r="A773" s="225"/>
      <c r="B773" s="132"/>
      <c r="H773" s="226"/>
      <c r="O773" s="227"/>
    </row>
    <row r="774" spans="1:15" ht="13">
      <c r="A774" s="225"/>
      <c r="B774" s="132"/>
      <c r="H774" s="226"/>
      <c r="O774" s="227"/>
    </row>
    <row r="775" spans="1:15" ht="13">
      <c r="A775" s="225"/>
      <c r="B775" s="132"/>
      <c r="H775" s="226"/>
      <c r="O775" s="227"/>
    </row>
    <row r="776" spans="1:15" ht="13">
      <c r="A776" s="225"/>
      <c r="B776" s="132"/>
      <c r="H776" s="226"/>
      <c r="O776" s="227"/>
    </row>
    <row r="777" spans="1:15" ht="13">
      <c r="A777" s="225"/>
      <c r="B777" s="132"/>
      <c r="H777" s="226"/>
      <c r="O777" s="227"/>
    </row>
    <row r="778" spans="1:15" ht="13">
      <c r="A778" s="225"/>
      <c r="B778" s="132"/>
      <c r="H778" s="226"/>
      <c r="O778" s="227"/>
    </row>
    <row r="779" spans="1:15" ht="13">
      <c r="A779" s="225"/>
      <c r="B779" s="132"/>
      <c r="H779" s="226"/>
      <c r="O779" s="227"/>
    </row>
    <row r="780" spans="1:15" ht="13">
      <c r="A780" s="225"/>
      <c r="B780" s="132"/>
      <c r="H780" s="226"/>
      <c r="O780" s="227"/>
    </row>
    <row r="781" spans="1:15" ht="13">
      <c r="A781" s="225"/>
      <c r="B781" s="132"/>
      <c r="H781" s="226"/>
      <c r="O781" s="227"/>
    </row>
    <row r="782" spans="1:15" ht="13">
      <c r="A782" s="225"/>
      <c r="B782" s="132"/>
      <c r="H782" s="226"/>
      <c r="O782" s="227"/>
    </row>
    <row r="783" spans="1:15" ht="13">
      <c r="A783" s="225"/>
      <c r="B783" s="132"/>
      <c r="H783" s="226"/>
      <c r="O783" s="227"/>
    </row>
    <row r="784" spans="1:15" ht="13">
      <c r="A784" s="225"/>
      <c r="B784" s="132"/>
      <c r="H784" s="226"/>
      <c r="O784" s="227"/>
    </row>
    <row r="785" spans="1:15" ht="13">
      <c r="A785" s="225"/>
      <c r="B785" s="132"/>
      <c r="H785" s="226"/>
      <c r="O785" s="227"/>
    </row>
    <row r="786" spans="1:15" ht="13">
      <c r="A786" s="225"/>
      <c r="B786" s="132"/>
      <c r="H786" s="226"/>
      <c r="O786" s="227"/>
    </row>
    <row r="787" spans="1:15" ht="13">
      <c r="A787" s="225"/>
      <c r="B787" s="132"/>
      <c r="H787" s="226"/>
      <c r="O787" s="227"/>
    </row>
    <row r="788" spans="1:15" ht="13">
      <c r="A788" s="225"/>
      <c r="B788" s="132"/>
      <c r="H788" s="226"/>
      <c r="O788" s="227"/>
    </row>
    <row r="789" spans="1:15" ht="13">
      <c r="A789" s="225"/>
      <c r="B789" s="132"/>
      <c r="H789" s="226"/>
      <c r="O789" s="227"/>
    </row>
    <row r="790" spans="1:15" ht="13">
      <c r="A790" s="225"/>
      <c r="B790" s="132"/>
      <c r="H790" s="226"/>
      <c r="O790" s="227"/>
    </row>
    <row r="791" spans="1:15" ht="13">
      <c r="A791" s="225"/>
      <c r="B791" s="132"/>
      <c r="H791" s="226"/>
      <c r="O791" s="227"/>
    </row>
    <row r="792" spans="1:15" ht="13">
      <c r="A792" s="225"/>
      <c r="B792" s="132"/>
      <c r="H792" s="226"/>
      <c r="O792" s="227"/>
    </row>
    <row r="793" spans="1:15" ht="13">
      <c r="A793" s="225"/>
      <c r="B793" s="132"/>
      <c r="H793" s="226"/>
      <c r="O793" s="227"/>
    </row>
    <row r="794" spans="1:15" ht="13">
      <c r="A794" s="225"/>
      <c r="B794" s="132"/>
      <c r="H794" s="226"/>
      <c r="O794" s="227"/>
    </row>
    <row r="795" spans="1:15" ht="13">
      <c r="A795" s="225"/>
      <c r="B795" s="132"/>
      <c r="H795" s="226"/>
      <c r="O795" s="227"/>
    </row>
    <row r="796" spans="1:15" ht="13">
      <c r="A796" s="225"/>
      <c r="B796" s="132"/>
      <c r="H796" s="226"/>
      <c r="O796" s="227"/>
    </row>
    <row r="797" spans="1:15" ht="13">
      <c r="A797" s="225"/>
      <c r="B797" s="132"/>
      <c r="H797" s="226"/>
      <c r="O797" s="227"/>
    </row>
    <row r="798" spans="1:15" ht="13">
      <c r="A798" s="225"/>
      <c r="B798" s="132"/>
      <c r="H798" s="226"/>
      <c r="O798" s="227"/>
    </row>
    <row r="799" spans="1:15" ht="13">
      <c r="A799" s="225"/>
      <c r="B799" s="132"/>
      <c r="H799" s="226"/>
      <c r="O799" s="227"/>
    </row>
    <row r="800" spans="1:15" ht="13">
      <c r="A800" s="225"/>
      <c r="B800" s="132"/>
      <c r="H800" s="226"/>
      <c r="O800" s="227"/>
    </row>
    <row r="801" spans="1:15" ht="13">
      <c r="A801" s="225"/>
      <c r="B801" s="132"/>
      <c r="H801" s="226"/>
      <c r="O801" s="227"/>
    </row>
    <row r="802" spans="1:15" ht="13">
      <c r="A802" s="225"/>
      <c r="B802" s="132"/>
      <c r="H802" s="226"/>
      <c r="O802" s="227"/>
    </row>
    <row r="803" spans="1:15" ht="13">
      <c r="A803" s="225"/>
      <c r="B803" s="132"/>
      <c r="H803" s="226"/>
      <c r="O803" s="227"/>
    </row>
    <row r="804" spans="1:15" ht="13">
      <c r="A804" s="225"/>
      <c r="B804" s="132"/>
      <c r="H804" s="226"/>
      <c r="O804" s="227"/>
    </row>
    <row r="805" spans="1:15" ht="13">
      <c r="A805" s="225"/>
      <c r="B805" s="132"/>
      <c r="H805" s="226"/>
      <c r="O805" s="227"/>
    </row>
    <row r="806" spans="1:15" ht="13">
      <c r="A806" s="225"/>
      <c r="B806" s="132"/>
      <c r="H806" s="226"/>
      <c r="O806" s="227"/>
    </row>
    <row r="807" spans="1:15" ht="13">
      <c r="A807" s="225"/>
      <c r="B807" s="132"/>
      <c r="H807" s="226"/>
      <c r="O807" s="227"/>
    </row>
    <row r="808" spans="1:15" ht="13">
      <c r="A808" s="225"/>
      <c r="B808" s="132"/>
      <c r="H808" s="226"/>
      <c r="O808" s="227"/>
    </row>
    <row r="809" spans="1:15" ht="13">
      <c r="A809" s="225"/>
      <c r="B809" s="132"/>
      <c r="H809" s="226"/>
      <c r="O809" s="227"/>
    </row>
    <row r="810" spans="1:15" ht="13">
      <c r="A810" s="225"/>
      <c r="B810" s="132"/>
      <c r="H810" s="226"/>
      <c r="O810" s="227"/>
    </row>
    <row r="811" spans="1:15" ht="13">
      <c r="A811" s="225"/>
      <c r="B811" s="132"/>
      <c r="H811" s="226"/>
      <c r="O811" s="227"/>
    </row>
    <row r="812" spans="1:15" ht="13">
      <c r="A812" s="225"/>
      <c r="B812" s="132"/>
      <c r="H812" s="226"/>
      <c r="O812" s="227"/>
    </row>
    <row r="813" spans="1:15" ht="13">
      <c r="A813" s="225"/>
      <c r="B813" s="132"/>
      <c r="H813" s="226"/>
      <c r="O813" s="227"/>
    </row>
    <row r="814" spans="1:15" ht="13">
      <c r="A814" s="225"/>
      <c r="B814" s="132"/>
      <c r="H814" s="226"/>
      <c r="O814" s="227"/>
    </row>
    <row r="815" spans="1:15" ht="13">
      <c r="A815" s="225"/>
      <c r="B815" s="132"/>
      <c r="H815" s="226"/>
      <c r="O815" s="227"/>
    </row>
    <row r="816" spans="1:15" ht="13">
      <c r="A816" s="225"/>
      <c r="B816" s="132"/>
      <c r="H816" s="226"/>
      <c r="O816" s="227"/>
    </row>
    <row r="817" spans="1:15" ht="13">
      <c r="A817" s="225"/>
      <c r="B817" s="132"/>
      <c r="H817" s="226"/>
      <c r="O817" s="227"/>
    </row>
    <row r="818" spans="1:15" ht="13">
      <c r="A818" s="225"/>
      <c r="B818" s="132"/>
      <c r="H818" s="226"/>
      <c r="O818" s="227"/>
    </row>
    <row r="819" spans="1:15" ht="13">
      <c r="A819" s="225"/>
      <c r="B819" s="132"/>
      <c r="H819" s="226"/>
      <c r="O819" s="227"/>
    </row>
    <row r="820" spans="1:15" ht="13">
      <c r="A820" s="225"/>
      <c r="B820" s="132"/>
      <c r="H820" s="226"/>
      <c r="O820" s="227"/>
    </row>
    <row r="821" spans="1:15" ht="13">
      <c r="A821" s="225"/>
      <c r="B821" s="132"/>
      <c r="H821" s="226"/>
      <c r="O821" s="227"/>
    </row>
    <row r="822" spans="1:15" ht="13">
      <c r="A822" s="225"/>
      <c r="B822" s="132"/>
      <c r="H822" s="226"/>
      <c r="O822" s="227"/>
    </row>
    <row r="823" spans="1:15" ht="13">
      <c r="A823" s="225"/>
      <c r="B823" s="132"/>
      <c r="H823" s="226"/>
      <c r="O823" s="227"/>
    </row>
    <row r="824" spans="1:15" ht="13">
      <c r="A824" s="225"/>
      <c r="B824" s="132"/>
      <c r="H824" s="226"/>
      <c r="O824" s="227"/>
    </row>
    <row r="825" spans="1:15" ht="13">
      <c r="A825" s="225"/>
      <c r="B825" s="132"/>
      <c r="H825" s="226"/>
      <c r="O825" s="227"/>
    </row>
    <row r="826" spans="1:15" ht="13">
      <c r="A826" s="225"/>
      <c r="B826" s="132"/>
      <c r="H826" s="226"/>
      <c r="O826" s="227"/>
    </row>
    <row r="827" spans="1:15" ht="13">
      <c r="A827" s="225"/>
      <c r="B827" s="132"/>
      <c r="H827" s="226"/>
      <c r="O827" s="227"/>
    </row>
    <row r="828" spans="1:15" ht="13">
      <c r="A828" s="225"/>
      <c r="B828" s="132"/>
      <c r="H828" s="226"/>
      <c r="O828" s="227"/>
    </row>
    <row r="829" spans="1:15" ht="13">
      <c r="A829" s="225"/>
      <c r="B829" s="132"/>
      <c r="H829" s="226"/>
      <c r="O829" s="227"/>
    </row>
    <row r="830" spans="1:15" ht="13">
      <c r="A830" s="225"/>
      <c r="B830" s="132"/>
      <c r="H830" s="226"/>
      <c r="O830" s="227"/>
    </row>
    <row r="831" spans="1:15" ht="13">
      <c r="A831" s="225"/>
      <c r="B831" s="132"/>
      <c r="H831" s="226"/>
      <c r="O831" s="227"/>
    </row>
    <row r="832" spans="1:15" ht="13">
      <c r="A832" s="225"/>
      <c r="B832" s="132"/>
      <c r="H832" s="226"/>
      <c r="O832" s="227"/>
    </row>
    <row r="833" spans="1:15" ht="13">
      <c r="A833" s="225"/>
      <c r="B833" s="132"/>
      <c r="H833" s="226"/>
      <c r="O833" s="227"/>
    </row>
    <row r="834" spans="1:15" ht="13">
      <c r="A834" s="225"/>
      <c r="B834" s="132"/>
      <c r="H834" s="226"/>
      <c r="O834" s="227"/>
    </row>
    <row r="835" spans="1:15" ht="13">
      <c r="A835" s="225"/>
      <c r="B835" s="132"/>
      <c r="H835" s="226"/>
      <c r="O835" s="227"/>
    </row>
    <row r="836" spans="1:15" ht="13">
      <c r="A836" s="225"/>
      <c r="B836" s="132"/>
      <c r="H836" s="226"/>
      <c r="O836" s="227"/>
    </row>
    <row r="837" spans="1:15" ht="13">
      <c r="A837" s="225"/>
      <c r="B837" s="132"/>
      <c r="H837" s="226"/>
      <c r="O837" s="227"/>
    </row>
    <row r="838" spans="1:15" ht="13">
      <c r="A838" s="225"/>
      <c r="B838" s="132"/>
      <c r="H838" s="226"/>
      <c r="O838" s="227"/>
    </row>
    <row r="839" spans="1:15" ht="13">
      <c r="A839" s="225"/>
      <c r="B839" s="132"/>
      <c r="H839" s="226"/>
      <c r="O839" s="227"/>
    </row>
    <row r="840" spans="1:15" ht="13">
      <c r="A840" s="225"/>
      <c r="B840" s="132"/>
      <c r="H840" s="226"/>
      <c r="O840" s="227"/>
    </row>
    <row r="841" spans="1:15" ht="13">
      <c r="A841" s="225"/>
      <c r="B841" s="132"/>
      <c r="H841" s="226"/>
      <c r="O841" s="227"/>
    </row>
    <row r="842" spans="1:15" ht="13">
      <c r="A842" s="225"/>
      <c r="B842" s="132"/>
      <c r="H842" s="226"/>
      <c r="O842" s="227"/>
    </row>
    <row r="843" spans="1:15" ht="13">
      <c r="A843" s="225"/>
      <c r="B843" s="132"/>
      <c r="H843" s="226"/>
      <c r="O843" s="227"/>
    </row>
    <row r="844" spans="1:15" ht="13">
      <c r="A844" s="225"/>
      <c r="B844" s="132"/>
      <c r="H844" s="226"/>
      <c r="O844" s="227"/>
    </row>
    <row r="845" spans="1:15" ht="13">
      <c r="A845" s="225"/>
      <c r="B845" s="132"/>
      <c r="H845" s="226"/>
      <c r="O845" s="227"/>
    </row>
    <row r="846" spans="1:15" ht="13">
      <c r="A846" s="225"/>
      <c r="B846" s="132"/>
      <c r="H846" s="226"/>
      <c r="O846" s="227"/>
    </row>
    <row r="847" spans="1:15" ht="13">
      <c r="A847" s="225"/>
      <c r="B847" s="132"/>
      <c r="H847" s="226"/>
      <c r="O847" s="227"/>
    </row>
    <row r="848" spans="1:15" ht="13">
      <c r="A848" s="225"/>
      <c r="B848" s="132"/>
      <c r="H848" s="226"/>
      <c r="O848" s="227"/>
    </row>
    <row r="849" spans="1:15" ht="13">
      <c r="A849" s="225"/>
      <c r="B849" s="132"/>
      <c r="H849" s="226"/>
      <c r="O849" s="227"/>
    </row>
    <row r="850" spans="1:15" ht="13">
      <c r="A850" s="225"/>
      <c r="B850" s="132"/>
      <c r="H850" s="226"/>
      <c r="O850" s="227"/>
    </row>
    <row r="851" spans="1:15" ht="13">
      <c r="A851" s="225"/>
      <c r="B851" s="132"/>
      <c r="H851" s="226"/>
      <c r="O851" s="227"/>
    </row>
    <row r="852" spans="1:15" ht="13">
      <c r="A852" s="225"/>
      <c r="B852" s="132"/>
      <c r="H852" s="226"/>
      <c r="O852" s="227"/>
    </row>
    <row r="853" spans="1:15" ht="13">
      <c r="A853" s="225"/>
      <c r="B853" s="132"/>
      <c r="H853" s="226"/>
      <c r="O853" s="227"/>
    </row>
    <row r="854" spans="1:15" ht="13">
      <c r="A854" s="225"/>
      <c r="B854" s="132"/>
      <c r="H854" s="226"/>
      <c r="O854" s="227"/>
    </row>
    <row r="855" spans="1:15" ht="13">
      <c r="A855" s="225"/>
      <c r="B855" s="132"/>
      <c r="H855" s="226"/>
      <c r="O855" s="227"/>
    </row>
    <row r="856" spans="1:15" ht="13">
      <c r="A856" s="225"/>
      <c r="B856" s="132"/>
      <c r="H856" s="226"/>
      <c r="O856" s="227"/>
    </row>
    <row r="857" spans="1:15" ht="13">
      <c r="A857" s="225"/>
      <c r="B857" s="132"/>
      <c r="H857" s="226"/>
      <c r="O857" s="227"/>
    </row>
    <row r="858" spans="1:15" ht="13">
      <c r="A858" s="225"/>
      <c r="B858" s="132"/>
      <c r="H858" s="226"/>
      <c r="O858" s="227"/>
    </row>
    <row r="859" spans="1:15" ht="13">
      <c r="A859" s="225"/>
      <c r="B859" s="132"/>
      <c r="H859" s="226"/>
      <c r="O859" s="227"/>
    </row>
    <row r="860" spans="1:15" ht="13">
      <c r="A860" s="225"/>
      <c r="B860" s="132"/>
      <c r="H860" s="226"/>
      <c r="O860" s="227"/>
    </row>
    <row r="861" spans="1:15" ht="13">
      <c r="A861" s="225"/>
      <c r="B861" s="132"/>
      <c r="H861" s="226"/>
      <c r="O861" s="227"/>
    </row>
    <row r="862" spans="1:15" ht="13">
      <c r="A862" s="225"/>
      <c r="B862" s="132"/>
      <c r="H862" s="226"/>
      <c r="O862" s="227"/>
    </row>
    <row r="863" spans="1:15" ht="13">
      <c r="A863" s="225"/>
      <c r="B863" s="132"/>
      <c r="H863" s="226"/>
      <c r="O863" s="227"/>
    </row>
    <row r="864" spans="1:15" ht="13">
      <c r="A864" s="225"/>
      <c r="B864" s="132"/>
      <c r="H864" s="226"/>
      <c r="O864" s="227"/>
    </row>
    <row r="865" spans="1:15" ht="13">
      <c r="A865" s="225"/>
      <c r="B865" s="132"/>
      <c r="H865" s="226"/>
      <c r="O865" s="227"/>
    </row>
    <row r="866" spans="1:15" ht="13">
      <c r="A866" s="225"/>
      <c r="B866" s="132"/>
      <c r="H866" s="226"/>
      <c r="O866" s="227"/>
    </row>
    <row r="867" spans="1:15" ht="13">
      <c r="A867" s="225"/>
      <c r="B867" s="132"/>
      <c r="H867" s="226"/>
      <c r="O867" s="227"/>
    </row>
    <row r="868" spans="1:15" ht="13">
      <c r="A868" s="225"/>
      <c r="B868" s="132"/>
      <c r="H868" s="226"/>
      <c r="O868" s="227"/>
    </row>
    <row r="869" spans="1:15" ht="13">
      <c r="A869" s="225"/>
      <c r="B869" s="132"/>
      <c r="H869" s="226"/>
      <c r="O869" s="227"/>
    </row>
    <row r="870" spans="1:15" ht="13">
      <c r="A870" s="225"/>
      <c r="B870" s="132"/>
      <c r="H870" s="226"/>
      <c r="O870" s="227"/>
    </row>
    <row r="871" spans="1:15" ht="13">
      <c r="A871" s="225"/>
      <c r="B871" s="132"/>
      <c r="H871" s="226"/>
      <c r="O871" s="227"/>
    </row>
    <row r="872" spans="1:15" ht="13">
      <c r="A872" s="225"/>
      <c r="B872" s="132"/>
      <c r="H872" s="226"/>
      <c r="O872" s="227"/>
    </row>
    <row r="873" spans="1:15" ht="13">
      <c r="A873" s="225"/>
      <c r="B873" s="132"/>
      <c r="H873" s="226"/>
      <c r="O873" s="227"/>
    </row>
    <row r="874" spans="1:15" ht="13">
      <c r="A874" s="225"/>
      <c r="B874" s="132"/>
      <c r="H874" s="226"/>
      <c r="O874" s="227"/>
    </row>
    <row r="875" spans="1:15" ht="13">
      <c r="A875" s="225"/>
      <c r="B875" s="132"/>
      <c r="H875" s="226"/>
      <c r="O875" s="227"/>
    </row>
    <row r="876" spans="1:15" ht="13">
      <c r="A876" s="225"/>
      <c r="B876" s="132"/>
      <c r="H876" s="226"/>
      <c r="O876" s="227"/>
    </row>
    <row r="877" spans="1:15" ht="13">
      <c r="A877" s="225"/>
      <c r="B877" s="132"/>
      <c r="H877" s="226"/>
      <c r="O877" s="227"/>
    </row>
    <row r="878" spans="1:15" ht="13">
      <c r="A878" s="225"/>
      <c r="B878" s="132"/>
      <c r="H878" s="226"/>
      <c r="O878" s="227"/>
    </row>
    <row r="879" spans="1:15" ht="13">
      <c r="A879" s="225"/>
      <c r="B879" s="132"/>
      <c r="H879" s="226"/>
      <c r="O879" s="227"/>
    </row>
    <row r="880" spans="1:15" ht="13">
      <c r="A880" s="225"/>
      <c r="B880" s="132"/>
      <c r="H880" s="226"/>
      <c r="O880" s="227"/>
    </row>
    <row r="881" spans="1:15" ht="13">
      <c r="A881" s="225"/>
      <c r="B881" s="132"/>
      <c r="H881" s="226"/>
      <c r="O881" s="227"/>
    </row>
    <row r="882" spans="1:15" ht="13">
      <c r="A882" s="225"/>
      <c r="B882" s="132"/>
      <c r="H882" s="226"/>
      <c r="O882" s="227"/>
    </row>
    <row r="883" spans="1:15" ht="13">
      <c r="A883" s="225"/>
      <c r="B883" s="132"/>
      <c r="H883" s="226"/>
      <c r="O883" s="227"/>
    </row>
    <row r="884" spans="1:15" ht="13">
      <c r="A884" s="225"/>
      <c r="B884" s="132"/>
      <c r="H884" s="226"/>
      <c r="O884" s="227"/>
    </row>
    <row r="885" spans="1:15" ht="13">
      <c r="A885" s="225"/>
      <c r="B885" s="132"/>
      <c r="H885" s="226"/>
      <c r="O885" s="227"/>
    </row>
    <row r="886" spans="1:15" ht="13">
      <c r="A886" s="225"/>
      <c r="B886" s="132"/>
      <c r="H886" s="226"/>
      <c r="O886" s="227"/>
    </row>
    <row r="887" spans="1:15" ht="13">
      <c r="A887" s="225"/>
      <c r="B887" s="132"/>
      <c r="H887" s="226"/>
      <c r="O887" s="227"/>
    </row>
    <row r="888" spans="1:15" ht="13">
      <c r="A888" s="225"/>
      <c r="B888" s="132"/>
      <c r="H888" s="226"/>
      <c r="O888" s="227"/>
    </row>
    <row r="889" spans="1:15" ht="13">
      <c r="A889" s="225"/>
      <c r="B889" s="132"/>
      <c r="H889" s="226"/>
      <c r="O889" s="227"/>
    </row>
    <row r="890" spans="1:15" ht="13">
      <c r="A890" s="225"/>
      <c r="B890" s="132"/>
      <c r="H890" s="226"/>
      <c r="O890" s="227"/>
    </row>
    <row r="891" spans="1:15" ht="13">
      <c r="A891" s="225"/>
      <c r="B891" s="132"/>
      <c r="H891" s="226"/>
      <c r="O891" s="227"/>
    </row>
    <row r="892" spans="1:15" ht="13">
      <c r="A892" s="225"/>
      <c r="B892" s="132"/>
      <c r="H892" s="226"/>
      <c r="O892" s="227"/>
    </row>
    <row r="893" spans="1:15" ht="13">
      <c r="A893" s="225"/>
      <c r="B893" s="132"/>
      <c r="H893" s="226"/>
      <c r="O893" s="227"/>
    </row>
    <row r="894" spans="1:15" ht="13">
      <c r="A894" s="225"/>
      <c r="B894" s="132"/>
      <c r="H894" s="226"/>
      <c r="O894" s="227"/>
    </row>
    <row r="895" spans="1:15" ht="13">
      <c r="A895" s="225"/>
      <c r="B895" s="132"/>
      <c r="H895" s="226"/>
      <c r="O895" s="227"/>
    </row>
    <row r="896" spans="1:15" ht="13">
      <c r="A896" s="225"/>
      <c r="B896" s="132"/>
      <c r="H896" s="226"/>
      <c r="O896" s="227"/>
    </row>
    <row r="897" spans="1:15" ht="13">
      <c r="A897" s="225"/>
      <c r="B897" s="132"/>
      <c r="H897" s="226"/>
      <c r="O897" s="227"/>
    </row>
    <row r="898" spans="1:15" ht="13">
      <c r="A898" s="225"/>
      <c r="B898" s="132"/>
      <c r="H898" s="226"/>
      <c r="O898" s="227"/>
    </row>
    <row r="899" spans="1:15" ht="13">
      <c r="A899" s="225"/>
      <c r="B899" s="132"/>
      <c r="H899" s="226"/>
      <c r="O899" s="227"/>
    </row>
    <row r="900" spans="1:15" ht="13">
      <c r="A900" s="225"/>
      <c r="B900" s="132"/>
      <c r="H900" s="226"/>
      <c r="O900" s="227"/>
    </row>
    <row r="901" spans="1:15" ht="13">
      <c r="A901" s="225"/>
      <c r="B901" s="132"/>
      <c r="H901" s="226"/>
      <c r="O901" s="227"/>
    </row>
    <row r="902" spans="1:15" ht="13">
      <c r="A902" s="225"/>
      <c r="B902" s="132"/>
      <c r="H902" s="226"/>
      <c r="O902" s="227"/>
    </row>
    <row r="903" spans="1:15" ht="13">
      <c r="A903" s="225"/>
      <c r="B903" s="132"/>
      <c r="H903" s="226"/>
      <c r="O903" s="227"/>
    </row>
    <row r="904" spans="1:15" ht="13">
      <c r="A904" s="225"/>
      <c r="B904" s="132"/>
      <c r="H904" s="226"/>
      <c r="O904" s="227"/>
    </row>
    <row r="905" spans="1:15" ht="13">
      <c r="A905" s="225"/>
      <c r="B905" s="132"/>
      <c r="H905" s="226"/>
      <c r="O905" s="227"/>
    </row>
    <row r="906" spans="1:15" ht="13">
      <c r="A906" s="225"/>
      <c r="B906" s="132"/>
      <c r="H906" s="226"/>
      <c r="O906" s="227"/>
    </row>
    <row r="907" spans="1:15" ht="13">
      <c r="A907" s="225"/>
      <c r="B907" s="132"/>
      <c r="H907" s="226"/>
      <c r="O907" s="227"/>
    </row>
    <row r="908" spans="1:15" ht="13">
      <c r="A908" s="225"/>
      <c r="B908" s="132"/>
      <c r="H908" s="226"/>
      <c r="O908" s="227"/>
    </row>
    <row r="909" spans="1:15" ht="13">
      <c r="A909" s="225"/>
      <c r="B909" s="132"/>
      <c r="H909" s="226"/>
      <c r="O909" s="227"/>
    </row>
    <row r="910" spans="1:15" ht="13">
      <c r="A910" s="225"/>
      <c r="B910" s="132"/>
      <c r="H910" s="226"/>
      <c r="O910" s="227"/>
    </row>
    <row r="911" spans="1:15" ht="13">
      <c r="A911" s="225"/>
      <c r="B911" s="132"/>
      <c r="H911" s="226"/>
      <c r="O911" s="227"/>
    </row>
    <row r="912" spans="1:15" ht="13">
      <c r="A912" s="225"/>
      <c r="B912" s="132"/>
      <c r="H912" s="226"/>
      <c r="O912" s="227"/>
    </row>
    <row r="913" spans="1:15" ht="13">
      <c r="A913" s="225"/>
      <c r="B913" s="132"/>
      <c r="H913" s="226"/>
      <c r="O913" s="227"/>
    </row>
    <row r="914" spans="1:15" ht="13">
      <c r="A914" s="225"/>
      <c r="B914" s="132"/>
      <c r="H914" s="226"/>
      <c r="O914" s="227"/>
    </row>
    <row r="915" spans="1:15" ht="13">
      <c r="A915" s="225"/>
      <c r="B915" s="132"/>
      <c r="H915" s="226"/>
      <c r="O915" s="227"/>
    </row>
    <row r="916" spans="1:15" ht="13">
      <c r="A916" s="225"/>
      <c r="B916" s="132"/>
      <c r="H916" s="226"/>
      <c r="O916" s="227"/>
    </row>
    <row r="917" spans="1:15" ht="13">
      <c r="A917" s="225"/>
      <c r="B917" s="132"/>
      <c r="H917" s="226"/>
      <c r="O917" s="227"/>
    </row>
    <row r="918" spans="1:15" ht="13">
      <c r="A918" s="225"/>
      <c r="B918" s="132"/>
      <c r="H918" s="226"/>
      <c r="O918" s="227"/>
    </row>
    <row r="919" spans="1:15" ht="13">
      <c r="A919" s="225"/>
      <c r="B919" s="132"/>
      <c r="H919" s="226"/>
      <c r="O919" s="227"/>
    </row>
    <row r="920" spans="1:15" ht="13">
      <c r="A920" s="225"/>
      <c r="B920" s="132"/>
      <c r="H920" s="226"/>
      <c r="O920" s="227"/>
    </row>
    <row r="921" spans="1:15" ht="13">
      <c r="A921" s="225"/>
      <c r="B921" s="132"/>
      <c r="H921" s="226"/>
      <c r="O921" s="227"/>
    </row>
    <row r="922" spans="1:15" ht="13">
      <c r="A922" s="225"/>
      <c r="B922" s="132"/>
      <c r="H922" s="226"/>
      <c r="O922" s="227"/>
    </row>
    <row r="923" spans="1:15" ht="13">
      <c r="A923" s="225"/>
      <c r="B923" s="132"/>
      <c r="H923" s="226"/>
      <c r="O923" s="227"/>
    </row>
    <row r="924" spans="1:15" ht="13">
      <c r="A924" s="225"/>
      <c r="B924" s="132"/>
      <c r="H924" s="226"/>
      <c r="O924" s="227"/>
    </row>
    <row r="925" spans="1:15" ht="13">
      <c r="A925" s="225"/>
      <c r="B925" s="132"/>
      <c r="H925" s="226"/>
      <c r="O925" s="227"/>
    </row>
    <row r="926" spans="1:15" ht="13">
      <c r="A926" s="225"/>
      <c r="B926" s="132"/>
      <c r="H926" s="226"/>
      <c r="O926" s="227"/>
    </row>
    <row r="927" spans="1:15" ht="13">
      <c r="A927" s="225"/>
      <c r="B927" s="132"/>
      <c r="H927" s="226"/>
      <c r="O927" s="227"/>
    </row>
    <row r="928" spans="1:15" ht="13">
      <c r="A928" s="225"/>
      <c r="B928" s="132"/>
      <c r="H928" s="226"/>
      <c r="O928" s="227"/>
    </row>
    <row r="929" spans="1:15" ht="13">
      <c r="A929" s="225"/>
      <c r="B929" s="132"/>
      <c r="H929" s="226"/>
      <c r="O929" s="227"/>
    </row>
    <row r="930" spans="1:15" ht="13">
      <c r="A930" s="225"/>
      <c r="B930" s="132"/>
      <c r="H930" s="226"/>
      <c r="O930" s="227"/>
    </row>
    <row r="931" spans="1:15" ht="13">
      <c r="A931" s="225"/>
      <c r="B931" s="132"/>
      <c r="H931" s="226"/>
      <c r="O931" s="227"/>
    </row>
    <row r="932" spans="1:15" ht="13">
      <c r="A932" s="225"/>
      <c r="B932" s="132"/>
      <c r="H932" s="226"/>
      <c r="O932" s="227"/>
    </row>
    <row r="933" spans="1:15" ht="13">
      <c r="A933" s="225"/>
      <c r="B933" s="132"/>
      <c r="H933" s="226"/>
      <c r="O933" s="227"/>
    </row>
    <row r="934" spans="1:15" ht="13">
      <c r="A934" s="225"/>
      <c r="B934" s="132"/>
      <c r="H934" s="226"/>
      <c r="O934" s="227"/>
    </row>
    <row r="935" spans="1:15" ht="13">
      <c r="A935" s="225"/>
      <c r="B935" s="132"/>
      <c r="H935" s="226"/>
      <c r="O935" s="227"/>
    </row>
    <row r="936" spans="1:15" ht="13">
      <c r="A936" s="225"/>
      <c r="B936" s="132"/>
      <c r="H936" s="226"/>
      <c r="O936" s="227"/>
    </row>
    <row r="937" spans="1:15" ht="13">
      <c r="A937" s="225"/>
      <c r="B937" s="132"/>
      <c r="H937" s="226"/>
      <c r="O937" s="227"/>
    </row>
    <row r="938" spans="1:15" ht="13">
      <c r="A938" s="225"/>
      <c r="B938" s="132"/>
      <c r="H938" s="226"/>
      <c r="O938" s="227"/>
    </row>
    <row r="939" spans="1:15" ht="13">
      <c r="A939" s="225"/>
      <c r="B939" s="132"/>
      <c r="H939" s="226"/>
      <c r="O939" s="227"/>
    </row>
    <row r="940" spans="1:15" ht="13">
      <c r="A940" s="225"/>
      <c r="B940" s="132"/>
      <c r="H940" s="226"/>
      <c r="O940" s="227"/>
    </row>
    <row r="941" spans="1:15" ht="13">
      <c r="A941" s="225"/>
      <c r="B941" s="132"/>
      <c r="H941" s="226"/>
      <c r="O941" s="227"/>
    </row>
    <row r="942" spans="1:15" ht="13">
      <c r="A942" s="225"/>
      <c r="B942" s="132"/>
      <c r="H942" s="226"/>
      <c r="O942" s="227"/>
    </row>
    <row r="943" spans="1:15" ht="13">
      <c r="A943" s="225"/>
      <c r="B943" s="132"/>
      <c r="H943" s="226"/>
      <c r="O943" s="227"/>
    </row>
    <row r="944" spans="1:15" ht="13">
      <c r="A944" s="225"/>
      <c r="B944" s="132"/>
      <c r="H944" s="226"/>
      <c r="O944" s="227"/>
    </row>
    <row r="945" spans="1:15" ht="13">
      <c r="A945" s="225"/>
      <c r="B945" s="132"/>
      <c r="H945" s="226"/>
      <c r="O945" s="227"/>
    </row>
    <row r="946" spans="1:15" ht="13">
      <c r="A946" s="225"/>
      <c r="B946" s="132"/>
      <c r="H946" s="226"/>
      <c r="O946" s="227"/>
    </row>
    <row r="947" spans="1:15" ht="13">
      <c r="A947" s="225"/>
      <c r="B947" s="132"/>
      <c r="H947" s="226"/>
      <c r="O947" s="227"/>
    </row>
    <row r="948" spans="1:15" ht="13">
      <c r="A948" s="225"/>
      <c r="B948" s="132"/>
      <c r="H948" s="226"/>
      <c r="O948" s="227"/>
    </row>
    <row r="949" spans="1:15" ht="13">
      <c r="A949" s="225"/>
      <c r="B949" s="132"/>
      <c r="H949" s="226"/>
      <c r="O949" s="227"/>
    </row>
    <row r="950" spans="1:15" ht="13">
      <c r="A950" s="225"/>
      <c r="B950" s="132"/>
      <c r="H950" s="226"/>
      <c r="O950" s="227"/>
    </row>
    <row r="951" spans="1:15" ht="13">
      <c r="A951" s="225"/>
      <c r="B951" s="132"/>
      <c r="H951" s="226"/>
      <c r="O951" s="227"/>
    </row>
    <row r="952" spans="1:15" ht="13">
      <c r="A952" s="225"/>
      <c r="B952" s="132"/>
      <c r="H952" s="226"/>
      <c r="O952" s="227"/>
    </row>
    <row r="953" spans="1:15" ht="13">
      <c r="A953" s="225"/>
      <c r="B953" s="132"/>
      <c r="H953" s="226"/>
      <c r="O953" s="227"/>
    </row>
    <row r="954" spans="1:15" ht="13">
      <c r="A954" s="225"/>
      <c r="B954" s="132"/>
      <c r="H954" s="226"/>
      <c r="O954" s="227"/>
    </row>
    <row r="955" spans="1:15" ht="13">
      <c r="A955" s="225"/>
      <c r="B955" s="132"/>
      <c r="H955" s="226"/>
      <c r="O955" s="227"/>
    </row>
    <row r="956" spans="1:15" ht="13">
      <c r="A956" s="225"/>
      <c r="B956" s="132"/>
      <c r="H956" s="226"/>
      <c r="O956" s="227"/>
    </row>
    <row r="957" spans="1:15" ht="13">
      <c r="A957" s="225"/>
      <c r="B957" s="132"/>
      <c r="H957" s="226"/>
      <c r="O957" s="227"/>
    </row>
    <row r="958" spans="1:15" ht="13">
      <c r="A958" s="225"/>
      <c r="B958" s="132"/>
      <c r="H958" s="226"/>
      <c r="O958" s="227"/>
    </row>
    <row r="959" spans="1:15" ht="13">
      <c r="A959" s="225"/>
      <c r="B959" s="132"/>
      <c r="H959" s="226"/>
      <c r="O959" s="227"/>
    </row>
    <row r="960" spans="1:15" ht="13">
      <c r="A960" s="225"/>
      <c r="B960" s="132"/>
      <c r="H960" s="226"/>
      <c r="O960" s="227"/>
    </row>
    <row r="961" spans="1:15" ht="13">
      <c r="A961" s="225"/>
      <c r="B961" s="132"/>
      <c r="H961" s="226"/>
      <c r="O961" s="227"/>
    </row>
    <row r="962" spans="1:15" ht="13">
      <c r="A962" s="225"/>
      <c r="B962" s="132"/>
      <c r="H962" s="226"/>
      <c r="O962" s="227"/>
    </row>
    <row r="963" spans="1:15" ht="13">
      <c r="A963" s="225"/>
      <c r="B963" s="132"/>
      <c r="H963" s="226"/>
      <c r="O963" s="227"/>
    </row>
    <row r="964" spans="1:15" ht="13">
      <c r="A964" s="225"/>
      <c r="B964" s="132"/>
      <c r="H964" s="226"/>
      <c r="O964" s="227"/>
    </row>
    <row r="965" spans="1:15" ht="13">
      <c r="A965" s="225"/>
      <c r="B965" s="132"/>
      <c r="H965" s="226"/>
      <c r="O965" s="227"/>
    </row>
    <row r="966" spans="1:15" ht="13">
      <c r="A966" s="225"/>
      <c r="B966" s="132"/>
      <c r="H966" s="226"/>
      <c r="O966" s="227"/>
    </row>
    <row r="967" spans="1:15" ht="13">
      <c r="A967" s="225"/>
      <c r="B967" s="132"/>
      <c r="H967" s="226"/>
      <c r="O967" s="227"/>
    </row>
    <row r="968" spans="1:15" ht="13">
      <c r="A968" s="225"/>
      <c r="B968" s="132"/>
      <c r="H968" s="226"/>
      <c r="O968" s="227"/>
    </row>
    <row r="969" spans="1:15" ht="13">
      <c r="A969" s="225"/>
      <c r="B969" s="132"/>
      <c r="H969" s="226"/>
      <c r="O969" s="227"/>
    </row>
    <row r="970" spans="1:15" ht="13">
      <c r="A970" s="225"/>
      <c r="B970" s="132"/>
      <c r="H970" s="226"/>
      <c r="O970" s="227"/>
    </row>
    <row r="971" spans="1:15" ht="13">
      <c r="A971" s="225"/>
      <c r="B971" s="132"/>
      <c r="H971" s="226"/>
      <c r="O971" s="227"/>
    </row>
    <row r="972" spans="1:15" ht="13">
      <c r="A972" s="225"/>
      <c r="B972" s="132"/>
      <c r="H972" s="226"/>
      <c r="O972" s="227"/>
    </row>
    <row r="973" spans="1:15" ht="13">
      <c r="A973" s="225"/>
      <c r="B973" s="132"/>
      <c r="H973" s="226"/>
      <c r="O973" s="227"/>
    </row>
    <row r="974" spans="1:15" ht="13">
      <c r="A974" s="225"/>
      <c r="B974" s="132"/>
      <c r="H974" s="226"/>
      <c r="O974" s="227"/>
    </row>
    <row r="975" spans="1:15" ht="13">
      <c r="A975" s="225"/>
      <c r="B975" s="132"/>
      <c r="H975" s="226"/>
      <c r="O975" s="227"/>
    </row>
    <row r="976" spans="1:15" ht="13">
      <c r="A976" s="225"/>
      <c r="B976" s="132"/>
      <c r="H976" s="226"/>
      <c r="O976" s="227"/>
    </row>
    <row r="977" spans="1:15" ht="13">
      <c r="A977" s="225"/>
      <c r="B977" s="132"/>
      <c r="H977" s="226"/>
      <c r="O977" s="227"/>
    </row>
    <row r="978" spans="1:15" ht="13">
      <c r="A978" s="225"/>
      <c r="B978" s="132"/>
      <c r="H978" s="226"/>
      <c r="O978" s="227"/>
    </row>
    <row r="979" spans="1:15" ht="13">
      <c r="A979" s="225"/>
      <c r="B979" s="132"/>
      <c r="H979" s="226"/>
      <c r="O979" s="227"/>
    </row>
    <row r="980" spans="1:15" ht="13">
      <c r="A980" s="225"/>
      <c r="B980" s="132"/>
      <c r="H980" s="226"/>
      <c r="O980" s="227"/>
    </row>
    <row r="981" spans="1:15" ht="13">
      <c r="A981" s="225"/>
      <c r="B981" s="132"/>
      <c r="H981" s="226"/>
      <c r="O981" s="227"/>
    </row>
    <row r="982" spans="1:15" ht="13">
      <c r="A982" s="225"/>
      <c r="B982" s="132"/>
      <c r="H982" s="226"/>
      <c r="O982" s="227"/>
    </row>
    <row r="983" spans="1:15" ht="13">
      <c r="A983" s="225"/>
      <c r="B983" s="132"/>
      <c r="H983" s="226"/>
      <c r="O983" s="227"/>
    </row>
    <row r="984" spans="1:15" ht="13">
      <c r="A984" s="225"/>
      <c r="B984" s="132"/>
      <c r="H984" s="226"/>
      <c r="O984" s="227"/>
    </row>
    <row r="985" spans="1:15" ht="13">
      <c r="A985" s="225"/>
      <c r="B985" s="132"/>
      <c r="H985" s="226"/>
      <c r="O985" s="227"/>
    </row>
    <row r="986" spans="1:15" ht="13">
      <c r="A986" s="225"/>
      <c r="B986" s="132"/>
      <c r="H986" s="226"/>
      <c r="O986" s="227"/>
    </row>
    <row r="987" spans="1:15" ht="13">
      <c r="A987" s="225"/>
      <c r="B987" s="132"/>
      <c r="H987" s="226"/>
      <c r="O987" s="227"/>
    </row>
    <row r="988" spans="1:15" ht="13">
      <c r="A988" s="225"/>
      <c r="B988" s="132"/>
      <c r="H988" s="226"/>
      <c r="O988" s="227"/>
    </row>
    <row r="989" spans="1:15" ht="13">
      <c r="A989" s="225"/>
      <c r="B989" s="132"/>
      <c r="H989" s="226"/>
      <c r="O989" s="227"/>
    </row>
    <row r="990" spans="1:15" ht="13">
      <c r="A990" s="225"/>
      <c r="B990" s="132"/>
      <c r="H990" s="226"/>
      <c r="O990" s="227"/>
    </row>
    <row r="991" spans="1:15" ht="13">
      <c r="A991" s="225"/>
      <c r="B991" s="132"/>
      <c r="H991" s="226"/>
      <c r="O991" s="227"/>
    </row>
    <row r="992" spans="1:15" ht="13">
      <c r="A992" s="225"/>
      <c r="B992" s="132"/>
      <c r="H992" s="226"/>
      <c r="O992" s="227"/>
    </row>
    <row r="993" spans="1:15" ht="13">
      <c r="A993" s="225"/>
      <c r="B993" s="132"/>
      <c r="H993" s="226"/>
      <c r="O993" s="227"/>
    </row>
    <row r="994" spans="1:15" ht="13">
      <c r="A994" s="225"/>
      <c r="B994" s="132"/>
      <c r="H994" s="226"/>
      <c r="O994" s="227"/>
    </row>
    <row r="995" spans="1:15" ht="13">
      <c r="A995" s="225"/>
      <c r="B995" s="132"/>
      <c r="H995" s="226"/>
      <c r="O995" s="227"/>
    </row>
    <row r="996" spans="1:15" ht="13">
      <c r="A996" s="225"/>
      <c r="B996" s="132"/>
      <c r="H996" s="226"/>
      <c r="O996" s="227"/>
    </row>
    <row r="997" spans="1:15" ht="13">
      <c r="A997" s="225"/>
      <c r="B997" s="132"/>
      <c r="H997" s="226"/>
      <c r="O997" s="227"/>
    </row>
    <row r="998" spans="1:15" ht="13">
      <c r="A998" s="225"/>
      <c r="B998" s="132"/>
      <c r="H998" s="226"/>
      <c r="O998" s="227"/>
    </row>
    <row r="999" spans="1:15" ht="13">
      <c r="A999" s="225"/>
      <c r="B999" s="132"/>
      <c r="H999" s="226"/>
      <c r="O999" s="227"/>
    </row>
    <row r="1000" spans="1:15" ht="13">
      <c r="A1000" s="228"/>
      <c r="B1000" s="229"/>
      <c r="C1000" s="230"/>
      <c r="D1000" s="230"/>
      <c r="E1000" s="230"/>
      <c r="F1000" s="230"/>
      <c r="G1000" s="230"/>
      <c r="H1000" s="231"/>
      <c r="I1000" s="232"/>
      <c r="J1000" s="232"/>
      <c r="K1000" s="232"/>
      <c r="L1000" s="232"/>
      <c r="M1000" s="232"/>
      <c r="N1000" s="232"/>
      <c r="O1000" s="233"/>
    </row>
  </sheetData>
  <mergeCells count="2">
    <mergeCell ref="A1:G1"/>
    <mergeCell ref="H1:O1"/>
  </mergeCells>
  <phoneticPr fontId="85" type="noConversion"/>
  <dataValidations count="3">
    <dataValidation type="list" allowBlank="1" sqref="M3" xr:uid="{00000000-0002-0000-0F00-000000000000}">
      <formula1>"Good,Bad"</formula1>
    </dataValidation>
    <dataValidation type="list" allowBlank="1" sqref="G3 I3:J3" xr:uid="{00000000-0002-0000-0F00-000001000000}">
      <formula1>"Hepeng Wang,Da Xu,Lingyu Meng,Zhiang Shen,Zhiwen Wang,Wei Jin,Nanshu Zhao"</formula1>
    </dataValidation>
    <dataValidation type="list" allowBlank="1" sqref="K3" xr:uid="{00000000-0002-0000-0F00-000002000000}">
      <formula1>"commited,reviewing,fixing,done,skip"</formula1>
    </dataValidation>
  </dataValidations>
  <hyperlinks>
    <hyperlink ref="C3" r:id="rId1" xr:uid="{00000000-0004-0000-0F00-000000000000}"/>
  </hyperlinks>
  <pageMargins left="0.7" right="0.7" top="0.75" bottom="0.75" header="0.3" footer="0.3"/>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B1:AX325"/>
  <sheetViews>
    <sheetView workbookViewId="0"/>
  </sheetViews>
  <sheetFormatPr defaultColWidth="14.3984375" defaultRowHeight="15.75" customHeight="1"/>
  <cols>
    <col min="2" max="2" width="58.8984375" customWidth="1"/>
    <col min="3" max="3" width="65.296875" customWidth="1"/>
    <col min="4" max="4" width="80.09765625" customWidth="1"/>
  </cols>
  <sheetData>
    <row r="1" spans="2:50" ht="15.75" customHeight="1">
      <c r="B1" s="204" t="s">
        <v>1932</v>
      </c>
      <c r="C1" s="204" t="s">
        <v>5881</v>
      </c>
      <c r="D1" s="204" t="s">
        <v>5882</v>
      </c>
      <c r="E1" s="204"/>
      <c r="F1" s="204"/>
      <c r="G1" s="204"/>
      <c r="H1" s="204"/>
      <c r="I1" s="204"/>
      <c r="J1" s="204"/>
      <c r="K1" s="204"/>
      <c r="L1" s="204"/>
      <c r="M1" s="204"/>
      <c r="N1" s="204"/>
      <c r="O1" s="204"/>
      <c r="P1" s="204"/>
      <c r="Q1" s="204"/>
      <c r="R1" s="204"/>
      <c r="S1" s="204"/>
      <c r="T1" s="204"/>
      <c r="U1" s="204"/>
      <c r="V1" s="204"/>
      <c r="W1" s="204"/>
      <c r="X1" s="204"/>
      <c r="Y1" s="204"/>
      <c r="Z1" s="204"/>
      <c r="AA1" s="204"/>
      <c r="AB1" s="204"/>
      <c r="AC1" s="204"/>
      <c r="AD1" s="204"/>
      <c r="AE1" s="204"/>
      <c r="AF1" s="204"/>
      <c r="AG1" s="204"/>
      <c r="AH1" s="204"/>
      <c r="AI1" s="204"/>
      <c r="AJ1" s="204"/>
      <c r="AK1" s="204"/>
      <c r="AL1" s="204"/>
      <c r="AM1" s="204"/>
      <c r="AN1" s="204"/>
      <c r="AO1" s="204"/>
      <c r="AP1" s="204"/>
      <c r="AQ1" s="204"/>
      <c r="AR1" s="204"/>
      <c r="AS1" s="204"/>
      <c r="AT1" s="204"/>
      <c r="AU1" s="204"/>
      <c r="AV1" s="204"/>
      <c r="AW1" s="204"/>
      <c r="AX1" s="204"/>
    </row>
    <row r="2" spans="2:50">
      <c r="B2" s="68" t="s">
        <v>522</v>
      </c>
      <c r="C2" s="68" t="s">
        <v>5883</v>
      </c>
      <c r="D2" s="68" t="s">
        <v>524</v>
      </c>
      <c r="E2" s="68" t="s">
        <v>525</v>
      </c>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row>
    <row r="3" spans="2:50">
      <c r="B3" s="68" t="s">
        <v>529</v>
      </c>
      <c r="C3" s="68" t="s">
        <v>5884</v>
      </c>
      <c r="D3" s="68" t="s">
        <v>524</v>
      </c>
      <c r="E3" s="68" t="s">
        <v>184</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c r="AL3" s="68"/>
      <c r="AM3" s="68"/>
      <c r="AN3" s="68"/>
      <c r="AO3" s="68"/>
      <c r="AP3" s="68"/>
      <c r="AQ3" s="68"/>
      <c r="AR3" s="68"/>
      <c r="AS3" s="68"/>
      <c r="AT3" s="68"/>
      <c r="AU3" s="68"/>
      <c r="AV3" s="68"/>
      <c r="AW3" s="68"/>
      <c r="AX3" s="68"/>
    </row>
    <row r="4" spans="2:50">
      <c r="B4" s="68" t="s">
        <v>534</v>
      </c>
      <c r="C4" s="68" t="s">
        <v>5885</v>
      </c>
      <c r="D4" s="68" t="s">
        <v>524</v>
      </c>
      <c r="E4" s="68" t="s">
        <v>99</v>
      </c>
      <c r="F4" s="68"/>
      <c r="G4" s="68"/>
      <c r="H4" s="68"/>
      <c r="I4" s="68"/>
      <c r="J4" s="68"/>
      <c r="K4" s="68"/>
      <c r="L4" s="68"/>
      <c r="M4" s="68"/>
      <c r="N4" s="68"/>
      <c r="O4" s="68"/>
      <c r="P4" s="68"/>
      <c r="Q4" s="68"/>
      <c r="R4" s="68"/>
      <c r="S4" s="68"/>
      <c r="T4" s="68"/>
      <c r="U4" s="68"/>
      <c r="V4" s="68"/>
      <c r="W4" s="68"/>
      <c r="X4" s="68"/>
      <c r="Y4" s="68"/>
      <c r="Z4" s="68"/>
      <c r="AA4" s="68"/>
      <c r="AB4" s="68"/>
      <c r="AC4" s="68"/>
      <c r="AD4" s="68"/>
      <c r="AE4" s="68"/>
      <c r="AF4" s="68"/>
      <c r="AG4" s="68"/>
      <c r="AH4" s="68"/>
      <c r="AI4" s="68"/>
      <c r="AJ4" s="68"/>
      <c r="AK4" s="68"/>
      <c r="AL4" s="68"/>
      <c r="AM4" s="68"/>
      <c r="AN4" s="68"/>
      <c r="AO4" s="68"/>
      <c r="AP4" s="68"/>
      <c r="AQ4" s="68"/>
      <c r="AR4" s="68"/>
      <c r="AS4" s="68"/>
      <c r="AT4" s="68"/>
      <c r="AU4" s="68"/>
      <c r="AV4" s="68"/>
      <c r="AW4" s="68"/>
      <c r="AX4" s="68"/>
    </row>
    <row r="5" spans="2:50">
      <c r="B5" s="68" t="s">
        <v>540</v>
      </c>
      <c r="C5" s="68" t="s">
        <v>5886</v>
      </c>
      <c r="D5" s="68" t="s">
        <v>543</v>
      </c>
      <c r="E5" s="68" t="s">
        <v>381</v>
      </c>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c r="AP5" s="68"/>
      <c r="AQ5" s="68"/>
      <c r="AR5" s="68"/>
      <c r="AS5" s="68"/>
      <c r="AT5" s="68"/>
      <c r="AU5" s="68"/>
      <c r="AV5" s="68"/>
      <c r="AW5" s="68"/>
      <c r="AX5" s="68"/>
    </row>
    <row r="6" spans="2:50">
      <c r="B6" s="68" t="s">
        <v>547</v>
      </c>
      <c r="C6" s="68" t="s">
        <v>5887</v>
      </c>
      <c r="D6" s="68" t="s">
        <v>524</v>
      </c>
      <c r="E6" s="68" t="s">
        <v>5888</v>
      </c>
      <c r="F6" s="68">
        <v>35</v>
      </c>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c r="AP6" s="68"/>
      <c r="AQ6" s="68"/>
      <c r="AR6" s="68"/>
      <c r="AS6" s="68"/>
      <c r="AT6" s="68"/>
      <c r="AU6" s="68"/>
      <c r="AV6" s="68"/>
      <c r="AW6" s="68"/>
      <c r="AX6" s="68"/>
    </row>
    <row r="7" spans="2:50">
      <c r="B7" s="68" t="s">
        <v>872</v>
      </c>
      <c r="C7" s="68" t="s">
        <v>5889</v>
      </c>
      <c r="D7" s="68" t="s">
        <v>543</v>
      </c>
      <c r="E7" s="68" t="s">
        <v>5888</v>
      </c>
      <c r="F7" s="68">
        <v>37</v>
      </c>
      <c r="G7" s="68"/>
      <c r="H7" s="68"/>
      <c r="I7" s="68"/>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8"/>
      <c r="AV7" s="68"/>
      <c r="AW7" s="68"/>
      <c r="AX7" s="68"/>
    </row>
    <row r="8" spans="2:50">
      <c r="B8" s="68" t="s">
        <v>552</v>
      </c>
      <c r="C8" s="68" t="s">
        <v>5890</v>
      </c>
      <c r="D8" s="68" t="s">
        <v>555</v>
      </c>
      <c r="E8" s="68" t="s">
        <v>146</v>
      </c>
      <c r="F8" s="68"/>
      <c r="G8" s="68"/>
      <c r="H8" s="68"/>
      <c r="I8" s="68"/>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c r="AK8" s="68"/>
      <c r="AL8" s="68"/>
      <c r="AM8" s="68"/>
      <c r="AN8" s="68"/>
      <c r="AO8" s="68"/>
      <c r="AP8" s="68"/>
      <c r="AQ8" s="68"/>
      <c r="AR8" s="68"/>
      <c r="AS8" s="68"/>
      <c r="AT8" s="68"/>
      <c r="AU8" s="68"/>
      <c r="AV8" s="68"/>
      <c r="AW8" s="68"/>
      <c r="AX8" s="68"/>
    </row>
    <row r="9" spans="2:50">
      <c r="B9" s="68" t="s">
        <v>557</v>
      </c>
      <c r="C9" s="68" t="s">
        <v>5891</v>
      </c>
      <c r="D9" s="68" t="s">
        <v>560</v>
      </c>
      <c r="E9" s="68" t="s">
        <v>376</v>
      </c>
      <c r="F9" s="68"/>
      <c r="G9" s="68"/>
      <c r="H9" s="68"/>
      <c r="I9" s="68"/>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row>
    <row r="10" spans="2:50">
      <c r="B10" s="68" t="s">
        <v>565</v>
      </c>
      <c r="C10" s="68" t="s">
        <v>5892</v>
      </c>
      <c r="D10" s="68" t="s">
        <v>524</v>
      </c>
      <c r="E10" s="68" t="s">
        <v>569</v>
      </c>
      <c r="F10" s="68"/>
      <c r="G10" s="68"/>
      <c r="H10" s="68"/>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row>
    <row r="11" spans="2:50">
      <c r="B11" s="68" t="s">
        <v>572</v>
      </c>
      <c r="C11" s="68" t="s">
        <v>5890</v>
      </c>
      <c r="D11" s="68" t="s">
        <v>560</v>
      </c>
      <c r="E11" s="68" t="s">
        <v>213</v>
      </c>
      <c r="F11" s="68"/>
      <c r="G11" s="68"/>
      <c r="H11" s="68"/>
      <c r="I11" s="68"/>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row>
    <row r="12" spans="2:50">
      <c r="B12" s="68" t="s">
        <v>579</v>
      </c>
      <c r="C12" s="68" t="s">
        <v>5893</v>
      </c>
      <c r="D12" s="68" t="s">
        <v>543</v>
      </c>
      <c r="E12" s="68" t="s">
        <v>569</v>
      </c>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row>
    <row r="13" spans="2:50">
      <c r="B13" s="68" t="s">
        <v>586</v>
      </c>
      <c r="C13" s="68" t="s">
        <v>5894</v>
      </c>
      <c r="D13" s="68" t="s">
        <v>543</v>
      </c>
      <c r="E13" s="68" t="s">
        <v>590</v>
      </c>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8"/>
      <c r="AK13" s="68"/>
      <c r="AL13" s="68"/>
      <c r="AM13" s="68"/>
      <c r="AN13" s="68"/>
      <c r="AO13" s="68"/>
      <c r="AP13" s="68"/>
      <c r="AQ13" s="68"/>
      <c r="AR13" s="68"/>
      <c r="AS13" s="68"/>
      <c r="AT13" s="68"/>
      <c r="AU13" s="68"/>
      <c r="AV13" s="68"/>
      <c r="AW13" s="68"/>
      <c r="AX13" s="68"/>
    </row>
    <row r="14" spans="2:50">
      <c r="B14" s="68" t="s">
        <v>594</v>
      </c>
      <c r="C14" s="68" t="s">
        <v>5895</v>
      </c>
      <c r="D14" s="68" t="s">
        <v>560</v>
      </c>
      <c r="E14" s="68" t="s">
        <v>195</v>
      </c>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c r="AJ14" s="68"/>
      <c r="AK14" s="68"/>
      <c r="AL14" s="68"/>
      <c r="AM14" s="68"/>
      <c r="AN14" s="68"/>
      <c r="AO14" s="68"/>
      <c r="AP14" s="68"/>
      <c r="AQ14" s="68"/>
      <c r="AR14" s="68"/>
      <c r="AS14" s="68"/>
      <c r="AT14" s="68"/>
      <c r="AU14" s="68"/>
      <c r="AV14" s="68"/>
      <c r="AW14" s="68"/>
      <c r="AX14" s="68"/>
    </row>
    <row r="15" spans="2:50">
      <c r="B15" s="68" t="s">
        <v>599</v>
      </c>
      <c r="C15" s="68" t="s">
        <v>5896</v>
      </c>
      <c r="D15" s="68" t="s">
        <v>543</v>
      </c>
      <c r="E15" s="68" t="s">
        <v>503</v>
      </c>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row>
    <row r="16" spans="2:50">
      <c r="B16" s="68" t="s">
        <v>604</v>
      </c>
      <c r="C16" s="68" t="s">
        <v>5897</v>
      </c>
      <c r="D16" s="68" t="s">
        <v>543</v>
      </c>
      <c r="E16" s="68" t="s">
        <v>288</v>
      </c>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68"/>
      <c r="AO16" s="68"/>
      <c r="AP16" s="68"/>
      <c r="AQ16" s="68"/>
      <c r="AR16" s="68"/>
      <c r="AS16" s="68"/>
      <c r="AT16" s="68"/>
      <c r="AU16" s="68"/>
      <c r="AV16" s="68"/>
      <c r="AW16" s="68"/>
      <c r="AX16" s="68"/>
    </row>
    <row r="17" spans="2:50">
      <c r="B17" s="68" t="s">
        <v>609</v>
      </c>
      <c r="C17" s="68" t="s">
        <v>5898</v>
      </c>
      <c r="D17" s="68" t="s">
        <v>543</v>
      </c>
      <c r="E17" s="68" t="s">
        <v>271</v>
      </c>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c r="AU17" s="68"/>
      <c r="AV17" s="68"/>
      <c r="AW17" s="68"/>
      <c r="AX17" s="68"/>
    </row>
    <row r="18" spans="2:50">
      <c r="B18" s="68" t="s">
        <v>615</v>
      </c>
      <c r="C18" s="68" t="s">
        <v>5898</v>
      </c>
      <c r="D18" s="68" t="s">
        <v>543</v>
      </c>
      <c r="E18" s="68" t="s">
        <v>271</v>
      </c>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c r="AJ18" s="68"/>
      <c r="AK18" s="68"/>
      <c r="AL18" s="68"/>
      <c r="AM18" s="68"/>
      <c r="AN18" s="68"/>
      <c r="AO18" s="68"/>
      <c r="AP18" s="68"/>
      <c r="AQ18" s="68"/>
      <c r="AR18" s="68"/>
      <c r="AS18" s="68"/>
      <c r="AT18" s="68"/>
      <c r="AU18" s="68"/>
      <c r="AV18" s="68"/>
      <c r="AW18" s="68"/>
      <c r="AX18" s="68"/>
    </row>
    <row r="19" spans="2:50">
      <c r="B19" s="68" t="s">
        <v>621</v>
      </c>
      <c r="C19" s="68" t="s">
        <v>5899</v>
      </c>
      <c r="D19" s="68" t="s">
        <v>543</v>
      </c>
      <c r="E19" s="68" t="s">
        <v>525</v>
      </c>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68"/>
      <c r="AQ19" s="68"/>
      <c r="AR19" s="68"/>
      <c r="AS19" s="68"/>
      <c r="AT19" s="68"/>
      <c r="AU19" s="68"/>
      <c r="AV19" s="68"/>
      <c r="AW19" s="68"/>
      <c r="AX19" s="68"/>
    </row>
    <row r="20" spans="2:50">
      <c r="B20" s="68" t="s">
        <v>629</v>
      </c>
      <c r="C20" s="68" t="s">
        <v>5900</v>
      </c>
      <c r="D20" s="68" t="s">
        <v>560</v>
      </c>
      <c r="E20" s="68" t="s">
        <v>222</v>
      </c>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c r="AJ20" s="68"/>
      <c r="AK20" s="68"/>
      <c r="AL20" s="68"/>
      <c r="AM20" s="68"/>
      <c r="AN20" s="68"/>
      <c r="AO20" s="68"/>
      <c r="AP20" s="68"/>
      <c r="AQ20" s="68"/>
      <c r="AR20" s="68"/>
      <c r="AS20" s="68"/>
      <c r="AT20" s="68"/>
      <c r="AU20" s="68"/>
      <c r="AV20" s="68"/>
      <c r="AW20" s="68"/>
      <c r="AX20" s="68"/>
    </row>
    <row r="21" spans="2:50">
      <c r="B21" s="68" t="s">
        <v>635</v>
      </c>
      <c r="C21" s="68" t="s">
        <v>5901</v>
      </c>
      <c r="D21" s="68" t="s">
        <v>543</v>
      </c>
      <c r="E21" s="68" t="s">
        <v>240</v>
      </c>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8"/>
      <c r="AX21" s="68"/>
    </row>
    <row r="22" spans="2:50">
      <c r="B22" s="68" t="s">
        <v>641</v>
      </c>
      <c r="C22" s="68" t="s">
        <v>5902</v>
      </c>
      <c r="D22" s="68" t="s">
        <v>560</v>
      </c>
      <c r="E22" s="68" t="s">
        <v>222</v>
      </c>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row>
    <row r="23" spans="2:50">
      <c r="B23" s="68" t="s">
        <v>645</v>
      </c>
      <c r="C23" s="68" t="s">
        <v>5903</v>
      </c>
      <c r="D23" s="68" t="s">
        <v>560</v>
      </c>
      <c r="E23" s="68" t="s">
        <v>342</v>
      </c>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row>
    <row r="24" spans="2:50">
      <c r="B24" s="68" t="s">
        <v>651</v>
      </c>
      <c r="C24" s="68" t="s">
        <v>5904</v>
      </c>
      <c r="D24" s="68" t="s">
        <v>654</v>
      </c>
      <c r="E24" s="68" t="s">
        <v>342</v>
      </c>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c r="AV24" s="68"/>
      <c r="AW24" s="68"/>
      <c r="AX24" s="68"/>
    </row>
    <row r="25" spans="2:50" ht="14.5">
      <c r="B25" s="68" t="s">
        <v>657</v>
      </c>
      <c r="C25" s="68" t="s">
        <v>5905</v>
      </c>
      <c r="D25" s="68" t="s">
        <v>654</v>
      </c>
      <c r="E25" s="68" t="s">
        <v>120</v>
      </c>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c r="AJ25" s="68"/>
      <c r="AK25" s="68"/>
      <c r="AL25" s="68"/>
      <c r="AM25" s="68"/>
      <c r="AN25" s="68"/>
      <c r="AO25" s="68"/>
      <c r="AP25" s="68"/>
      <c r="AQ25" s="68"/>
      <c r="AR25" s="68"/>
      <c r="AS25" s="68"/>
      <c r="AT25" s="68"/>
      <c r="AU25" s="68"/>
      <c r="AV25" s="68"/>
      <c r="AW25" s="68"/>
      <c r="AX25" s="68"/>
    </row>
    <row r="26" spans="2:50" ht="14.5">
      <c r="B26" s="68" t="s">
        <v>665</v>
      </c>
      <c r="C26" s="68" t="s">
        <v>5906</v>
      </c>
      <c r="D26" s="68" t="s">
        <v>524</v>
      </c>
      <c r="E26" s="68" t="s">
        <v>496</v>
      </c>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row>
    <row r="27" spans="2:50" ht="14.5">
      <c r="B27" s="68" t="s">
        <v>671</v>
      </c>
      <c r="C27" s="68" t="s">
        <v>5907</v>
      </c>
      <c r="D27" s="68" t="s">
        <v>701</v>
      </c>
      <c r="E27" s="68" t="s">
        <v>525</v>
      </c>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row>
    <row r="28" spans="2:50" ht="14.5">
      <c r="B28" s="68" t="s">
        <v>679</v>
      </c>
      <c r="C28" s="68" t="s">
        <v>5908</v>
      </c>
      <c r="D28" s="68" t="s">
        <v>145</v>
      </c>
      <c r="E28" s="68" t="s">
        <v>231</v>
      </c>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row>
    <row r="29" spans="2:50" ht="14.5">
      <c r="B29" s="68" t="s">
        <v>141</v>
      </c>
      <c r="C29" s="68" t="s">
        <v>5909</v>
      </c>
      <c r="D29" s="68" t="s">
        <v>145</v>
      </c>
      <c r="E29" s="68" t="s">
        <v>146</v>
      </c>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row>
    <row r="30" spans="2:50" ht="14.5">
      <c r="B30" s="68" t="s">
        <v>685</v>
      </c>
      <c r="C30" s="68" t="s">
        <v>5910</v>
      </c>
      <c r="D30" s="68" t="s">
        <v>543</v>
      </c>
      <c r="E30" s="68" t="s">
        <v>342</v>
      </c>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row>
    <row r="31" spans="2:50" ht="14.5">
      <c r="B31" s="68" t="s">
        <v>692</v>
      </c>
      <c r="C31" s="68" t="s">
        <v>5906</v>
      </c>
      <c r="D31" s="68" t="s">
        <v>654</v>
      </c>
      <c r="E31" s="68" t="s">
        <v>162</v>
      </c>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row>
    <row r="32" spans="2:50" ht="14.5">
      <c r="B32" s="68" t="s">
        <v>698</v>
      </c>
      <c r="C32" s="68" t="s">
        <v>5911</v>
      </c>
      <c r="D32" s="68" t="s">
        <v>701</v>
      </c>
      <c r="E32" s="68" t="s">
        <v>240</v>
      </c>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c r="AV32" s="68"/>
      <c r="AW32" s="68"/>
      <c r="AX32" s="68"/>
    </row>
    <row r="33" spans="2:50" ht="14.5">
      <c r="B33" s="68" t="s">
        <v>705</v>
      </c>
      <c r="C33" s="68" t="s">
        <v>5912</v>
      </c>
      <c r="D33" s="68" t="s">
        <v>701</v>
      </c>
      <c r="E33" s="68" t="s">
        <v>184</v>
      </c>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c r="AV33" s="68"/>
      <c r="AW33" s="68"/>
      <c r="AX33" s="68"/>
    </row>
    <row r="34" spans="2:50" ht="14.5">
      <c r="B34" s="68" t="s">
        <v>711</v>
      </c>
      <c r="C34" s="68" t="s">
        <v>5913</v>
      </c>
      <c r="D34" s="68" t="s">
        <v>654</v>
      </c>
      <c r="E34" s="68" t="s">
        <v>131</v>
      </c>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row>
    <row r="35" spans="2:50" ht="14.5">
      <c r="B35" s="68" t="s">
        <v>715</v>
      </c>
      <c r="C35" s="68" t="s">
        <v>5914</v>
      </c>
      <c r="D35" s="68" t="s">
        <v>864</v>
      </c>
      <c r="E35" s="68" t="s">
        <v>162</v>
      </c>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row>
    <row r="36" spans="2:50" ht="14.5">
      <c r="B36" s="68" t="s">
        <v>721</v>
      </c>
      <c r="C36" s="68" t="s">
        <v>5915</v>
      </c>
      <c r="D36" s="68" t="s">
        <v>654</v>
      </c>
      <c r="E36" s="68" t="s">
        <v>262</v>
      </c>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row>
    <row r="37" spans="2:50" ht="14.5">
      <c r="B37" s="68" t="s">
        <v>726</v>
      </c>
      <c r="C37" s="68" t="s">
        <v>5916</v>
      </c>
      <c r="D37" s="68" t="s">
        <v>654</v>
      </c>
      <c r="E37" s="68" t="s">
        <v>231</v>
      </c>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row>
    <row r="38" spans="2:50" ht="14.5">
      <c r="B38" s="68" t="s">
        <v>730</v>
      </c>
      <c r="C38" s="68" t="s">
        <v>5917</v>
      </c>
      <c r="D38" s="68" t="s">
        <v>145</v>
      </c>
      <c r="E38" s="68" t="s">
        <v>120</v>
      </c>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row>
    <row r="39" spans="2:50" ht="14.5">
      <c r="B39" s="68" t="s">
        <v>2304</v>
      </c>
      <c r="C39" s="68" t="s">
        <v>5918</v>
      </c>
      <c r="D39" s="68" t="s">
        <v>145</v>
      </c>
      <c r="E39" s="68" t="s">
        <v>195</v>
      </c>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row>
    <row r="40" spans="2:50" ht="14.5">
      <c r="B40" s="68" t="s">
        <v>736</v>
      </c>
      <c r="C40" s="68" t="s">
        <v>5919</v>
      </c>
      <c r="D40" s="68" t="s">
        <v>145</v>
      </c>
      <c r="E40" s="68" t="s">
        <v>99</v>
      </c>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row>
    <row r="41" spans="2:50" ht="14.5">
      <c r="B41" s="68" t="s">
        <v>742</v>
      </c>
      <c r="C41" s="68" t="s">
        <v>5920</v>
      </c>
      <c r="D41" s="68" t="s">
        <v>145</v>
      </c>
      <c r="E41" s="68" t="s">
        <v>131</v>
      </c>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row>
    <row r="42" spans="2:50" ht="14.5">
      <c r="B42" s="68" t="s">
        <v>747</v>
      </c>
      <c r="C42" s="68" t="s">
        <v>5921</v>
      </c>
      <c r="D42" s="68" t="s">
        <v>145</v>
      </c>
      <c r="E42" s="68" t="s">
        <v>240</v>
      </c>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row>
    <row r="43" spans="2:50" ht="14.5">
      <c r="B43" s="68" t="s">
        <v>752</v>
      </c>
      <c r="C43" s="68" t="s">
        <v>5922</v>
      </c>
      <c r="D43" s="68" t="s">
        <v>145</v>
      </c>
      <c r="E43" s="68" t="s">
        <v>363</v>
      </c>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row>
    <row r="44" spans="2:50" ht="14.5">
      <c r="B44" s="68" t="s">
        <v>115</v>
      </c>
      <c r="C44" s="68" t="s">
        <v>116</v>
      </c>
      <c r="D44" s="68" t="s">
        <v>5923</v>
      </c>
      <c r="E44" s="68" t="s">
        <v>5924</v>
      </c>
      <c r="F44" s="68" t="s">
        <v>5925</v>
      </c>
      <c r="G44" s="68" t="s">
        <v>5926</v>
      </c>
      <c r="H44" s="68" t="s">
        <v>5927</v>
      </c>
      <c r="I44" s="68" t="s">
        <v>5928</v>
      </c>
      <c r="J44" s="68" t="s">
        <v>5929</v>
      </c>
      <c r="K44" s="68" t="s">
        <v>5930</v>
      </c>
      <c r="L44" s="68" t="s">
        <v>5931</v>
      </c>
      <c r="M44" s="68" t="s">
        <v>5932</v>
      </c>
      <c r="N44" s="68" t="s">
        <v>5933</v>
      </c>
      <c r="O44" s="68">
        <v>4</v>
      </c>
      <c r="P44" s="68" t="s">
        <v>5934</v>
      </c>
      <c r="Q44" s="68" t="s">
        <v>5935</v>
      </c>
      <c r="R44" s="68" t="s">
        <v>5936</v>
      </c>
      <c r="S44" s="68" t="s">
        <v>5929</v>
      </c>
      <c r="T44" s="68" t="s">
        <v>5937</v>
      </c>
      <c r="U44" s="68" t="s">
        <v>5938</v>
      </c>
      <c r="V44" s="68" t="s">
        <v>5927</v>
      </c>
      <c r="W44" s="68" t="s">
        <v>5939</v>
      </c>
      <c r="X44" s="68" t="s">
        <v>5940</v>
      </c>
      <c r="Y44" s="68" t="s">
        <v>5941</v>
      </c>
      <c r="Z44" s="68" t="s">
        <v>5942</v>
      </c>
      <c r="AA44" s="68" t="s">
        <v>5943</v>
      </c>
      <c r="AB44" s="68" t="s">
        <v>5944</v>
      </c>
      <c r="AC44" s="68" t="s">
        <v>5945</v>
      </c>
      <c r="AD44" s="68" t="s">
        <v>5946</v>
      </c>
      <c r="AE44" s="68" t="s">
        <v>120</v>
      </c>
      <c r="AF44" s="68"/>
      <c r="AG44" s="68"/>
      <c r="AH44" s="68"/>
      <c r="AI44" s="68"/>
      <c r="AJ44" s="68"/>
      <c r="AK44" s="68"/>
      <c r="AL44" s="68"/>
      <c r="AM44" s="68"/>
      <c r="AN44" s="68"/>
      <c r="AO44" s="68"/>
      <c r="AP44" s="68"/>
      <c r="AQ44" s="68"/>
      <c r="AR44" s="68"/>
      <c r="AS44" s="68"/>
      <c r="AT44" s="68"/>
      <c r="AU44" s="68"/>
      <c r="AV44" s="68"/>
      <c r="AW44" s="68"/>
      <c r="AX44" s="68"/>
    </row>
    <row r="45" spans="2:50" ht="14.5">
      <c r="B45" s="68" t="s">
        <v>123</v>
      </c>
      <c r="C45" s="68" t="s">
        <v>5922</v>
      </c>
      <c r="D45" s="68" t="s">
        <v>119</v>
      </c>
      <c r="E45" s="68" t="s">
        <v>131</v>
      </c>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68"/>
      <c r="AW45" s="68"/>
      <c r="AX45" s="68"/>
    </row>
    <row r="46" spans="2:50" ht="14.5">
      <c r="B46" s="68" t="s">
        <v>757</v>
      </c>
      <c r="C46" s="68" t="s">
        <v>5947</v>
      </c>
      <c r="D46" s="68" t="s">
        <v>119</v>
      </c>
      <c r="E46" s="68" t="s">
        <v>204</v>
      </c>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68"/>
      <c r="AW46" s="68"/>
      <c r="AX46" s="68"/>
    </row>
    <row r="47" spans="2:50" ht="14.5">
      <c r="B47" s="68" t="s">
        <v>762</v>
      </c>
      <c r="C47" s="68" t="s">
        <v>5948</v>
      </c>
      <c r="D47" s="68" t="s">
        <v>119</v>
      </c>
      <c r="E47" s="68" t="s">
        <v>262</v>
      </c>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68"/>
      <c r="AW47" s="68"/>
      <c r="AX47" s="68"/>
    </row>
    <row r="48" spans="2:50" ht="14.5">
      <c r="B48" s="68" t="s">
        <v>767</v>
      </c>
      <c r="C48" s="68" t="s">
        <v>5949</v>
      </c>
      <c r="D48" s="68" t="s">
        <v>119</v>
      </c>
      <c r="E48" s="68" t="s">
        <v>770</v>
      </c>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68"/>
      <c r="AW48" s="68"/>
      <c r="AX48" s="68"/>
    </row>
    <row r="49" spans="2:50" ht="14.5">
      <c r="B49" s="68" t="s">
        <v>773</v>
      </c>
      <c r="C49" s="68" t="s">
        <v>5950</v>
      </c>
      <c r="D49" s="68" t="s">
        <v>119</v>
      </c>
      <c r="E49" s="68" t="s">
        <v>213</v>
      </c>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row>
    <row r="50" spans="2:50" ht="14.5">
      <c r="B50" s="68" t="s">
        <v>780</v>
      </c>
      <c r="C50" s="68" t="s">
        <v>5951</v>
      </c>
      <c r="D50" s="68" t="s">
        <v>119</v>
      </c>
      <c r="E50" s="68" t="s">
        <v>550</v>
      </c>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row>
    <row r="51" spans="2:50" ht="14.5">
      <c r="B51" s="68" t="s">
        <v>788</v>
      </c>
      <c r="C51" s="68" t="s">
        <v>5917</v>
      </c>
      <c r="D51" s="68" t="s">
        <v>66</v>
      </c>
      <c r="E51" s="68" t="s">
        <v>792</v>
      </c>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row>
    <row r="52" spans="2:50" ht="14.5">
      <c r="B52" s="68" t="s">
        <v>794</v>
      </c>
      <c r="C52" s="68" t="s">
        <v>5948</v>
      </c>
      <c r="D52" s="68" t="s">
        <v>66</v>
      </c>
      <c r="E52" s="68" t="s">
        <v>131</v>
      </c>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c r="AJ52" s="68"/>
      <c r="AK52" s="68"/>
      <c r="AL52" s="68"/>
      <c r="AM52" s="68"/>
      <c r="AN52" s="68"/>
      <c r="AO52" s="68"/>
      <c r="AP52" s="68"/>
      <c r="AQ52" s="68"/>
      <c r="AR52" s="68"/>
      <c r="AS52" s="68"/>
      <c r="AT52" s="68"/>
      <c r="AU52" s="68"/>
      <c r="AV52" s="68"/>
      <c r="AW52" s="68"/>
      <c r="AX52" s="68"/>
    </row>
    <row r="53" spans="2:50" ht="14.5">
      <c r="B53" s="68" t="s">
        <v>46</v>
      </c>
      <c r="C53" s="68" t="s">
        <v>47</v>
      </c>
      <c r="D53" s="68" t="s">
        <v>5923</v>
      </c>
      <c r="E53" s="68" t="s">
        <v>5924</v>
      </c>
      <c r="F53" s="68" t="s">
        <v>5925</v>
      </c>
      <c r="G53" s="68" t="s">
        <v>5952</v>
      </c>
      <c r="H53" s="68" t="s">
        <v>5953</v>
      </c>
      <c r="I53" s="68" t="s">
        <v>5954</v>
      </c>
      <c r="J53" s="68" t="s">
        <v>5955</v>
      </c>
      <c r="K53" s="68" t="s">
        <v>5956</v>
      </c>
      <c r="L53" s="68" t="s">
        <v>5955</v>
      </c>
      <c r="M53" s="68" t="s">
        <v>5937</v>
      </c>
      <c r="N53" s="68" t="s">
        <v>5957</v>
      </c>
      <c r="O53" s="68" t="s">
        <v>5927</v>
      </c>
      <c r="P53" s="68" t="s">
        <v>5943</v>
      </c>
      <c r="Q53" s="68" t="s">
        <v>5929</v>
      </c>
      <c r="R53" s="68" t="s">
        <v>5958</v>
      </c>
      <c r="S53" s="68" t="s">
        <v>5959</v>
      </c>
      <c r="T53" s="68" t="s">
        <v>5960</v>
      </c>
      <c r="U53" s="68" t="s">
        <v>67</v>
      </c>
      <c r="V53" s="68"/>
      <c r="W53" s="68"/>
      <c r="X53" s="68"/>
      <c r="Y53" s="68"/>
      <c r="Z53" s="68"/>
      <c r="AA53" s="68"/>
      <c r="AB53" s="68"/>
      <c r="AC53" s="68"/>
      <c r="AD53" s="68"/>
      <c r="AE53" s="68"/>
      <c r="AF53" s="68"/>
      <c r="AG53" s="68"/>
      <c r="AH53" s="68"/>
      <c r="AI53" s="68"/>
      <c r="AJ53" s="68"/>
      <c r="AK53" s="68"/>
      <c r="AL53" s="68"/>
      <c r="AM53" s="68"/>
      <c r="AN53" s="68"/>
      <c r="AO53" s="68"/>
      <c r="AP53" s="68"/>
      <c r="AQ53" s="68"/>
      <c r="AR53" s="68"/>
      <c r="AS53" s="68"/>
      <c r="AT53" s="68"/>
      <c r="AU53" s="68"/>
      <c r="AV53" s="68"/>
      <c r="AW53" s="68"/>
      <c r="AX53" s="68"/>
    </row>
    <row r="54" spans="2:50" ht="14.5">
      <c r="B54" s="68" t="s">
        <v>798</v>
      </c>
      <c r="C54" s="68" t="s">
        <v>5917</v>
      </c>
      <c r="D54" s="68" t="s">
        <v>66</v>
      </c>
      <c r="E54" s="68" t="s">
        <v>248</v>
      </c>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row>
    <row r="55" spans="2:50" ht="14.5">
      <c r="B55" s="68" t="s">
        <v>805</v>
      </c>
      <c r="C55" s="68" t="s">
        <v>5961</v>
      </c>
      <c r="D55" s="68" t="s">
        <v>66</v>
      </c>
      <c r="E55" s="68" t="s">
        <v>262</v>
      </c>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row>
    <row r="56" spans="2:50" ht="14.5">
      <c r="B56" s="68" t="s">
        <v>810</v>
      </c>
      <c r="C56" s="68" t="s">
        <v>5962</v>
      </c>
      <c r="D56" s="68" t="s">
        <v>66</v>
      </c>
      <c r="E56" s="68" t="s">
        <v>131</v>
      </c>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c r="AJ56" s="68"/>
      <c r="AK56" s="68"/>
      <c r="AL56" s="68"/>
      <c r="AM56" s="68"/>
      <c r="AN56" s="68"/>
      <c r="AO56" s="68"/>
      <c r="AP56" s="68"/>
      <c r="AQ56" s="68"/>
      <c r="AR56" s="68"/>
      <c r="AS56" s="68"/>
      <c r="AT56" s="68"/>
      <c r="AU56" s="68"/>
      <c r="AV56" s="68"/>
      <c r="AW56" s="68"/>
      <c r="AX56" s="68"/>
    </row>
    <row r="57" spans="2:50" ht="14.5">
      <c r="B57" s="68" t="s">
        <v>813</v>
      </c>
      <c r="C57" s="68" t="s">
        <v>5963</v>
      </c>
      <c r="D57" s="68" t="s">
        <v>66</v>
      </c>
      <c r="E57" s="68" t="s">
        <v>262</v>
      </c>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c r="AJ57" s="68"/>
      <c r="AK57" s="68"/>
      <c r="AL57" s="68"/>
      <c r="AM57" s="68"/>
      <c r="AN57" s="68"/>
      <c r="AO57" s="68"/>
      <c r="AP57" s="68"/>
      <c r="AQ57" s="68"/>
      <c r="AR57" s="68"/>
      <c r="AS57" s="68"/>
      <c r="AT57" s="68"/>
      <c r="AU57" s="68"/>
      <c r="AV57" s="68"/>
      <c r="AW57" s="68"/>
      <c r="AX57" s="68"/>
    </row>
    <row r="58" spans="2:50" ht="14.5">
      <c r="B58" s="68" t="s">
        <v>815</v>
      </c>
      <c r="C58" s="68" t="s">
        <v>5964</v>
      </c>
      <c r="D58" s="68" t="s">
        <v>3283</v>
      </c>
      <c r="E58" s="68" t="s">
        <v>271</v>
      </c>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68"/>
      <c r="AK58" s="68"/>
      <c r="AL58" s="68"/>
      <c r="AM58" s="68"/>
      <c r="AN58" s="68"/>
      <c r="AO58" s="68"/>
      <c r="AP58" s="68"/>
      <c r="AQ58" s="68"/>
      <c r="AR58" s="68"/>
      <c r="AS58" s="68"/>
      <c r="AT58" s="68"/>
      <c r="AU58" s="68"/>
      <c r="AV58" s="68"/>
      <c r="AW58" s="68"/>
      <c r="AX58" s="68"/>
    </row>
    <row r="59" spans="2:50" ht="14.5">
      <c r="B59" s="68" t="s">
        <v>820</v>
      </c>
      <c r="C59" s="68" t="s">
        <v>5965</v>
      </c>
      <c r="D59" s="68" t="s">
        <v>3283</v>
      </c>
      <c r="E59" s="68" t="s">
        <v>824</v>
      </c>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row>
    <row r="60" spans="2:50" ht="14.5">
      <c r="B60" s="68" t="s">
        <v>827</v>
      </c>
      <c r="C60" s="68" t="s">
        <v>5966</v>
      </c>
      <c r="D60" s="68" t="s">
        <v>560</v>
      </c>
      <c r="E60" s="68" t="s">
        <v>146</v>
      </c>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row>
    <row r="61" spans="2:50" ht="14.5">
      <c r="B61" s="68" t="s">
        <v>831</v>
      </c>
      <c r="C61" s="68" t="s">
        <v>5967</v>
      </c>
      <c r="D61" s="68" t="s">
        <v>543</v>
      </c>
      <c r="E61" s="68" t="s">
        <v>496</v>
      </c>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row>
    <row r="62" spans="2:50" ht="14.5">
      <c r="B62" s="68" t="s">
        <v>835</v>
      </c>
      <c r="C62" s="68" t="s">
        <v>5968</v>
      </c>
      <c r="D62" s="68" t="s">
        <v>654</v>
      </c>
      <c r="E62" s="68" t="s">
        <v>131</v>
      </c>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row>
    <row r="63" spans="2:50" ht="14.5">
      <c r="B63" s="68" t="s">
        <v>839</v>
      </c>
      <c r="C63" s="68" t="s">
        <v>5969</v>
      </c>
      <c r="D63" s="68" t="s">
        <v>842</v>
      </c>
      <c r="E63" s="68" t="s">
        <v>120</v>
      </c>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row>
    <row r="64" spans="2:50" ht="14.5">
      <c r="B64" s="68" t="s">
        <v>845</v>
      </c>
      <c r="C64" s="68" t="s">
        <v>5970</v>
      </c>
      <c r="D64" s="68" t="s">
        <v>560</v>
      </c>
      <c r="E64" s="68" t="s">
        <v>146</v>
      </c>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c r="AJ64" s="68"/>
      <c r="AK64" s="68"/>
      <c r="AL64" s="68"/>
      <c r="AM64" s="68"/>
      <c r="AN64" s="68"/>
      <c r="AO64" s="68"/>
      <c r="AP64" s="68"/>
      <c r="AQ64" s="68"/>
      <c r="AR64" s="68"/>
      <c r="AS64" s="68"/>
      <c r="AT64" s="68"/>
      <c r="AU64" s="68"/>
      <c r="AV64" s="68"/>
      <c r="AW64" s="68"/>
      <c r="AX64" s="68"/>
    </row>
    <row r="65" spans="2:50" ht="14.5">
      <c r="B65" s="68" t="s">
        <v>848</v>
      </c>
      <c r="C65" s="68" t="s">
        <v>5971</v>
      </c>
      <c r="D65" s="68" t="s">
        <v>654</v>
      </c>
      <c r="E65" s="68" t="s">
        <v>184</v>
      </c>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row>
    <row r="66" spans="2:50" ht="14.5">
      <c r="B66" s="68" t="s">
        <v>853</v>
      </c>
      <c r="C66" s="68" t="s">
        <v>5972</v>
      </c>
      <c r="D66" s="68" t="s">
        <v>842</v>
      </c>
      <c r="E66" s="68" t="s">
        <v>231</v>
      </c>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row>
    <row r="67" spans="2:50" ht="14.5">
      <c r="B67" s="68" t="s">
        <v>861</v>
      </c>
      <c r="C67" s="68" t="s">
        <v>5973</v>
      </c>
      <c r="D67" s="68" t="s">
        <v>864</v>
      </c>
      <c r="E67" s="68" t="s">
        <v>89</v>
      </c>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row>
    <row r="68" spans="2:50" ht="14.5">
      <c r="B68" s="68" t="s">
        <v>868</v>
      </c>
      <c r="C68" s="68" t="s">
        <v>5917</v>
      </c>
      <c r="D68" s="68" t="s">
        <v>555</v>
      </c>
      <c r="E68" s="68" t="s">
        <v>277</v>
      </c>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row>
    <row r="69" spans="2:50" ht="14.5">
      <c r="B69" s="68" t="s">
        <v>2000</v>
      </c>
      <c r="C69" s="68" t="s">
        <v>5974</v>
      </c>
      <c r="D69" s="68" t="s">
        <v>875</v>
      </c>
      <c r="E69" s="68" t="s">
        <v>876</v>
      </c>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c r="AJ69" s="68"/>
      <c r="AK69" s="68"/>
      <c r="AL69" s="68"/>
      <c r="AM69" s="68"/>
      <c r="AN69" s="68"/>
      <c r="AO69" s="68"/>
      <c r="AP69" s="68"/>
      <c r="AQ69" s="68"/>
      <c r="AR69" s="68"/>
      <c r="AS69" s="68"/>
      <c r="AT69" s="68"/>
      <c r="AU69" s="68"/>
      <c r="AV69" s="68"/>
      <c r="AW69" s="68"/>
      <c r="AX69" s="68"/>
    </row>
    <row r="70" spans="2:50" ht="14.5">
      <c r="B70" s="68" t="s">
        <v>880</v>
      </c>
      <c r="C70" s="68" t="s">
        <v>5975</v>
      </c>
      <c r="D70" s="68" t="s">
        <v>875</v>
      </c>
      <c r="E70" s="68" t="s">
        <v>184</v>
      </c>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row>
    <row r="71" spans="2:50" ht="14.5">
      <c r="B71" s="68" t="s">
        <v>885</v>
      </c>
      <c r="C71" s="68" t="s">
        <v>5976</v>
      </c>
      <c r="D71" s="68" t="s">
        <v>875</v>
      </c>
      <c r="E71" s="68" t="s">
        <v>204</v>
      </c>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row>
    <row r="72" spans="2:50" ht="14.5">
      <c r="B72" s="68" t="s">
        <v>891</v>
      </c>
      <c r="C72" s="68" t="s">
        <v>5977</v>
      </c>
      <c r="D72" s="68" t="s">
        <v>875</v>
      </c>
      <c r="E72" s="68" t="s">
        <v>89</v>
      </c>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c r="AJ72" s="68"/>
      <c r="AK72" s="68"/>
      <c r="AL72" s="68"/>
      <c r="AM72" s="68"/>
      <c r="AN72" s="68"/>
      <c r="AO72" s="68"/>
      <c r="AP72" s="68"/>
      <c r="AQ72" s="68"/>
      <c r="AR72" s="68"/>
      <c r="AS72" s="68"/>
      <c r="AT72" s="68"/>
      <c r="AU72" s="68"/>
      <c r="AV72" s="68"/>
      <c r="AW72" s="68"/>
      <c r="AX72" s="68"/>
    </row>
    <row r="73" spans="2:50" ht="14.5">
      <c r="B73" s="68" t="s">
        <v>897</v>
      </c>
      <c r="C73" s="68" t="s">
        <v>5978</v>
      </c>
      <c r="D73" s="68" t="s">
        <v>875</v>
      </c>
      <c r="E73" s="68" t="s">
        <v>525</v>
      </c>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c r="AJ73" s="68"/>
      <c r="AK73" s="68"/>
      <c r="AL73" s="68"/>
      <c r="AM73" s="68"/>
      <c r="AN73" s="68"/>
      <c r="AO73" s="68"/>
      <c r="AP73" s="68"/>
      <c r="AQ73" s="68"/>
      <c r="AR73" s="68"/>
      <c r="AS73" s="68"/>
      <c r="AT73" s="68"/>
      <c r="AU73" s="68"/>
      <c r="AV73" s="68"/>
      <c r="AW73" s="68"/>
      <c r="AX73" s="68"/>
    </row>
    <row r="74" spans="2:50" ht="14.5">
      <c r="B74" s="68" t="s">
        <v>266</v>
      </c>
      <c r="C74" s="68" t="s">
        <v>5979</v>
      </c>
      <c r="D74" s="68" t="s">
        <v>5923</v>
      </c>
      <c r="E74" s="68" t="s">
        <v>5924</v>
      </c>
      <c r="F74" s="68" t="s">
        <v>5925</v>
      </c>
      <c r="G74" s="68" t="s">
        <v>5926</v>
      </c>
      <c r="H74" s="68" t="s">
        <v>5927</v>
      </c>
      <c r="I74" s="68" t="s">
        <v>5928</v>
      </c>
      <c r="J74" s="68" t="s">
        <v>5929</v>
      </c>
      <c r="K74" s="68" t="s">
        <v>5944</v>
      </c>
      <c r="L74" s="68" t="s">
        <v>5932</v>
      </c>
      <c r="M74" s="68" t="s">
        <v>5933</v>
      </c>
      <c r="N74" s="68" t="s">
        <v>5980</v>
      </c>
      <c r="O74" s="68" t="s">
        <v>5955</v>
      </c>
      <c r="P74" s="68" t="s">
        <v>5981</v>
      </c>
      <c r="Q74" s="68" t="s">
        <v>5982</v>
      </c>
      <c r="R74" s="68" t="s">
        <v>5983</v>
      </c>
      <c r="S74" s="68" t="s">
        <v>5984</v>
      </c>
      <c r="T74" s="68" t="s">
        <v>5985</v>
      </c>
      <c r="U74" s="68" t="s">
        <v>5986</v>
      </c>
      <c r="V74" s="68" t="s">
        <v>5932</v>
      </c>
      <c r="W74" s="68" t="s">
        <v>5987</v>
      </c>
      <c r="X74" s="68" t="s">
        <v>5955</v>
      </c>
      <c r="Y74" s="68" t="s">
        <v>5988</v>
      </c>
      <c r="Z74" s="68" t="s">
        <v>5989</v>
      </c>
      <c r="AA74" s="68" t="s">
        <v>5943</v>
      </c>
      <c r="AB74" s="68" t="s">
        <v>5929</v>
      </c>
      <c r="AC74" s="68" t="s">
        <v>5990</v>
      </c>
      <c r="AD74" s="68" t="s">
        <v>5932</v>
      </c>
      <c r="AE74" s="68" t="s">
        <v>5939</v>
      </c>
      <c r="AF74" s="68" t="s">
        <v>5991</v>
      </c>
      <c r="AG74" s="68" t="s">
        <v>5926</v>
      </c>
      <c r="AH74" s="68" t="s">
        <v>5992</v>
      </c>
      <c r="AI74" s="68" t="s">
        <v>5993</v>
      </c>
      <c r="AJ74" s="68" t="s">
        <v>271</v>
      </c>
      <c r="AK74" s="68"/>
      <c r="AL74" s="68"/>
      <c r="AM74" s="68"/>
      <c r="AN74" s="68"/>
      <c r="AO74" s="68"/>
      <c r="AP74" s="68"/>
      <c r="AQ74" s="68"/>
      <c r="AR74" s="68"/>
      <c r="AS74" s="68"/>
      <c r="AT74" s="68"/>
      <c r="AU74" s="68"/>
      <c r="AV74" s="68"/>
      <c r="AW74" s="68"/>
      <c r="AX74" s="68"/>
    </row>
    <row r="75" spans="2:50" ht="14.5">
      <c r="B75" s="68" t="s">
        <v>903</v>
      </c>
      <c r="C75" s="68" t="s">
        <v>5994</v>
      </c>
      <c r="D75" s="68" t="s">
        <v>276</v>
      </c>
      <c r="E75" s="68" t="s">
        <v>503</v>
      </c>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c r="AJ75" s="68"/>
      <c r="AK75" s="68"/>
      <c r="AL75" s="68"/>
      <c r="AM75" s="68"/>
      <c r="AN75" s="68"/>
      <c r="AO75" s="68"/>
      <c r="AP75" s="68"/>
      <c r="AQ75" s="68"/>
      <c r="AR75" s="68"/>
      <c r="AS75" s="68"/>
      <c r="AT75" s="68"/>
      <c r="AU75" s="68"/>
      <c r="AV75" s="68"/>
      <c r="AW75" s="68"/>
      <c r="AX75" s="68"/>
    </row>
    <row r="76" spans="2:50" ht="14.5">
      <c r="B76" s="68" t="s">
        <v>280</v>
      </c>
      <c r="C76" s="68" t="s">
        <v>5995</v>
      </c>
      <c r="D76" s="68" t="s">
        <v>5923</v>
      </c>
      <c r="E76" s="68" t="s">
        <v>5924</v>
      </c>
      <c r="F76" s="68" t="s">
        <v>5925</v>
      </c>
      <c r="G76" s="68" t="s">
        <v>5926</v>
      </c>
      <c r="H76" s="68" t="s">
        <v>5927</v>
      </c>
      <c r="I76" s="68" t="s">
        <v>5928</v>
      </c>
      <c r="J76" s="68" t="s">
        <v>5929</v>
      </c>
      <c r="K76" s="68" t="s">
        <v>5996</v>
      </c>
      <c r="L76" s="68" t="s">
        <v>5932</v>
      </c>
      <c r="M76" s="68" t="s">
        <v>5933</v>
      </c>
      <c r="N76" s="68" t="s">
        <v>5955</v>
      </c>
      <c r="O76" s="68" t="s">
        <v>5997</v>
      </c>
      <c r="P76" s="68" t="s">
        <v>5935</v>
      </c>
      <c r="Q76" s="68" t="s">
        <v>5998</v>
      </c>
      <c r="R76" s="68" t="s">
        <v>5955</v>
      </c>
      <c r="S76" s="68" t="s">
        <v>5999</v>
      </c>
      <c r="T76" s="68" t="s">
        <v>6000</v>
      </c>
      <c r="U76" s="68" t="s">
        <v>6001</v>
      </c>
      <c r="V76" s="68" t="s">
        <v>5932</v>
      </c>
      <c r="W76" s="68" t="s">
        <v>5987</v>
      </c>
      <c r="X76" s="68" t="s">
        <v>5955</v>
      </c>
      <c r="Y76" s="68" t="s">
        <v>6002</v>
      </c>
      <c r="Z76" s="68" t="s">
        <v>6003</v>
      </c>
      <c r="AA76" s="68" t="s">
        <v>5943</v>
      </c>
      <c r="AB76" s="68" t="s">
        <v>5929</v>
      </c>
      <c r="AC76" s="68" t="s">
        <v>6004</v>
      </c>
      <c r="AD76" s="68" t="s">
        <v>6005</v>
      </c>
      <c r="AE76" s="68" t="s">
        <v>184</v>
      </c>
      <c r="AF76" s="68"/>
      <c r="AG76" s="68"/>
      <c r="AH76" s="68"/>
      <c r="AI76" s="68"/>
      <c r="AJ76" s="68"/>
      <c r="AK76" s="68"/>
      <c r="AL76" s="68"/>
      <c r="AM76" s="68"/>
      <c r="AN76" s="68"/>
      <c r="AO76" s="68"/>
      <c r="AP76" s="68"/>
      <c r="AQ76" s="68"/>
      <c r="AR76" s="68"/>
      <c r="AS76" s="68"/>
      <c r="AT76" s="68"/>
      <c r="AU76" s="68"/>
      <c r="AV76" s="68"/>
      <c r="AW76" s="68"/>
      <c r="AX76" s="68"/>
    </row>
    <row r="77" spans="2:50" ht="14.5">
      <c r="B77" s="68" t="s">
        <v>273</v>
      </c>
      <c r="C77" s="68" t="s">
        <v>6006</v>
      </c>
      <c r="D77" s="68" t="s">
        <v>5923</v>
      </c>
      <c r="E77" s="68" t="s">
        <v>5924</v>
      </c>
      <c r="F77" s="68" t="s">
        <v>5925</v>
      </c>
      <c r="G77" s="68" t="s">
        <v>5926</v>
      </c>
      <c r="H77" s="68" t="s">
        <v>5927</v>
      </c>
      <c r="I77" s="68" t="s">
        <v>5928</v>
      </c>
      <c r="J77" s="68" t="s">
        <v>5955</v>
      </c>
      <c r="K77" s="68" t="s">
        <v>6007</v>
      </c>
      <c r="L77" s="68" t="s">
        <v>6008</v>
      </c>
      <c r="M77" s="68" t="s">
        <v>5935</v>
      </c>
      <c r="N77" s="68" t="s">
        <v>5998</v>
      </c>
      <c r="O77" s="68" t="s">
        <v>5955</v>
      </c>
      <c r="P77" s="68" t="s">
        <v>5999</v>
      </c>
      <c r="Q77" s="68" t="s">
        <v>5984</v>
      </c>
      <c r="R77" s="68" t="s">
        <v>6009</v>
      </c>
      <c r="S77" s="68" t="s">
        <v>6010</v>
      </c>
      <c r="T77" s="68" t="s">
        <v>5939</v>
      </c>
      <c r="U77" s="68" t="s">
        <v>6011</v>
      </c>
      <c r="V77" s="68" t="s">
        <v>5943</v>
      </c>
      <c r="W77" s="68" t="s">
        <v>5929</v>
      </c>
      <c r="X77" s="68" t="s">
        <v>6012</v>
      </c>
      <c r="Y77" s="68" t="s">
        <v>6005</v>
      </c>
      <c r="Z77" s="68" t="s">
        <v>277</v>
      </c>
      <c r="AA77" s="68"/>
      <c r="AB77" s="68"/>
      <c r="AC77" s="68"/>
      <c r="AD77" s="68"/>
      <c r="AE77" s="68"/>
      <c r="AF77" s="68"/>
      <c r="AG77" s="68"/>
      <c r="AH77" s="68"/>
      <c r="AI77" s="68"/>
      <c r="AJ77" s="68"/>
      <c r="AK77" s="68"/>
      <c r="AL77" s="68"/>
      <c r="AM77" s="68"/>
      <c r="AN77" s="68"/>
      <c r="AO77" s="68"/>
      <c r="AP77" s="68"/>
      <c r="AQ77" s="68"/>
      <c r="AR77" s="68"/>
      <c r="AS77" s="68"/>
      <c r="AT77" s="68"/>
      <c r="AU77" s="68"/>
      <c r="AV77" s="68"/>
      <c r="AW77" s="68"/>
      <c r="AX77" s="68"/>
    </row>
    <row r="78" spans="2:50" ht="14.5">
      <c r="B78" s="68" t="s">
        <v>285</v>
      </c>
      <c r="C78" s="68" t="s">
        <v>6013</v>
      </c>
      <c r="D78" s="68" t="s">
        <v>5923</v>
      </c>
      <c r="E78" s="68" t="s">
        <v>5924</v>
      </c>
      <c r="F78" s="68" t="s">
        <v>5925</v>
      </c>
      <c r="G78" s="68" t="s">
        <v>5926</v>
      </c>
      <c r="H78" s="68" t="s">
        <v>5927</v>
      </c>
      <c r="I78" s="68" t="s">
        <v>5954</v>
      </c>
      <c r="J78" s="68" t="s">
        <v>5929</v>
      </c>
      <c r="K78" s="68" t="s">
        <v>6014</v>
      </c>
      <c r="L78" s="68" t="s">
        <v>5944</v>
      </c>
      <c r="M78" s="68" t="s">
        <v>5933</v>
      </c>
      <c r="N78" s="68" t="s">
        <v>5955</v>
      </c>
      <c r="O78" s="68" t="s">
        <v>5999</v>
      </c>
      <c r="P78" s="68" t="s">
        <v>5928</v>
      </c>
      <c r="Q78" s="68" t="s">
        <v>5955</v>
      </c>
      <c r="R78" s="68" t="s">
        <v>6007</v>
      </c>
      <c r="S78" s="68" t="s">
        <v>5935</v>
      </c>
      <c r="T78" s="68" t="s">
        <v>6015</v>
      </c>
      <c r="U78" s="68" t="s">
        <v>6016</v>
      </c>
      <c r="V78" s="68" t="s">
        <v>6017</v>
      </c>
      <c r="W78" s="68" t="s">
        <v>5999</v>
      </c>
      <c r="X78" s="68" t="s">
        <v>6018</v>
      </c>
      <c r="Y78" s="68" t="s">
        <v>6019</v>
      </c>
      <c r="Z78" s="68" t="s">
        <v>6020</v>
      </c>
      <c r="AA78" s="68" t="s">
        <v>6021</v>
      </c>
      <c r="AB78" s="68" t="s">
        <v>6022</v>
      </c>
      <c r="AC78" s="68" t="s">
        <v>5929</v>
      </c>
      <c r="AD78" s="68" t="s">
        <v>6023</v>
      </c>
      <c r="AE78" s="68" t="s">
        <v>6024</v>
      </c>
      <c r="AF78" s="68" t="s">
        <v>5929</v>
      </c>
      <c r="AG78" s="68" t="s">
        <v>6025</v>
      </c>
      <c r="AH78" s="68" t="s">
        <v>6026</v>
      </c>
      <c r="AI78" s="68" t="s">
        <v>288</v>
      </c>
      <c r="AJ78" s="68"/>
      <c r="AK78" s="68"/>
      <c r="AL78" s="68"/>
      <c r="AM78" s="68"/>
      <c r="AN78" s="68"/>
      <c r="AO78" s="68"/>
      <c r="AP78" s="68"/>
      <c r="AQ78" s="68"/>
      <c r="AR78" s="68"/>
      <c r="AS78" s="68"/>
      <c r="AT78" s="68"/>
      <c r="AU78" s="68"/>
      <c r="AV78" s="68"/>
      <c r="AW78" s="68"/>
      <c r="AX78" s="68"/>
    </row>
    <row r="79" spans="2:50" ht="14.5">
      <c r="B79" s="68" t="s">
        <v>258</v>
      </c>
      <c r="C79" s="68" t="s">
        <v>6027</v>
      </c>
      <c r="D79" s="68" t="s">
        <v>5923</v>
      </c>
      <c r="E79" s="68" t="s">
        <v>5924</v>
      </c>
      <c r="F79" s="68" t="s">
        <v>5925</v>
      </c>
      <c r="G79" s="68" t="s">
        <v>5926</v>
      </c>
      <c r="H79" s="68" t="s">
        <v>5927</v>
      </c>
      <c r="I79" s="68" t="s">
        <v>5928</v>
      </c>
      <c r="J79" s="68" t="s">
        <v>5929</v>
      </c>
      <c r="K79" s="68" t="s">
        <v>5953</v>
      </c>
      <c r="L79" s="68" t="s">
        <v>5932</v>
      </c>
      <c r="M79" s="68" t="s">
        <v>5933</v>
      </c>
      <c r="N79" s="68" t="s">
        <v>5955</v>
      </c>
      <c r="O79" s="68" t="s">
        <v>6007</v>
      </c>
      <c r="P79" s="68" t="s">
        <v>5935</v>
      </c>
      <c r="Q79" s="68" t="s">
        <v>5998</v>
      </c>
      <c r="R79" s="68" t="s">
        <v>5955</v>
      </c>
      <c r="S79" s="68" t="s">
        <v>5999</v>
      </c>
      <c r="T79" s="68" t="s">
        <v>6028</v>
      </c>
      <c r="U79" s="68" t="s">
        <v>5987</v>
      </c>
      <c r="V79" s="68" t="s">
        <v>5955</v>
      </c>
      <c r="W79" s="68" t="s">
        <v>6002</v>
      </c>
      <c r="X79" s="68" t="s">
        <v>6003</v>
      </c>
      <c r="Y79" s="68" t="s">
        <v>5943</v>
      </c>
      <c r="Z79" s="68" t="s">
        <v>5929</v>
      </c>
      <c r="AA79" s="68" t="s">
        <v>5953</v>
      </c>
      <c r="AB79" s="68" t="s">
        <v>6029</v>
      </c>
      <c r="AC79" s="68" t="s">
        <v>262</v>
      </c>
      <c r="AD79" s="68"/>
      <c r="AE79" s="68"/>
      <c r="AF79" s="68"/>
      <c r="AG79" s="68"/>
      <c r="AH79" s="68"/>
      <c r="AI79" s="68"/>
      <c r="AJ79" s="68"/>
      <c r="AK79" s="68"/>
      <c r="AL79" s="68"/>
      <c r="AM79" s="68"/>
      <c r="AN79" s="68"/>
      <c r="AO79" s="68"/>
      <c r="AP79" s="68"/>
      <c r="AQ79" s="68"/>
      <c r="AR79" s="68"/>
      <c r="AS79" s="68"/>
      <c r="AT79" s="68"/>
      <c r="AU79" s="68"/>
      <c r="AV79" s="68"/>
      <c r="AW79" s="68"/>
      <c r="AX79" s="68"/>
    </row>
    <row r="80" spans="2:50" ht="14.5">
      <c r="B80" s="68" t="s">
        <v>290</v>
      </c>
      <c r="C80" s="68" t="s">
        <v>6030</v>
      </c>
      <c r="D80" s="68" t="s">
        <v>276</v>
      </c>
      <c r="E80" s="68" t="s">
        <v>6031</v>
      </c>
      <c r="F80" s="68" t="s">
        <v>6032</v>
      </c>
      <c r="G80" s="68" t="s">
        <v>5924</v>
      </c>
      <c r="H80" s="68" t="s">
        <v>5925</v>
      </c>
      <c r="I80" s="68" t="s">
        <v>5926</v>
      </c>
      <c r="J80" s="68" t="s">
        <v>5927</v>
      </c>
      <c r="K80" s="68" t="s">
        <v>5928</v>
      </c>
      <c r="L80" s="68" t="s">
        <v>5929</v>
      </c>
      <c r="M80" s="68" t="s">
        <v>5944</v>
      </c>
      <c r="N80" s="68" t="s">
        <v>5932</v>
      </c>
      <c r="O80" s="68" t="s">
        <v>5933</v>
      </c>
      <c r="P80" s="68" t="s">
        <v>5955</v>
      </c>
      <c r="Q80" s="68" t="s">
        <v>6033</v>
      </c>
      <c r="R80" s="68" t="s">
        <v>6008</v>
      </c>
      <c r="S80" s="68" t="s">
        <v>6034</v>
      </c>
      <c r="T80" s="68" t="s">
        <v>6015</v>
      </c>
      <c r="U80" s="68" t="s">
        <v>6016</v>
      </c>
      <c r="V80" s="68" t="s">
        <v>5955</v>
      </c>
      <c r="W80" s="68" t="s">
        <v>6035</v>
      </c>
      <c r="X80" s="68" t="s">
        <v>5999</v>
      </c>
      <c r="Y80" s="68" t="s">
        <v>6036</v>
      </c>
      <c r="Z80" s="68" t="s">
        <v>6037</v>
      </c>
      <c r="AA80" s="68" t="s">
        <v>5934</v>
      </c>
      <c r="AB80" s="68" t="s">
        <v>6038</v>
      </c>
      <c r="AC80" s="68" t="s">
        <v>6039</v>
      </c>
      <c r="AD80" s="68" t="s">
        <v>5986</v>
      </c>
      <c r="AE80" s="68" t="s">
        <v>5932</v>
      </c>
      <c r="AF80" s="68" t="s">
        <v>5985</v>
      </c>
      <c r="AG80" s="68" t="s">
        <v>6040</v>
      </c>
      <c r="AH80" s="68" t="s">
        <v>5955</v>
      </c>
      <c r="AI80" s="68" t="s">
        <v>6041</v>
      </c>
      <c r="AJ80" s="68" t="s">
        <v>5933</v>
      </c>
      <c r="AK80" s="68" t="s">
        <v>6042</v>
      </c>
      <c r="AL80" s="68" t="s">
        <v>6043</v>
      </c>
      <c r="AM80" s="68"/>
      <c r="AN80" s="68"/>
      <c r="AO80" s="68"/>
      <c r="AP80" s="68"/>
      <c r="AQ80" s="68"/>
      <c r="AR80" s="68"/>
      <c r="AS80" s="68"/>
      <c r="AT80" s="68"/>
      <c r="AU80" s="68"/>
      <c r="AV80" s="68"/>
      <c r="AW80" s="68"/>
      <c r="AX80" s="68"/>
    </row>
    <row r="81" spans="2:50" ht="14.5">
      <c r="B81" s="68" t="s">
        <v>2310</v>
      </c>
      <c r="C81" s="68" t="s">
        <v>6044</v>
      </c>
      <c r="D81" s="68" t="s">
        <v>301</v>
      </c>
      <c r="E81" s="68" t="s">
        <v>792</v>
      </c>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c r="AJ81" s="68"/>
      <c r="AK81" s="68"/>
      <c r="AL81" s="68"/>
      <c r="AM81" s="68"/>
      <c r="AN81" s="68"/>
      <c r="AO81" s="68"/>
      <c r="AP81" s="68"/>
      <c r="AQ81" s="68"/>
      <c r="AR81" s="68"/>
      <c r="AS81" s="68"/>
      <c r="AT81" s="68"/>
      <c r="AU81" s="68"/>
      <c r="AV81" s="68"/>
      <c r="AW81" s="68"/>
      <c r="AX81" s="68"/>
    </row>
    <row r="82" spans="2:50" ht="14.5">
      <c r="B82" s="68" t="s">
        <v>2311</v>
      </c>
      <c r="C82" s="68" t="s">
        <v>6045</v>
      </c>
      <c r="D82" s="68" t="s">
        <v>301</v>
      </c>
      <c r="E82" s="68" t="s">
        <v>302</v>
      </c>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row>
    <row r="83" spans="2:50" ht="14.5">
      <c r="B83" s="68" t="s">
        <v>304</v>
      </c>
      <c r="C83" s="68" t="s">
        <v>6046</v>
      </c>
      <c r="D83" s="68" t="s">
        <v>5923</v>
      </c>
      <c r="E83" s="68" t="s">
        <v>5924</v>
      </c>
      <c r="F83" s="68" t="s">
        <v>5925</v>
      </c>
      <c r="G83" s="68" t="s">
        <v>5926</v>
      </c>
      <c r="H83" s="68" t="s">
        <v>5927</v>
      </c>
      <c r="I83" s="68" t="s">
        <v>5928</v>
      </c>
      <c r="J83" s="68" t="s">
        <v>5929</v>
      </c>
      <c r="K83" s="68" t="s">
        <v>5990</v>
      </c>
      <c r="L83" s="68" t="s">
        <v>5932</v>
      </c>
      <c r="M83" s="68" t="s">
        <v>5933</v>
      </c>
      <c r="N83" s="68" t="s">
        <v>5955</v>
      </c>
      <c r="O83" s="68" t="s">
        <v>6047</v>
      </c>
      <c r="P83" s="68" t="s">
        <v>6008</v>
      </c>
      <c r="Q83" s="68" t="s">
        <v>5935</v>
      </c>
      <c r="R83" s="68" t="s">
        <v>5998</v>
      </c>
      <c r="S83" s="68" t="s">
        <v>5955</v>
      </c>
      <c r="T83" s="68" t="s">
        <v>5999</v>
      </c>
      <c r="U83" s="68" t="s">
        <v>6048</v>
      </c>
      <c r="V83" s="68" t="s">
        <v>5929</v>
      </c>
      <c r="W83" s="68" t="s">
        <v>6049</v>
      </c>
      <c r="X83" s="68" t="s">
        <v>6015</v>
      </c>
      <c r="Y83" s="68" t="s">
        <v>5943</v>
      </c>
      <c r="Z83" s="68" t="s">
        <v>5929</v>
      </c>
      <c r="AA83" s="68" t="s">
        <v>6050</v>
      </c>
      <c r="AB83" s="68" t="s">
        <v>6036</v>
      </c>
      <c r="AC83" s="68" t="s">
        <v>6051</v>
      </c>
      <c r="AD83" s="68" t="s">
        <v>5933</v>
      </c>
      <c r="AE83" s="68" t="s">
        <v>6019</v>
      </c>
      <c r="AF83" s="68" t="s">
        <v>5928</v>
      </c>
      <c r="AG83" s="68" t="s">
        <v>5929</v>
      </c>
      <c r="AH83" s="68" t="s">
        <v>6052</v>
      </c>
      <c r="AI83" s="68" t="s">
        <v>271</v>
      </c>
      <c r="AJ83" s="68"/>
      <c r="AK83" s="68"/>
      <c r="AL83" s="68"/>
      <c r="AM83" s="68"/>
      <c r="AN83" s="68"/>
      <c r="AO83" s="68"/>
      <c r="AP83" s="68"/>
      <c r="AQ83" s="68"/>
      <c r="AR83" s="68"/>
      <c r="AS83" s="68"/>
      <c r="AT83" s="68"/>
      <c r="AU83" s="68"/>
      <c r="AV83" s="68"/>
      <c r="AW83" s="68"/>
      <c r="AX83" s="68"/>
    </row>
    <row r="84" spans="2:50" ht="14.5">
      <c r="B84" s="68" t="s">
        <v>914</v>
      </c>
      <c r="C84" s="68" t="s">
        <v>6053</v>
      </c>
      <c r="D84" s="68" t="s">
        <v>301</v>
      </c>
      <c r="E84" s="68" t="s">
        <v>550</v>
      </c>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c r="AJ84" s="68"/>
      <c r="AK84" s="68"/>
      <c r="AL84" s="68"/>
      <c r="AM84" s="68"/>
      <c r="AN84" s="68"/>
      <c r="AO84" s="68"/>
      <c r="AP84" s="68"/>
      <c r="AQ84" s="68"/>
      <c r="AR84" s="68"/>
      <c r="AS84" s="68"/>
      <c r="AT84" s="68"/>
      <c r="AU84" s="68"/>
      <c r="AV84" s="68"/>
      <c r="AW84" s="68"/>
      <c r="AX84" s="68"/>
    </row>
    <row r="85" spans="2:50" ht="14.5">
      <c r="B85" s="68" t="s">
        <v>921</v>
      </c>
      <c r="C85" s="68" t="s">
        <v>6054</v>
      </c>
      <c r="D85" s="68" t="s">
        <v>924</v>
      </c>
      <c r="E85" s="68" t="s">
        <v>925</v>
      </c>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c r="AJ85" s="68"/>
      <c r="AK85" s="68"/>
      <c r="AL85" s="68"/>
      <c r="AM85" s="68"/>
      <c r="AN85" s="68"/>
      <c r="AO85" s="68"/>
      <c r="AP85" s="68"/>
      <c r="AQ85" s="68"/>
      <c r="AR85" s="68"/>
      <c r="AS85" s="68"/>
      <c r="AT85" s="68"/>
      <c r="AU85" s="68"/>
      <c r="AV85" s="68"/>
      <c r="AW85" s="68"/>
      <c r="AX85" s="68"/>
    </row>
    <row r="86" spans="2:50" ht="14.5">
      <c r="B86" s="68" t="s">
        <v>929</v>
      </c>
      <c r="C86" s="68" t="s">
        <v>6055</v>
      </c>
      <c r="D86" s="68" t="s">
        <v>924</v>
      </c>
      <c r="E86" s="68" t="s">
        <v>876</v>
      </c>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c r="AJ86" s="68"/>
      <c r="AK86" s="68"/>
      <c r="AL86" s="68"/>
      <c r="AM86" s="68"/>
      <c r="AN86" s="68"/>
      <c r="AO86" s="68"/>
      <c r="AP86" s="68"/>
      <c r="AQ86" s="68"/>
      <c r="AR86" s="68"/>
      <c r="AS86" s="68"/>
      <c r="AT86" s="68"/>
      <c r="AU86" s="68"/>
      <c r="AV86" s="68"/>
      <c r="AW86" s="68"/>
      <c r="AX86" s="68"/>
    </row>
    <row r="87" spans="2:50" ht="14.5">
      <c r="B87" s="68" t="s">
        <v>933</v>
      </c>
      <c r="C87" s="68" t="s">
        <v>6056</v>
      </c>
      <c r="D87" s="68" t="s">
        <v>924</v>
      </c>
      <c r="E87" s="68" t="s">
        <v>936</v>
      </c>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c r="AJ87" s="68"/>
      <c r="AK87" s="68"/>
      <c r="AL87" s="68"/>
      <c r="AM87" s="68"/>
      <c r="AN87" s="68"/>
      <c r="AO87" s="68"/>
      <c r="AP87" s="68"/>
      <c r="AQ87" s="68"/>
      <c r="AR87" s="68"/>
      <c r="AS87" s="68"/>
      <c r="AT87" s="68"/>
      <c r="AU87" s="68"/>
      <c r="AV87" s="68"/>
      <c r="AW87" s="68"/>
      <c r="AX87" s="68"/>
    </row>
    <row r="88" spans="2:50" ht="14.5">
      <c r="B88" s="68" t="s">
        <v>939</v>
      </c>
      <c r="C88" s="68" t="s">
        <v>6057</v>
      </c>
      <c r="D88" s="68" t="s">
        <v>924</v>
      </c>
      <c r="E88" s="68" t="s">
        <v>302</v>
      </c>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c r="AJ88" s="68"/>
      <c r="AK88" s="68"/>
      <c r="AL88" s="68"/>
      <c r="AM88" s="68"/>
      <c r="AN88" s="68"/>
      <c r="AO88" s="68"/>
      <c r="AP88" s="68"/>
      <c r="AQ88" s="68"/>
      <c r="AR88" s="68"/>
      <c r="AS88" s="68"/>
      <c r="AT88" s="68"/>
      <c r="AU88" s="68"/>
      <c r="AV88" s="68"/>
      <c r="AW88" s="68"/>
      <c r="AX88" s="68"/>
    </row>
    <row r="89" spans="2:50" ht="14.5">
      <c r="B89" s="68" t="s">
        <v>944</v>
      </c>
      <c r="C89" s="68" t="s">
        <v>6054</v>
      </c>
      <c r="D89" s="68" t="s">
        <v>924</v>
      </c>
      <c r="E89" s="68" t="s">
        <v>213</v>
      </c>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c r="AJ89" s="68"/>
      <c r="AK89" s="68"/>
      <c r="AL89" s="68"/>
      <c r="AM89" s="68"/>
      <c r="AN89" s="68"/>
      <c r="AO89" s="68"/>
      <c r="AP89" s="68"/>
      <c r="AQ89" s="68"/>
      <c r="AR89" s="68"/>
      <c r="AS89" s="68"/>
      <c r="AT89" s="68"/>
      <c r="AU89" s="68"/>
      <c r="AV89" s="68"/>
      <c r="AW89" s="68"/>
      <c r="AX89" s="68"/>
    </row>
    <row r="90" spans="2:50" ht="14.5">
      <c r="B90" s="68" t="s">
        <v>948</v>
      </c>
      <c r="C90" s="68" t="s">
        <v>6058</v>
      </c>
      <c r="D90" s="68" t="s">
        <v>924</v>
      </c>
      <c r="E90" s="68" t="s">
        <v>951</v>
      </c>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c r="AJ90" s="68"/>
      <c r="AK90" s="68"/>
      <c r="AL90" s="68"/>
      <c r="AM90" s="68"/>
      <c r="AN90" s="68"/>
      <c r="AO90" s="68"/>
      <c r="AP90" s="68"/>
      <c r="AQ90" s="68"/>
      <c r="AR90" s="68"/>
      <c r="AS90" s="68"/>
      <c r="AT90" s="68"/>
      <c r="AU90" s="68"/>
      <c r="AV90" s="68"/>
      <c r="AW90" s="68"/>
      <c r="AX90" s="68"/>
    </row>
    <row r="91" spans="2:50" ht="14.5">
      <c r="B91" s="68" t="s">
        <v>955</v>
      </c>
      <c r="C91" s="68" t="s">
        <v>6059</v>
      </c>
      <c r="D91" s="68" t="s">
        <v>958</v>
      </c>
      <c r="E91" s="68" t="s">
        <v>363</v>
      </c>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c r="AJ91" s="68"/>
      <c r="AK91" s="68"/>
      <c r="AL91" s="68"/>
      <c r="AM91" s="68"/>
      <c r="AN91" s="68"/>
      <c r="AO91" s="68"/>
      <c r="AP91" s="68"/>
      <c r="AQ91" s="68"/>
      <c r="AR91" s="68"/>
      <c r="AS91" s="68"/>
      <c r="AT91" s="68"/>
      <c r="AU91" s="68"/>
      <c r="AV91" s="68"/>
      <c r="AW91" s="68"/>
      <c r="AX91" s="68"/>
    </row>
    <row r="92" spans="2:50" ht="14.5">
      <c r="B92" s="68" t="s">
        <v>385</v>
      </c>
      <c r="C92" s="68" t="s">
        <v>6060</v>
      </c>
      <c r="D92" s="68" t="s">
        <v>958</v>
      </c>
      <c r="E92" s="68" t="s">
        <v>876</v>
      </c>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c r="AJ92" s="68"/>
      <c r="AK92" s="68"/>
      <c r="AL92" s="68"/>
      <c r="AM92" s="68"/>
      <c r="AN92" s="68"/>
      <c r="AO92" s="68"/>
      <c r="AP92" s="68"/>
      <c r="AQ92" s="68"/>
      <c r="AR92" s="68"/>
      <c r="AS92" s="68"/>
      <c r="AT92" s="68"/>
      <c r="AU92" s="68"/>
      <c r="AV92" s="68"/>
      <c r="AW92" s="68"/>
      <c r="AX92" s="68"/>
    </row>
    <row r="93" spans="2:50" ht="14.5">
      <c r="B93" s="68" t="s">
        <v>395</v>
      </c>
      <c r="C93" s="68" t="s">
        <v>6061</v>
      </c>
      <c r="D93" s="68" t="s">
        <v>958</v>
      </c>
      <c r="E93" s="68" t="s">
        <v>67</v>
      </c>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c r="AJ93" s="68"/>
      <c r="AK93" s="68"/>
      <c r="AL93" s="68"/>
      <c r="AM93" s="68"/>
      <c r="AN93" s="68"/>
      <c r="AO93" s="68"/>
      <c r="AP93" s="68"/>
      <c r="AQ93" s="68"/>
      <c r="AR93" s="68"/>
      <c r="AS93" s="68"/>
      <c r="AT93" s="68"/>
      <c r="AU93" s="68"/>
      <c r="AV93" s="68"/>
      <c r="AW93" s="68"/>
      <c r="AX93" s="68"/>
    </row>
    <row r="94" spans="2:50" ht="14.5">
      <c r="B94" s="68" t="s">
        <v>403</v>
      </c>
      <c r="C94" s="68" t="s">
        <v>6062</v>
      </c>
      <c r="D94" s="68" t="s">
        <v>958</v>
      </c>
      <c r="E94" s="68" t="s">
        <v>248</v>
      </c>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c r="AJ94" s="68"/>
      <c r="AK94" s="68"/>
      <c r="AL94" s="68"/>
      <c r="AM94" s="68"/>
      <c r="AN94" s="68"/>
      <c r="AO94" s="68"/>
      <c r="AP94" s="68"/>
      <c r="AQ94" s="68"/>
      <c r="AR94" s="68"/>
      <c r="AS94" s="68"/>
      <c r="AT94" s="68"/>
      <c r="AU94" s="68"/>
      <c r="AV94" s="68"/>
      <c r="AW94" s="68"/>
      <c r="AX94" s="68"/>
    </row>
    <row r="95" spans="2:50" ht="14.5">
      <c r="B95" s="68" t="s">
        <v>411</v>
      </c>
      <c r="C95" s="68" t="s">
        <v>6063</v>
      </c>
      <c r="D95" s="68" t="s">
        <v>958</v>
      </c>
      <c r="E95" s="68" t="s">
        <v>496</v>
      </c>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c r="AJ95" s="68"/>
      <c r="AK95" s="68"/>
      <c r="AL95" s="68"/>
      <c r="AM95" s="68"/>
      <c r="AN95" s="68"/>
      <c r="AO95" s="68"/>
      <c r="AP95" s="68"/>
      <c r="AQ95" s="68"/>
      <c r="AR95" s="68"/>
      <c r="AS95" s="68"/>
      <c r="AT95" s="68"/>
      <c r="AU95" s="68"/>
      <c r="AV95" s="68"/>
      <c r="AW95" s="68"/>
      <c r="AX95" s="68"/>
    </row>
    <row r="96" spans="2:50" ht="14.5">
      <c r="B96" s="68" t="s">
        <v>418</v>
      </c>
      <c r="C96" s="68" t="s">
        <v>6064</v>
      </c>
      <c r="D96" s="68" t="s">
        <v>958</v>
      </c>
      <c r="E96" s="68" t="s">
        <v>569</v>
      </c>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c r="AJ96" s="68"/>
      <c r="AK96" s="68"/>
      <c r="AL96" s="68"/>
      <c r="AM96" s="68"/>
      <c r="AN96" s="68"/>
      <c r="AO96" s="68"/>
      <c r="AP96" s="68"/>
      <c r="AQ96" s="68"/>
      <c r="AR96" s="68"/>
      <c r="AS96" s="68"/>
      <c r="AT96" s="68"/>
      <c r="AU96" s="68"/>
      <c r="AV96" s="68"/>
      <c r="AW96" s="68"/>
      <c r="AX96" s="68"/>
    </row>
    <row r="97" spans="2:50" ht="14.5">
      <c r="B97" s="68" t="s">
        <v>428</v>
      </c>
      <c r="C97" s="68" t="s">
        <v>6065</v>
      </c>
      <c r="D97" s="68" t="s">
        <v>431</v>
      </c>
      <c r="E97" s="68" t="s">
        <v>503</v>
      </c>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c r="AJ97" s="68"/>
      <c r="AK97" s="68"/>
      <c r="AL97" s="68"/>
      <c r="AM97" s="68"/>
      <c r="AN97" s="68"/>
      <c r="AO97" s="68"/>
      <c r="AP97" s="68"/>
      <c r="AQ97" s="68"/>
      <c r="AR97" s="68"/>
      <c r="AS97" s="68"/>
      <c r="AT97" s="68"/>
      <c r="AU97" s="68"/>
      <c r="AV97" s="68"/>
      <c r="AW97" s="68"/>
      <c r="AX97" s="68"/>
    </row>
    <row r="98" spans="2:50" ht="14.5">
      <c r="B98" s="68" t="s">
        <v>437</v>
      </c>
      <c r="C98" s="68" t="s">
        <v>6066</v>
      </c>
      <c r="D98" s="68" t="s">
        <v>431</v>
      </c>
      <c r="E98" s="68" t="s">
        <v>792</v>
      </c>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c r="AJ98" s="68"/>
      <c r="AK98" s="68"/>
      <c r="AL98" s="68"/>
      <c r="AM98" s="68"/>
      <c r="AN98" s="68"/>
      <c r="AO98" s="68"/>
      <c r="AP98" s="68"/>
      <c r="AQ98" s="68"/>
      <c r="AR98" s="68"/>
      <c r="AS98" s="68"/>
      <c r="AT98" s="68"/>
      <c r="AU98" s="68"/>
      <c r="AV98" s="68"/>
      <c r="AW98" s="68"/>
      <c r="AX98" s="68"/>
    </row>
    <row r="99" spans="2:50" ht="14.5">
      <c r="B99" s="68" t="s">
        <v>445</v>
      </c>
      <c r="C99" s="68" t="s">
        <v>5974</v>
      </c>
      <c r="D99" s="68" t="s">
        <v>431</v>
      </c>
      <c r="E99" s="68" t="s">
        <v>184</v>
      </c>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c r="AJ99" s="68"/>
      <c r="AK99" s="68"/>
      <c r="AL99" s="68"/>
      <c r="AM99" s="68"/>
      <c r="AN99" s="68"/>
      <c r="AO99" s="68"/>
      <c r="AP99" s="68"/>
      <c r="AQ99" s="68"/>
      <c r="AR99" s="68"/>
      <c r="AS99" s="68"/>
      <c r="AT99" s="68"/>
      <c r="AU99" s="68"/>
      <c r="AV99" s="68"/>
      <c r="AW99" s="68"/>
      <c r="AX99" s="68"/>
    </row>
    <row r="100" spans="2:50" ht="14.5">
      <c r="B100" s="68" t="s">
        <v>452</v>
      </c>
      <c r="C100" s="68" t="s">
        <v>6067</v>
      </c>
      <c r="D100" s="68" t="s">
        <v>431</v>
      </c>
      <c r="E100" s="68" t="s">
        <v>342</v>
      </c>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c r="AJ100" s="68"/>
      <c r="AK100" s="68"/>
      <c r="AL100" s="68"/>
      <c r="AM100" s="68"/>
      <c r="AN100" s="68"/>
      <c r="AO100" s="68"/>
      <c r="AP100" s="68"/>
      <c r="AQ100" s="68"/>
      <c r="AR100" s="68"/>
      <c r="AS100" s="68"/>
      <c r="AT100" s="68"/>
      <c r="AU100" s="68"/>
      <c r="AV100" s="68"/>
      <c r="AW100" s="68"/>
      <c r="AX100" s="68"/>
    </row>
    <row r="101" spans="2:50" ht="14.5">
      <c r="B101" s="68" t="s">
        <v>464</v>
      </c>
      <c r="C101" s="68" t="s">
        <v>6068</v>
      </c>
      <c r="D101" s="68" t="s">
        <v>431</v>
      </c>
      <c r="E101" s="68" t="s">
        <v>248</v>
      </c>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row>
    <row r="102" spans="2:50" ht="14.5">
      <c r="B102" s="68" t="s">
        <v>961</v>
      </c>
      <c r="C102" s="68" t="s">
        <v>6069</v>
      </c>
      <c r="D102" s="68" t="s">
        <v>431</v>
      </c>
      <c r="E102" s="68" t="s">
        <v>590</v>
      </c>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c r="AJ102" s="68"/>
      <c r="AK102" s="68"/>
      <c r="AL102" s="68"/>
      <c r="AM102" s="68"/>
      <c r="AN102" s="68"/>
      <c r="AO102" s="68"/>
      <c r="AP102" s="68"/>
      <c r="AQ102" s="68"/>
      <c r="AR102" s="68"/>
      <c r="AS102" s="68"/>
      <c r="AT102" s="68"/>
      <c r="AU102" s="68"/>
      <c r="AV102" s="68"/>
      <c r="AW102" s="68"/>
      <c r="AX102" s="68"/>
    </row>
    <row r="103" spans="2:50" ht="14.5">
      <c r="B103" s="68" t="s">
        <v>966</v>
      </c>
      <c r="C103" s="68" t="s">
        <v>6070</v>
      </c>
      <c r="D103" s="68" t="s">
        <v>431</v>
      </c>
      <c r="E103" s="68" t="s">
        <v>969</v>
      </c>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c r="AJ103" s="68"/>
      <c r="AK103" s="68"/>
      <c r="AL103" s="68"/>
      <c r="AM103" s="68"/>
      <c r="AN103" s="68"/>
      <c r="AO103" s="68"/>
      <c r="AP103" s="68"/>
      <c r="AQ103" s="68"/>
      <c r="AR103" s="68"/>
      <c r="AS103" s="68"/>
      <c r="AT103" s="68"/>
      <c r="AU103" s="68"/>
      <c r="AV103" s="68"/>
      <c r="AW103" s="68"/>
      <c r="AX103" s="68"/>
    </row>
    <row r="104" spans="2:50" ht="14.5">
      <c r="B104" s="68" t="s">
        <v>972</v>
      </c>
      <c r="C104" s="68" t="s">
        <v>6054</v>
      </c>
      <c r="D104" s="68" t="s">
        <v>431</v>
      </c>
      <c r="E104" s="68" t="s">
        <v>976</v>
      </c>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c r="AJ104" s="68"/>
      <c r="AK104" s="68"/>
      <c r="AL104" s="68"/>
      <c r="AM104" s="68"/>
      <c r="AN104" s="68"/>
      <c r="AO104" s="68"/>
      <c r="AP104" s="68"/>
      <c r="AQ104" s="68"/>
      <c r="AR104" s="68"/>
      <c r="AS104" s="68"/>
      <c r="AT104" s="68"/>
      <c r="AU104" s="68"/>
      <c r="AV104" s="68"/>
      <c r="AW104" s="68"/>
      <c r="AX104" s="68"/>
    </row>
    <row r="105" spans="2:50" ht="14.5">
      <c r="B105" s="68" t="s">
        <v>979</v>
      </c>
      <c r="C105" s="68" t="s">
        <v>6071</v>
      </c>
      <c r="D105" s="68" t="s">
        <v>986</v>
      </c>
      <c r="E105" s="68" t="s">
        <v>925</v>
      </c>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row>
    <row r="106" spans="2:50" ht="14.5">
      <c r="B106" s="68" t="s">
        <v>983</v>
      </c>
      <c r="C106" s="68" t="s">
        <v>6072</v>
      </c>
      <c r="D106" s="68" t="s">
        <v>986</v>
      </c>
      <c r="E106" s="68" t="s">
        <v>99</v>
      </c>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c r="AJ106" s="68"/>
      <c r="AK106" s="68"/>
      <c r="AL106" s="68"/>
      <c r="AM106" s="68"/>
      <c r="AN106" s="68"/>
      <c r="AO106" s="68"/>
      <c r="AP106" s="68"/>
      <c r="AQ106" s="68"/>
      <c r="AR106" s="68"/>
      <c r="AS106" s="68"/>
      <c r="AT106" s="68"/>
      <c r="AU106" s="68"/>
      <c r="AV106" s="68"/>
      <c r="AW106" s="68"/>
      <c r="AX106" s="68"/>
    </row>
    <row r="107" spans="2:50" ht="14.5">
      <c r="B107" s="68" t="s">
        <v>989</v>
      </c>
      <c r="C107" s="68" t="s">
        <v>6073</v>
      </c>
      <c r="D107" s="68" t="s">
        <v>986</v>
      </c>
      <c r="E107" s="68" t="s">
        <v>240</v>
      </c>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c r="AJ107" s="68"/>
      <c r="AK107" s="68"/>
      <c r="AL107" s="68"/>
      <c r="AM107" s="68"/>
      <c r="AN107" s="68"/>
      <c r="AO107" s="68"/>
      <c r="AP107" s="68"/>
      <c r="AQ107" s="68"/>
      <c r="AR107" s="68"/>
      <c r="AS107" s="68"/>
      <c r="AT107" s="68"/>
      <c r="AU107" s="68"/>
      <c r="AV107" s="68"/>
      <c r="AW107" s="68"/>
      <c r="AX107" s="68"/>
    </row>
    <row r="108" spans="2:50" ht="14.5">
      <c r="B108" s="68" t="s">
        <v>994</v>
      </c>
      <c r="C108" s="68" t="s">
        <v>6074</v>
      </c>
      <c r="D108" s="68" t="s">
        <v>986</v>
      </c>
      <c r="E108" s="68" t="s">
        <v>363</v>
      </c>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68"/>
      <c r="AS108" s="68"/>
      <c r="AT108" s="68"/>
      <c r="AU108" s="68"/>
      <c r="AV108" s="68"/>
      <c r="AW108" s="68"/>
      <c r="AX108" s="68"/>
    </row>
    <row r="109" spans="2:50" ht="14.5">
      <c r="B109" s="68" t="s">
        <v>998</v>
      </c>
      <c r="C109" s="68" t="s">
        <v>6054</v>
      </c>
      <c r="D109" s="68" t="s">
        <v>986</v>
      </c>
      <c r="E109" s="68" t="s">
        <v>204</v>
      </c>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row>
    <row r="110" spans="2:50" ht="14.5">
      <c r="B110" s="68" t="s">
        <v>1003</v>
      </c>
      <c r="C110" s="68" t="s">
        <v>6075</v>
      </c>
      <c r="D110" s="68" t="s">
        <v>986</v>
      </c>
      <c r="E110" s="68" t="s">
        <v>936</v>
      </c>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c r="AJ110" s="68"/>
      <c r="AK110" s="68"/>
      <c r="AL110" s="68"/>
      <c r="AM110" s="68"/>
      <c r="AN110" s="68"/>
      <c r="AO110" s="68"/>
      <c r="AP110" s="68"/>
      <c r="AQ110" s="68"/>
      <c r="AR110" s="68"/>
      <c r="AS110" s="68"/>
      <c r="AT110" s="68"/>
      <c r="AU110" s="68"/>
      <c r="AV110" s="68"/>
      <c r="AW110" s="68"/>
      <c r="AX110" s="68"/>
    </row>
    <row r="111" spans="2:50" ht="14.5">
      <c r="B111" s="68" t="s">
        <v>2315</v>
      </c>
      <c r="C111" s="68" t="s">
        <v>6076</v>
      </c>
      <c r="D111" s="68" t="s">
        <v>986</v>
      </c>
      <c r="E111" s="68" t="s">
        <v>376</v>
      </c>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c r="AJ111" s="68"/>
      <c r="AK111" s="68"/>
      <c r="AL111" s="68"/>
      <c r="AM111" s="68"/>
      <c r="AN111" s="68"/>
      <c r="AO111" s="68"/>
      <c r="AP111" s="68"/>
      <c r="AQ111" s="68"/>
      <c r="AR111" s="68"/>
      <c r="AS111" s="68"/>
      <c r="AT111" s="68"/>
      <c r="AU111" s="68"/>
      <c r="AV111" s="68"/>
      <c r="AW111" s="68"/>
      <c r="AX111" s="68"/>
    </row>
    <row r="112" spans="2:50" ht="14.5">
      <c r="B112" s="68" t="s">
        <v>1007</v>
      </c>
      <c r="C112" s="68" t="s">
        <v>6077</v>
      </c>
      <c r="D112" s="68" t="s">
        <v>986</v>
      </c>
      <c r="E112" s="68" t="s">
        <v>325</v>
      </c>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c r="AJ112" s="68"/>
      <c r="AK112" s="68"/>
      <c r="AL112" s="68"/>
      <c r="AM112" s="68"/>
      <c r="AN112" s="68"/>
      <c r="AO112" s="68"/>
      <c r="AP112" s="68"/>
      <c r="AQ112" s="68"/>
      <c r="AR112" s="68"/>
      <c r="AS112" s="68"/>
      <c r="AT112" s="68"/>
      <c r="AU112" s="68"/>
      <c r="AV112" s="68"/>
      <c r="AW112" s="68"/>
      <c r="AX112" s="68"/>
    </row>
    <row r="113" spans="2:50" ht="14.5">
      <c r="B113" s="68" t="s">
        <v>1013</v>
      </c>
      <c r="C113" s="68" t="s">
        <v>6078</v>
      </c>
      <c r="D113" s="68" t="s">
        <v>986</v>
      </c>
      <c r="E113" s="68" t="s">
        <v>1016</v>
      </c>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c r="AJ113" s="68"/>
      <c r="AK113" s="68"/>
      <c r="AL113" s="68"/>
      <c r="AM113" s="68"/>
      <c r="AN113" s="68"/>
      <c r="AO113" s="68"/>
      <c r="AP113" s="68"/>
      <c r="AQ113" s="68"/>
      <c r="AR113" s="68"/>
      <c r="AS113" s="68"/>
      <c r="AT113" s="68"/>
      <c r="AU113" s="68"/>
      <c r="AV113" s="68"/>
      <c r="AW113" s="68"/>
      <c r="AX113" s="68"/>
    </row>
    <row r="114" spans="2:50" ht="14.5">
      <c r="B114" s="68" t="s">
        <v>166</v>
      </c>
      <c r="C114" s="68" t="s">
        <v>6079</v>
      </c>
      <c r="D114" s="68" t="s">
        <v>5923</v>
      </c>
      <c r="E114" s="68" t="s">
        <v>5924</v>
      </c>
      <c r="F114" s="68" t="s">
        <v>5925</v>
      </c>
      <c r="G114" s="68" t="s">
        <v>5926</v>
      </c>
      <c r="H114" s="68" t="s">
        <v>5927</v>
      </c>
      <c r="I114" s="68" t="s">
        <v>5928</v>
      </c>
      <c r="J114" s="68" t="s">
        <v>5929</v>
      </c>
      <c r="K114" s="68" t="s">
        <v>6080</v>
      </c>
      <c r="L114" s="68" t="s">
        <v>5953</v>
      </c>
      <c r="M114" s="68" t="s">
        <v>5932</v>
      </c>
      <c r="N114" s="68" t="s">
        <v>5933</v>
      </c>
      <c r="O114" s="68" t="s">
        <v>5935</v>
      </c>
      <c r="P114" s="68" t="s">
        <v>6015</v>
      </c>
      <c r="Q114" s="68" t="s">
        <v>5939</v>
      </c>
      <c r="R114" s="68" t="s">
        <v>6081</v>
      </c>
      <c r="S114" s="68" t="s">
        <v>6022</v>
      </c>
      <c r="T114" s="68" t="s">
        <v>5929</v>
      </c>
      <c r="U114" s="68" t="s">
        <v>6082</v>
      </c>
      <c r="V114" s="68" t="s">
        <v>6083</v>
      </c>
      <c r="W114" s="68" t="s">
        <v>6084</v>
      </c>
      <c r="X114" s="68" t="s">
        <v>6085</v>
      </c>
      <c r="Y114" s="68" t="s">
        <v>5999</v>
      </c>
      <c r="Z114" s="68" t="s">
        <v>5984</v>
      </c>
      <c r="AA114" s="68" t="s">
        <v>6086</v>
      </c>
      <c r="AB114" s="68" t="s">
        <v>5953</v>
      </c>
      <c r="AC114" s="68" t="s">
        <v>5985</v>
      </c>
      <c r="AD114" s="68" t="s">
        <v>5929</v>
      </c>
      <c r="AE114" s="68" t="s">
        <v>5943</v>
      </c>
      <c r="AF114" s="68" t="s">
        <v>5944</v>
      </c>
      <c r="AG114" s="68" t="s">
        <v>6087</v>
      </c>
      <c r="AH114" s="68" t="s">
        <v>6088</v>
      </c>
      <c r="AI114" s="68" t="s">
        <v>89</v>
      </c>
      <c r="AJ114" s="68"/>
      <c r="AK114" s="68"/>
      <c r="AL114" s="68"/>
      <c r="AM114" s="68"/>
      <c r="AN114" s="68"/>
      <c r="AO114" s="68"/>
      <c r="AP114" s="68"/>
      <c r="AQ114" s="68"/>
      <c r="AR114" s="68"/>
      <c r="AS114" s="68"/>
      <c r="AT114" s="68"/>
      <c r="AU114" s="68"/>
      <c r="AV114" s="68"/>
      <c r="AW114" s="68"/>
      <c r="AX114" s="68"/>
    </row>
    <row r="115" spans="2:50" ht="14.5">
      <c r="B115" s="68" t="s">
        <v>179</v>
      </c>
      <c r="C115" s="68" t="s">
        <v>6089</v>
      </c>
      <c r="D115" s="68" t="s">
        <v>5923</v>
      </c>
      <c r="E115" s="68" t="s">
        <v>5924</v>
      </c>
      <c r="F115" s="68" t="s">
        <v>5925</v>
      </c>
      <c r="G115" s="68" t="s">
        <v>5926</v>
      </c>
      <c r="H115" s="68" t="s">
        <v>5927</v>
      </c>
      <c r="I115" s="68" t="s">
        <v>5954</v>
      </c>
      <c r="J115" s="68" t="s">
        <v>5928</v>
      </c>
      <c r="K115" s="68" t="s">
        <v>5929</v>
      </c>
      <c r="L115" s="68" t="s">
        <v>5944</v>
      </c>
      <c r="M115" s="68" t="s">
        <v>5932</v>
      </c>
      <c r="N115" s="68" t="s">
        <v>5933</v>
      </c>
      <c r="O115" s="68" t="s">
        <v>5955</v>
      </c>
      <c r="P115" s="68" t="s">
        <v>6007</v>
      </c>
      <c r="Q115" s="68" t="s">
        <v>5935</v>
      </c>
      <c r="R115" s="68" t="s">
        <v>6090</v>
      </c>
      <c r="S115" s="68" t="s">
        <v>5999</v>
      </c>
      <c r="T115" s="68" t="s">
        <v>6091</v>
      </c>
      <c r="U115" s="68" t="s">
        <v>6001</v>
      </c>
      <c r="V115" s="68" t="s">
        <v>5985</v>
      </c>
      <c r="W115" s="68" t="s">
        <v>5953</v>
      </c>
      <c r="X115" s="68" t="s">
        <v>5932</v>
      </c>
      <c r="Y115" s="68" t="s">
        <v>5943</v>
      </c>
      <c r="Z115" s="68" t="s">
        <v>5944</v>
      </c>
      <c r="AA115" s="68" t="s">
        <v>5932</v>
      </c>
      <c r="AB115" s="68" t="s">
        <v>5939</v>
      </c>
      <c r="AC115" s="68" t="s">
        <v>5991</v>
      </c>
      <c r="AD115" s="68" t="s">
        <v>6092</v>
      </c>
      <c r="AE115" s="68" t="s">
        <v>5985</v>
      </c>
      <c r="AF115" s="68" t="s">
        <v>5944</v>
      </c>
      <c r="AG115" s="68" t="s">
        <v>5932</v>
      </c>
      <c r="AH115" s="68" t="s">
        <v>1888</v>
      </c>
      <c r="AI115" s="68" t="s">
        <v>184</v>
      </c>
      <c r="AJ115" s="68"/>
      <c r="AK115" s="68"/>
      <c r="AL115" s="68"/>
      <c r="AM115" s="68"/>
      <c r="AN115" s="68"/>
      <c r="AO115" s="68"/>
      <c r="AP115" s="68"/>
      <c r="AQ115" s="68"/>
      <c r="AR115" s="68"/>
      <c r="AS115" s="68"/>
      <c r="AT115" s="68"/>
      <c r="AU115" s="68"/>
      <c r="AV115" s="68"/>
      <c r="AW115" s="68"/>
      <c r="AX115" s="68"/>
    </row>
    <row r="116" spans="2:50" ht="14.5">
      <c r="B116" s="68" t="s">
        <v>189</v>
      </c>
      <c r="C116" s="68" t="s">
        <v>6093</v>
      </c>
      <c r="D116" s="68" t="s">
        <v>5923</v>
      </c>
      <c r="E116" s="68" t="s">
        <v>5924</v>
      </c>
      <c r="F116" s="68" t="s">
        <v>5925</v>
      </c>
      <c r="G116" s="68" t="s">
        <v>5926</v>
      </c>
      <c r="H116" s="68" t="s">
        <v>5927</v>
      </c>
      <c r="I116" s="68" t="s">
        <v>5928</v>
      </c>
      <c r="J116" s="68" t="s">
        <v>5929</v>
      </c>
      <c r="K116" s="68" t="s">
        <v>5990</v>
      </c>
      <c r="L116" s="68" t="s">
        <v>5932</v>
      </c>
      <c r="M116" s="68" t="s">
        <v>5933</v>
      </c>
      <c r="N116" s="68" t="s">
        <v>5955</v>
      </c>
      <c r="O116" s="68" t="s">
        <v>5997</v>
      </c>
      <c r="P116" s="68" t="s">
        <v>6094</v>
      </c>
      <c r="Q116" s="68" t="s">
        <v>5955</v>
      </c>
      <c r="R116" s="68" t="s">
        <v>5999</v>
      </c>
      <c r="S116" s="68" t="s">
        <v>6020</v>
      </c>
      <c r="T116" s="68" t="s">
        <v>6095</v>
      </c>
      <c r="U116" s="68" t="s">
        <v>6039</v>
      </c>
      <c r="V116" s="68" t="s">
        <v>5990</v>
      </c>
      <c r="W116" s="68" t="s">
        <v>5932</v>
      </c>
      <c r="X116" s="68" t="s">
        <v>5943</v>
      </c>
      <c r="Y116" s="68" t="s">
        <v>5929</v>
      </c>
      <c r="Z116" s="68" t="s">
        <v>6004</v>
      </c>
      <c r="AA116" s="68" t="s">
        <v>5932</v>
      </c>
      <c r="AB116" s="68" t="s">
        <v>5939</v>
      </c>
      <c r="AC116" s="68" t="s">
        <v>6017</v>
      </c>
      <c r="AD116" s="68" t="s">
        <v>5999</v>
      </c>
      <c r="AE116" s="68" t="s">
        <v>5925</v>
      </c>
      <c r="AF116" s="68" t="s">
        <v>5926</v>
      </c>
      <c r="AG116" s="68" t="s">
        <v>6096</v>
      </c>
      <c r="AH116" s="68" t="s">
        <v>6097</v>
      </c>
      <c r="AI116" s="68" t="s">
        <v>6096</v>
      </c>
      <c r="AJ116" s="68" t="s">
        <v>5987</v>
      </c>
      <c r="AK116" s="68" t="s">
        <v>5955</v>
      </c>
      <c r="AL116" s="68" t="s">
        <v>5999</v>
      </c>
      <c r="AM116" s="68" t="s">
        <v>5928</v>
      </c>
      <c r="AN116" s="68" t="s">
        <v>5929</v>
      </c>
      <c r="AO116" s="68" t="s">
        <v>5996</v>
      </c>
      <c r="AP116" s="68" t="s">
        <v>5932</v>
      </c>
      <c r="AQ116" s="68" t="s">
        <v>1888</v>
      </c>
      <c r="AR116" s="68" t="s">
        <v>195</v>
      </c>
      <c r="AS116" s="68"/>
      <c r="AT116" s="68"/>
      <c r="AU116" s="68"/>
      <c r="AV116" s="68"/>
      <c r="AW116" s="68"/>
      <c r="AX116" s="68"/>
    </row>
    <row r="117" spans="2:50" ht="14.5">
      <c r="B117" s="68" t="s">
        <v>200</v>
      </c>
      <c r="C117" s="68" t="s">
        <v>201</v>
      </c>
      <c r="D117" s="68" t="s">
        <v>5923</v>
      </c>
      <c r="E117" s="68" t="s">
        <v>5924</v>
      </c>
      <c r="F117" s="68" t="s">
        <v>5925</v>
      </c>
      <c r="G117" s="68" t="s">
        <v>5926</v>
      </c>
      <c r="H117" s="68" t="s">
        <v>5928</v>
      </c>
      <c r="I117" s="68" t="s">
        <v>5955</v>
      </c>
      <c r="J117" s="68" t="s">
        <v>6047</v>
      </c>
      <c r="K117" s="68" t="s">
        <v>6008</v>
      </c>
      <c r="L117" s="68" t="s">
        <v>6098</v>
      </c>
      <c r="M117" s="68" t="s">
        <v>6015</v>
      </c>
      <c r="N117" s="68" t="s">
        <v>6016</v>
      </c>
      <c r="O117" s="68" t="s">
        <v>5955</v>
      </c>
      <c r="P117" s="68" t="s">
        <v>6099</v>
      </c>
      <c r="Q117" s="68" t="s">
        <v>5999</v>
      </c>
      <c r="R117" s="68" t="s">
        <v>6091</v>
      </c>
      <c r="S117" s="68" t="s">
        <v>6028</v>
      </c>
      <c r="T117" s="68" t="s">
        <v>6039</v>
      </c>
      <c r="U117" s="68" t="s">
        <v>5929</v>
      </c>
      <c r="V117" s="68" t="s">
        <v>5990</v>
      </c>
      <c r="W117" s="68" t="s">
        <v>5932</v>
      </c>
      <c r="X117" s="68" t="s">
        <v>5943</v>
      </c>
      <c r="Y117" s="68" t="s">
        <v>5929</v>
      </c>
      <c r="Z117" s="68" t="s">
        <v>6004</v>
      </c>
      <c r="AA117" s="68" t="s">
        <v>5932</v>
      </c>
      <c r="AB117" s="68"/>
      <c r="AC117" s="68"/>
      <c r="AD117" s="68"/>
      <c r="AE117" s="68"/>
      <c r="AF117" s="68"/>
      <c r="AG117" s="68"/>
      <c r="AH117" s="68"/>
      <c r="AI117" s="68"/>
      <c r="AJ117" s="68"/>
      <c r="AK117" s="68"/>
      <c r="AL117" s="68"/>
      <c r="AM117" s="68"/>
      <c r="AN117" s="68"/>
      <c r="AO117" s="68"/>
      <c r="AP117" s="68"/>
      <c r="AQ117" s="68"/>
      <c r="AR117" s="68"/>
      <c r="AS117" s="68"/>
      <c r="AT117" s="68"/>
      <c r="AU117" s="68"/>
      <c r="AV117" s="68"/>
      <c r="AW117" s="68"/>
      <c r="AX117" s="68"/>
    </row>
    <row r="118" spans="2:50" ht="14.5">
      <c r="B118" s="68" t="s">
        <v>1019</v>
      </c>
      <c r="C118" s="68" t="s">
        <v>6100</v>
      </c>
      <c r="D118" s="68" t="s">
        <v>1888</v>
      </c>
      <c r="E118" s="68" t="s">
        <v>1022</v>
      </c>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c r="AJ118" s="68"/>
      <c r="AK118" s="68"/>
      <c r="AL118" s="68"/>
      <c r="AM118" s="68"/>
      <c r="AN118" s="68"/>
      <c r="AO118" s="68"/>
      <c r="AP118" s="68"/>
      <c r="AQ118" s="68"/>
      <c r="AR118" s="68"/>
      <c r="AS118" s="68"/>
      <c r="AT118" s="68"/>
      <c r="AU118" s="68"/>
      <c r="AV118" s="68"/>
      <c r="AW118" s="68"/>
      <c r="AX118" s="68"/>
    </row>
    <row r="119" spans="2:50" ht="14.5">
      <c r="B119" s="68" t="s">
        <v>1024</v>
      </c>
      <c r="C119" s="68" t="s">
        <v>6101</v>
      </c>
      <c r="D119" s="68" t="s">
        <v>1888</v>
      </c>
      <c r="E119" s="68" t="s">
        <v>120</v>
      </c>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c r="AJ119" s="68"/>
      <c r="AK119" s="68"/>
      <c r="AL119" s="68"/>
      <c r="AM119" s="68"/>
      <c r="AN119" s="68"/>
      <c r="AO119" s="68"/>
      <c r="AP119" s="68"/>
      <c r="AQ119" s="68"/>
      <c r="AR119" s="68"/>
      <c r="AS119" s="68"/>
      <c r="AT119" s="68"/>
      <c r="AU119" s="68"/>
      <c r="AV119" s="68"/>
      <c r="AW119" s="68"/>
      <c r="AX119" s="68"/>
    </row>
    <row r="120" spans="2:50" ht="14.5">
      <c r="B120" s="68" t="s">
        <v>210</v>
      </c>
      <c r="C120" s="68" t="s">
        <v>211</v>
      </c>
      <c r="D120" s="68" t="s">
        <v>5923</v>
      </c>
      <c r="E120" s="68" t="s">
        <v>5924</v>
      </c>
      <c r="F120" s="68" t="s">
        <v>5925</v>
      </c>
      <c r="G120" s="68" t="s">
        <v>5926</v>
      </c>
      <c r="H120" s="68" t="s">
        <v>5927</v>
      </c>
      <c r="I120" s="68" t="s">
        <v>5928</v>
      </c>
      <c r="J120" s="68" t="s">
        <v>5929</v>
      </c>
      <c r="K120" s="68" t="s">
        <v>5996</v>
      </c>
      <c r="L120" s="68" t="s">
        <v>5932</v>
      </c>
      <c r="M120" s="68" t="s">
        <v>5933</v>
      </c>
      <c r="N120" s="68" t="s">
        <v>6102</v>
      </c>
      <c r="O120" s="68" t="s">
        <v>5935</v>
      </c>
      <c r="P120" s="68" t="s">
        <v>5998</v>
      </c>
      <c r="Q120" s="68" t="s">
        <v>5955</v>
      </c>
      <c r="R120" s="68" t="s">
        <v>5999</v>
      </c>
      <c r="S120" s="68" t="s">
        <v>6091</v>
      </c>
      <c r="T120" s="68" t="s">
        <v>6001</v>
      </c>
      <c r="U120" s="68" t="s">
        <v>5932</v>
      </c>
      <c r="V120" s="68" t="s">
        <v>5943</v>
      </c>
      <c r="W120" s="68" t="s">
        <v>5944</v>
      </c>
      <c r="X120" s="68" t="s">
        <v>5931</v>
      </c>
      <c r="Y120" s="68" t="s">
        <v>5932</v>
      </c>
      <c r="Z120" s="68" t="s">
        <v>5985</v>
      </c>
      <c r="AA120" s="68" t="s">
        <v>6103</v>
      </c>
      <c r="AB120" s="68" t="s">
        <v>5932</v>
      </c>
      <c r="AC120" s="68" t="s">
        <v>6104</v>
      </c>
      <c r="AD120" s="68" t="s">
        <v>6019</v>
      </c>
      <c r="AE120" s="68" t="s">
        <v>5925</v>
      </c>
      <c r="AF120" s="68" t="s">
        <v>6105</v>
      </c>
      <c r="AG120" s="68" t="s">
        <v>5943</v>
      </c>
      <c r="AH120" s="68" t="s">
        <v>5929</v>
      </c>
      <c r="AI120" s="68" t="s">
        <v>6051</v>
      </c>
      <c r="AJ120" s="68" t="s">
        <v>5999</v>
      </c>
      <c r="AK120" s="68" t="s">
        <v>1888</v>
      </c>
      <c r="AL120" s="68" t="s">
        <v>213</v>
      </c>
      <c r="AM120" s="68"/>
      <c r="AN120" s="68"/>
      <c r="AO120" s="68"/>
      <c r="AP120" s="68"/>
      <c r="AQ120" s="68"/>
      <c r="AR120" s="68"/>
      <c r="AS120" s="68"/>
      <c r="AT120" s="68"/>
      <c r="AU120" s="68"/>
      <c r="AV120" s="68"/>
      <c r="AW120" s="68"/>
      <c r="AX120" s="68"/>
    </row>
    <row r="121" spans="2:50" ht="14.5">
      <c r="B121" s="68" t="s">
        <v>1029</v>
      </c>
      <c r="C121" s="68" t="s">
        <v>6106</v>
      </c>
      <c r="D121" s="68" t="s">
        <v>1888</v>
      </c>
      <c r="E121" s="68" t="s">
        <v>222</v>
      </c>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c r="AJ121" s="68"/>
      <c r="AK121" s="68"/>
      <c r="AL121" s="68"/>
      <c r="AM121" s="68"/>
      <c r="AN121" s="68"/>
      <c r="AO121" s="68"/>
      <c r="AP121" s="68"/>
      <c r="AQ121" s="68"/>
      <c r="AR121" s="68"/>
      <c r="AS121" s="68"/>
      <c r="AT121" s="68"/>
      <c r="AU121" s="68"/>
      <c r="AV121" s="68"/>
      <c r="AW121" s="68"/>
      <c r="AX121" s="68"/>
    </row>
    <row r="122" spans="2:50" ht="14.5">
      <c r="B122" s="68" t="s">
        <v>226</v>
      </c>
      <c r="C122" s="68" t="s">
        <v>135</v>
      </c>
      <c r="D122" s="68" t="s">
        <v>5923</v>
      </c>
      <c r="E122" s="68" t="s">
        <v>5924</v>
      </c>
      <c r="F122" s="68" t="s">
        <v>5925</v>
      </c>
      <c r="G122" s="68" t="s">
        <v>5926</v>
      </c>
      <c r="H122" s="68" t="s">
        <v>5927</v>
      </c>
      <c r="I122" s="68" t="s">
        <v>5928</v>
      </c>
      <c r="J122" s="68" t="s">
        <v>5929</v>
      </c>
      <c r="K122" s="68" t="s">
        <v>5996</v>
      </c>
      <c r="L122" s="68" t="s">
        <v>5932</v>
      </c>
      <c r="M122" s="68" t="s">
        <v>5933</v>
      </c>
      <c r="N122" s="68" t="s">
        <v>5955</v>
      </c>
      <c r="O122" s="68" t="s">
        <v>5997</v>
      </c>
      <c r="P122" s="68" t="s">
        <v>5935</v>
      </c>
      <c r="Q122" s="68" t="s">
        <v>6015</v>
      </c>
      <c r="R122" s="68" t="s">
        <v>5987</v>
      </c>
      <c r="S122" s="68" t="s">
        <v>5941</v>
      </c>
      <c r="T122" s="68" t="s">
        <v>6084</v>
      </c>
      <c r="U122" s="68" t="s">
        <v>6107</v>
      </c>
      <c r="V122" s="68" t="s">
        <v>5955</v>
      </c>
      <c r="W122" s="68" t="s">
        <v>5999</v>
      </c>
      <c r="X122" s="68" t="s">
        <v>6108</v>
      </c>
      <c r="Y122" s="68" t="s">
        <v>6036</v>
      </c>
      <c r="Z122" s="68" t="s">
        <v>6109</v>
      </c>
      <c r="AA122" s="68" t="s">
        <v>6097</v>
      </c>
      <c r="AB122" s="68" t="s">
        <v>6110</v>
      </c>
      <c r="AC122" s="68">
        <v>2</v>
      </c>
      <c r="AD122" s="68" t="s">
        <v>5934</v>
      </c>
      <c r="AE122" s="68" t="s">
        <v>5943</v>
      </c>
      <c r="AF122" s="68" t="s">
        <v>5929</v>
      </c>
      <c r="AG122" s="68" t="s">
        <v>5996</v>
      </c>
      <c r="AH122" s="68" t="s">
        <v>6111</v>
      </c>
      <c r="AI122" s="68" t="s">
        <v>231</v>
      </c>
      <c r="AJ122" s="68"/>
      <c r="AK122" s="68"/>
      <c r="AL122" s="68"/>
      <c r="AM122" s="68"/>
      <c r="AN122" s="68"/>
      <c r="AO122" s="68"/>
      <c r="AP122" s="68"/>
      <c r="AQ122" s="68"/>
      <c r="AR122" s="68"/>
      <c r="AS122" s="68"/>
      <c r="AT122" s="68"/>
      <c r="AU122" s="68"/>
      <c r="AV122" s="68"/>
      <c r="AW122" s="68"/>
      <c r="AX122" s="68"/>
    </row>
    <row r="123" spans="2:50" ht="14.5">
      <c r="B123" s="68" t="s">
        <v>1033</v>
      </c>
      <c r="C123" s="68" t="s">
        <v>6112</v>
      </c>
      <c r="D123" s="68" t="s">
        <v>1036</v>
      </c>
      <c r="E123" s="68" t="s">
        <v>925</v>
      </c>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c r="AJ123" s="68"/>
      <c r="AK123" s="68"/>
      <c r="AL123" s="68"/>
      <c r="AM123" s="68"/>
      <c r="AN123" s="68"/>
      <c r="AO123" s="68"/>
      <c r="AP123" s="68"/>
      <c r="AQ123" s="68"/>
      <c r="AR123" s="68"/>
      <c r="AS123" s="68"/>
      <c r="AT123" s="68"/>
      <c r="AU123" s="68"/>
      <c r="AV123" s="68"/>
      <c r="AW123" s="68"/>
      <c r="AX123" s="68"/>
    </row>
    <row r="124" spans="2:50" ht="14.5">
      <c r="B124" s="68" t="s">
        <v>1038</v>
      </c>
      <c r="C124" s="68" t="s">
        <v>6113</v>
      </c>
      <c r="D124" s="68" t="s">
        <v>1036</v>
      </c>
      <c r="E124" s="68" t="s">
        <v>792</v>
      </c>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c r="AJ124" s="68"/>
      <c r="AK124" s="68"/>
      <c r="AL124" s="68"/>
      <c r="AM124" s="68"/>
      <c r="AN124" s="68"/>
      <c r="AO124" s="68"/>
      <c r="AP124" s="68"/>
      <c r="AQ124" s="68"/>
      <c r="AR124" s="68"/>
      <c r="AS124" s="68"/>
      <c r="AT124" s="68"/>
      <c r="AU124" s="68"/>
      <c r="AV124" s="68"/>
      <c r="AW124" s="68"/>
      <c r="AX124" s="68"/>
    </row>
    <row r="125" spans="2:50" ht="14.5">
      <c r="B125" s="68" t="s">
        <v>1043</v>
      </c>
      <c r="C125" s="68" t="s">
        <v>6114</v>
      </c>
      <c r="D125" s="68" t="s">
        <v>1036</v>
      </c>
      <c r="E125" s="68" t="s">
        <v>342</v>
      </c>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c r="AJ125" s="68"/>
      <c r="AK125" s="68"/>
      <c r="AL125" s="68"/>
      <c r="AM125" s="68"/>
      <c r="AN125" s="68"/>
      <c r="AO125" s="68"/>
      <c r="AP125" s="68"/>
      <c r="AQ125" s="68"/>
      <c r="AR125" s="68"/>
      <c r="AS125" s="68"/>
      <c r="AT125" s="68"/>
      <c r="AU125" s="68"/>
      <c r="AV125" s="68"/>
      <c r="AW125" s="68"/>
      <c r="AX125" s="68"/>
    </row>
    <row r="126" spans="2:50" ht="14.5">
      <c r="B126" s="68" t="s">
        <v>1048</v>
      </c>
      <c r="C126" s="68" t="s">
        <v>6115</v>
      </c>
      <c r="D126" s="68" t="s">
        <v>1036</v>
      </c>
      <c r="E126" s="68" t="s">
        <v>357</v>
      </c>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c r="AJ126" s="68"/>
      <c r="AK126" s="68"/>
      <c r="AL126" s="68"/>
      <c r="AM126" s="68"/>
      <c r="AN126" s="68"/>
      <c r="AO126" s="68"/>
      <c r="AP126" s="68"/>
      <c r="AQ126" s="68"/>
      <c r="AR126" s="68"/>
      <c r="AS126" s="68"/>
      <c r="AT126" s="68"/>
      <c r="AU126" s="68"/>
      <c r="AV126" s="68"/>
      <c r="AW126" s="68"/>
      <c r="AX126" s="68"/>
    </row>
    <row r="127" spans="2:50" ht="14.5">
      <c r="B127" s="68" t="s">
        <v>1053</v>
      </c>
      <c r="C127" s="68" t="s">
        <v>6116</v>
      </c>
      <c r="D127" s="68" t="s">
        <v>1036</v>
      </c>
      <c r="E127" s="68" t="s">
        <v>770</v>
      </c>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c r="AJ127" s="68"/>
      <c r="AK127" s="68"/>
      <c r="AL127" s="68"/>
      <c r="AM127" s="68"/>
      <c r="AN127" s="68"/>
      <c r="AO127" s="68"/>
      <c r="AP127" s="68"/>
      <c r="AQ127" s="68"/>
      <c r="AR127" s="68"/>
      <c r="AS127" s="68"/>
      <c r="AT127" s="68"/>
      <c r="AU127" s="68"/>
      <c r="AV127" s="68"/>
      <c r="AW127" s="68"/>
      <c r="AX127" s="68"/>
    </row>
    <row r="128" spans="2:50" ht="14.5">
      <c r="B128" s="68" t="s">
        <v>1059</v>
      </c>
      <c r="C128" s="68" t="s">
        <v>6117</v>
      </c>
      <c r="D128" s="68" t="s">
        <v>1819</v>
      </c>
      <c r="E128" s="68" t="s">
        <v>496</v>
      </c>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c r="AJ128" s="68"/>
      <c r="AK128" s="68"/>
      <c r="AL128" s="68"/>
      <c r="AM128" s="68"/>
      <c r="AN128" s="68"/>
      <c r="AO128" s="68"/>
      <c r="AP128" s="68"/>
      <c r="AQ128" s="68"/>
      <c r="AR128" s="68"/>
      <c r="AS128" s="68"/>
      <c r="AT128" s="68"/>
      <c r="AU128" s="68"/>
      <c r="AV128" s="68"/>
      <c r="AW128" s="68"/>
      <c r="AX128" s="68"/>
    </row>
    <row r="129" spans="2:50" ht="14.5">
      <c r="B129" s="68" t="s">
        <v>1065</v>
      </c>
      <c r="C129" s="68" t="s">
        <v>6118</v>
      </c>
      <c r="D129" s="68" t="s">
        <v>1819</v>
      </c>
      <c r="E129" s="68" t="s">
        <v>569</v>
      </c>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c r="AJ129" s="68"/>
      <c r="AK129" s="68"/>
      <c r="AL129" s="68"/>
      <c r="AM129" s="68"/>
      <c r="AN129" s="68"/>
      <c r="AO129" s="68"/>
      <c r="AP129" s="68"/>
      <c r="AQ129" s="68"/>
      <c r="AR129" s="68"/>
      <c r="AS129" s="68"/>
      <c r="AT129" s="68"/>
      <c r="AU129" s="68"/>
      <c r="AV129" s="68"/>
      <c r="AW129" s="68"/>
      <c r="AX129" s="68"/>
    </row>
    <row r="130" spans="2:50" ht="14.5">
      <c r="B130" s="68" t="s">
        <v>1071</v>
      </c>
      <c r="C130" s="68" t="s">
        <v>6119</v>
      </c>
      <c r="D130" s="68" t="s">
        <v>1819</v>
      </c>
      <c r="E130" s="68" t="s">
        <v>550</v>
      </c>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c r="AJ130" s="68"/>
      <c r="AK130" s="68"/>
      <c r="AL130" s="68"/>
      <c r="AM130" s="68"/>
      <c r="AN130" s="68"/>
      <c r="AO130" s="68"/>
      <c r="AP130" s="68"/>
      <c r="AQ130" s="68"/>
      <c r="AR130" s="68"/>
      <c r="AS130" s="68"/>
      <c r="AT130" s="68"/>
      <c r="AU130" s="68"/>
      <c r="AV130" s="68"/>
      <c r="AW130" s="68"/>
      <c r="AX130" s="68"/>
    </row>
    <row r="131" spans="2:50" ht="14.5">
      <c r="B131" s="68" t="s">
        <v>1077</v>
      </c>
      <c r="C131" s="68" t="s">
        <v>6120</v>
      </c>
      <c r="D131" s="68" t="s">
        <v>1819</v>
      </c>
      <c r="E131" s="68" t="s">
        <v>222</v>
      </c>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c r="AJ131" s="68"/>
      <c r="AK131" s="68"/>
      <c r="AL131" s="68"/>
      <c r="AM131" s="68"/>
      <c r="AN131" s="68"/>
      <c r="AO131" s="68"/>
      <c r="AP131" s="68"/>
      <c r="AQ131" s="68"/>
      <c r="AR131" s="68"/>
      <c r="AS131" s="68"/>
      <c r="AT131" s="68"/>
      <c r="AU131" s="68"/>
      <c r="AV131" s="68"/>
      <c r="AW131" s="68"/>
      <c r="AX131" s="68"/>
    </row>
    <row r="132" spans="2:50" ht="14.5">
      <c r="B132" s="68" t="s">
        <v>1083</v>
      </c>
      <c r="C132" s="68" t="s">
        <v>6121</v>
      </c>
      <c r="D132" s="68" t="s">
        <v>324</v>
      </c>
      <c r="E132" s="68" t="s">
        <v>120</v>
      </c>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c r="AJ132" s="68"/>
      <c r="AK132" s="68"/>
      <c r="AL132" s="68"/>
      <c r="AM132" s="68"/>
      <c r="AN132" s="68"/>
      <c r="AO132" s="68"/>
      <c r="AP132" s="68"/>
      <c r="AQ132" s="68"/>
      <c r="AR132" s="68"/>
      <c r="AS132" s="68"/>
      <c r="AT132" s="68"/>
      <c r="AU132" s="68"/>
      <c r="AV132" s="68"/>
      <c r="AW132" s="68"/>
      <c r="AX132" s="68"/>
    </row>
    <row r="133" spans="2:50" ht="14.5">
      <c r="B133" s="68" t="s">
        <v>1091</v>
      </c>
      <c r="C133" s="68" t="s">
        <v>6122</v>
      </c>
      <c r="D133" s="68" t="s">
        <v>324</v>
      </c>
      <c r="E133" s="68" t="s">
        <v>525</v>
      </c>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c r="AJ133" s="68"/>
      <c r="AK133" s="68"/>
      <c r="AL133" s="68"/>
      <c r="AM133" s="68"/>
      <c r="AN133" s="68"/>
      <c r="AO133" s="68"/>
      <c r="AP133" s="68"/>
      <c r="AQ133" s="68"/>
      <c r="AR133" s="68"/>
      <c r="AS133" s="68"/>
      <c r="AT133" s="68"/>
      <c r="AU133" s="68"/>
      <c r="AV133" s="68"/>
      <c r="AW133" s="68"/>
      <c r="AX133" s="68"/>
    </row>
    <row r="134" spans="2:50" ht="14.5">
      <c r="B134" s="68" t="s">
        <v>1099</v>
      </c>
      <c r="C134" s="68" t="s">
        <v>6123</v>
      </c>
      <c r="D134" s="68" t="s">
        <v>324</v>
      </c>
      <c r="E134" s="68" t="s">
        <v>89</v>
      </c>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c r="AJ134" s="68"/>
      <c r="AK134" s="68"/>
      <c r="AL134" s="68"/>
      <c r="AM134" s="68"/>
      <c r="AN134" s="68"/>
      <c r="AO134" s="68"/>
      <c r="AP134" s="68"/>
      <c r="AQ134" s="68"/>
      <c r="AR134" s="68"/>
      <c r="AS134" s="68"/>
      <c r="AT134" s="68"/>
      <c r="AU134" s="68"/>
      <c r="AV134" s="68"/>
      <c r="AW134" s="68"/>
      <c r="AX134" s="68"/>
    </row>
    <row r="135" spans="2:50" ht="14.5">
      <c r="B135" s="68" t="s">
        <v>1105</v>
      </c>
      <c r="C135" s="68" t="s">
        <v>6062</v>
      </c>
      <c r="D135" s="68" t="s">
        <v>324</v>
      </c>
      <c r="E135" s="68" t="s">
        <v>131</v>
      </c>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c r="AJ135" s="68"/>
      <c r="AK135" s="68"/>
      <c r="AL135" s="68"/>
      <c r="AM135" s="68"/>
      <c r="AN135" s="68"/>
      <c r="AO135" s="68"/>
      <c r="AP135" s="68"/>
      <c r="AQ135" s="68"/>
      <c r="AR135" s="68"/>
      <c r="AS135" s="68"/>
      <c r="AT135" s="68"/>
      <c r="AU135" s="68"/>
      <c r="AV135" s="68"/>
      <c r="AW135" s="68"/>
      <c r="AX135" s="68"/>
    </row>
    <row r="136" spans="2:50" ht="14.5">
      <c r="B136" s="68" t="s">
        <v>1113</v>
      </c>
      <c r="C136" s="68" t="s">
        <v>6124</v>
      </c>
      <c r="D136" s="68" t="s">
        <v>324</v>
      </c>
      <c r="E136" s="68" t="s">
        <v>6125</v>
      </c>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c r="AJ136" s="68"/>
      <c r="AK136" s="68"/>
      <c r="AL136" s="68"/>
      <c r="AM136" s="68"/>
      <c r="AN136" s="68"/>
      <c r="AO136" s="68"/>
      <c r="AP136" s="68"/>
      <c r="AQ136" s="68"/>
      <c r="AR136" s="68"/>
      <c r="AS136" s="68"/>
      <c r="AT136" s="68"/>
      <c r="AU136" s="68"/>
      <c r="AV136" s="68"/>
      <c r="AW136" s="68"/>
      <c r="AX136" s="68"/>
    </row>
    <row r="137" spans="2:50" ht="14.5">
      <c r="B137" s="68" t="s">
        <v>1120</v>
      </c>
      <c r="C137" s="68" t="s">
        <v>6126</v>
      </c>
      <c r="D137" s="68" t="s">
        <v>324</v>
      </c>
      <c r="E137" s="68" t="s">
        <v>936</v>
      </c>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c r="AJ137" s="68"/>
      <c r="AK137" s="68"/>
      <c r="AL137" s="68"/>
      <c r="AM137" s="68"/>
      <c r="AN137" s="68"/>
      <c r="AO137" s="68"/>
      <c r="AP137" s="68"/>
      <c r="AQ137" s="68"/>
      <c r="AR137" s="68"/>
      <c r="AS137" s="68"/>
      <c r="AT137" s="68"/>
      <c r="AU137" s="68"/>
      <c r="AV137" s="68"/>
      <c r="AW137" s="68"/>
      <c r="AX137" s="68"/>
    </row>
    <row r="138" spans="2:50" ht="14.5">
      <c r="B138" s="68" t="s">
        <v>321</v>
      </c>
      <c r="C138" s="68" t="s">
        <v>6127</v>
      </c>
      <c r="D138" s="68" t="s">
        <v>324</v>
      </c>
      <c r="E138" s="68" t="s">
        <v>6128</v>
      </c>
      <c r="F138" s="68" t="s">
        <v>6129</v>
      </c>
      <c r="G138" s="68" t="s">
        <v>5925</v>
      </c>
      <c r="H138" s="68" t="s">
        <v>5926</v>
      </c>
      <c r="I138" s="68" t="s">
        <v>5927</v>
      </c>
      <c r="J138" s="68" t="s">
        <v>5928</v>
      </c>
      <c r="K138" s="68" t="s">
        <v>5929</v>
      </c>
      <c r="L138" s="68" t="s">
        <v>5990</v>
      </c>
      <c r="M138" s="68" t="s">
        <v>5932</v>
      </c>
      <c r="N138" s="68" t="s">
        <v>5933</v>
      </c>
      <c r="O138" s="68" t="s">
        <v>6102</v>
      </c>
      <c r="P138" s="68" t="s">
        <v>5935</v>
      </c>
      <c r="Q138" s="68" t="s">
        <v>6015</v>
      </c>
      <c r="R138" s="68" t="s">
        <v>5939</v>
      </c>
      <c r="S138" s="68" t="s">
        <v>6081</v>
      </c>
      <c r="T138" s="68" t="s">
        <v>6097</v>
      </c>
      <c r="U138" s="68" t="s">
        <v>6130</v>
      </c>
      <c r="V138" s="68" t="s">
        <v>5932</v>
      </c>
      <c r="W138" s="68" t="s">
        <v>5933</v>
      </c>
      <c r="X138" s="68" t="s">
        <v>5936</v>
      </c>
      <c r="Y138" s="68" t="s">
        <v>5955</v>
      </c>
      <c r="Z138" s="68" t="s">
        <v>5999</v>
      </c>
      <c r="AA138" s="68" t="s">
        <v>6131</v>
      </c>
      <c r="AB138" s="68" t="s">
        <v>5932</v>
      </c>
      <c r="AC138" s="68" t="s">
        <v>6132</v>
      </c>
      <c r="AD138" s="68" t="s">
        <v>5943</v>
      </c>
      <c r="AE138" s="68" t="s">
        <v>5996</v>
      </c>
      <c r="AF138" s="68" t="s">
        <v>5985</v>
      </c>
      <c r="AG138" s="68" t="s">
        <v>6004</v>
      </c>
      <c r="AH138" s="68" t="s">
        <v>5939</v>
      </c>
      <c r="AI138" s="68" t="s">
        <v>6133</v>
      </c>
      <c r="AJ138" s="68" t="s">
        <v>5929</v>
      </c>
      <c r="AK138" s="68" t="s">
        <v>5932</v>
      </c>
      <c r="AL138" s="68" t="s">
        <v>5933</v>
      </c>
      <c r="AM138" s="68" t="s">
        <v>6134</v>
      </c>
      <c r="AN138" s="68" t="s">
        <v>5999</v>
      </c>
      <c r="AO138" s="68" t="s">
        <v>6091</v>
      </c>
      <c r="AP138" s="68" t="s">
        <v>6003</v>
      </c>
      <c r="AQ138" s="68" t="s">
        <v>6135</v>
      </c>
      <c r="AR138" s="68" t="s">
        <v>5939</v>
      </c>
      <c r="AS138" s="68" t="s">
        <v>6136</v>
      </c>
      <c r="AT138" s="68" t="s">
        <v>6019</v>
      </c>
      <c r="AU138" s="68" t="s">
        <v>5954</v>
      </c>
      <c r="AV138" s="68" t="s">
        <v>5929</v>
      </c>
      <c r="AW138" s="68" t="s">
        <v>6004</v>
      </c>
      <c r="AX138" s="68" t="s">
        <v>6137</v>
      </c>
    </row>
    <row r="139" spans="2:50" ht="14.5">
      <c r="B139" s="68" t="s">
        <v>329</v>
      </c>
      <c r="C139" s="68" t="s">
        <v>6138</v>
      </c>
      <c r="D139" s="68" t="s">
        <v>332</v>
      </c>
      <c r="E139" s="68" t="s">
        <v>6139</v>
      </c>
      <c r="F139" s="68" t="s">
        <v>5924</v>
      </c>
      <c r="G139" s="68" t="s">
        <v>5925</v>
      </c>
      <c r="H139" s="68" t="s">
        <v>5926</v>
      </c>
      <c r="I139" s="68" t="s">
        <v>5927</v>
      </c>
      <c r="J139" s="68" t="s">
        <v>6022</v>
      </c>
      <c r="K139" s="68" t="s">
        <v>6140</v>
      </c>
      <c r="L139" s="68" t="s">
        <v>6141</v>
      </c>
      <c r="M139" s="68" t="s">
        <v>5933</v>
      </c>
      <c r="N139" s="68" t="s">
        <v>5935</v>
      </c>
      <c r="O139" s="68" t="s">
        <v>6090</v>
      </c>
      <c r="P139" s="68" t="s">
        <v>5999</v>
      </c>
      <c r="Q139" s="68" t="s">
        <v>6131</v>
      </c>
      <c r="R139" s="68" t="s">
        <v>6142</v>
      </c>
      <c r="S139" s="68" t="s">
        <v>5939</v>
      </c>
      <c r="T139" s="68" t="s">
        <v>6143</v>
      </c>
      <c r="U139" s="68" t="s">
        <v>6022</v>
      </c>
      <c r="V139" s="68" t="s">
        <v>5929</v>
      </c>
      <c r="W139" s="68" t="s">
        <v>6144</v>
      </c>
      <c r="X139" s="68" t="s">
        <v>6140</v>
      </c>
      <c r="Y139" s="68" t="s">
        <v>6141</v>
      </c>
      <c r="Z139" s="68" t="s">
        <v>6145</v>
      </c>
      <c r="AA139" s="68" t="s">
        <v>5944</v>
      </c>
      <c r="AB139" s="68" t="s">
        <v>5985</v>
      </c>
      <c r="AC139" s="68" t="s">
        <v>6146</v>
      </c>
      <c r="AD139" s="68"/>
      <c r="AE139" s="68"/>
      <c r="AF139" s="68"/>
      <c r="AG139" s="68"/>
      <c r="AH139" s="68"/>
      <c r="AI139" s="68"/>
      <c r="AJ139" s="68"/>
      <c r="AK139" s="68"/>
      <c r="AL139" s="68"/>
      <c r="AM139" s="68"/>
      <c r="AN139" s="68"/>
      <c r="AO139" s="68"/>
      <c r="AP139" s="68"/>
      <c r="AQ139" s="68"/>
      <c r="AR139" s="68"/>
      <c r="AS139" s="68"/>
      <c r="AT139" s="68"/>
      <c r="AU139" s="68"/>
      <c r="AV139" s="68"/>
      <c r="AW139" s="68"/>
      <c r="AX139" s="68"/>
    </row>
    <row r="140" spans="2:50" ht="14.5">
      <c r="B140" s="68" t="s">
        <v>335</v>
      </c>
      <c r="C140" s="68" t="s">
        <v>6147</v>
      </c>
      <c r="D140" s="68" t="s">
        <v>332</v>
      </c>
      <c r="E140" s="68" t="s">
        <v>6148</v>
      </c>
      <c r="F140" s="68" t="s">
        <v>6019</v>
      </c>
      <c r="G140" s="68" t="s">
        <v>5925</v>
      </c>
      <c r="H140" s="68" t="s">
        <v>5926</v>
      </c>
      <c r="I140" s="68" t="s">
        <v>5927</v>
      </c>
      <c r="J140" s="68" t="s">
        <v>5928</v>
      </c>
      <c r="K140" s="68" t="s">
        <v>5929</v>
      </c>
      <c r="L140" s="68" t="s">
        <v>5996</v>
      </c>
      <c r="M140" s="68" t="s">
        <v>5932</v>
      </c>
      <c r="N140" s="68" t="s">
        <v>5933</v>
      </c>
      <c r="O140" s="68" t="s">
        <v>5955</v>
      </c>
      <c r="P140" s="68" t="s">
        <v>6033</v>
      </c>
      <c r="Q140" s="68" t="s">
        <v>5935</v>
      </c>
      <c r="R140" s="68" t="s">
        <v>6015</v>
      </c>
      <c r="S140" s="68" t="s">
        <v>5939</v>
      </c>
      <c r="T140" s="68" t="s">
        <v>6149</v>
      </c>
      <c r="U140" s="68" t="s">
        <v>5985</v>
      </c>
      <c r="V140" s="68" t="s">
        <v>6150</v>
      </c>
      <c r="W140" s="68" t="s">
        <v>5933</v>
      </c>
      <c r="X140" s="68" t="s">
        <v>5955</v>
      </c>
      <c r="Y140" s="68" t="s">
        <v>307</v>
      </c>
      <c r="Z140" s="68" t="s">
        <v>6090</v>
      </c>
      <c r="AA140" s="68" t="s">
        <v>5999</v>
      </c>
      <c r="AB140" s="68" t="s">
        <v>6109</v>
      </c>
      <c r="AC140" s="68" t="s">
        <v>6151</v>
      </c>
      <c r="AD140" s="68" t="s">
        <v>6097</v>
      </c>
      <c r="AE140" s="68" t="s">
        <v>6110</v>
      </c>
      <c r="AF140" s="68">
        <v>2</v>
      </c>
      <c r="AG140" s="68" t="s">
        <v>5934</v>
      </c>
      <c r="AH140" s="68" t="s">
        <v>5943</v>
      </c>
      <c r="AI140" s="68" t="s">
        <v>5929</v>
      </c>
      <c r="AJ140" s="68" t="s">
        <v>5953</v>
      </c>
      <c r="AK140" s="68" t="s">
        <v>6152</v>
      </c>
      <c r="AL140" s="68" t="s">
        <v>6137</v>
      </c>
      <c r="AM140" s="68"/>
      <c r="AN140" s="68"/>
      <c r="AO140" s="68"/>
      <c r="AP140" s="68"/>
      <c r="AQ140" s="68"/>
      <c r="AR140" s="68"/>
      <c r="AS140" s="68"/>
      <c r="AT140" s="68"/>
      <c r="AU140" s="68"/>
      <c r="AV140" s="68"/>
      <c r="AW140" s="68"/>
      <c r="AX140" s="68"/>
    </row>
    <row r="141" spans="2:50" ht="14.5">
      <c r="B141" s="68" t="s">
        <v>339</v>
      </c>
      <c r="C141" s="68" t="s">
        <v>6153</v>
      </c>
      <c r="D141" s="68" t="s">
        <v>332</v>
      </c>
      <c r="E141" s="68" t="s">
        <v>6154</v>
      </c>
      <c r="F141" s="68" t="s">
        <v>6019</v>
      </c>
      <c r="G141" s="68" t="s">
        <v>5925</v>
      </c>
      <c r="H141" s="68" t="s">
        <v>5926</v>
      </c>
      <c r="I141" s="68" t="s">
        <v>5927</v>
      </c>
      <c r="J141" s="68" t="s">
        <v>5928</v>
      </c>
      <c r="K141" s="68" t="s">
        <v>5929</v>
      </c>
      <c r="L141" s="68" t="s">
        <v>5944</v>
      </c>
      <c r="M141" s="68" t="s">
        <v>5932</v>
      </c>
      <c r="N141" s="68" t="s">
        <v>5933</v>
      </c>
      <c r="O141" s="68" t="s">
        <v>5955</v>
      </c>
      <c r="P141" s="68" t="s">
        <v>6007</v>
      </c>
      <c r="Q141" s="68" t="s">
        <v>5935</v>
      </c>
      <c r="R141" s="68" t="s">
        <v>6015</v>
      </c>
      <c r="S141" s="68" t="s">
        <v>5939</v>
      </c>
      <c r="T141" s="68" t="s">
        <v>6149</v>
      </c>
      <c r="U141" s="68" t="s">
        <v>5985</v>
      </c>
      <c r="V141" s="68" t="s">
        <v>6155</v>
      </c>
      <c r="W141" s="68" t="s">
        <v>5999</v>
      </c>
      <c r="X141" s="68" t="s">
        <v>6091</v>
      </c>
      <c r="Y141" s="68" t="s">
        <v>6156</v>
      </c>
      <c r="Z141" s="68" t="s">
        <v>6157</v>
      </c>
      <c r="AA141" s="68" t="s">
        <v>5943</v>
      </c>
      <c r="AB141" s="68" t="s">
        <v>6158</v>
      </c>
      <c r="AC141" s="68" t="s">
        <v>5928</v>
      </c>
      <c r="AD141" s="68" t="s">
        <v>5929</v>
      </c>
      <c r="AE141" s="68" t="s">
        <v>6144</v>
      </c>
      <c r="AF141" s="68" t="s">
        <v>6159</v>
      </c>
      <c r="AG141" s="68" t="s">
        <v>6036</v>
      </c>
      <c r="AH141" s="68" t="s">
        <v>5929</v>
      </c>
      <c r="AI141" s="68" t="s">
        <v>6160</v>
      </c>
      <c r="AJ141" s="68" t="s">
        <v>6161</v>
      </c>
      <c r="AK141" s="68" t="s">
        <v>6162</v>
      </c>
      <c r="AL141" s="68"/>
      <c r="AM141" s="68"/>
      <c r="AN141" s="68"/>
      <c r="AO141" s="68"/>
      <c r="AP141" s="68"/>
      <c r="AQ141" s="68"/>
      <c r="AR141" s="68"/>
      <c r="AS141" s="68"/>
      <c r="AT141" s="68"/>
      <c r="AU141" s="68"/>
      <c r="AV141" s="68"/>
      <c r="AW141" s="68"/>
      <c r="AX141" s="68"/>
    </row>
    <row r="142" spans="2:50" ht="14.5">
      <c r="B142" s="68" t="s">
        <v>345</v>
      </c>
      <c r="C142" s="68" t="s">
        <v>6163</v>
      </c>
      <c r="D142" s="68" t="s">
        <v>332</v>
      </c>
      <c r="E142" s="68" t="s">
        <v>6164</v>
      </c>
      <c r="F142" s="68" t="s">
        <v>6019</v>
      </c>
      <c r="G142" s="68" t="s">
        <v>5925</v>
      </c>
      <c r="H142" s="68" t="s">
        <v>5926</v>
      </c>
      <c r="I142" s="68" t="s">
        <v>5927</v>
      </c>
      <c r="J142" s="68" t="s">
        <v>5928</v>
      </c>
      <c r="K142" s="68" t="s">
        <v>5929</v>
      </c>
      <c r="L142" s="68" t="s">
        <v>5990</v>
      </c>
      <c r="M142" s="68" t="s">
        <v>5932</v>
      </c>
      <c r="N142" s="68" t="s">
        <v>5933</v>
      </c>
      <c r="O142" s="68" t="s">
        <v>5955</v>
      </c>
      <c r="P142" s="68" t="s">
        <v>5997</v>
      </c>
      <c r="Q142" s="68" t="s">
        <v>5935</v>
      </c>
      <c r="R142" s="68" t="s">
        <v>6015</v>
      </c>
      <c r="S142" s="68" t="s">
        <v>5939</v>
      </c>
      <c r="T142" s="68" t="s">
        <v>6110</v>
      </c>
      <c r="U142" s="68" t="s">
        <v>6165</v>
      </c>
      <c r="V142" s="68" t="s">
        <v>5999</v>
      </c>
      <c r="W142" s="68" t="s">
        <v>6131</v>
      </c>
      <c r="X142" s="68" t="s">
        <v>5944</v>
      </c>
      <c r="Y142" s="68" t="s">
        <v>6087</v>
      </c>
      <c r="Z142" s="68" t="s">
        <v>5943</v>
      </c>
      <c r="AA142" s="68" t="s">
        <v>5944</v>
      </c>
      <c r="AB142" s="68" t="s">
        <v>6087</v>
      </c>
      <c r="AC142" s="68" t="s">
        <v>6036</v>
      </c>
      <c r="AD142" s="68" t="s">
        <v>6166</v>
      </c>
      <c r="AE142" s="68" t="s">
        <v>6167</v>
      </c>
      <c r="AF142" s="68" t="s">
        <v>6168</v>
      </c>
      <c r="AG142" s="68" t="s">
        <v>6019</v>
      </c>
      <c r="AH142" s="68" t="s">
        <v>6150</v>
      </c>
      <c r="AI142" s="68" t="s">
        <v>5929</v>
      </c>
      <c r="AJ142" s="68" t="s">
        <v>6169</v>
      </c>
      <c r="AK142" s="68"/>
      <c r="AL142" s="68"/>
      <c r="AM142" s="68"/>
      <c r="AN142" s="68"/>
      <c r="AO142" s="68"/>
      <c r="AP142" s="68"/>
      <c r="AQ142" s="68"/>
      <c r="AR142" s="68"/>
      <c r="AS142" s="68"/>
      <c r="AT142" s="68"/>
      <c r="AU142" s="68"/>
      <c r="AV142" s="68"/>
      <c r="AW142" s="68"/>
      <c r="AX142" s="68"/>
    </row>
    <row r="143" spans="2:50" ht="14.5">
      <c r="B143" s="68" t="s">
        <v>353</v>
      </c>
      <c r="C143" s="68" t="s">
        <v>6170</v>
      </c>
      <c r="D143" s="68" t="s">
        <v>332</v>
      </c>
      <c r="E143" s="68" t="s">
        <v>6171</v>
      </c>
      <c r="F143" s="68" t="s">
        <v>6019</v>
      </c>
      <c r="G143" s="68" t="s">
        <v>5925</v>
      </c>
      <c r="H143" s="68" t="s">
        <v>5926</v>
      </c>
      <c r="I143" s="68" t="s">
        <v>5927</v>
      </c>
      <c r="J143" s="68" t="s">
        <v>5928</v>
      </c>
      <c r="K143" s="68" t="s">
        <v>5929</v>
      </c>
      <c r="L143" s="68" t="s">
        <v>5996</v>
      </c>
      <c r="M143" s="68" t="s">
        <v>5932</v>
      </c>
      <c r="N143" s="68" t="s">
        <v>5933</v>
      </c>
      <c r="O143" s="68" t="s">
        <v>5955</v>
      </c>
      <c r="P143" s="68" t="s">
        <v>6172</v>
      </c>
      <c r="Q143" s="68" t="s">
        <v>5935</v>
      </c>
      <c r="R143" s="68" t="s">
        <v>6015</v>
      </c>
      <c r="S143" s="68" t="s">
        <v>5939</v>
      </c>
      <c r="T143" s="68" t="s">
        <v>6110</v>
      </c>
      <c r="U143" s="68" t="s">
        <v>6150</v>
      </c>
      <c r="V143" s="68" t="s">
        <v>5933</v>
      </c>
      <c r="W143" s="68" t="s">
        <v>6173</v>
      </c>
      <c r="X143" s="68" t="s">
        <v>5999</v>
      </c>
      <c r="Y143" s="68" t="s">
        <v>6174</v>
      </c>
      <c r="Z143" s="68" t="s">
        <v>6175</v>
      </c>
      <c r="AA143" s="68" t="s">
        <v>6097</v>
      </c>
      <c r="AB143" s="68" t="s">
        <v>6110</v>
      </c>
      <c r="AC143" s="68">
        <v>2</v>
      </c>
      <c r="AD143" s="68" t="s">
        <v>5934</v>
      </c>
      <c r="AE143" s="68" t="s">
        <v>5943</v>
      </c>
      <c r="AF143" s="68" t="s">
        <v>5929</v>
      </c>
      <c r="AG143" s="68" t="s">
        <v>5953</v>
      </c>
      <c r="AH143" s="68" t="s">
        <v>6152</v>
      </c>
      <c r="AI143" s="68" t="s">
        <v>5932</v>
      </c>
      <c r="AJ143" s="68" t="s">
        <v>6168</v>
      </c>
      <c r="AK143" s="68" t="s">
        <v>6017</v>
      </c>
      <c r="AL143" s="68" t="s">
        <v>6025</v>
      </c>
      <c r="AM143" s="68" t="s">
        <v>6176</v>
      </c>
      <c r="AN143" s="68" t="s">
        <v>6136</v>
      </c>
      <c r="AO143" s="68" t="s">
        <v>6177</v>
      </c>
      <c r="AP143" s="68" t="s">
        <v>5928</v>
      </c>
      <c r="AQ143" s="68" t="s">
        <v>5929</v>
      </c>
      <c r="AR143" s="68" t="s">
        <v>5953</v>
      </c>
      <c r="AS143" s="68" t="s">
        <v>6178</v>
      </c>
      <c r="AT143" s="68" t="s">
        <v>5939</v>
      </c>
      <c r="AU143" s="68" t="s">
        <v>6179</v>
      </c>
      <c r="AV143" s="68" t="s">
        <v>6137</v>
      </c>
      <c r="AW143" s="68"/>
      <c r="AX143" s="68"/>
    </row>
    <row r="144" spans="2:50" ht="14.5">
      <c r="B144" s="68" t="s">
        <v>360</v>
      </c>
      <c r="C144" s="68" t="s">
        <v>6180</v>
      </c>
      <c r="D144" s="68" t="s">
        <v>332</v>
      </c>
      <c r="E144" s="68" t="s">
        <v>6181</v>
      </c>
      <c r="F144" s="68" t="s">
        <v>6019</v>
      </c>
      <c r="G144" s="68" t="s">
        <v>5925</v>
      </c>
      <c r="H144" s="68" t="s">
        <v>5926</v>
      </c>
      <c r="I144" s="68" t="s">
        <v>5992</v>
      </c>
      <c r="J144" s="68" t="s">
        <v>5929</v>
      </c>
      <c r="K144" s="68" t="s">
        <v>6182</v>
      </c>
      <c r="L144" s="68" t="s">
        <v>5932</v>
      </c>
      <c r="M144" s="68" t="s">
        <v>6183</v>
      </c>
      <c r="N144" s="68" t="s">
        <v>6184</v>
      </c>
      <c r="O144" s="68" t="s">
        <v>6185</v>
      </c>
      <c r="P144" s="68" t="s">
        <v>5999</v>
      </c>
      <c r="Q144" s="68" t="s">
        <v>6109</v>
      </c>
      <c r="R144" s="68" t="s">
        <v>6175</v>
      </c>
      <c r="S144" s="68" t="s">
        <v>6097</v>
      </c>
      <c r="T144" s="68" t="s">
        <v>6110</v>
      </c>
      <c r="U144" s="68">
        <v>1</v>
      </c>
      <c r="V144" s="68" t="s">
        <v>5932</v>
      </c>
      <c r="W144" s="68"/>
      <c r="X144" s="68"/>
      <c r="Y144" s="68"/>
      <c r="Z144" s="68"/>
      <c r="AA144" s="68"/>
      <c r="AB144" s="68"/>
      <c r="AC144" s="68"/>
      <c r="AD144" s="68"/>
      <c r="AE144" s="68"/>
      <c r="AF144" s="68"/>
      <c r="AG144" s="68"/>
      <c r="AH144" s="68"/>
      <c r="AI144" s="68"/>
      <c r="AJ144" s="68"/>
      <c r="AK144" s="68"/>
      <c r="AL144" s="68"/>
      <c r="AM144" s="68"/>
      <c r="AN144" s="68"/>
      <c r="AO144" s="68"/>
      <c r="AP144" s="68"/>
      <c r="AQ144" s="68"/>
      <c r="AR144" s="68"/>
      <c r="AS144" s="68"/>
      <c r="AT144" s="68"/>
      <c r="AU144" s="68"/>
      <c r="AV144" s="68"/>
      <c r="AW144" s="68"/>
      <c r="AX144" s="68"/>
    </row>
    <row r="145" spans="2:50" ht="14.5">
      <c r="B145" s="68" t="s">
        <v>367</v>
      </c>
      <c r="C145" s="68" t="s">
        <v>6186</v>
      </c>
      <c r="D145" s="68" t="s">
        <v>332</v>
      </c>
      <c r="E145" s="68" t="s">
        <v>6187</v>
      </c>
      <c r="F145" s="68" t="s">
        <v>6019</v>
      </c>
      <c r="G145" s="68" t="s">
        <v>5925</v>
      </c>
      <c r="H145" s="68" t="s">
        <v>5952</v>
      </c>
      <c r="I145" s="68" t="s">
        <v>5953</v>
      </c>
      <c r="J145" s="68" t="s">
        <v>5928</v>
      </c>
      <c r="K145" s="68" t="s">
        <v>5929</v>
      </c>
      <c r="L145" s="68" t="s">
        <v>6004</v>
      </c>
      <c r="M145" s="68" t="s">
        <v>5932</v>
      </c>
      <c r="N145" s="68" t="s">
        <v>5933</v>
      </c>
      <c r="O145" s="68" t="s">
        <v>5955</v>
      </c>
      <c r="P145" s="68" t="s">
        <v>5997</v>
      </c>
      <c r="Q145" s="68" t="s">
        <v>6188</v>
      </c>
      <c r="R145" s="68" t="s">
        <v>5999</v>
      </c>
      <c r="S145" s="68" t="s">
        <v>6189</v>
      </c>
      <c r="T145" s="68" t="s">
        <v>6108</v>
      </c>
      <c r="U145" s="68" t="s">
        <v>6036</v>
      </c>
      <c r="V145" s="68" t="s">
        <v>6097</v>
      </c>
      <c r="W145" s="68" t="s">
        <v>6110</v>
      </c>
      <c r="X145" s="68">
        <v>1</v>
      </c>
      <c r="Y145" s="68" t="s">
        <v>5932</v>
      </c>
      <c r="Z145" s="68"/>
      <c r="AA145" s="68"/>
      <c r="AB145" s="68"/>
      <c r="AC145" s="68"/>
      <c r="AD145" s="68"/>
      <c r="AE145" s="68"/>
      <c r="AF145" s="68"/>
      <c r="AG145" s="68"/>
      <c r="AH145" s="68"/>
      <c r="AI145" s="68"/>
      <c r="AJ145" s="68"/>
      <c r="AK145" s="68"/>
      <c r="AL145" s="68"/>
      <c r="AM145" s="68"/>
      <c r="AN145" s="68"/>
      <c r="AO145" s="68"/>
      <c r="AP145" s="68"/>
      <c r="AQ145" s="68"/>
      <c r="AR145" s="68"/>
      <c r="AS145" s="68"/>
      <c r="AT145" s="68"/>
      <c r="AU145" s="68"/>
      <c r="AV145" s="68"/>
      <c r="AW145" s="68"/>
      <c r="AX145" s="68"/>
    </row>
    <row r="146" spans="2:50" ht="14.5">
      <c r="B146" s="68" t="s">
        <v>372</v>
      </c>
      <c r="C146" s="68" t="s">
        <v>6147</v>
      </c>
      <c r="D146" s="68" t="s">
        <v>332</v>
      </c>
      <c r="E146" s="68" t="s">
        <v>6190</v>
      </c>
      <c r="F146" s="68" t="s">
        <v>6019</v>
      </c>
      <c r="G146" s="68" t="s">
        <v>5925</v>
      </c>
      <c r="H146" s="68" t="s">
        <v>5953</v>
      </c>
      <c r="I146" s="68" t="s">
        <v>5932</v>
      </c>
      <c r="J146" s="68" t="s">
        <v>6132</v>
      </c>
      <c r="K146" s="68" t="s">
        <v>5928</v>
      </c>
      <c r="L146" s="68" t="s">
        <v>5929</v>
      </c>
      <c r="M146" s="68" t="s">
        <v>5990</v>
      </c>
      <c r="N146" s="68" t="s">
        <v>5933</v>
      </c>
      <c r="O146" s="68" t="s">
        <v>5955</v>
      </c>
      <c r="P146" s="68" t="s">
        <v>5997</v>
      </c>
      <c r="Q146" s="68" t="s">
        <v>6191</v>
      </c>
      <c r="R146" s="68" t="s">
        <v>5939</v>
      </c>
      <c r="S146" s="68" t="s">
        <v>6192</v>
      </c>
      <c r="T146" s="68" t="s">
        <v>5929</v>
      </c>
      <c r="U146" s="68" t="s">
        <v>6096</v>
      </c>
      <c r="V146" s="68" t="s">
        <v>6090</v>
      </c>
      <c r="W146" s="68" t="s">
        <v>5999</v>
      </c>
      <c r="X146" s="68" t="s">
        <v>6109</v>
      </c>
      <c r="Y146" s="68" t="s">
        <v>6108</v>
      </c>
      <c r="Z146" s="68" t="s">
        <v>6036</v>
      </c>
      <c r="AA146" s="68" t="s">
        <v>6097</v>
      </c>
      <c r="AB146" s="68" t="s">
        <v>6110</v>
      </c>
      <c r="AC146" s="68">
        <v>1</v>
      </c>
      <c r="AD146" s="68" t="s">
        <v>6193</v>
      </c>
      <c r="AE146" s="68" t="s">
        <v>6015</v>
      </c>
      <c r="AF146" s="68" t="s">
        <v>6194</v>
      </c>
      <c r="AG146" s="68" t="s">
        <v>6195</v>
      </c>
      <c r="AH146" s="68" t="s">
        <v>6196</v>
      </c>
      <c r="AI146" s="68" t="s">
        <v>6197</v>
      </c>
      <c r="AJ146" s="68" t="s">
        <v>6198</v>
      </c>
      <c r="AK146" s="68" t="s">
        <v>6087</v>
      </c>
      <c r="AL146" s="68" t="s">
        <v>5953</v>
      </c>
      <c r="AM146" s="68"/>
      <c r="AN146" s="68"/>
      <c r="AO146" s="68"/>
      <c r="AP146" s="68"/>
      <c r="AQ146" s="68"/>
      <c r="AR146" s="68"/>
      <c r="AS146" s="68"/>
      <c r="AT146" s="68"/>
      <c r="AU146" s="68"/>
      <c r="AV146" s="68"/>
      <c r="AW146" s="68"/>
      <c r="AX146" s="68"/>
    </row>
    <row r="147" spans="2:50" ht="14.5">
      <c r="B147" s="68" t="s">
        <v>379</v>
      </c>
      <c r="C147" s="68" t="s">
        <v>6199</v>
      </c>
      <c r="D147" s="68" t="s">
        <v>332</v>
      </c>
      <c r="E147" s="68" t="s">
        <v>6200</v>
      </c>
      <c r="F147" s="68" t="s">
        <v>6019</v>
      </c>
      <c r="G147" s="68" t="s">
        <v>5925</v>
      </c>
      <c r="H147" s="68" t="s">
        <v>5953</v>
      </c>
      <c r="I147" s="68" t="s">
        <v>5932</v>
      </c>
      <c r="J147" s="68" t="s">
        <v>6132</v>
      </c>
      <c r="K147" s="68" t="s">
        <v>5928</v>
      </c>
      <c r="L147" s="68" t="s">
        <v>5929</v>
      </c>
      <c r="M147" s="68" t="s">
        <v>5990</v>
      </c>
      <c r="N147" s="68" t="s">
        <v>5933</v>
      </c>
      <c r="O147" s="68" t="s">
        <v>5955</v>
      </c>
      <c r="P147" s="68" t="s">
        <v>5997</v>
      </c>
      <c r="Q147" s="68" t="s">
        <v>6188</v>
      </c>
      <c r="R147" s="68" t="s">
        <v>5999</v>
      </c>
      <c r="S147" s="68" t="s">
        <v>5925</v>
      </c>
      <c r="T147" s="68" t="s">
        <v>5926</v>
      </c>
      <c r="U147" s="68" t="s">
        <v>5927</v>
      </c>
      <c r="V147" s="68" t="s">
        <v>5928</v>
      </c>
      <c r="W147" s="68" t="s">
        <v>5929</v>
      </c>
      <c r="X147" s="68" t="s">
        <v>5996</v>
      </c>
      <c r="Y147" s="68" t="s">
        <v>5939</v>
      </c>
      <c r="Z147" s="68" t="s">
        <v>6201</v>
      </c>
      <c r="AA147" s="68" t="s">
        <v>6136</v>
      </c>
      <c r="AB147" s="68" t="s">
        <v>6202</v>
      </c>
      <c r="AC147" s="68" t="s">
        <v>5955</v>
      </c>
      <c r="AD147" s="68" t="s">
        <v>6203</v>
      </c>
      <c r="AE147" s="68" t="s">
        <v>6109</v>
      </c>
      <c r="AF147" s="68" t="s">
        <v>6151</v>
      </c>
      <c r="AG147" s="68" t="s">
        <v>6097</v>
      </c>
      <c r="AH147" s="68" t="s">
        <v>6110</v>
      </c>
      <c r="AI147" s="68">
        <v>2</v>
      </c>
      <c r="AJ147" s="68" t="s">
        <v>5934</v>
      </c>
      <c r="AK147" s="68" t="s">
        <v>5943</v>
      </c>
      <c r="AL147" s="68" t="s">
        <v>5929</v>
      </c>
      <c r="AM147" s="68" t="s">
        <v>6096</v>
      </c>
      <c r="AN147" s="68" t="s">
        <v>6015</v>
      </c>
      <c r="AO147" s="68"/>
      <c r="AP147" s="68"/>
      <c r="AQ147" s="68"/>
      <c r="AR147" s="68"/>
      <c r="AS147" s="68"/>
      <c r="AT147" s="68"/>
      <c r="AU147" s="68"/>
      <c r="AV147" s="68"/>
      <c r="AW147" s="68"/>
      <c r="AX147" s="68"/>
    </row>
    <row r="148" spans="2:50" ht="14.5">
      <c r="B148" s="68" t="s">
        <v>1126</v>
      </c>
      <c r="C148" s="68" t="s">
        <v>6204</v>
      </c>
      <c r="D148" s="68" t="s">
        <v>3244</v>
      </c>
      <c r="E148" s="68" t="s">
        <v>503</v>
      </c>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row>
    <row r="149" spans="2:50" ht="14.5">
      <c r="B149" s="68" t="s">
        <v>1132</v>
      </c>
      <c r="C149" s="68" t="s">
        <v>6205</v>
      </c>
      <c r="D149" s="68" t="s">
        <v>3244</v>
      </c>
      <c r="E149" s="68" t="s">
        <v>288</v>
      </c>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c r="AJ149" s="68"/>
      <c r="AK149" s="68"/>
      <c r="AL149" s="68"/>
      <c r="AM149" s="68"/>
      <c r="AN149" s="68"/>
      <c r="AO149" s="68"/>
      <c r="AP149" s="68"/>
      <c r="AQ149" s="68"/>
      <c r="AR149" s="68"/>
      <c r="AS149" s="68"/>
      <c r="AT149" s="68"/>
      <c r="AU149" s="68"/>
      <c r="AV149" s="68"/>
      <c r="AW149" s="68"/>
      <c r="AX149" s="68"/>
    </row>
    <row r="150" spans="2:50" ht="14.5">
      <c r="B150" s="68" t="s">
        <v>1135</v>
      </c>
      <c r="C150" s="68" t="s">
        <v>6206</v>
      </c>
      <c r="D150" s="68" t="s">
        <v>3244</v>
      </c>
      <c r="E150" s="68" t="s">
        <v>496</v>
      </c>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c r="AJ150" s="68"/>
      <c r="AK150" s="68"/>
      <c r="AL150" s="68"/>
      <c r="AM150" s="68"/>
      <c r="AN150" s="68"/>
      <c r="AO150" s="68"/>
      <c r="AP150" s="68"/>
      <c r="AQ150" s="68"/>
      <c r="AR150" s="68"/>
      <c r="AS150" s="68"/>
      <c r="AT150" s="68"/>
      <c r="AU150" s="68"/>
      <c r="AV150" s="68"/>
      <c r="AW150" s="68"/>
      <c r="AX150" s="68"/>
    </row>
    <row r="151" spans="2:50" ht="14.5">
      <c r="B151" s="68" t="s">
        <v>1139</v>
      </c>
      <c r="C151" s="68" t="s">
        <v>6207</v>
      </c>
      <c r="D151" s="68" t="s">
        <v>3244</v>
      </c>
      <c r="E151" s="68" t="s">
        <v>569</v>
      </c>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c r="AJ151" s="68"/>
      <c r="AK151" s="68"/>
      <c r="AL151" s="68"/>
      <c r="AM151" s="68"/>
      <c r="AN151" s="68"/>
      <c r="AO151" s="68"/>
      <c r="AP151" s="68"/>
      <c r="AQ151" s="68"/>
      <c r="AR151" s="68"/>
      <c r="AS151" s="68"/>
      <c r="AT151" s="68"/>
      <c r="AU151" s="68"/>
      <c r="AV151" s="68"/>
      <c r="AW151" s="68"/>
      <c r="AX151" s="68"/>
    </row>
    <row r="152" spans="2:50" ht="14.5">
      <c r="B152" s="68" t="s">
        <v>1147</v>
      </c>
      <c r="C152" s="68" t="s">
        <v>6208</v>
      </c>
      <c r="D152" s="68" t="s">
        <v>1154</v>
      </c>
      <c r="E152" s="68" t="s">
        <v>99</v>
      </c>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c r="AJ152" s="68"/>
      <c r="AK152" s="68"/>
      <c r="AL152" s="68"/>
      <c r="AM152" s="68"/>
      <c r="AN152" s="68"/>
      <c r="AO152" s="68"/>
      <c r="AP152" s="68"/>
      <c r="AQ152" s="68"/>
      <c r="AR152" s="68"/>
      <c r="AS152" s="68"/>
      <c r="AT152" s="68"/>
      <c r="AU152" s="68"/>
      <c r="AV152" s="68"/>
      <c r="AW152" s="68"/>
      <c r="AX152" s="68"/>
    </row>
    <row r="153" spans="2:50" ht="14.5">
      <c r="B153" s="68" t="s">
        <v>1151</v>
      </c>
      <c r="C153" s="68" t="s">
        <v>6209</v>
      </c>
      <c r="D153" s="68" t="s">
        <v>1154</v>
      </c>
      <c r="E153" s="68" t="s">
        <v>67</v>
      </c>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c r="AJ153" s="68"/>
      <c r="AK153" s="68"/>
      <c r="AL153" s="68"/>
      <c r="AM153" s="68"/>
      <c r="AN153" s="68"/>
      <c r="AO153" s="68"/>
      <c r="AP153" s="68"/>
      <c r="AQ153" s="68"/>
      <c r="AR153" s="68"/>
      <c r="AS153" s="68"/>
      <c r="AT153" s="68"/>
      <c r="AU153" s="68"/>
      <c r="AV153" s="68"/>
      <c r="AW153" s="68"/>
      <c r="AX153" s="68"/>
    </row>
    <row r="154" spans="2:50" ht="14.5">
      <c r="B154" s="68" t="s">
        <v>1158</v>
      </c>
      <c r="C154" s="68" t="s">
        <v>6210</v>
      </c>
      <c r="D154" s="68" t="s">
        <v>1154</v>
      </c>
      <c r="E154" s="68" t="s">
        <v>248</v>
      </c>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c r="AJ154" s="68"/>
      <c r="AK154" s="68"/>
      <c r="AL154" s="68"/>
      <c r="AM154" s="68"/>
      <c r="AN154" s="68"/>
      <c r="AO154" s="68"/>
      <c r="AP154" s="68"/>
      <c r="AQ154" s="68"/>
      <c r="AR154" s="68"/>
      <c r="AS154" s="68"/>
      <c r="AT154" s="68"/>
      <c r="AU154" s="68"/>
      <c r="AV154" s="68"/>
      <c r="AW154" s="68"/>
      <c r="AX154" s="68"/>
    </row>
    <row r="155" spans="2:50" ht="14.5">
      <c r="B155" s="68" t="s">
        <v>1165</v>
      </c>
      <c r="C155" s="68" t="s">
        <v>6211</v>
      </c>
      <c r="D155" s="68" t="s">
        <v>543</v>
      </c>
      <c r="E155" s="68" t="s">
        <v>67</v>
      </c>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c r="AJ155" s="68"/>
      <c r="AK155" s="68"/>
      <c r="AL155" s="68"/>
      <c r="AM155" s="68"/>
      <c r="AN155" s="68"/>
      <c r="AO155" s="68"/>
      <c r="AP155" s="68"/>
      <c r="AQ155" s="68"/>
      <c r="AR155" s="68"/>
      <c r="AS155" s="68"/>
      <c r="AT155" s="68"/>
      <c r="AU155" s="68"/>
      <c r="AV155" s="68"/>
      <c r="AW155" s="68"/>
      <c r="AX155" s="68"/>
    </row>
    <row r="156" spans="2:50" ht="14.5">
      <c r="B156" s="68" t="s">
        <v>1171</v>
      </c>
      <c r="C156" s="68" t="s">
        <v>6212</v>
      </c>
      <c r="D156" s="68" t="s">
        <v>654</v>
      </c>
      <c r="E156" s="68" t="s">
        <v>1022</v>
      </c>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c r="AJ156" s="68"/>
      <c r="AK156" s="68"/>
      <c r="AL156" s="68"/>
      <c r="AM156" s="68"/>
      <c r="AN156" s="68"/>
      <c r="AO156" s="68"/>
      <c r="AP156" s="68"/>
      <c r="AQ156" s="68"/>
      <c r="AR156" s="68"/>
      <c r="AS156" s="68"/>
      <c r="AT156" s="68"/>
      <c r="AU156" s="68"/>
      <c r="AV156" s="68"/>
      <c r="AW156" s="68"/>
      <c r="AX156" s="68"/>
    </row>
    <row r="157" spans="2:50" ht="14.5">
      <c r="B157" s="68" t="s">
        <v>1176</v>
      </c>
      <c r="C157" s="68" t="s">
        <v>6213</v>
      </c>
      <c r="D157" s="68" t="s">
        <v>864</v>
      </c>
      <c r="E157" s="68" t="s">
        <v>503</v>
      </c>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c r="AJ157" s="68"/>
      <c r="AK157" s="68"/>
      <c r="AL157" s="68"/>
      <c r="AM157" s="68"/>
      <c r="AN157" s="68"/>
      <c r="AO157" s="68"/>
      <c r="AP157" s="68"/>
      <c r="AQ157" s="68"/>
      <c r="AR157" s="68"/>
      <c r="AS157" s="68"/>
      <c r="AT157" s="68"/>
      <c r="AU157" s="68"/>
      <c r="AV157" s="68"/>
      <c r="AW157" s="68"/>
      <c r="AX157" s="68"/>
    </row>
    <row r="158" spans="2:50" ht="14.5">
      <c r="B158" s="68" t="s">
        <v>1181</v>
      </c>
      <c r="C158" s="68" t="s">
        <v>6214</v>
      </c>
      <c r="D158" s="68" t="s">
        <v>1154</v>
      </c>
      <c r="E158" s="68" t="s">
        <v>496</v>
      </c>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c r="AJ158" s="68"/>
      <c r="AK158" s="68"/>
      <c r="AL158" s="68"/>
      <c r="AM158" s="68"/>
      <c r="AN158" s="68"/>
      <c r="AO158" s="68"/>
      <c r="AP158" s="68"/>
      <c r="AQ158" s="68"/>
      <c r="AR158" s="68"/>
      <c r="AS158" s="68"/>
      <c r="AT158" s="68"/>
      <c r="AU158" s="68"/>
      <c r="AV158" s="68"/>
      <c r="AW158" s="68"/>
      <c r="AX158" s="68"/>
    </row>
    <row r="159" spans="2:50" ht="14.5">
      <c r="B159" s="68" t="s">
        <v>1187</v>
      </c>
      <c r="C159" s="68" t="s">
        <v>6215</v>
      </c>
      <c r="D159" s="68" t="s">
        <v>1154</v>
      </c>
      <c r="E159" s="68" t="s">
        <v>936</v>
      </c>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c r="AJ159" s="68"/>
      <c r="AK159" s="68"/>
      <c r="AL159" s="68"/>
      <c r="AM159" s="68"/>
      <c r="AN159" s="68"/>
      <c r="AO159" s="68"/>
      <c r="AP159" s="68"/>
      <c r="AQ159" s="68"/>
      <c r="AR159" s="68"/>
      <c r="AS159" s="68"/>
      <c r="AT159" s="68"/>
      <c r="AU159" s="68"/>
      <c r="AV159" s="68"/>
      <c r="AW159" s="68"/>
      <c r="AX159" s="68"/>
    </row>
    <row r="160" spans="2:50" ht="14.5">
      <c r="B160" s="68" t="s">
        <v>1194</v>
      </c>
      <c r="C160" s="68" t="s">
        <v>6216</v>
      </c>
      <c r="D160" s="68" t="s">
        <v>1154</v>
      </c>
      <c r="E160" s="68" t="s">
        <v>969</v>
      </c>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c r="AJ160" s="68"/>
      <c r="AK160" s="68"/>
      <c r="AL160" s="68"/>
      <c r="AM160" s="68"/>
      <c r="AN160" s="68"/>
      <c r="AO160" s="68"/>
      <c r="AP160" s="68"/>
      <c r="AQ160" s="68"/>
      <c r="AR160" s="68"/>
      <c r="AS160" s="68"/>
      <c r="AT160" s="68"/>
      <c r="AU160" s="68"/>
      <c r="AV160" s="68"/>
      <c r="AW160" s="68"/>
      <c r="AX160" s="68"/>
    </row>
    <row r="161" spans="2:50" ht="14.5">
      <c r="B161" s="68" t="s">
        <v>1200</v>
      </c>
      <c r="C161" s="68" t="s">
        <v>6217</v>
      </c>
      <c r="D161" s="68" t="s">
        <v>864</v>
      </c>
      <c r="E161" s="68" t="s">
        <v>503</v>
      </c>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c r="AJ161" s="68"/>
      <c r="AK161" s="68"/>
      <c r="AL161" s="68"/>
      <c r="AM161" s="68"/>
      <c r="AN161" s="68"/>
      <c r="AO161" s="68"/>
      <c r="AP161" s="68"/>
      <c r="AQ161" s="68"/>
      <c r="AR161" s="68"/>
      <c r="AS161" s="68"/>
      <c r="AT161" s="68"/>
      <c r="AU161" s="68"/>
      <c r="AV161" s="68"/>
      <c r="AW161" s="68"/>
      <c r="AX161" s="68"/>
    </row>
    <row r="162" spans="2:50" ht="14.5">
      <c r="B162" s="68" t="s">
        <v>1205</v>
      </c>
      <c r="C162" s="68" t="s">
        <v>6218</v>
      </c>
      <c r="D162" s="68" t="s">
        <v>842</v>
      </c>
      <c r="E162" s="68" t="s">
        <v>195</v>
      </c>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c r="AJ162" s="68"/>
      <c r="AK162" s="68"/>
      <c r="AL162" s="68"/>
      <c r="AM162" s="68"/>
      <c r="AN162" s="68"/>
      <c r="AO162" s="68"/>
      <c r="AP162" s="68"/>
      <c r="AQ162" s="68"/>
      <c r="AR162" s="68"/>
      <c r="AS162" s="68"/>
      <c r="AT162" s="68"/>
      <c r="AU162" s="68"/>
      <c r="AV162" s="68"/>
      <c r="AW162" s="68"/>
      <c r="AX162" s="68"/>
    </row>
    <row r="163" spans="2:50" ht="14.5">
      <c r="B163" s="68" t="s">
        <v>1210</v>
      </c>
      <c r="C163" s="68" t="s">
        <v>6219</v>
      </c>
      <c r="D163" s="68" t="s">
        <v>1213</v>
      </c>
      <c r="E163" s="68" t="s">
        <v>99</v>
      </c>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c r="AJ163" s="68"/>
      <c r="AK163" s="68"/>
      <c r="AL163" s="68"/>
      <c r="AM163" s="68"/>
      <c r="AN163" s="68"/>
      <c r="AO163" s="68"/>
      <c r="AP163" s="68"/>
      <c r="AQ163" s="68"/>
      <c r="AR163" s="68"/>
      <c r="AS163" s="68"/>
      <c r="AT163" s="68"/>
      <c r="AU163" s="68"/>
      <c r="AV163" s="68"/>
      <c r="AW163" s="68"/>
      <c r="AX163" s="68"/>
    </row>
    <row r="164" spans="2:50" ht="14.5">
      <c r="B164" s="68" t="s">
        <v>234</v>
      </c>
      <c r="C164" s="68" t="s">
        <v>6220</v>
      </c>
      <c r="D164" s="68" t="s">
        <v>5923</v>
      </c>
      <c r="E164" s="68" t="s">
        <v>5924</v>
      </c>
      <c r="F164" s="68" t="s">
        <v>5925</v>
      </c>
      <c r="G164" s="68" t="s">
        <v>5926</v>
      </c>
      <c r="H164" s="68" t="s">
        <v>5927</v>
      </c>
      <c r="I164" s="68" t="s">
        <v>5928</v>
      </c>
      <c r="J164" s="68" t="s">
        <v>6221</v>
      </c>
      <c r="K164" s="68" t="s">
        <v>6015</v>
      </c>
      <c r="L164" s="68" t="s">
        <v>5939</v>
      </c>
      <c r="M164" s="68" t="s">
        <v>6081</v>
      </c>
      <c r="N164" s="68" t="s">
        <v>6097</v>
      </c>
      <c r="O164" s="68" t="s">
        <v>5955</v>
      </c>
      <c r="P164" s="68" t="s">
        <v>6023</v>
      </c>
      <c r="Q164" s="68" t="s">
        <v>6036</v>
      </c>
      <c r="R164" s="68" t="s">
        <v>5929</v>
      </c>
      <c r="S164" s="68" t="s">
        <v>6222</v>
      </c>
      <c r="T164" s="68" t="s">
        <v>6223</v>
      </c>
      <c r="U164" s="68" t="s">
        <v>5999</v>
      </c>
      <c r="V164" s="68" t="s">
        <v>6109</v>
      </c>
      <c r="W164" s="68" t="s">
        <v>5938</v>
      </c>
      <c r="X164" s="68" t="s">
        <v>5927</v>
      </c>
      <c r="Y164" s="68" t="s">
        <v>5985</v>
      </c>
      <c r="Z164" s="68" t="s">
        <v>6221</v>
      </c>
      <c r="AA164" s="68" t="s">
        <v>6015</v>
      </c>
      <c r="AB164" s="68" t="s">
        <v>5943</v>
      </c>
      <c r="AC164" s="68" t="s">
        <v>6049</v>
      </c>
      <c r="AD164" s="68" t="s">
        <v>6224</v>
      </c>
      <c r="AE164" s="68" t="s">
        <v>240</v>
      </c>
      <c r="AF164" s="68"/>
      <c r="AG164" s="68"/>
      <c r="AH164" s="68"/>
      <c r="AI164" s="68"/>
      <c r="AJ164" s="68"/>
      <c r="AK164" s="68"/>
      <c r="AL164" s="68"/>
      <c r="AM164" s="68"/>
      <c r="AN164" s="68"/>
      <c r="AO164" s="68"/>
      <c r="AP164" s="68"/>
      <c r="AQ164" s="68"/>
      <c r="AR164" s="68"/>
      <c r="AS164" s="68"/>
      <c r="AT164" s="68"/>
      <c r="AU164" s="68"/>
      <c r="AV164" s="68"/>
      <c r="AW164" s="68"/>
      <c r="AX164" s="68"/>
    </row>
    <row r="165" spans="2:50" ht="14.5">
      <c r="B165" s="68" t="s">
        <v>245</v>
      </c>
      <c r="C165" s="68" t="s">
        <v>6225</v>
      </c>
      <c r="D165" s="68" t="s">
        <v>5923</v>
      </c>
      <c r="E165" s="68" t="s">
        <v>5924</v>
      </c>
      <c r="F165" s="68" t="s">
        <v>5925</v>
      </c>
      <c r="G165" s="68" t="s">
        <v>5926</v>
      </c>
      <c r="H165" s="68" t="s">
        <v>5927</v>
      </c>
      <c r="I165" s="68" t="s">
        <v>5928</v>
      </c>
      <c r="J165" s="68" t="s">
        <v>5929</v>
      </c>
      <c r="K165" s="68" t="s">
        <v>6004</v>
      </c>
      <c r="L165" s="68" t="s">
        <v>5932</v>
      </c>
      <c r="M165" s="68" t="s">
        <v>5933</v>
      </c>
      <c r="N165" s="68" t="s">
        <v>5955</v>
      </c>
      <c r="O165" s="68" t="s">
        <v>5997</v>
      </c>
      <c r="P165" s="68" t="s">
        <v>5935</v>
      </c>
      <c r="Q165" s="68" t="s">
        <v>6015</v>
      </c>
      <c r="R165" s="68" t="s">
        <v>6016</v>
      </c>
      <c r="S165" s="68" t="s">
        <v>5955</v>
      </c>
      <c r="T165" s="68" t="s">
        <v>5999</v>
      </c>
      <c r="U165" s="68" t="s">
        <v>5984</v>
      </c>
      <c r="V165" s="68" t="s">
        <v>6226</v>
      </c>
      <c r="W165" s="68" t="s">
        <v>5985</v>
      </c>
      <c r="X165" s="68" t="s">
        <v>6132</v>
      </c>
      <c r="Y165" s="68" t="s">
        <v>5985</v>
      </c>
      <c r="Z165" s="68" t="s">
        <v>5929</v>
      </c>
      <c r="AA165" s="68" t="s">
        <v>6004</v>
      </c>
      <c r="AB165" s="68" t="s">
        <v>5932</v>
      </c>
      <c r="AC165" s="68" t="s">
        <v>5943</v>
      </c>
      <c r="AD165" s="68" t="s">
        <v>5953</v>
      </c>
      <c r="AE165" s="68" t="s">
        <v>5931</v>
      </c>
      <c r="AF165" s="68" t="s">
        <v>6227</v>
      </c>
      <c r="AG165" s="68" t="s">
        <v>248</v>
      </c>
      <c r="AH165" s="68"/>
      <c r="AI165" s="68"/>
      <c r="AJ165" s="68"/>
      <c r="AK165" s="68"/>
      <c r="AL165" s="68"/>
      <c r="AM165" s="68"/>
      <c r="AN165" s="68"/>
      <c r="AO165" s="68"/>
      <c r="AP165" s="68"/>
      <c r="AQ165" s="68"/>
      <c r="AR165" s="68"/>
      <c r="AS165" s="68"/>
      <c r="AT165" s="68"/>
      <c r="AU165" s="68"/>
      <c r="AV165" s="68"/>
      <c r="AW165" s="68"/>
      <c r="AX165" s="68"/>
    </row>
    <row r="166" spans="2:50" ht="14.5">
      <c r="B166" s="68" t="s">
        <v>1216</v>
      </c>
      <c r="C166" s="68" t="s">
        <v>6217</v>
      </c>
      <c r="D166" s="68" t="s">
        <v>1219</v>
      </c>
      <c r="E166" s="68" t="s">
        <v>99</v>
      </c>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c r="AJ166" s="68"/>
      <c r="AK166" s="68"/>
      <c r="AL166" s="68"/>
      <c r="AM166" s="68"/>
      <c r="AN166" s="68"/>
      <c r="AO166" s="68"/>
      <c r="AP166" s="68"/>
      <c r="AQ166" s="68"/>
      <c r="AR166" s="68"/>
      <c r="AS166" s="68"/>
      <c r="AT166" s="68"/>
      <c r="AU166" s="68"/>
      <c r="AV166" s="68"/>
      <c r="AW166" s="68"/>
      <c r="AX166" s="68"/>
    </row>
    <row r="167" spans="2:50" ht="14.5">
      <c r="B167" s="68" t="s">
        <v>251</v>
      </c>
      <c r="C167" s="68" t="s">
        <v>6228</v>
      </c>
      <c r="D167" s="68" t="s">
        <v>5923</v>
      </c>
      <c r="E167" s="68" t="s">
        <v>5929</v>
      </c>
      <c r="F167" s="68" t="s">
        <v>6229</v>
      </c>
      <c r="G167" s="68" t="s">
        <v>5942</v>
      </c>
      <c r="H167" s="68" t="s">
        <v>6230</v>
      </c>
      <c r="I167" s="68" t="s">
        <v>5941</v>
      </c>
      <c r="J167" s="68" t="s">
        <v>6231</v>
      </c>
      <c r="K167" s="68" t="s">
        <v>5925</v>
      </c>
      <c r="L167" s="68" t="s">
        <v>5926</v>
      </c>
      <c r="M167" s="68" t="s">
        <v>5927</v>
      </c>
      <c r="N167" s="68" t="s">
        <v>6022</v>
      </c>
      <c r="O167" s="68" t="s">
        <v>5929</v>
      </c>
      <c r="P167" s="68" t="s">
        <v>6232</v>
      </c>
      <c r="Q167" s="68" t="s">
        <v>5928</v>
      </c>
      <c r="R167" s="68" t="s">
        <v>5929</v>
      </c>
      <c r="S167" s="68" t="s">
        <v>5996</v>
      </c>
      <c r="T167" s="68" t="s">
        <v>5932</v>
      </c>
      <c r="U167" s="68" t="s">
        <v>5933</v>
      </c>
      <c r="V167" s="68" t="s">
        <v>5955</v>
      </c>
      <c r="W167" s="68" t="s">
        <v>5997</v>
      </c>
      <c r="X167" s="68" t="s">
        <v>5935</v>
      </c>
      <c r="Y167" s="68" t="s">
        <v>6090</v>
      </c>
      <c r="Z167" s="68" t="s">
        <v>5999</v>
      </c>
      <c r="AA167" s="68" t="s">
        <v>5984</v>
      </c>
      <c r="AB167" s="68" t="s">
        <v>6108</v>
      </c>
      <c r="AC167" s="68" t="s">
        <v>6039</v>
      </c>
      <c r="AD167" s="68" t="s">
        <v>6103</v>
      </c>
      <c r="AE167" s="68" t="s">
        <v>5932</v>
      </c>
      <c r="AF167" s="68" t="s">
        <v>5943</v>
      </c>
      <c r="AG167" s="68" t="s">
        <v>5929</v>
      </c>
      <c r="AH167" s="68" t="s">
        <v>5990</v>
      </c>
      <c r="AI167" s="68" t="s">
        <v>6227</v>
      </c>
      <c r="AJ167" s="68" t="s">
        <v>6233</v>
      </c>
      <c r="AK167" s="68" t="s">
        <v>6234</v>
      </c>
      <c r="AL167" s="68"/>
      <c r="AM167" s="68"/>
      <c r="AN167" s="68"/>
      <c r="AO167" s="68"/>
      <c r="AP167" s="68"/>
      <c r="AQ167" s="68"/>
      <c r="AR167" s="68"/>
      <c r="AS167" s="68"/>
      <c r="AT167" s="68"/>
      <c r="AU167" s="68"/>
      <c r="AV167" s="68"/>
      <c r="AW167" s="68"/>
      <c r="AX167" s="68"/>
    </row>
    <row r="168" spans="2:50" ht="14.5">
      <c r="B168" s="68" t="s">
        <v>1221</v>
      </c>
      <c r="C168" s="68" t="s">
        <v>6235</v>
      </c>
      <c r="D168" s="68" t="s">
        <v>1219</v>
      </c>
      <c r="E168" s="68" t="s">
        <v>195</v>
      </c>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c r="AJ168" s="68"/>
      <c r="AK168" s="68"/>
      <c r="AL168" s="68"/>
      <c r="AM168" s="68"/>
      <c r="AN168" s="68"/>
      <c r="AO168" s="68"/>
      <c r="AP168" s="68"/>
      <c r="AQ168" s="68"/>
      <c r="AR168" s="68"/>
      <c r="AS168" s="68"/>
      <c r="AT168" s="68"/>
      <c r="AU168" s="68"/>
      <c r="AV168" s="68"/>
      <c r="AW168" s="68"/>
      <c r="AX168" s="68"/>
    </row>
    <row r="169" spans="2:50" ht="14.5">
      <c r="B169" s="68" t="s">
        <v>1228</v>
      </c>
      <c r="C169" s="68" t="s">
        <v>6236</v>
      </c>
      <c r="D169" s="68" t="s">
        <v>1233</v>
      </c>
      <c r="E169" s="68" t="s">
        <v>925</v>
      </c>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c r="AJ169" s="68"/>
      <c r="AK169" s="68"/>
      <c r="AL169" s="68"/>
      <c r="AM169" s="68"/>
      <c r="AN169" s="68"/>
      <c r="AO169" s="68"/>
      <c r="AP169" s="68"/>
      <c r="AQ169" s="68"/>
      <c r="AR169" s="68"/>
      <c r="AS169" s="68"/>
      <c r="AT169" s="68"/>
      <c r="AU169" s="68"/>
      <c r="AV169" s="68"/>
      <c r="AW169" s="68"/>
      <c r="AX169" s="68"/>
    </row>
    <row r="170" spans="2:50" ht="14.5">
      <c r="B170" s="68" t="s">
        <v>1236</v>
      </c>
      <c r="C170" s="68" t="s">
        <v>6054</v>
      </c>
      <c r="D170" s="68" t="s">
        <v>1233</v>
      </c>
      <c r="E170" s="68" t="s">
        <v>67</v>
      </c>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c r="AJ170" s="68"/>
      <c r="AK170" s="68"/>
      <c r="AL170" s="68"/>
      <c r="AM170" s="68"/>
      <c r="AN170" s="68"/>
      <c r="AO170" s="68"/>
      <c r="AP170" s="68"/>
      <c r="AQ170" s="68"/>
      <c r="AR170" s="68"/>
      <c r="AS170" s="68"/>
      <c r="AT170" s="68"/>
      <c r="AU170" s="68"/>
      <c r="AV170" s="68"/>
      <c r="AW170" s="68"/>
      <c r="AX170" s="68"/>
    </row>
    <row r="171" spans="2:50" ht="14.5">
      <c r="B171" s="68" t="s">
        <v>1240</v>
      </c>
      <c r="C171" s="68" t="s">
        <v>6237</v>
      </c>
      <c r="D171" s="68" t="s">
        <v>1233</v>
      </c>
      <c r="E171" s="68" t="s">
        <v>1022</v>
      </c>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c r="AJ171" s="68"/>
      <c r="AK171" s="68"/>
      <c r="AL171" s="68"/>
      <c r="AM171" s="68"/>
      <c r="AN171" s="68"/>
      <c r="AO171" s="68"/>
      <c r="AP171" s="68"/>
      <c r="AQ171" s="68"/>
      <c r="AR171" s="68"/>
      <c r="AS171" s="68"/>
      <c r="AT171" s="68"/>
      <c r="AU171" s="68"/>
      <c r="AV171" s="68"/>
      <c r="AW171" s="68"/>
      <c r="AX171" s="68"/>
    </row>
    <row r="172" spans="2:50" ht="14.5">
      <c r="B172" s="68" t="s">
        <v>1246</v>
      </c>
      <c r="C172" s="68" t="s">
        <v>6235</v>
      </c>
      <c r="D172" s="68" t="s">
        <v>1219</v>
      </c>
      <c r="E172" s="68" t="s">
        <v>195</v>
      </c>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c r="AJ172" s="68"/>
      <c r="AK172" s="68"/>
      <c r="AL172" s="68"/>
      <c r="AM172" s="68"/>
      <c r="AN172" s="68"/>
      <c r="AO172" s="68"/>
      <c r="AP172" s="68"/>
      <c r="AQ172" s="68"/>
      <c r="AR172" s="68"/>
      <c r="AS172" s="68"/>
      <c r="AT172" s="68"/>
      <c r="AU172" s="68"/>
      <c r="AV172" s="68"/>
      <c r="AW172" s="68"/>
      <c r="AX172" s="68"/>
    </row>
    <row r="173" spans="2:50" ht="14.5">
      <c r="B173" s="68" t="s">
        <v>1249</v>
      </c>
      <c r="C173" s="68" t="s">
        <v>6238</v>
      </c>
      <c r="D173" s="68" t="s">
        <v>1233</v>
      </c>
      <c r="E173" s="68" t="s">
        <v>262</v>
      </c>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c r="AJ173" s="68"/>
      <c r="AK173" s="68"/>
      <c r="AL173" s="68"/>
      <c r="AM173" s="68"/>
      <c r="AN173" s="68"/>
      <c r="AO173" s="68"/>
      <c r="AP173" s="68"/>
      <c r="AQ173" s="68"/>
      <c r="AR173" s="68"/>
      <c r="AS173" s="68"/>
      <c r="AT173" s="68"/>
      <c r="AU173" s="68"/>
      <c r="AV173" s="68"/>
      <c r="AW173" s="68"/>
      <c r="AX173" s="68"/>
    </row>
    <row r="174" spans="2:50" ht="14.5">
      <c r="B174" s="68" t="s">
        <v>1253</v>
      </c>
      <c r="C174" s="68" t="s">
        <v>6123</v>
      </c>
      <c r="D174" s="68" t="s">
        <v>1233</v>
      </c>
      <c r="E174" s="68" t="s">
        <v>936</v>
      </c>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c r="AJ174" s="68"/>
      <c r="AK174" s="68"/>
      <c r="AL174" s="68"/>
      <c r="AM174" s="68"/>
      <c r="AN174" s="68"/>
      <c r="AO174" s="68"/>
      <c r="AP174" s="68"/>
      <c r="AQ174" s="68"/>
      <c r="AR174" s="68"/>
      <c r="AS174" s="68"/>
      <c r="AT174" s="68"/>
      <c r="AU174" s="68"/>
      <c r="AV174" s="68"/>
      <c r="AW174" s="68"/>
      <c r="AX174" s="68"/>
    </row>
    <row r="175" spans="2:50" ht="14.5">
      <c r="B175" s="68" t="s">
        <v>1258</v>
      </c>
      <c r="C175" s="68" t="s">
        <v>5890</v>
      </c>
      <c r="D175" s="68" t="s">
        <v>1219</v>
      </c>
      <c r="E175" s="68" t="s">
        <v>67</v>
      </c>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c r="AJ175" s="68"/>
      <c r="AK175" s="68"/>
      <c r="AL175" s="68"/>
      <c r="AM175" s="68"/>
      <c r="AN175" s="68"/>
      <c r="AO175" s="68"/>
      <c r="AP175" s="68"/>
      <c r="AQ175" s="68"/>
      <c r="AR175" s="68"/>
      <c r="AS175" s="68"/>
      <c r="AT175" s="68"/>
      <c r="AU175" s="68"/>
      <c r="AV175" s="68"/>
      <c r="AW175" s="68"/>
      <c r="AX175" s="68"/>
    </row>
    <row r="176" spans="2:50" ht="14.5">
      <c r="B176" s="68" t="s">
        <v>1262</v>
      </c>
      <c r="C176" s="68" t="s">
        <v>6239</v>
      </c>
      <c r="D176" s="68" t="s">
        <v>1219</v>
      </c>
      <c r="E176" s="68" t="s">
        <v>302</v>
      </c>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c r="AJ176" s="68"/>
      <c r="AK176" s="68"/>
      <c r="AL176" s="68"/>
      <c r="AM176" s="68"/>
      <c r="AN176" s="68"/>
      <c r="AO176" s="68"/>
      <c r="AP176" s="68"/>
      <c r="AQ176" s="68"/>
      <c r="AR176" s="68"/>
      <c r="AS176" s="68"/>
      <c r="AT176" s="68"/>
      <c r="AU176" s="68"/>
      <c r="AV176" s="68"/>
      <c r="AW176" s="68"/>
      <c r="AX176" s="68"/>
    </row>
    <row r="177" spans="2:50" ht="14.5">
      <c r="B177" s="68" t="s">
        <v>1266</v>
      </c>
      <c r="C177" s="68" t="s">
        <v>6240</v>
      </c>
      <c r="D177" s="68" t="s">
        <v>1269</v>
      </c>
      <c r="E177" s="68" t="s">
        <v>146</v>
      </c>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c r="AJ177" s="68"/>
      <c r="AK177" s="68"/>
      <c r="AL177" s="68"/>
      <c r="AM177" s="68"/>
      <c r="AN177" s="68"/>
      <c r="AO177" s="68"/>
      <c r="AP177" s="68"/>
      <c r="AQ177" s="68"/>
      <c r="AR177" s="68"/>
      <c r="AS177" s="68"/>
      <c r="AT177" s="68"/>
      <c r="AU177" s="68"/>
      <c r="AV177" s="68"/>
      <c r="AW177" s="68"/>
      <c r="AX177" s="68"/>
    </row>
    <row r="178" spans="2:50" ht="14.5">
      <c r="B178" s="68" t="s">
        <v>1271</v>
      </c>
      <c r="C178" s="68" t="s">
        <v>5974</v>
      </c>
      <c r="D178" s="68" t="s">
        <v>1269</v>
      </c>
      <c r="E178" s="68" t="s">
        <v>525</v>
      </c>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c r="AJ178" s="68"/>
      <c r="AK178" s="68"/>
      <c r="AL178" s="68"/>
      <c r="AM178" s="68"/>
      <c r="AN178" s="68"/>
      <c r="AO178" s="68"/>
      <c r="AP178" s="68"/>
      <c r="AQ178" s="68"/>
      <c r="AR178" s="68"/>
      <c r="AS178" s="68"/>
      <c r="AT178" s="68"/>
      <c r="AU178" s="68"/>
      <c r="AV178" s="68"/>
      <c r="AW178" s="68"/>
      <c r="AX178" s="68"/>
    </row>
    <row r="179" spans="2:50" ht="14.5">
      <c r="B179" s="68" t="s">
        <v>1275</v>
      </c>
      <c r="C179" s="68" t="s">
        <v>6241</v>
      </c>
      <c r="D179" s="68" t="s">
        <v>1269</v>
      </c>
      <c r="E179" s="68" t="s">
        <v>357</v>
      </c>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c r="AJ179" s="68"/>
      <c r="AK179" s="68"/>
      <c r="AL179" s="68"/>
      <c r="AM179" s="68"/>
      <c r="AN179" s="68"/>
      <c r="AO179" s="68"/>
      <c r="AP179" s="68"/>
      <c r="AQ179" s="68"/>
      <c r="AR179" s="68"/>
      <c r="AS179" s="68"/>
      <c r="AT179" s="68"/>
      <c r="AU179" s="68"/>
      <c r="AV179" s="68"/>
      <c r="AW179" s="68"/>
      <c r="AX179" s="68"/>
    </row>
    <row r="180" spans="2:50" ht="14.5">
      <c r="B180" s="68" t="s">
        <v>1278</v>
      </c>
      <c r="C180" s="68" t="s">
        <v>6242</v>
      </c>
      <c r="D180" s="68" t="s">
        <v>1219</v>
      </c>
      <c r="E180" s="68" t="s">
        <v>213</v>
      </c>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c r="AJ180" s="68"/>
      <c r="AK180" s="68"/>
      <c r="AL180" s="68"/>
      <c r="AM180" s="68"/>
      <c r="AN180" s="68"/>
      <c r="AO180" s="68"/>
      <c r="AP180" s="68"/>
      <c r="AQ180" s="68"/>
      <c r="AR180" s="68"/>
      <c r="AS180" s="68"/>
      <c r="AT180" s="68"/>
      <c r="AU180" s="68"/>
      <c r="AV180" s="68"/>
      <c r="AW180" s="68"/>
      <c r="AX180" s="68"/>
    </row>
    <row r="181" spans="2:50" ht="14.5">
      <c r="B181" s="68" t="s">
        <v>1281</v>
      </c>
      <c r="C181" s="68" t="s">
        <v>6243</v>
      </c>
      <c r="D181" s="68" t="s">
        <v>1219</v>
      </c>
      <c r="E181" s="68" t="s">
        <v>590</v>
      </c>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c r="AJ181" s="68"/>
      <c r="AK181" s="68"/>
      <c r="AL181" s="68"/>
      <c r="AM181" s="68"/>
      <c r="AN181" s="68"/>
      <c r="AO181" s="68"/>
      <c r="AP181" s="68"/>
      <c r="AQ181" s="68"/>
      <c r="AR181" s="68"/>
      <c r="AS181" s="68"/>
      <c r="AT181" s="68"/>
      <c r="AU181" s="68"/>
      <c r="AV181" s="68"/>
      <c r="AW181" s="68"/>
      <c r="AX181" s="68"/>
    </row>
    <row r="182" spans="2:50" ht="14.5">
      <c r="B182" s="68" t="s">
        <v>1286</v>
      </c>
      <c r="C182" s="68" t="s">
        <v>6240</v>
      </c>
      <c r="D182" s="68" t="s">
        <v>1269</v>
      </c>
      <c r="E182" s="68" t="s">
        <v>204</v>
      </c>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c r="AJ182" s="68"/>
      <c r="AK182" s="68"/>
      <c r="AL182" s="68"/>
      <c r="AM182" s="68"/>
      <c r="AN182" s="68"/>
      <c r="AO182" s="68"/>
      <c r="AP182" s="68"/>
      <c r="AQ182" s="68"/>
      <c r="AR182" s="68"/>
      <c r="AS182" s="68"/>
      <c r="AT182" s="68"/>
      <c r="AU182" s="68"/>
      <c r="AV182" s="68"/>
      <c r="AW182" s="68"/>
      <c r="AX182" s="68"/>
    </row>
    <row r="183" spans="2:50" ht="14.5">
      <c r="B183" s="68" t="s">
        <v>1291</v>
      </c>
      <c r="C183" s="68" t="s">
        <v>6244</v>
      </c>
      <c r="D183" s="68" t="s">
        <v>1269</v>
      </c>
      <c r="E183" s="68" t="s">
        <v>162</v>
      </c>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c r="AJ183" s="68"/>
      <c r="AK183" s="68"/>
      <c r="AL183" s="68"/>
      <c r="AM183" s="68"/>
      <c r="AN183" s="68"/>
      <c r="AO183" s="68"/>
      <c r="AP183" s="68"/>
      <c r="AQ183" s="68"/>
      <c r="AR183" s="68"/>
      <c r="AS183" s="68"/>
      <c r="AT183" s="68"/>
      <c r="AU183" s="68"/>
      <c r="AV183" s="68"/>
      <c r="AW183" s="68"/>
      <c r="AX183" s="68"/>
    </row>
    <row r="184" spans="2:50" ht="14.5">
      <c r="B184" s="68" t="s">
        <v>1295</v>
      </c>
      <c r="C184" s="68" t="s">
        <v>6245</v>
      </c>
      <c r="D184" s="68" t="s">
        <v>1269</v>
      </c>
      <c r="E184" s="68" t="s">
        <v>936</v>
      </c>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c r="AJ184" s="68"/>
      <c r="AK184" s="68"/>
      <c r="AL184" s="68"/>
      <c r="AM184" s="68"/>
      <c r="AN184" s="68"/>
      <c r="AO184" s="68"/>
      <c r="AP184" s="68"/>
      <c r="AQ184" s="68"/>
      <c r="AR184" s="68"/>
      <c r="AS184" s="68"/>
      <c r="AT184" s="68"/>
      <c r="AU184" s="68"/>
      <c r="AV184" s="68"/>
      <c r="AW184" s="68"/>
      <c r="AX184" s="68"/>
    </row>
    <row r="185" spans="2:50" ht="14.5">
      <c r="B185" s="68" t="s">
        <v>1299</v>
      </c>
      <c r="C185" s="68" t="s">
        <v>6246</v>
      </c>
      <c r="D185" s="68" t="s">
        <v>1219</v>
      </c>
      <c r="E185" s="68" t="s">
        <v>120</v>
      </c>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c r="AJ185" s="68"/>
      <c r="AK185" s="68"/>
      <c r="AL185" s="68"/>
      <c r="AM185" s="68"/>
      <c r="AN185" s="68"/>
      <c r="AO185" s="68"/>
      <c r="AP185" s="68"/>
      <c r="AQ185" s="68"/>
      <c r="AR185" s="68"/>
      <c r="AS185" s="68"/>
      <c r="AT185" s="68"/>
      <c r="AU185" s="68"/>
      <c r="AV185" s="68"/>
      <c r="AW185" s="68"/>
      <c r="AX185" s="68"/>
    </row>
    <row r="186" spans="2:50" ht="14.5">
      <c r="B186" s="68" t="s">
        <v>1302</v>
      </c>
      <c r="C186" s="68" t="s">
        <v>6247</v>
      </c>
      <c r="D186" s="68" t="s">
        <v>1305</v>
      </c>
      <c r="E186" s="68" t="s">
        <v>162</v>
      </c>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c r="AJ186" s="68"/>
      <c r="AK186" s="68"/>
      <c r="AL186" s="68"/>
      <c r="AM186" s="68"/>
      <c r="AN186" s="68"/>
      <c r="AO186" s="68"/>
      <c r="AP186" s="68"/>
      <c r="AQ186" s="68"/>
      <c r="AR186" s="68"/>
      <c r="AS186" s="68"/>
      <c r="AT186" s="68"/>
      <c r="AU186" s="68"/>
      <c r="AV186" s="68"/>
      <c r="AW186" s="68"/>
      <c r="AX186" s="68"/>
    </row>
    <row r="187" spans="2:50" ht="14.5">
      <c r="B187" s="68" t="s">
        <v>471</v>
      </c>
      <c r="C187" s="68" t="s">
        <v>6248</v>
      </c>
      <c r="D187" s="68" t="s">
        <v>5923</v>
      </c>
      <c r="E187" s="68" t="s">
        <v>5924</v>
      </c>
      <c r="F187" s="68" t="s">
        <v>5925</v>
      </c>
      <c r="G187" s="68" t="s">
        <v>5926</v>
      </c>
      <c r="H187" s="68" t="s">
        <v>5927</v>
      </c>
      <c r="I187" s="68" t="s">
        <v>6249</v>
      </c>
      <c r="J187" s="68" t="s">
        <v>5929</v>
      </c>
      <c r="K187" s="68" t="s">
        <v>6250</v>
      </c>
      <c r="L187" s="68" t="s">
        <v>6251</v>
      </c>
      <c r="M187" s="68" t="s">
        <v>6252</v>
      </c>
      <c r="N187" s="68" t="s">
        <v>5939</v>
      </c>
      <c r="O187" s="68" t="s">
        <v>6081</v>
      </c>
      <c r="P187" s="68" t="s">
        <v>6097</v>
      </c>
      <c r="Q187" s="68" t="s">
        <v>5955</v>
      </c>
      <c r="R187" s="68" t="s">
        <v>6023</v>
      </c>
      <c r="S187" s="68" t="s">
        <v>6036</v>
      </c>
      <c r="T187" s="68" t="s">
        <v>5929</v>
      </c>
      <c r="U187" s="68" t="s">
        <v>6253</v>
      </c>
      <c r="V187" s="68" t="s">
        <v>5955</v>
      </c>
      <c r="W187" s="68" t="s">
        <v>5999</v>
      </c>
      <c r="X187" s="68" t="s">
        <v>5984</v>
      </c>
      <c r="Y187" s="68" t="s">
        <v>6028</v>
      </c>
      <c r="Z187" s="68" t="s">
        <v>6039</v>
      </c>
      <c r="AA187" s="68" t="s">
        <v>5929</v>
      </c>
      <c r="AB187" s="68" t="s">
        <v>6015</v>
      </c>
      <c r="AC187" s="68" t="s">
        <v>5943</v>
      </c>
      <c r="AD187" s="68" t="s">
        <v>5929</v>
      </c>
      <c r="AE187" s="68" t="s">
        <v>6096</v>
      </c>
      <c r="AF187" s="68" t="s">
        <v>6254</v>
      </c>
      <c r="AG187" s="68" t="s">
        <v>195</v>
      </c>
      <c r="AH187" s="68"/>
      <c r="AI187" s="68"/>
      <c r="AJ187" s="68"/>
      <c r="AK187" s="68"/>
      <c r="AL187" s="68"/>
      <c r="AM187" s="68"/>
      <c r="AN187" s="68"/>
      <c r="AO187" s="68"/>
      <c r="AP187" s="68"/>
      <c r="AQ187" s="68"/>
      <c r="AR187" s="68"/>
      <c r="AS187" s="68"/>
      <c r="AT187" s="68"/>
      <c r="AU187" s="68"/>
      <c r="AV187" s="68"/>
      <c r="AW187" s="68"/>
      <c r="AX187" s="68"/>
    </row>
    <row r="188" spans="2:50" ht="14.5">
      <c r="B188" s="68" t="s">
        <v>479</v>
      </c>
      <c r="C188" s="68" t="s">
        <v>6255</v>
      </c>
      <c r="D188" s="68" t="s">
        <v>5923</v>
      </c>
      <c r="E188" s="68" t="s">
        <v>5924</v>
      </c>
      <c r="F188" s="68" t="s">
        <v>5925</v>
      </c>
      <c r="G188" s="68" t="s">
        <v>5926</v>
      </c>
      <c r="H188" s="68" t="s">
        <v>5927</v>
      </c>
      <c r="I188" s="68" t="s">
        <v>5928</v>
      </c>
      <c r="J188" s="68" t="s">
        <v>5929</v>
      </c>
      <c r="K188" s="68" t="s">
        <v>5935</v>
      </c>
      <c r="L188" s="68" t="s">
        <v>6015</v>
      </c>
      <c r="M188" s="68" t="s">
        <v>5939</v>
      </c>
      <c r="N188" s="68" t="s">
        <v>6081</v>
      </c>
      <c r="O188" s="68" t="s">
        <v>6097</v>
      </c>
      <c r="P188" s="68" t="s">
        <v>5955</v>
      </c>
      <c r="Q188" s="68" t="s">
        <v>6256</v>
      </c>
      <c r="R188" s="68" t="s">
        <v>6257</v>
      </c>
      <c r="S188" s="68" t="s">
        <v>5955</v>
      </c>
      <c r="T188" s="68" t="s">
        <v>5999</v>
      </c>
      <c r="U188" s="68" t="s">
        <v>6256</v>
      </c>
      <c r="V188" s="68" t="s">
        <v>5943</v>
      </c>
      <c r="W188" s="68" t="s">
        <v>5990</v>
      </c>
      <c r="X188" s="68" t="s">
        <v>5927</v>
      </c>
      <c r="Y188" s="68" t="s">
        <v>5932</v>
      </c>
      <c r="Z188" s="68" t="s">
        <v>6258</v>
      </c>
      <c r="AA188" s="68" t="s">
        <v>131</v>
      </c>
      <c r="AB188" s="68"/>
      <c r="AC188" s="68"/>
      <c r="AD188" s="68"/>
      <c r="AE188" s="68"/>
      <c r="AF188" s="68"/>
      <c r="AG188" s="68"/>
      <c r="AH188" s="68"/>
      <c r="AI188" s="68"/>
      <c r="AJ188" s="68"/>
      <c r="AK188" s="68"/>
      <c r="AL188" s="68"/>
      <c r="AM188" s="68"/>
      <c r="AN188" s="68"/>
      <c r="AO188" s="68"/>
      <c r="AP188" s="68"/>
      <c r="AQ188" s="68"/>
      <c r="AR188" s="68"/>
      <c r="AS188" s="68"/>
      <c r="AT188" s="68"/>
      <c r="AU188" s="68"/>
      <c r="AV188" s="68"/>
      <c r="AW188" s="68"/>
      <c r="AX188" s="68"/>
    </row>
    <row r="189" spans="2:50" ht="14.5">
      <c r="B189" s="68" t="s">
        <v>483</v>
      </c>
      <c r="C189" s="68" t="s">
        <v>6259</v>
      </c>
      <c r="D189" s="68" t="s">
        <v>5923</v>
      </c>
      <c r="E189" s="68" t="s">
        <v>5924</v>
      </c>
      <c r="F189" s="68" t="s">
        <v>5925</v>
      </c>
      <c r="G189" s="68" t="s">
        <v>5926</v>
      </c>
      <c r="H189" s="68" t="s">
        <v>5927</v>
      </c>
      <c r="I189" s="68" t="s">
        <v>5928</v>
      </c>
      <c r="J189" s="68" t="s">
        <v>5929</v>
      </c>
      <c r="K189" s="68" t="s">
        <v>5953</v>
      </c>
      <c r="L189" s="68" t="s">
        <v>6152</v>
      </c>
      <c r="M189" s="68" t="s">
        <v>5932</v>
      </c>
      <c r="N189" s="68" t="s">
        <v>5933</v>
      </c>
      <c r="O189" s="68" t="s">
        <v>5955</v>
      </c>
      <c r="P189" s="68" t="s">
        <v>6033</v>
      </c>
      <c r="Q189" s="68" t="s">
        <v>5935</v>
      </c>
      <c r="R189" s="68" t="s">
        <v>5998</v>
      </c>
      <c r="S189" s="68" t="s">
        <v>5955</v>
      </c>
      <c r="T189" s="68" t="s">
        <v>5999</v>
      </c>
      <c r="U189" s="68" t="s">
        <v>6260</v>
      </c>
      <c r="V189" s="68" t="s">
        <v>5943</v>
      </c>
      <c r="W189" s="68" t="s">
        <v>5929</v>
      </c>
      <c r="X189" s="68" t="s">
        <v>6004</v>
      </c>
      <c r="Y189" s="68" t="s">
        <v>5932</v>
      </c>
      <c r="Z189" s="68" t="s">
        <v>5985</v>
      </c>
      <c r="AA189" s="68" t="s">
        <v>5929</v>
      </c>
      <c r="AB189" s="68" t="s">
        <v>5996</v>
      </c>
      <c r="AC189" s="68" t="s">
        <v>5932</v>
      </c>
      <c r="AD189" s="68" t="s">
        <v>6261</v>
      </c>
      <c r="AE189" s="68" t="s">
        <v>342</v>
      </c>
      <c r="AF189" s="68"/>
      <c r="AG189" s="68"/>
      <c r="AH189" s="68"/>
      <c r="AI189" s="68"/>
      <c r="AJ189" s="68"/>
      <c r="AK189" s="68"/>
      <c r="AL189" s="68"/>
      <c r="AM189" s="68"/>
      <c r="AN189" s="68"/>
      <c r="AO189" s="68"/>
      <c r="AP189" s="68"/>
      <c r="AQ189" s="68"/>
      <c r="AR189" s="68"/>
      <c r="AS189" s="68"/>
      <c r="AT189" s="68"/>
      <c r="AU189" s="68"/>
      <c r="AV189" s="68"/>
      <c r="AW189" s="68"/>
      <c r="AX189" s="68"/>
    </row>
    <row r="190" spans="2:50" ht="14.5">
      <c r="B190" s="68" t="s">
        <v>1308</v>
      </c>
      <c r="C190" s="68" t="s">
        <v>6262</v>
      </c>
      <c r="D190" s="68" t="s">
        <v>1312</v>
      </c>
      <c r="E190" s="68" t="s">
        <v>99</v>
      </c>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c r="AJ190" s="68"/>
      <c r="AK190" s="68"/>
      <c r="AL190" s="68"/>
      <c r="AM190" s="68"/>
      <c r="AN190" s="68"/>
      <c r="AO190" s="68"/>
      <c r="AP190" s="68"/>
      <c r="AQ190" s="68"/>
      <c r="AR190" s="68"/>
      <c r="AS190" s="68"/>
      <c r="AT190" s="68"/>
      <c r="AU190" s="68"/>
      <c r="AV190" s="68"/>
      <c r="AW190" s="68"/>
      <c r="AX190" s="68"/>
    </row>
    <row r="191" spans="2:50" ht="14.5">
      <c r="B191" s="68" t="s">
        <v>487</v>
      </c>
      <c r="C191" s="68" t="s">
        <v>6263</v>
      </c>
      <c r="D191" s="68" t="s">
        <v>5923</v>
      </c>
      <c r="E191" s="68" t="s">
        <v>5924</v>
      </c>
      <c r="F191" s="68" t="s">
        <v>5925</v>
      </c>
      <c r="G191" s="68" t="s">
        <v>5926</v>
      </c>
      <c r="H191" s="68" t="s">
        <v>5927</v>
      </c>
      <c r="I191" s="68" t="s">
        <v>5928</v>
      </c>
      <c r="J191" s="68" t="s">
        <v>5929</v>
      </c>
      <c r="K191" s="68" t="s">
        <v>5990</v>
      </c>
      <c r="L191" s="68" t="s">
        <v>6264</v>
      </c>
      <c r="M191" s="68" t="s">
        <v>5955</v>
      </c>
      <c r="N191" s="68" t="s">
        <v>5981</v>
      </c>
      <c r="O191" s="68" t="s">
        <v>6040</v>
      </c>
      <c r="P191" s="68" t="s">
        <v>5939</v>
      </c>
      <c r="Q191" s="68" t="s">
        <v>6265</v>
      </c>
      <c r="R191" s="68" t="s">
        <v>5943</v>
      </c>
      <c r="S191" s="68" t="s">
        <v>5944</v>
      </c>
      <c r="T191" s="68" t="s">
        <v>5932</v>
      </c>
      <c r="U191" s="68" t="s">
        <v>6266</v>
      </c>
      <c r="V191" s="68" t="s">
        <v>6267</v>
      </c>
      <c r="W191" s="68" t="s">
        <v>5955</v>
      </c>
      <c r="X191" s="68" t="s">
        <v>5999</v>
      </c>
      <c r="Y191" s="68" t="s">
        <v>6040</v>
      </c>
      <c r="Z191" s="68" t="s">
        <v>5943</v>
      </c>
      <c r="AA191" s="68" t="s">
        <v>5953</v>
      </c>
      <c r="AB191" s="68" t="s">
        <v>6268</v>
      </c>
      <c r="AC191" s="68" t="s">
        <v>357</v>
      </c>
      <c r="AD191" s="68"/>
      <c r="AE191" s="68"/>
      <c r="AF191" s="68"/>
      <c r="AG191" s="68"/>
      <c r="AH191" s="68"/>
      <c r="AI191" s="68"/>
      <c r="AJ191" s="68"/>
      <c r="AK191" s="68"/>
      <c r="AL191" s="68"/>
      <c r="AM191" s="68"/>
      <c r="AN191" s="68"/>
      <c r="AO191" s="68"/>
      <c r="AP191" s="68"/>
      <c r="AQ191" s="68"/>
      <c r="AR191" s="68"/>
      <c r="AS191" s="68"/>
      <c r="AT191" s="68"/>
      <c r="AU191" s="68"/>
      <c r="AV191" s="68"/>
      <c r="AW191" s="68"/>
      <c r="AX191" s="68"/>
    </row>
    <row r="192" spans="2:50" ht="14.5">
      <c r="B192" s="68" t="s">
        <v>1315</v>
      </c>
      <c r="C192" s="68" t="s">
        <v>5890</v>
      </c>
      <c r="D192" s="68" t="s">
        <v>1312</v>
      </c>
      <c r="E192" s="68" t="s">
        <v>496</v>
      </c>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c r="AJ192" s="68"/>
      <c r="AK192" s="68"/>
      <c r="AL192" s="68"/>
      <c r="AM192" s="68"/>
      <c r="AN192" s="68"/>
      <c r="AO192" s="68"/>
      <c r="AP192" s="68"/>
      <c r="AQ192" s="68"/>
      <c r="AR192" s="68"/>
      <c r="AS192" s="68"/>
      <c r="AT192" s="68"/>
      <c r="AU192" s="68"/>
      <c r="AV192" s="68"/>
      <c r="AW192" s="68"/>
      <c r="AX192" s="68"/>
    </row>
    <row r="193" spans="2:50" ht="14.5">
      <c r="B193" s="68" t="s">
        <v>1320</v>
      </c>
      <c r="C193" s="68" t="s">
        <v>6269</v>
      </c>
      <c r="D193" s="68" t="s">
        <v>1312</v>
      </c>
      <c r="E193" s="68" t="s">
        <v>1022</v>
      </c>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c r="AJ193" s="68"/>
      <c r="AK193" s="68"/>
      <c r="AL193" s="68"/>
      <c r="AM193" s="68"/>
      <c r="AN193" s="68"/>
      <c r="AO193" s="68"/>
      <c r="AP193" s="68"/>
      <c r="AQ193" s="68"/>
      <c r="AR193" s="68"/>
      <c r="AS193" s="68"/>
      <c r="AT193" s="68"/>
      <c r="AU193" s="68"/>
      <c r="AV193" s="68"/>
      <c r="AW193" s="68"/>
      <c r="AX193" s="68"/>
    </row>
    <row r="194" spans="2:50" ht="14.5">
      <c r="B194" s="68" t="s">
        <v>1325</v>
      </c>
      <c r="C194" s="68" t="s">
        <v>6239</v>
      </c>
      <c r="D194" s="68" t="s">
        <v>1312</v>
      </c>
      <c r="E194" s="68" t="s">
        <v>376</v>
      </c>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c r="AJ194" s="68"/>
      <c r="AK194" s="68"/>
      <c r="AL194" s="68"/>
      <c r="AM194" s="68"/>
      <c r="AN194" s="68"/>
      <c r="AO194" s="68"/>
      <c r="AP194" s="68"/>
      <c r="AQ194" s="68"/>
      <c r="AR194" s="68"/>
      <c r="AS194" s="68"/>
      <c r="AT194" s="68"/>
      <c r="AU194" s="68"/>
      <c r="AV194" s="68"/>
      <c r="AW194" s="68"/>
      <c r="AX194" s="68"/>
    </row>
    <row r="195" spans="2:50" ht="14.5">
      <c r="B195" s="68" t="s">
        <v>492</v>
      </c>
      <c r="C195" s="68" t="s">
        <v>6270</v>
      </c>
      <c r="D195" s="68" t="s">
        <v>5923</v>
      </c>
      <c r="E195" s="68" t="s">
        <v>5924</v>
      </c>
      <c r="F195" s="68" t="s">
        <v>5925</v>
      </c>
      <c r="G195" s="68" t="s">
        <v>5926</v>
      </c>
      <c r="H195" s="68" t="s">
        <v>5927</v>
      </c>
      <c r="I195" s="68" t="s">
        <v>5928</v>
      </c>
      <c r="J195" s="68" t="s">
        <v>5929</v>
      </c>
      <c r="K195" s="68" t="s">
        <v>5953</v>
      </c>
      <c r="L195" s="68" t="s">
        <v>5931</v>
      </c>
      <c r="M195" s="68" t="s">
        <v>5932</v>
      </c>
      <c r="N195" s="68" t="s">
        <v>5939</v>
      </c>
      <c r="O195" s="68" t="s">
        <v>6081</v>
      </c>
      <c r="P195" s="68" t="s">
        <v>6097</v>
      </c>
      <c r="Q195" s="68" t="s">
        <v>5955</v>
      </c>
      <c r="R195" s="68" t="s">
        <v>6023</v>
      </c>
      <c r="S195" s="68" t="s">
        <v>6036</v>
      </c>
      <c r="T195" s="68" t="s">
        <v>5929</v>
      </c>
      <c r="U195" s="68" t="s">
        <v>6253</v>
      </c>
      <c r="V195" s="68" t="s">
        <v>5955</v>
      </c>
      <c r="W195" s="68" t="s">
        <v>5999</v>
      </c>
      <c r="X195" s="68" t="s">
        <v>6271</v>
      </c>
      <c r="Y195" s="68" t="s">
        <v>5954</v>
      </c>
      <c r="Z195" s="68" t="s">
        <v>5929</v>
      </c>
      <c r="AA195" s="68" t="s">
        <v>6004</v>
      </c>
      <c r="AB195" s="68" t="s">
        <v>6264</v>
      </c>
      <c r="AC195" s="68" t="s">
        <v>6267</v>
      </c>
      <c r="AD195" s="68" t="s">
        <v>6017</v>
      </c>
      <c r="AE195" s="68" t="s">
        <v>5999</v>
      </c>
      <c r="AF195" s="68" t="s">
        <v>6272</v>
      </c>
      <c r="AG195" s="68" t="s">
        <v>5943</v>
      </c>
      <c r="AH195" s="68" t="s">
        <v>5929</v>
      </c>
      <c r="AI195" s="68" t="s">
        <v>5959</v>
      </c>
      <c r="AJ195" s="68" t="s">
        <v>6273</v>
      </c>
      <c r="AK195" s="68" t="s">
        <v>5984</v>
      </c>
      <c r="AL195" s="68" t="s">
        <v>5939</v>
      </c>
      <c r="AM195" s="68" t="s">
        <v>6141</v>
      </c>
      <c r="AN195" s="68" t="s">
        <v>5929</v>
      </c>
      <c r="AO195" s="68" t="s">
        <v>6015</v>
      </c>
      <c r="AP195" s="68" t="s">
        <v>6274</v>
      </c>
      <c r="AQ195" s="68" t="s">
        <v>496</v>
      </c>
      <c r="AR195" s="68"/>
      <c r="AS195" s="68"/>
      <c r="AT195" s="68"/>
      <c r="AU195" s="68"/>
      <c r="AV195" s="68"/>
      <c r="AW195" s="68"/>
      <c r="AX195" s="68"/>
    </row>
    <row r="196" spans="2:50" ht="14.5">
      <c r="B196" s="68" t="s">
        <v>1330</v>
      </c>
      <c r="C196" s="68" t="s">
        <v>6275</v>
      </c>
      <c r="D196" s="68" t="s">
        <v>161</v>
      </c>
      <c r="E196" s="68" t="s">
        <v>569</v>
      </c>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c r="AJ196" s="68"/>
      <c r="AK196" s="68"/>
      <c r="AL196" s="68"/>
      <c r="AM196" s="68"/>
      <c r="AN196" s="68"/>
      <c r="AO196" s="68"/>
      <c r="AP196" s="68"/>
      <c r="AQ196" s="68"/>
      <c r="AR196" s="68"/>
      <c r="AS196" s="68"/>
      <c r="AT196" s="68"/>
      <c r="AU196" s="68"/>
      <c r="AV196" s="68"/>
      <c r="AW196" s="68"/>
      <c r="AX196" s="68"/>
    </row>
    <row r="197" spans="2:50" ht="14.5">
      <c r="B197" s="68" t="s">
        <v>158</v>
      </c>
      <c r="C197" s="68" t="s">
        <v>6208</v>
      </c>
      <c r="D197" s="68" t="s">
        <v>161</v>
      </c>
      <c r="E197" s="68" t="s">
        <v>162</v>
      </c>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c r="AJ197" s="68"/>
      <c r="AK197" s="68"/>
      <c r="AL197" s="68"/>
      <c r="AM197" s="68"/>
      <c r="AN197" s="68"/>
      <c r="AO197" s="68"/>
      <c r="AP197" s="68"/>
      <c r="AQ197" s="68"/>
      <c r="AR197" s="68"/>
      <c r="AS197" s="68"/>
      <c r="AT197" s="68"/>
      <c r="AU197" s="68"/>
      <c r="AV197" s="68"/>
      <c r="AW197" s="68"/>
      <c r="AX197" s="68"/>
    </row>
    <row r="198" spans="2:50" ht="14.5">
      <c r="B198" s="68" t="s">
        <v>498</v>
      </c>
      <c r="C198" s="68" t="s">
        <v>6276</v>
      </c>
      <c r="D198" s="68" t="s">
        <v>5923</v>
      </c>
      <c r="E198" s="68" t="s">
        <v>5924</v>
      </c>
      <c r="F198" s="68" t="s">
        <v>5925</v>
      </c>
      <c r="G198" s="68" t="s">
        <v>5926</v>
      </c>
      <c r="H198" s="68" t="s">
        <v>5927</v>
      </c>
      <c r="I198" s="68" t="s">
        <v>5928</v>
      </c>
      <c r="J198" s="68" t="s">
        <v>5929</v>
      </c>
      <c r="K198" s="68" t="s">
        <v>6004</v>
      </c>
      <c r="L198" s="68" t="s">
        <v>5932</v>
      </c>
      <c r="M198" s="68" t="s">
        <v>5933</v>
      </c>
      <c r="N198" s="68" t="s">
        <v>5955</v>
      </c>
      <c r="O198" s="68" t="s">
        <v>5997</v>
      </c>
      <c r="P198" s="68" t="s">
        <v>6277</v>
      </c>
      <c r="Q198" s="68" t="s">
        <v>5939</v>
      </c>
      <c r="R198" s="68" t="s">
        <v>6081</v>
      </c>
      <c r="S198" s="68" t="s">
        <v>6097</v>
      </c>
      <c r="T198" s="68" t="s">
        <v>5955</v>
      </c>
      <c r="U198" s="68" t="s">
        <v>6278</v>
      </c>
      <c r="V198" s="68" t="s">
        <v>5955</v>
      </c>
      <c r="W198" s="68" t="s">
        <v>5999</v>
      </c>
      <c r="X198" s="68" t="s">
        <v>6271</v>
      </c>
      <c r="Y198" s="68" t="s">
        <v>5954</v>
      </c>
      <c r="Z198" s="68" t="s">
        <v>5929</v>
      </c>
      <c r="AA198" s="68" t="s">
        <v>5996</v>
      </c>
      <c r="AB198" s="68" t="s">
        <v>5932</v>
      </c>
      <c r="AC198" s="68" t="s">
        <v>5939</v>
      </c>
      <c r="AD198" s="68" t="s">
        <v>6279</v>
      </c>
      <c r="AE198" s="68" t="s">
        <v>5932</v>
      </c>
      <c r="AF198" s="68" t="s">
        <v>6132</v>
      </c>
      <c r="AG198" s="68" t="s">
        <v>5985</v>
      </c>
      <c r="AH198" s="68" t="s">
        <v>6280</v>
      </c>
      <c r="AI198" s="68" t="s">
        <v>6281</v>
      </c>
      <c r="AJ198" s="68" t="s">
        <v>5929</v>
      </c>
      <c r="AK198" s="68" t="s">
        <v>6282</v>
      </c>
      <c r="AL198" s="68" t="s">
        <v>503</v>
      </c>
      <c r="AM198" s="68"/>
      <c r="AN198" s="68"/>
      <c r="AO198" s="68"/>
      <c r="AP198" s="68"/>
      <c r="AQ198" s="68"/>
      <c r="AR198" s="68"/>
      <c r="AS198" s="68"/>
      <c r="AT198" s="68"/>
      <c r="AU198" s="68"/>
      <c r="AV198" s="68"/>
      <c r="AW198" s="68"/>
      <c r="AX198" s="68"/>
    </row>
    <row r="199" spans="2:50" ht="14.5">
      <c r="B199" s="68" t="s">
        <v>504</v>
      </c>
      <c r="C199" s="68" t="s">
        <v>6283</v>
      </c>
      <c r="D199" s="68" t="s">
        <v>5923</v>
      </c>
      <c r="E199" s="68" t="s">
        <v>5924</v>
      </c>
      <c r="F199" s="68" t="s">
        <v>5925</v>
      </c>
      <c r="G199" s="68" t="s">
        <v>5926</v>
      </c>
      <c r="H199" s="68" t="s">
        <v>5927</v>
      </c>
      <c r="I199" s="68" t="s">
        <v>5928</v>
      </c>
      <c r="J199" s="68" t="s">
        <v>5929</v>
      </c>
      <c r="K199" s="68" t="s">
        <v>5953</v>
      </c>
      <c r="L199" s="68" t="s">
        <v>5931</v>
      </c>
      <c r="M199" s="68" t="s">
        <v>6264</v>
      </c>
      <c r="N199" s="68" t="s">
        <v>5955</v>
      </c>
      <c r="O199" s="68" t="s">
        <v>5999</v>
      </c>
      <c r="P199" s="68" t="s">
        <v>6108</v>
      </c>
      <c r="Q199" s="68" t="s">
        <v>6036</v>
      </c>
      <c r="R199" s="68" t="s">
        <v>6020</v>
      </c>
      <c r="S199" s="68" t="s">
        <v>6097</v>
      </c>
      <c r="T199" s="68" t="s">
        <v>6110</v>
      </c>
      <c r="U199" s="68">
        <v>2</v>
      </c>
      <c r="V199" s="68" t="s">
        <v>5934</v>
      </c>
      <c r="W199" s="68" t="s">
        <v>5943</v>
      </c>
      <c r="X199" s="68" t="s">
        <v>5929</v>
      </c>
      <c r="Y199" s="68" t="s">
        <v>6096</v>
      </c>
      <c r="Z199" s="68" t="s">
        <v>6284</v>
      </c>
      <c r="AA199" s="68" t="s">
        <v>120</v>
      </c>
      <c r="AB199" s="68"/>
      <c r="AC199" s="68"/>
      <c r="AD199" s="68"/>
      <c r="AE199" s="68"/>
      <c r="AF199" s="68"/>
      <c r="AG199" s="68"/>
      <c r="AH199" s="68"/>
      <c r="AI199" s="68"/>
      <c r="AJ199" s="68"/>
      <c r="AK199" s="68"/>
      <c r="AL199" s="68"/>
      <c r="AM199" s="68"/>
      <c r="AN199" s="68"/>
      <c r="AO199" s="68"/>
      <c r="AP199" s="68"/>
      <c r="AQ199" s="68"/>
      <c r="AR199" s="68"/>
      <c r="AS199" s="68"/>
      <c r="AT199" s="68"/>
      <c r="AU199" s="68"/>
      <c r="AV199" s="68"/>
      <c r="AW199" s="68"/>
      <c r="AX199" s="68"/>
    </row>
    <row r="200" spans="2:50" ht="14.5">
      <c r="B200" s="68" t="s">
        <v>508</v>
      </c>
      <c r="C200" s="68" t="s">
        <v>6285</v>
      </c>
      <c r="D200" s="68" t="s">
        <v>5923</v>
      </c>
      <c r="E200" s="68" t="s">
        <v>5924</v>
      </c>
      <c r="F200" s="68" t="s">
        <v>6286</v>
      </c>
      <c r="G200" s="68" t="s">
        <v>6051</v>
      </c>
      <c r="H200" s="68" t="s">
        <v>5999</v>
      </c>
      <c r="I200" s="68" t="s">
        <v>5954</v>
      </c>
      <c r="J200" s="68" t="s">
        <v>6149</v>
      </c>
      <c r="K200" s="68" t="s">
        <v>6287</v>
      </c>
      <c r="L200" s="68" t="s">
        <v>5928</v>
      </c>
      <c r="M200" s="68" t="s">
        <v>5929</v>
      </c>
      <c r="N200" s="68" t="s">
        <v>6004</v>
      </c>
      <c r="O200" s="68" t="s">
        <v>6264</v>
      </c>
      <c r="P200" s="68" t="s">
        <v>5955</v>
      </c>
      <c r="Q200" s="68" t="s">
        <v>5999</v>
      </c>
      <c r="R200" s="68" t="s">
        <v>6108</v>
      </c>
      <c r="S200" s="68" t="s">
        <v>6036</v>
      </c>
      <c r="T200" s="68" t="s">
        <v>5943</v>
      </c>
      <c r="U200" s="68" t="s">
        <v>5929</v>
      </c>
      <c r="V200" s="68" t="s">
        <v>5953</v>
      </c>
      <c r="W200" s="68" t="s">
        <v>5931</v>
      </c>
      <c r="X200" s="68" t="s">
        <v>5932</v>
      </c>
      <c r="Y200" s="68" t="s">
        <v>6288</v>
      </c>
      <c r="Z200" s="68" t="s">
        <v>89</v>
      </c>
      <c r="AA200" s="68"/>
      <c r="AB200" s="68"/>
      <c r="AC200" s="68"/>
      <c r="AD200" s="68"/>
      <c r="AE200" s="68"/>
      <c r="AF200" s="68"/>
      <c r="AG200" s="68"/>
      <c r="AH200" s="68"/>
      <c r="AI200" s="68"/>
      <c r="AJ200" s="68"/>
      <c r="AK200" s="68"/>
      <c r="AL200" s="68"/>
      <c r="AM200" s="68"/>
      <c r="AN200" s="68"/>
      <c r="AO200" s="68"/>
      <c r="AP200" s="68"/>
      <c r="AQ200" s="68"/>
      <c r="AR200" s="68"/>
      <c r="AS200" s="68"/>
      <c r="AT200" s="68"/>
      <c r="AU200" s="68"/>
      <c r="AV200" s="68"/>
      <c r="AW200" s="68"/>
      <c r="AX200" s="68"/>
    </row>
    <row r="201" spans="2:50" ht="14.5">
      <c r="B201" s="68" t="s">
        <v>518</v>
      </c>
      <c r="C201" s="68" t="s">
        <v>6289</v>
      </c>
      <c r="D201" s="68" t="s">
        <v>5923</v>
      </c>
      <c r="E201" s="68" t="s">
        <v>5924</v>
      </c>
      <c r="F201" s="68" t="s">
        <v>6087</v>
      </c>
      <c r="G201" s="68" t="s">
        <v>5944</v>
      </c>
      <c r="H201" s="68" t="s">
        <v>5954</v>
      </c>
      <c r="I201" s="68" t="s">
        <v>307</v>
      </c>
      <c r="J201" s="68" t="s">
        <v>6257</v>
      </c>
      <c r="K201" s="68" t="s">
        <v>5955</v>
      </c>
      <c r="L201" s="68" t="s">
        <v>5999</v>
      </c>
      <c r="M201" s="68" t="s">
        <v>5926</v>
      </c>
      <c r="N201" s="68" t="s">
        <v>5927</v>
      </c>
      <c r="O201" s="68" t="s">
        <v>6109</v>
      </c>
      <c r="P201" s="68" t="s">
        <v>5928</v>
      </c>
      <c r="Q201" s="68" t="s">
        <v>5929</v>
      </c>
      <c r="R201" s="68" t="s">
        <v>6290</v>
      </c>
      <c r="S201" s="68" t="s">
        <v>6291</v>
      </c>
      <c r="T201" s="68" t="s">
        <v>5939</v>
      </c>
      <c r="U201" s="68" t="s">
        <v>6141</v>
      </c>
      <c r="V201" s="68" t="s">
        <v>5929</v>
      </c>
      <c r="W201" s="68" t="s">
        <v>5944</v>
      </c>
      <c r="X201" s="68" t="s">
        <v>5932</v>
      </c>
      <c r="Y201" s="68" t="s">
        <v>6292</v>
      </c>
      <c r="Z201" s="68" t="s">
        <v>67</v>
      </c>
      <c r="AA201" s="68"/>
      <c r="AB201" s="68"/>
      <c r="AC201" s="68"/>
      <c r="AD201" s="68"/>
      <c r="AE201" s="68"/>
      <c r="AF201" s="68"/>
      <c r="AG201" s="68"/>
      <c r="AH201" s="68"/>
      <c r="AI201" s="68"/>
      <c r="AJ201" s="68"/>
      <c r="AK201" s="68"/>
      <c r="AL201" s="68"/>
      <c r="AM201" s="68"/>
      <c r="AN201" s="68"/>
      <c r="AO201" s="68"/>
      <c r="AP201" s="68"/>
      <c r="AQ201" s="68"/>
      <c r="AR201" s="68"/>
      <c r="AS201" s="68"/>
      <c r="AT201" s="68"/>
      <c r="AU201" s="68"/>
      <c r="AV201" s="68"/>
      <c r="AW201" s="68"/>
      <c r="AX201" s="68"/>
    </row>
    <row r="202" spans="2:50" ht="14.5">
      <c r="B202" s="68" t="s">
        <v>1335</v>
      </c>
      <c r="C202" s="68" t="s">
        <v>6293</v>
      </c>
      <c r="D202" s="68" t="s">
        <v>1338</v>
      </c>
      <c r="E202" s="68" t="s">
        <v>248</v>
      </c>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c r="AJ202" s="68"/>
      <c r="AK202" s="68"/>
      <c r="AL202" s="68"/>
      <c r="AM202" s="68"/>
      <c r="AN202" s="68"/>
      <c r="AO202" s="68"/>
      <c r="AP202" s="68"/>
      <c r="AQ202" s="68"/>
      <c r="AR202" s="68"/>
      <c r="AS202" s="68"/>
      <c r="AT202" s="68"/>
      <c r="AU202" s="68"/>
      <c r="AV202" s="68"/>
      <c r="AW202" s="68"/>
      <c r="AX202" s="68"/>
    </row>
    <row r="203" spans="2:50" ht="14.5">
      <c r="B203" s="68" t="s">
        <v>1340</v>
      </c>
      <c r="C203" s="68" t="s">
        <v>6294</v>
      </c>
      <c r="D203" s="68" t="s">
        <v>1338</v>
      </c>
      <c r="E203" s="68" t="s">
        <v>1022</v>
      </c>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c r="AJ203" s="68"/>
      <c r="AK203" s="68"/>
      <c r="AL203" s="68"/>
      <c r="AM203" s="68"/>
      <c r="AN203" s="68"/>
      <c r="AO203" s="68"/>
      <c r="AP203" s="68"/>
      <c r="AQ203" s="68"/>
      <c r="AR203" s="68"/>
      <c r="AS203" s="68"/>
      <c r="AT203" s="68"/>
      <c r="AU203" s="68"/>
      <c r="AV203" s="68"/>
      <c r="AW203" s="68"/>
      <c r="AX203" s="68"/>
    </row>
    <row r="204" spans="2:50" ht="14.5">
      <c r="B204" s="68" t="s">
        <v>1343</v>
      </c>
      <c r="C204" s="68" t="s">
        <v>6295</v>
      </c>
      <c r="D204" s="68" t="s">
        <v>1312</v>
      </c>
      <c r="E204" s="68" t="s">
        <v>6296</v>
      </c>
      <c r="F204" s="68" t="s">
        <v>6297</v>
      </c>
      <c r="G204" s="234">
        <v>0.32777777777777778</v>
      </c>
      <c r="H204" s="68" t="s">
        <v>6298</v>
      </c>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c r="AJ204" s="68"/>
      <c r="AK204" s="68"/>
      <c r="AL204" s="68"/>
      <c r="AM204" s="68"/>
      <c r="AN204" s="68"/>
      <c r="AO204" s="68"/>
      <c r="AP204" s="68"/>
      <c r="AQ204" s="68"/>
      <c r="AR204" s="68"/>
      <c r="AS204" s="68"/>
      <c r="AT204" s="68"/>
      <c r="AU204" s="68"/>
      <c r="AV204" s="68"/>
      <c r="AW204" s="68"/>
      <c r="AX204" s="68"/>
    </row>
    <row r="205" spans="2:50" ht="14.5">
      <c r="B205" s="68" t="s">
        <v>1349</v>
      </c>
      <c r="C205" s="68" t="s">
        <v>6295</v>
      </c>
      <c r="D205" s="68" t="s">
        <v>1312</v>
      </c>
      <c r="E205" s="68" t="s">
        <v>6299</v>
      </c>
      <c r="F205" s="68" t="s">
        <v>6234</v>
      </c>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c r="AJ205" s="68"/>
      <c r="AK205" s="68"/>
      <c r="AL205" s="68"/>
      <c r="AM205" s="68"/>
      <c r="AN205" s="68"/>
      <c r="AO205" s="68"/>
      <c r="AP205" s="68"/>
      <c r="AQ205" s="68"/>
      <c r="AR205" s="68"/>
      <c r="AS205" s="68"/>
      <c r="AT205" s="68"/>
      <c r="AU205" s="68"/>
      <c r="AV205" s="68"/>
      <c r="AW205" s="68"/>
      <c r="AX205" s="68"/>
    </row>
    <row r="206" spans="2:50" ht="14.5">
      <c r="B206" s="68" t="s">
        <v>1356</v>
      </c>
      <c r="C206" s="68" t="s">
        <v>6300</v>
      </c>
      <c r="D206" s="68" t="s">
        <v>1387</v>
      </c>
      <c r="E206" s="68" t="s">
        <v>936</v>
      </c>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c r="AJ206" s="68"/>
      <c r="AK206" s="68"/>
      <c r="AL206" s="68"/>
      <c r="AM206" s="68"/>
      <c r="AN206" s="68"/>
      <c r="AO206" s="68"/>
      <c r="AP206" s="68"/>
      <c r="AQ206" s="68"/>
      <c r="AR206" s="68"/>
      <c r="AS206" s="68"/>
      <c r="AT206" s="68"/>
      <c r="AU206" s="68"/>
      <c r="AV206" s="68"/>
      <c r="AW206" s="68"/>
      <c r="AX206" s="68"/>
    </row>
    <row r="207" spans="2:50" ht="14.5">
      <c r="B207" s="68" t="s">
        <v>1363</v>
      </c>
      <c r="C207" s="68" t="s">
        <v>6301</v>
      </c>
      <c r="D207" s="68" t="s">
        <v>1387</v>
      </c>
      <c r="E207" s="68" t="s">
        <v>213</v>
      </c>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c r="AJ207" s="68"/>
      <c r="AK207" s="68"/>
      <c r="AL207" s="68"/>
      <c r="AM207" s="68"/>
      <c r="AN207" s="68"/>
      <c r="AO207" s="68"/>
      <c r="AP207" s="68"/>
      <c r="AQ207" s="68"/>
      <c r="AR207" s="68"/>
      <c r="AS207" s="68"/>
      <c r="AT207" s="68"/>
      <c r="AU207" s="68"/>
      <c r="AV207" s="68"/>
      <c r="AW207" s="68"/>
      <c r="AX207" s="68"/>
    </row>
    <row r="208" spans="2:50" ht="14.5">
      <c r="B208" s="68" t="s">
        <v>1370</v>
      </c>
      <c r="C208" s="68" t="s">
        <v>6302</v>
      </c>
      <c r="D208" s="68" t="s">
        <v>1387</v>
      </c>
      <c r="E208" s="68" t="s">
        <v>376</v>
      </c>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c r="AJ208" s="68"/>
      <c r="AK208" s="68"/>
      <c r="AL208" s="68"/>
      <c r="AM208" s="68"/>
      <c r="AN208" s="68"/>
      <c r="AO208" s="68"/>
      <c r="AP208" s="68"/>
      <c r="AQ208" s="68"/>
      <c r="AR208" s="68"/>
      <c r="AS208" s="68"/>
      <c r="AT208" s="68"/>
      <c r="AU208" s="68"/>
      <c r="AV208" s="68"/>
      <c r="AW208" s="68"/>
      <c r="AX208" s="68"/>
    </row>
    <row r="209" spans="2:50" ht="14.5">
      <c r="B209" s="68" t="s">
        <v>1376</v>
      </c>
      <c r="C209" s="68" t="s">
        <v>5886</v>
      </c>
      <c r="D209" s="68" t="s">
        <v>1379</v>
      </c>
      <c r="E209" s="68" t="s">
        <v>876</v>
      </c>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c r="AJ209" s="68"/>
      <c r="AK209" s="68"/>
      <c r="AL209" s="68"/>
      <c r="AM209" s="68"/>
      <c r="AN209" s="68"/>
      <c r="AO209" s="68"/>
      <c r="AP209" s="68"/>
      <c r="AQ209" s="68"/>
      <c r="AR209" s="68"/>
      <c r="AS209" s="68"/>
      <c r="AT209" s="68"/>
      <c r="AU209" s="68"/>
      <c r="AV209" s="68"/>
      <c r="AW209" s="68"/>
      <c r="AX209" s="68"/>
    </row>
    <row r="210" spans="2:50" ht="14.5">
      <c r="B210" s="68" t="s">
        <v>1383</v>
      </c>
      <c r="C210" s="68" t="s">
        <v>6303</v>
      </c>
      <c r="D210" s="68" t="s">
        <v>1387</v>
      </c>
      <c r="E210" s="68" t="s">
        <v>184</v>
      </c>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c r="AJ210" s="68"/>
      <c r="AK210" s="68"/>
      <c r="AL210" s="68"/>
      <c r="AM210" s="68"/>
      <c r="AN210" s="68"/>
      <c r="AO210" s="68"/>
      <c r="AP210" s="68"/>
      <c r="AQ210" s="68"/>
      <c r="AR210" s="68"/>
      <c r="AS210" s="68"/>
      <c r="AT210" s="68"/>
      <c r="AU210" s="68"/>
      <c r="AV210" s="68"/>
      <c r="AW210" s="68"/>
      <c r="AX210" s="68"/>
    </row>
    <row r="211" spans="2:50" ht="14.5">
      <c r="B211" s="68" t="s">
        <v>1391</v>
      </c>
      <c r="C211" s="68" t="s">
        <v>6304</v>
      </c>
      <c r="D211" s="68" t="s">
        <v>1379</v>
      </c>
      <c r="E211" s="68" t="s">
        <v>99</v>
      </c>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c r="AJ211" s="68"/>
      <c r="AK211" s="68"/>
      <c r="AL211" s="68"/>
      <c r="AM211" s="68"/>
      <c r="AN211" s="68"/>
      <c r="AO211" s="68"/>
      <c r="AP211" s="68"/>
      <c r="AQ211" s="68"/>
      <c r="AR211" s="68"/>
      <c r="AS211" s="68"/>
      <c r="AT211" s="68"/>
      <c r="AU211" s="68"/>
      <c r="AV211" s="68"/>
      <c r="AW211" s="68"/>
      <c r="AX211" s="68"/>
    </row>
    <row r="212" spans="2:50" ht="14.5">
      <c r="B212" s="68" t="s">
        <v>1398</v>
      </c>
      <c r="C212" s="68" t="s">
        <v>6305</v>
      </c>
      <c r="D212" s="68" t="s">
        <v>154</v>
      </c>
      <c r="E212" s="68" t="s">
        <v>231</v>
      </c>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c r="AJ212" s="68"/>
      <c r="AK212" s="68"/>
      <c r="AL212" s="68"/>
      <c r="AM212" s="68"/>
      <c r="AN212" s="68"/>
      <c r="AO212" s="68"/>
      <c r="AP212" s="68"/>
      <c r="AQ212" s="68"/>
      <c r="AR212" s="68"/>
      <c r="AS212" s="68"/>
      <c r="AT212" s="68"/>
      <c r="AU212" s="68"/>
      <c r="AV212" s="68"/>
      <c r="AW212" s="68"/>
      <c r="AX212" s="68"/>
    </row>
    <row r="213" spans="2:50" ht="14.5">
      <c r="B213" s="68" t="s">
        <v>149</v>
      </c>
      <c r="C213" s="68" t="s">
        <v>6306</v>
      </c>
      <c r="D213" s="68" t="s">
        <v>154</v>
      </c>
      <c r="E213" s="68" t="s">
        <v>89</v>
      </c>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c r="AJ213" s="68"/>
      <c r="AK213" s="68"/>
      <c r="AL213" s="68"/>
      <c r="AM213" s="68"/>
      <c r="AN213" s="68"/>
      <c r="AO213" s="68"/>
      <c r="AP213" s="68"/>
      <c r="AQ213" s="68"/>
      <c r="AR213" s="68"/>
      <c r="AS213" s="68"/>
      <c r="AT213" s="68"/>
      <c r="AU213" s="68"/>
      <c r="AV213" s="68"/>
      <c r="AW213" s="68"/>
      <c r="AX213" s="68"/>
    </row>
    <row r="214" spans="2:50" ht="14.5">
      <c r="B214" s="68" t="s">
        <v>1402</v>
      </c>
      <c r="C214" s="68" t="s">
        <v>6307</v>
      </c>
      <c r="D214" s="68" t="s">
        <v>154</v>
      </c>
      <c r="E214" s="68" t="s">
        <v>99</v>
      </c>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c r="AJ214" s="68"/>
      <c r="AK214" s="68"/>
      <c r="AL214" s="68"/>
      <c r="AM214" s="68"/>
      <c r="AN214" s="68"/>
      <c r="AO214" s="68"/>
      <c r="AP214" s="68"/>
      <c r="AQ214" s="68"/>
      <c r="AR214" s="68"/>
      <c r="AS214" s="68"/>
      <c r="AT214" s="68"/>
      <c r="AU214" s="68"/>
      <c r="AV214" s="68"/>
      <c r="AW214" s="68"/>
      <c r="AX214" s="68"/>
    </row>
    <row r="215" spans="2:50" ht="14.5">
      <c r="B215" s="68" t="s">
        <v>1408</v>
      </c>
      <c r="C215" s="68" t="s">
        <v>6308</v>
      </c>
      <c r="D215" s="68" t="s">
        <v>154</v>
      </c>
      <c r="E215" s="68" t="s">
        <v>131</v>
      </c>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c r="AJ215" s="68"/>
      <c r="AK215" s="68"/>
      <c r="AL215" s="68"/>
      <c r="AM215" s="68"/>
      <c r="AN215" s="68"/>
      <c r="AO215" s="68"/>
      <c r="AP215" s="68"/>
      <c r="AQ215" s="68"/>
      <c r="AR215" s="68"/>
      <c r="AS215" s="68"/>
      <c r="AT215" s="68"/>
      <c r="AU215" s="68"/>
      <c r="AV215" s="68"/>
      <c r="AW215" s="68"/>
      <c r="AX215" s="68"/>
    </row>
    <row r="216" spans="2:50" ht="14.5">
      <c r="B216" s="68" t="s">
        <v>1416</v>
      </c>
      <c r="C216" s="68" t="s">
        <v>6309</v>
      </c>
      <c r="D216" s="68" t="s">
        <v>154</v>
      </c>
      <c r="E216" s="68" t="s">
        <v>770</v>
      </c>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c r="AJ216" s="68"/>
      <c r="AK216" s="68"/>
      <c r="AL216" s="68"/>
      <c r="AM216" s="68"/>
      <c r="AN216" s="68"/>
      <c r="AO216" s="68"/>
      <c r="AP216" s="68"/>
      <c r="AQ216" s="68"/>
      <c r="AR216" s="68"/>
      <c r="AS216" s="68"/>
      <c r="AT216" s="68"/>
      <c r="AU216" s="68"/>
      <c r="AV216" s="68"/>
      <c r="AW216" s="68"/>
      <c r="AX216" s="68"/>
    </row>
    <row r="217" spans="2:50" ht="14.5">
      <c r="B217" s="68" t="s">
        <v>1423</v>
      </c>
      <c r="C217" s="68" t="s">
        <v>6310</v>
      </c>
      <c r="D217" s="68" t="s">
        <v>154</v>
      </c>
      <c r="E217" s="68" t="s">
        <v>6311</v>
      </c>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c r="AJ217" s="68"/>
      <c r="AK217" s="68"/>
      <c r="AL217" s="68"/>
      <c r="AM217" s="68"/>
      <c r="AN217" s="68"/>
      <c r="AO217" s="68"/>
      <c r="AP217" s="68"/>
      <c r="AQ217" s="68"/>
      <c r="AR217" s="68"/>
      <c r="AS217" s="68"/>
      <c r="AT217" s="68"/>
      <c r="AU217" s="68"/>
      <c r="AV217" s="68"/>
      <c r="AW217" s="68"/>
      <c r="AX217" s="68"/>
    </row>
    <row r="218" spans="2:50" ht="14.5">
      <c r="B218" s="68" t="s">
        <v>1430</v>
      </c>
      <c r="C218" s="68" t="s">
        <v>6312</v>
      </c>
      <c r="D218" s="68" t="s">
        <v>1219</v>
      </c>
      <c r="E218" s="68" t="s">
        <v>120</v>
      </c>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row>
    <row r="219" spans="2:50" ht="14.5">
      <c r="B219" s="68" t="s">
        <v>1435</v>
      </c>
      <c r="C219" s="68" t="s">
        <v>6313</v>
      </c>
      <c r="D219" s="68" t="s">
        <v>1438</v>
      </c>
      <c r="E219" s="68" t="s">
        <v>195</v>
      </c>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c r="AJ219" s="68"/>
      <c r="AK219" s="68"/>
      <c r="AL219" s="68"/>
      <c r="AM219" s="68"/>
      <c r="AN219" s="68"/>
      <c r="AO219" s="68"/>
      <c r="AP219" s="68"/>
      <c r="AQ219" s="68"/>
      <c r="AR219" s="68"/>
      <c r="AS219" s="68"/>
      <c r="AT219" s="68"/>
      <c r="AU219" s="68"/>
      <c r="AV219" s="68"/>
      <c r="AW219" s="68"/>
      <c r="AX219" s="68"/>
    </row>
    <row r="220" spans="2:50" ht="14.5">
      <c r="B220" s="68" t="s">
        <v>1442</v>
      </c>
      <c r="C220" s="68" t="s">
        <v>6314</v>
      </c>
      <c r="D220" s="68" t="s">
        <v>1438</v>
      </c>
      <c r="E220" s="68" t="s">
        <v>357</v>
      </c>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c r="AJ220" s="68"/>
      <c r="AK220" s="68"/>
      <c r="AL220" s="68"/>
      <c r="AM220" s="68"/>
      <c r="AN220" s="68"/>
      <c r="AO220" s="68"/>
      <c r="AP220" s="68"/>
      <c r="AQ220" s="68"/>
      <c r="AR220" s="68"/>
      <c r="AS220" s="68"/>
      <c r="AT220" s="68"/>
      <c r="AU220" s="68"/>
      <c r="AV220" s="68"/>
      <c r="AW220" s="68"/>
      <c r="AX220" s="68"/>
    </row>
    <row r="221" spans="2:50" ht="14.5">
      <c r="B221" s="68" t="s">
        <v>1448</v>
      </c>
      <c r="C221" s="68" t="s">
        <v>6315</v>
      </c>
      <c r="D221" s="68" t="s">
        <v>1438</v>
      </c>
      <c r="E221" s="68" t="s">
        <v>162</v>
      </c>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c r="AJ221" s="68"/>
      <c r="AK221" s="68"/>
      <c r="AL221" s="68"/>
      <c r="AM221" s="68"/>
      <c r="AN221" s="68"/>
      <c r="AO221" s="68"/>
      <c r="AP221" s="68"/>
      <c r="AQ221" s="68"/>
      <c r="AR221" s="68"/>
      <c r="AS221" s="68"/>
      <c r="AT221" s="68"/>
      <c r="AU221" s="68"/>
      <c r="AV221" s="68"/>
      <c r="AW221" s="68"/>
      <c r="AX221" s="68"/>
    </row>
    <row r="222" spans="2:50" ht="14.5">
      <c r="B222" s="68" t="s">
        <v>1452</v>
      </c>
      <c r="C222" s="68" t="s">
        <v>6316</v>
      </c>
      <c r="D222" s="68" t="s">
        <v>1438</v>
      </c>
      <c r="E222" s="68" t="s">
        <v>302</v>
      </c>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c r="AJ222" s="68"/>
      <c r="AK222" s="68"/>
      <c r="AL222" s="68"/>
      <c r="AM222" s="68"/>
      <c r="AN222" s="68"/>
      <c r="AO222" s="68"/>
      <c r="AP222" s="68"/>
      <c r="AQ222" s="68"/>
      <c r="AR222" s="68"/>
      <c r="AS222" s="68"/>
      <c r="AT222" s="68"/>
      <c r="AU222" s="68"/>
      <c r="AV222" s="68"/>
      <c r="AW222" s="68"/>
      <c r="AX222" s="68"/>
    </row>
    <row r="223" spans="2:50" ht="14.5">
      <c r="B223" s="68" t="s">
        <v>2160</v>
      </c>
      <c r="C223" s="68" t="s">
        <v>6317</v>
      </c>
      <c r="D223" s="68" t="s">
        <v>1438</v>
      </c>
      <c r="E223" s="68" t="s">
        <v>376</v>
      </c>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c r="AJ223" s="68"/>
      <c r="AK223" s="68"/>
      <c r="AL223" s="68"/>
      <c r="AM223" s="68"/>
      <c r="AN223" s="68"/>
      <c r="AO223" s="68"/>
      <c r="AP223" s="68"/>
      <c r="AQ223" s="68"/>
      <c r="AR223" s="68"/>
      <c r="AS223" s="68"/>
      <c r="AT223" s="68"/>
      <c r="AU223" s="68"/>
      <c r="AV223" s="68"/>
      <c r="AW223" s="68"/>
      <c r="AX223" s="68"/>
    </row>
    <row r="224" spans="2:50" ht="14.5">
      <c r="B224" s="68" t="s">
        <v>1464</v>
      </c>
      <c r="C224" s="68" t="s">
        <v>6318</v>
      </c>
      <c r="D224" s="68" t="s">
        <v>1379</v>
      </c>
      <c r="E224" s="68" t="s">
        <v>120</v>
      </c>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c r="AJ224" s="68"/>
      <c r="AK224" s="68"/>
      <c r="AL224" s="68"/>
      <c r="AM224" s="68"/>
      <c r="AN224" s="68"/>
      <c r="AO224" s="68"/>
      <c r="AP224" s="68"/>
      <c r="AQ224" s="68"/>
      <c r="AR224" s="68"/>
      <c r="AS224" s="68"/>
      <c r="AT224" s="68"/>
      <c r="AU224" s="68"/>
      <c r="AV224" s="68"/>
      <c r="AW224" s="68"/>
      <c r="AX224" s="68"/>
    </row>
    <row r="225" spans="2:50" ht="14.5">
      <c r="B225" s="68" t="s">
        <v>1471</v>
      </c>
      <c r="C225" s="68" t="s">
        <v>6319</v>
      </c>
      <c r="D225" s="68" t="s">
        <v>1379</v>
      </c>
      <c r="E225" s="68" t="s">
        <v>792</v>
      </c>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c r="AJ225" s="68"/>
      <c r="AK225" s="68"/>
      <c r="AL225" s="68"/>
      <c r="AM225" s="68"/>
      <c r="AN225" s="68"/>
      <c r="AO225" s="68"/>
      <c r="AP225" s="68"/>
      <c r="AQ225" s="68"/>
      <c r="AR225" s="68"/>
      <c r="AS225" s="68"/>
      <c r="AT225" s="68"/>
      <c r="AU225" s="68"/>
      <c r="AV225" s="68"/>
      <c r="AW225" s="68"/>
      <c r="AX225" s="68"/>
    </row>
    <row r="226" spans="2:50" ht="14.5">
      <c r="B226" s="68" t="s">
        <v>1477</v>
      </c>
      <c r="C226" s="68" t="s">
        <v>6320</v>
      </c>
      <c r="D226" s="68" t="s">
        <v>1379</v>
      </c>
      <c r="E226" s="68" t="s">
        <v>99</v>
      </c>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c r="AJ226" s="68"/>
      <c r="AK226" s="68"/>
      <c r="AL226" s="68"/>
      <c r="AM226" s="68"/>
      <c r="AN226" s="68"/>
      <c r="AO226" s="68"/>
      <c r="AP226" s="68"/>
      <c r="AQ226" s="68"/>
      <c r="AR226" s="68"/>
      <c r="AS226" s="68"/>
      <c r="AT226" s="68"/>
      <c r="AU226" s="68"/>
      <c r="AV226" s="68"/>
      <c r="AW226" s="68"/>
      <c r="AX226" s="68"/>
    </row>
    <row r="227" spans="2:50" ht="14.5">
      <c r="B227" s="68" t="s">
        <v>1483</v>
      </c>
      <c r="C227" s="68" t="s">
        <v>5890</v>
      </c>
      <c r="D227" s="68" t="s">
        <v>1379</v>
      </c>
      <c r="E227" s="68" t="s">
        <v>590</v>
      </c>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c r="AJ227" s="68"/>
      <c r="AK227" s="68"/>
      <c r="AL227" s="68"/>
      <c r="AM227" s="68"/>
      <c r="AN227" s="68"/>
      <c r="AO227" s="68"/>
      <c r="AP227" s="68"/>
      <c r="AQ227" s="68"/>
      <c r="AR227" s="68"/>
      <c r="AS227" s="68"/>
      <c r="AT227" s="68"/>
      <c r="AU227" s="68"/>
      <c r="AV227" s="68"/>
      <c r="AW227" s="68"/>
      <c r="AX227" s="68"/>
    </row>
    <row r="228" spans="2:50" ht="14.5">
      <c r="B228" s="68" t="s">
        <v>1488</v>
      </c>
      <c r="C228" s="68" t="s">
        <v>6213</v>
      </c>
      <c r="D228" s="68" t="s">
        <v>1379</v>
      </c>
      <c r="E228" s="68" t="s">
        <v>1022</v>
      </c>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c r="AJ228" s="68"/>
      <c r="AK228" s="68"/>
      <c r="AL228" s="68"/>
      <c r="AM228" s="68"/>
      <c r="AN228" s="68"/>
      <c r="AO228" s="68"/>
      <c r="AP228" s="68"/>
      <c r="AQ228" s="68"/>
      <c r="AR228" s="68"/>
      <c r="AS228" s="68"/>
      <c r="AT228" s="68"/>
      <c r="AU228" s="68"/>
      <c r="AV228" s="68"/>
      <c r="AW228" s="68"/>
      <c r="AX228" s="68"/>
    </row>
    <row r="229" spans="2:50" ht="14.5">
      <c r="B229" s="68" t="s">
        <v>1494</v>
      </c>
      <c r="C229" s="68" t="s">
        <v>6321</v>
      </c>
      <c r="D229" s="68" t="s">
        <v>1379</v>
      </c>
      <c r="E229" s="68" t="s">
        <v>376</v>
      </c>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row>
    <row r="230" spans="2:50" ht="14.5">
      <c r="B230" s="68" t="s">
        <v>134</v>
      </c>
      <c r="C230" s="68" t="s">
        <v>6322</v>
      </c>
      <c r="D230" s="68" t="s">
        <v>88</v>
      </c>
      <c r="E230" s="68" t="s">
        <v>120</v>
      </c>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c r="AJ230" s="68"/>
      <c r="AK230" s="68"/>
      <c r="AL230" s="68"/>
      <c r="AM230" s="68"/>
      <c r="AN230" s="68"/>
      <c r="AO230" s="68"/>
      <c r="AP230" s="68"/>
      <c r="AQ230" s="68"/>
      <c r="AR230" s="68"/>
      <c r="AS230" s="68"/>
      <c r="AT230" s="68"/>
      <c r="AU230" s="68"/>
      <c r="AV230" s="68"/>
      <c r="AW230" s="68"/>
      <c r="AX230" s="68"/>
    </row>
    <row r="231" spans="2:50" ht="14.5">
      <c r="B231" s="68" t="s">
        <v>75</v>
      </c>
      <c r="C231" s="68" t="s">
        <v>76</v>
      </c>
      <c r="D231" s="68" t="s">
        <v>5923</v>
      </c>
      <c r="E231" s="68" t="s">
        <v>5924</v>
      </c>
      <c r="F231" s="68" t="s">
        <v>5925</v>
      </c>
      <c r="G231" s="68" t="s">
        <v>5926</v>
      </c>
      <c r="H231" s="68" t="s">
        <v>5927</v>
      </c>
      <c r="I231" s="68" t="s">
        <v>5928</v>
      </c>
      <c r="J231" s="68" t="s">
        <v>5929</v>
      </c>
      <c r="K231" s="68" t="s">
        <v>5953</v>
      </c>
      <c r="L231" s="68" t="s">
        <v>5931</v>
      </c>
      <c r="M231" s="68" t="s">
        <v>5932</v>
      </c>
      <c r="N231" s="68" t="s">
        <v>5933</v>
      </c>
      <c r="O231" s="68" t="s">
        <v>5955</v>
      </c>
      <c r="P231" s="68">
        <v>4</v>
      </c>
      <c r="Q231" s="68" t="s">
        <v>5934</v>
      </c>
      <c r="R231" s="68" t="s">
        <v>6277</v>
      </c>
      <c r="S231" s="68" t="s">
        <v>5927</v>
      </c>
      <c r="T231" s="68" t="s">
        <v>5998</v>
      </c>
      <c r="U231" s="68" t="s">
        <v>5929</v>
      </c>
      <c r="V231" s="68" t="s">
        <v>5953</v>
      </c>
      <c r="W231" s="68" t="s">
        <v>6051</v>
      </c>
      <c r="X231" s="68" t="s">
        <v>5999</v>
      </c>
      <c r="Y231" s="68" t="s">
        <v>6323</v>
      </c>
      <c r="Z231" s="68" t="s">
        <v>6324</v>
      </c>
      <c r="AA231" s="68" t="s">
        <v>5939</v>
      </c>
      <c r="AB231" s="68" t="s">
        <v>6108</v>
      </c>
      <c r="AC231" s="68" t="s">
        <v>6036</v>
      </c>
      <c r="AD231" s="68" t="s">
        <v>6325</v>
      </c>
      <c r="AE231" s="68" t="s">
        <v>89</v>
      </c>
      <c r="AF231" s="68"/>
      <c r="AG231" s="68"/>
      <c r="AH231" s="68"/>
      <c r="AI231" s="68"/>
      <c r="AJ231" s="68"/>
      <c r="AK231" s="68"/>
      <c r="AL231" s="68"/>
      <c r="AM231" s="68"/>
      <c r="AN231" s="68"/>
      <c r="AO231" s="68"/>
      <c r="AP231" s="68"/>
      <c r="AQ231" s="68"/>
      <c r="AR231" s="68"/>
      <c r="AS231" s="68"/>
      <c r="AT231" s="68"/>
      <c r="AU231" s="68"/>
      <c r="AV231" s="68"/>
      <c r="AW231" s="68"/>
      <c r="AX231" s="68"/>
    </row>
    <row r="232" spans="2:50" ht="14.5">
      <c r="B232" s="68" t="s">
        <v>1499</v>
      </c>
      <c r="C232" s="68" t="s">
        <v>6326</v>
      </c>
      <c r="D232" s="68" t="s">
        <v>1511</v>
      </c>
      <c r="E232" s="68" t="s">
        <v>231</v>
      </c>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c r="AJ232" s="68"/>
      <c r="AK232" s="68"/>
      <c r="AL232" s="68"/>
      <c r="AM232" s="68"/>
      <c r="AN232" s="68"/>
      <c r="AO232" s="68"/>
      <c r="AP232" s="68"/>
      <c r="AQ232" s="68"/>
      <c r="AR232" s="68"/>
      <c r="AS232" s="68"/>
      <c r="AT232" s="68"/>
      <c r="AU232" s="68"/>
      <c r="AV232" s="68"/>
      <c r="AW232" s="68"/>
      <c r="AX232" s="68"/>
    </row>
    <row r="233" spans="2:50" ht="14.5">
      <c r="B233" s="68" t="s">
        <v>1505</v>
      </c>
      <c r="C233" s="68" t="s">
        <v>6327</v>
      </c>
      <c r="D233" s="68" t="s">
        <v>1511</v>
      </c>
      <c r="E233" s="68" t="s">
        <v>876</v>
      </c>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c r="AJ233" s="68"/>
      <c r="AK233" s="68"/>
      <c r="AL233" s="68"/>
      <c r="AM233" s="68"/>
      <c r="AN233" s="68"/>
      <c r="AO233" s="68"/>
      <c r="AP233" s="68"/>
      <c r="AQ233" s="68"/>
      <c r="AR233" s="68"/>
      <c r="AS233" s="68"/>
      <c r="AT233" s="68"/>
      <c r="AU233" s="68"/>
      <c r="AV233" s="68"/>
      <c r="AW233" s="68"/>
      <c r="AX233" s="68"/>
    </row>
    <row r="234" spans="2:50" ht="14.5">
      <c r="B234" s="68" t="s">
        <v>1508</v>
      </c>
      <c r="C234" s="68" t="s">
        <v>6328</v>
      </c>
      <c r="D234" s="68" t="s">
        <v>1511</v>
      </c>
      <c r="E234" s="68" t="s">
        <v>525</v>
      </c>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c r="AJ234" s="68"/>
      <c r="AK234" s="68"/>
      <c r="AL234" s="68"/>
      <c r="AM234" s="68"/>
      <c r="AN234" s="68"/>
      <c r="AO234" s="68"/>
      <c r="AP234" s="68"/>
      <c r="AQ234" s="68"/>
      <c r="AR234" s="68"/>
      <c r="AS234" s="68"/>
      <c r="AT234" s="68"/>
      <c r="AU234" s="68"/>
      <c r="AV234" s="68"/>
      <c r="AW234" s="68"/>
      <c r="AX234" s="68"/>
    </row>
    <row r="235" spans="2:50" ht="14.5">
      <c r="B235" s="68" t="s">
        <v>1514</v>
      </c>
      <c r="C235" s="68" t="s">
        <v>5890</v>
      </c>
      <c r="D235" s="68" t="s">
        <v>1511</v>
      </c>
      <c r="E235" s="68" t="s">
        <v>131</v>
      </c>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c r="AJ235" s="68"/>
      <c r="AK235" s="68"/>
      <c r="AL235" s="68"/>
      <c r="AM235" s="68"/>
      <c r="AN235" s="68"/>
      <c r="AO235" s="68"/>
      <c r="AP235" s="68"/>
      <c r="AQ235" s="68"/>
      <c r="AR235" s="68"/>
      <c r="AS235" s="68"/>
      <c r="AT235" s="68"/>
      <c r="AU235" s="68"/>
      <c r="AV235" s="68"/>
      <c r="AW235" s="68"/>
      <c r="AX235" s="68"/>
    </row>
    <row r="236" spans="2:50" ht="14.5">
      <c r="B236" s="68" t="s">
        <v>92</v>
      </c>
      <c r="C236" s="68" t="s">
        <v>93</v>
      </c>
      <c r="D236" s="68" t="s">
        <v>5923</v>
      </c>
      <c r="E236" s="68" t="s">
        <v>5924</v>
      </c>
      <c r="F236" s="68" t="s">
        <v>5925</v>
      </c>
      <c r="G236" s="68" t="s">
        <v>5926</v>
      </c>
      <c r="H236" s="68" t="s">
        <v>5927</v>
      </c>
      <c r="I236" s="68" t="s">
        <v>5928</v>
      </c>
      <c r="J236" s="68" t="s">
        <v>5929</v>
      </c>
      <c r="K236" s="68" t="s">
        <v>6004</v>
      </c>
      <c r="L236" s="68" t="s">
        <v>5932</v>
      </c>
      <c r="M236" s="68" t="s">
        <v>5933</v>
      </c>
      <c r="N236" s="68">
        <v>4</v>
      </c>
      <c r="O236" s="68" t="s">
        <v>5934</v>
      </c>
      <c r="P236" s="68" t="s">
        <v>5935</v>
      </c>
      <c r="Q236" s="68" t="s">
        <v>5936</v>
      </c>
      <c r="R236" s="68" t="s">
        <v>5929</v>
      </c>
      <c r="S236" s="68" t="s">
        <v>6329</v>
      </c>
      <c r="T236" s="68" t="s">
        <v>6330</v>
      </c>
      <c r="U236" s="68" t="s">
        <v>5925</v>
      </c>
      <c r="V236" s="68" t="s">
        <v>6331</v>
      </c>
      <c r="W236" s="68" t="s">
        <v>6097</v>
      </c>
      <c r="X236" s="68" t="s">
        <v>5944</v>
      </c>
      <c r="Y236" s="68" t="s">
        <v>5999</v>
      </c>
      <c r="Z236" s="68" t="s">
        <v>5926</v>
      </c>
      <c r="AA236" s="68" t="s">
        <v>5927</v>
      </c>
      <c r="AB236" s="68" t="s">
        <v>5939</v>
      </c>
      <c r="AC236" s="68" t="s">
        <v>5940</v>
      </c>
      <c r="AD236" s="68" t="s">
        <v>5941</v>
      </c>
      <c r="AE236" s="68" t="s">
        <v>5942</v>
      </c>
      <c r="AF236" s="68" t="s">
        <v>5943</v>
      </c>
      <c r="AG236" s="68" t="s">
        <v>5944</v>
      </c>
      <c r="AH236" s="68" t="s">
        <v>5945</v>
      </c>
      <c r="AI236" s="68" t="s">
        <v>6332</v>
      </c>
      <c r="AJ236" s="68" t="s">
        <v>99</v>
      </c>
      <c r="AK236" s="68"/>
      <c r="AL236" s="68"/>
      <c r="AM236" s="68"/>
      <c r="AN236" s="68"/>
      <c r="AO236" s="68"/>
      <c r="AP236" s="68"/>
      <c r="AQ236" s="68"/>
      <c r="AR236" s="68"/>
      <c r="AS236" s="68"/>
      <c r="AT236" s="68"/>
      <c r="AU236" s="68"/>
      <c r="AV236" s="68"/>
      <c r="AW236" s="68"/>
      <c r="AX236" s="68"/>
    </row>
    <row r="237" spans="2:50" ht="14.5">
      <c r="B237" s="68" t="s">
        <v>104</v>
      </c>
      <c r="C237" s="68" t="s">
        <v>6333</v>
      </c>
      <c r="D237" s="68" t="s">
        <v>5923</v>
      </c>
      <c r="E237" s="68" t="s">
        <v>5929</v>
      </c>
      <c r="F237" s="68" t="s">
        <v>5999</v>
      </c>
      <c r="G237" s="68" t="s">
        <v>5925</v>
      </c>
      <c r="H237" s="68" t="s">
        <v>5926</v>
      </c>
      <c r="I237" s="68" t="s">
        <v>5927</v>
      </c>
      <c r="J237" s="68" t="s">
        <v>5954</v>
      </c>
      <c r="K237" s="68" t="s">
        <v>5929</v>
      </c>
      <c r="L237" s="68" t="s">
        <v>5996</v>
      </c>
      <c r="M237" s="68" t="s">
        <v>5932</v>
      </c>
      <c r="N237" s="68" t="s">
        <v>5933</v>
      </c>
      <c r="O237" s="68">
        <v>4</v>
      </c>
      <c r="P237" s="68" t="s">
        <v>5932</v>
      </c>
      <c r="Q237" s="68" t="s">
        <v>5935</v>
      </c>
      <c r="R237" s="68" t="s">
        <v>5927</v>
      </c>
      <c r="S237" s="68" t="s">
        <v>5998</v>
      </c>
      <c r="T237" s="68" t="s">
        <v>5924</v>
      </c>
      <c r="U237" s="68" t="s">
        <v>6028</v>
      </c>
      <c r="V237" s="68" t="s">
        <v>5943</v>
      </c>
      <c r="W237" s="68" t="s">
        <v>5929</v>
      </c>
      <c r="X237" s="68" t="s">
        <v>6015</v>
      </c>
      <c r="Y237" s="68" t="s">
        <v>6023</v>
      </c>
      <c r="Z237" s="68" t="s">
        <v>6183</v>
      </c>
      <c r="AA237" s="68" t="s">
        <v>6334</v>
      </c>
      <c r="AB237" s="68" t="s">
        <v>6335</v>
      </c>
      <c r="AC237" s="68" t="s">
        <v>248</v>
      </c>
      <c r="AD237" s="68"/>
      <c r="AE237" s="68"/>
      <c r="AF237" s="68"/>
      <c r="AG237" s="68"/>
      <c r="AH237" s="68"/>
      <c r="AI237" s="68"/>
      <c r="AJ237" s="68"/>
      <c r="AK237" s="68"/>
      <c r="AL237" s="68"/>
      <c r="AM237" s="68"/>
      <c r="AN237" s="68"/>
      <c r="AO237" s="68"/>
      <c r="AP237" s="68"/>
      <c r="AQ237" s="68"/>
      <c r="AR237" s="68"/>
      <c r="AS237" s="68"/>
      <c r="AT237" s="68"/>
      <c r="AU237" s="68"/>
      <c r="AV237" s="68"/>
      <c r="AW237" s="68"/>
      <c r="AX237" s="68"/>
    </row>
    <row r="238" spans="2:50" ht="14.5">
      <c r="B238" s="68" t="s">
        <v>1520</v>
      </c>
      <c r="C238" s="68" t="s">
        <v>6336</v>
      </c>
      <c r="D238" s="68" t="s">
        <v>1523</v>
      </c>
      <c r="E238" s="68" t="s">
        <v>231</v>
      </c>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c r="AJ238" s="68"/>
      <c r="AK238" s="68"/>
      <c r="AL238" s="68"/>
      <c r="AM238" s="68"/>
      <c r="AN238" s="68"/>
      <c r="AO238" s="68"/>
      <c r="AP238" s="68"/>
      <c r="AQ238" s="68"/>
      <c r="AR238" s="68"/>
      <c r="AS238" s="68"/>
      <c r="AT238" s="68"/>
      <c r="AU238" s="68"/>
      <c r="AV238" s="68"/>
      <c r="AW238" s="68"/>
      <c r="AX238" s="68"/>
    </row>
    <row r="239" spans="2:50" ht="14.5">
      <c r="B239" s="68" t="s">
        <v>1525</v>
      </c>
      <c r="C239" s="68" t="s">
        <v>6337</v>
      </c>
      <c r="D239" s="68" t="s">
        <v>1523</v>
      </c>
      <c r="E239" s="68" t="s">
        <v>6338</v>
      </c>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c r="AJ239" s="68"/>
      <c r="AK239" s="68"/>
      <c r="AL239" s="68"/>
      <c r="AM239" s="68"/>
      <c r="AN239" s="68"/>
      <c r="AO239" s="68"/>
      <c r="AP239" s="68"/>
      <c r="AQ239" s="68"/>
      <c r="AR239" s="68"/>
      <c r="AS239" s="68"/>
      <c r="AT239" s="68"/>
      <c r="AU239" s="68"/>
      <c r="AV239" s="68"/>
      <c r="AW239" s="68"/>
      <c r="AX239" s="68"/>
    </row>
    <row r="240" spans="2:50" ht="14.5">
      <c r="B240" s="68" t="s">
        <v>1529</v>
      </c>
      <c r="C240" s="68" t="s">
        <v>6339</v>
      </c>
      <c r="D240" s="205" t="s">
        <v>6340</v>
      </c>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c r="AJ240" s="68"/>
      <c r="AK240" s="68"/>
      <c r="AL240" s="68"/>
      <c r="AM240" s="68"/>
      <c r="AN240" s="68"/>
      <c r="AO240" s="68"/>
      <c r="AP240" s="68"/>
      <c r="AQ240" s="68"/>
      <c r="AR240" s="68"/>
      <c r="AS240" s="68"/>
      <c r="AT240" s="68"/>
      <c r="AU240" s="68"/>
      <c r="AV240" s="68"/>
      <c r="AW240" s="68"/>
      <c r="AX240" s="68"/>
    </row>
    <row r="241" spans="2:50" ht="14.5">
      <c r="B241" s="68" t="s">
        <v>1534</v>
      </c>
      <c r="C241" s="68" t="s">
        <v>6341</v>
      </c>
      <c r="D241" s="205" t="s">
        <v>6342</v>
      </c>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c r="AJ241" s="68"/>
      <c r="AK241" s="68"/>
      <c r="AL241" s="68"/>
      <c r="AM241" s="68"/>
      <c r="AN241" s="68"/>
      <c r="AO241" s="68"/>
      <c r="AP241" s="68"/>
      <c r="AQ241" s="68"/>
      <c r="AR241" s="68"/>
      <c r="AS241" s="68"/>
      <c r="AT241" s="68"/>
      <c r="AU241" s="68"/>
      <c r="AV241" s="68"/>
      <c r="AW241" s="68"/>
      <c r="AX241" s="68"/>
    </row>
    <row r="242" spans="2:50" ht="14.5">
      <c r="B242" s="68" t="s">
        <v>1540</v>
      </c>
      <c r="C242" s="68" t="s">
        <v>6343</v>
      </c>
      <c r="D242" s="68" t="s">
        <v>3192</v>
      </c>
      <c r="E242" s="68" t="s">
        <v>6344</v>
      </c>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c r="AJ242" s="68"/>
      <c r="AK242" s="68"/>
      <c r="AL242" s="68"/>
      <c r="AM242" s="68"/>
      <c r="AN242" s="68"/>
      <c r="AO242" s="68"/>
      <c r="AP242" s="68"/>
      <c r="AQ242" s="68"/>
      <c r="AR242" s="68"/>
      <c r="AS242" s="68"/>
      <c r="AT242" s="68"/>
      <c r="AU242" s="68"/>
      <c r="AV242" s="68"/>
      <c r="AW242" s="68"/>
      <c r="AX242" s="68"/>
    </row>
    <row r="243" spans="2:50" ht="14.5">
      <c r="B243" s="68" t="s">
        <v>1544</v>
      </c>
      <c r="C243" s="68" t="s">
        <v>6345</v>
      </c>
      <c r="D243" s="68" t="s">
        <v>3192</v>
      </c>
      <c r="E243" s="68" t="s">
        <v>6346</v>
      </c>
      <c r="F243" s="68" t="s">
        <v>6347</v>
      </c>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c r="AJ243" s="68"/>
      <c r="AK243" s="68"/>
      <c r="AL243" s="68"/>
      <c r="AM243" s="68"/>
      <c r="AN243" s="68"/>
      <c r="AO243" s="68"/>
      <c r="AP243" s="68"/>
      <c r="AQ243" s="68"/>
      <c r="AR243" s="68"/>
      <c r="AS243" s="68"/>
      <c r="AT243" s="68"/>
      <c r="AU243" s="68"/>
      <c r="AV243" s="68"/>
      <c r="AW243" s="68"/>
      <c r="AX243" s="68"/>
    </row>
    <row r="244" spans="2:50" ht="14.5">
      <c r="B244" s="68" t="s">
        <v>1550</v>
      </c>
      <c r="C244" s="68" t="s">
        <v>6348</v>
      </c>
      <c r="D244" s="68" t="s">
        <v>3192</v>
      </c>
      <c r="E244" s="68" t="s">
        <v>6346</v>
      </c>
      <c r="F244" s="68" t="s">
        <v>6349</v>
      </c>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c r="AJ244" s="68"/>
      <c r="AK244" s="68"/>
      <c r="AL244" s="68"/>
      <c r="AM244" s="68"/>
      <c r="AN244" s="68"/>
      <c r="AO244" s="68"/>
      <c r="AP244" s="68"/>
      <c r="AQ244" s="68"/>
      <c r="AR244" s="68"/>
      <c r="AS244" s="68"/>
      <c r="AT244" s="68"/>
      <c r="AU244" s="68"/>
      <c r="AV244" s="68"/>
      <c r="AW244" s="68"/>
      <c r="AX244" s="68"/>
    </row>
    <row r="245" spans="2:50" ht="14.5">
      <c r="B245" s="68" t="s">
        <v>1557</v>
      </c>
      <c r="C245" s="68" t="s">
        <v>6246</v>
      </c>
      <c r="D245" s="68" t="s">
        <v>1511</v>
      </c>
      <c r="E245" s="68" t="s">
        <v>342</v>
      </c>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c r="AJ245" s="68"/>
      <c r="AK245" s="68"/>
      <c r="AL245" s="68"/>
      <c r="AM245" s="68"/>
      <c r="AN245" s="68"/>
      <c r="AO245" s="68"/>
      <c r="AP245" s="68"/>
      <c r="AQ245" s="68"/>
      <c r="AR245" s="68"/>
      <c r="AS245" s="68"/>
      <c r="AT245" s="68"/>
      <c r="AU245" s="68"/>
      <c r="AV245" s="68"/>
      <c r="AW245" s="68"/>
      <c r="AX245" s="68"/>
    </row>
    <row r="246" spans="2:50" ht="14.5">
      <c r="B246" s="68" t="s">
        <v>1560</v>
      </c>
      <c r="C246" s="68" t="s">
        <v>6350</v>
      </c>
      <c r="D246" s="68" t="s">
        <v>3207</v>
      </c>
      <c r="E246" s="68" t="s">
        <v>146</v>
      </c>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c r="AJ246" s="68"/>
      <c r="AK246" s="68"/>
      <c r="AL246" s="68"/>
      <c r="AM246" s="68"/>
      <c r="AN246" s="68"/>
      <c r="AO246" s="68"/>
      <c r="AP246" s="68"/>
      <c r="AQ246" s="68"/>
      <c r="AR246" s="68"/>
      <c r="AS246" s="68"/>
      <c r="AT246" s="68"/>
      <c r="AU246" s="68"/>
      <c r="AV246" s="68"/>
      <c r="AW246" s="68"/>
      <c r="AX246" s="68"/>
    </row>
    <row r="247" spans="2:50" ht="14.5">
      <c r="B247" s="68" t="s">
        <v>1566</v>
      </c>
      <c r="C247" s="68" t="s">
        <v>6351</v>
      </c>
      <c r="D247" s="68" t="s">
        <v>3207</v>
      </c>
      <c r="E247" s="68" t="s">
        <v>99</v>
      </c>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c r="AJ247" s="68"/>
      <c r="AK247" s="68"/>
      <c r="AL247" s="68"/>
      <c r="AM247" s="68"/>
      <c r="AN247" s="68"/>
      <c r="AO247" s="68"/>
      <c r="AP247" s="68"/>
      <c r="AQ247" s="68"/>
      <c r="AR247" s="68"/>
      <c r="AS247" s="68"/>
      <c r="AT247" s="68"/>
      <c r="AU247" s="68"/>
      <c r="AV247" s="68"/>
      <c r="AW247" s="68"/>
      <c r="AX247" s="68"/>
    </row>
    <row r="248" spans="2:50" ht="14.5">
      <c r="B248" s="68" t="s">
        <v>1571</v>
      </c>
      <c r="C248" s="68" t="s">
        <v>6352</v>
      </c>
      <c r="D248" s="68" t="s">
        <v>3207</v>
      </c>
      <c r="E248" s="68" t="s">
        <v>357</v>
      </c>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c r="AJ248" s="68"/>
      <c r="AK248" s="68"/>
      <c r="AL248" s="68"/>
      <c r="AM248" s="68"/>
      <c r="AN248" s="68"/>
      <c r="AO248" s="68"/>
      <c r="AP248" s="68"/>
      <c r="AQ248" s="68"/>
      <c r="AR248" s="68"/>
      <c r="AS248" s="68"/>
      <c r="AT248" s="68"/>
      <c r="AU248" s="68"/>
      <c r="AV248" s="68"/>
      <c r="AW248" s="68"/>
      <c r="AX248" s="68"/>
    </row>
    <row r="249" spans="2:50" ht="14.5">
      <c r="B249" s="68" t="s">
        <v>1575</v>
      </c>
      <c r="C249" s="68" t="s">
        <v>6353</v>
      </c>
      <c r="D249" s="68" t="s">
        <v>3207</v>
      </c>
      <c r="E249" s="68" t="s">
        <v>204</v>
      </c>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c r="AJ249" s="68"/>
      <c r="AK249" s="68"/>
      <c r="AL249" s="68"/>
      <c r="AM249" s="68"/>
      <c r="AN249" s="68"/>
      <c r="AO249" s="68"/>
      <c r="AP249" s="68"/>
      <c r="AQ249" s="68"/>
      <c r="AR249" s="68"/>
      <c r="AS249" s="68"/>
      <c r="AT249" s="68"/>
      <c r="AU249" s="68"/>
      <c r="AV249" s="68"/>
      <c r="AW249" s="68"/>
      <c r="AX249" s="68"/>
    </row>
    <row r="250" spans="2:50" ht="14.5">
      <c r="B250" s="68" t="s">
        <v>1580</v>
      </c>
      <c r="C250" s="68" t="s">
        <v>6354</v>
      </c>
      <c r="D250" s="68" t="s">
        <v>3207</v>
      </c>
      <c r="E250" s="68" t="s">
        <v>67</v>
      </c>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c r="AJ250" s="68"/>
      <c r="AK250" s="68"/>
      <c r="AL250" s="68"/>
      <c r="AM250" s="68"/>
      <c r="AN250" s="68"/>
      <c r="AO250" s="68"/>
      <c r="AP250" s="68"/>
      <c r="AQ250" s="68"/>
      <c r="AR250" s="68"/>
      <c r="AS250" s="68"/>
      <c r="AT250" s="68"/>
      <c r="AU250" s="68"/>
      <c r="AV250" s="68"/>
      <c r="AW250" s="68"/>
      <c r="AX250" s="68"/>
    </row>
    <row r="251" spans="2:50" ht="14.5">
      <c r="B251" s="68" t="s">
        <v>1584</v>
      </c>
      <c r="C251" s="68" t="s">
        <v>6355</v>
      </c>
      <c r="D251" s="68" t="s">
        <v>3207</v>
      </c>
      <c r="E251" s="68" t="s">
        <v>288</v>
      </c>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c r="AJ251" s="68"/>
      <c r="AK251" s="68"/>
      <c r="AL251" s="68"/>
      <c r="AM251" s="68"/>
      <c r="AN251" s="68"/>
      <c r="AO251" s="68"/>
      <c r="AP251" s="68"/>
      <c r="AQ251" s="68"/>
      <c r="AR251" s="68"/>
      <c r="AS251" s="68"/>
      <c r="AT251" s="68"/>
      <c r="AU251" s="68"/>
      <c r="AV251" s="68"/>
      <c r="AW251" s="68"/>
      <c r="AX251" s="68"/>
    </row>
    <row r="252" spans="2:50" ht="14.5">
      <c r="B252" s="68" t="s">
        <v>1588</v>
      </c>
      <c r="C252" s="68" t="s">
        <v>6356</v>
      </c>
      <c r="D252" s="68" t="s">
        <v>3207</v>
      </c>
      <c r="E252" s="68" t="s">
        <v>496</v>
      </c>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c r="AJ252" s="68"/>
      <c r="AK252" s="68"/>
      <c r="AL252" s="68"/>
      <c r="AM252" s="68"/>
      <c r="AN252" s="68"/>
      <c r="AO252" s="68"/>
      <c r="AP252" s="68"/>
      <c r="AQ252" s="68"/>
      <c r="AR252" s="68"/>
      <c r="AS252" s="68"/>
      <c r="AT252" s="68"/>
      <c r="AU252" s="68"/>
      <c r="AV252" s="68"/>
      <c r="AW252" s="68"/>
      <c r="AX252" s="68"/>
    </row>
    <row r="253" spans="2:50" ht="14.5">
      <c r="B253" s="68" t="s">
        <v>1592</v>
      </c>
      <c r="C253" s="68" t="s">
        <v>6357</v>
      </c>
      <c r="D253" s="68" t="s">
        <v>3207</v>
      </c>
      <c r="E253" s="68" t="s">
        <v>6358</v>
      </c>
      <c r="F253" s="68" t="s">
        <v>6297</v>
      </c>
      <c r="G253" s="234">
        <v>0.30972222222222223</v>
      </c>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c r="AJ253" s="68"/>
      <c r="AK253" s="68"/>
      <c r="AL253" s="68"/>
      <c r="AM253" s="68"/>
      <c r="AN253" s="68"/>
      <c r="AO253" s="68"/>
      <c r="AP253" s="68"/>
      <c r="AQ253" s="68"/>
      <c r="AR253" s="68"/>
      <c r="AS253" s="68"/>
      <c r="AT253" s="68"/>
      <c r="AU253" s="68"/>
      <c r="AV253" s="68"/>
      <c r="AW253" s="68"/>
      <c r="AX253" s="68"/>
    </row>
    <row r="254" spans="2:50" ht="14.5">
      <c r="B254" s="68" t="s">
        <v>1598</v>
      </c>
      <c r="C254" s="68" t="s">
        <v>6359</v>
      </c>
      <c r="D254" s="68" t="s">
        <v>3204</v>
      </c>
      <c r="E254" s="68" t="s">
        <v>195</v>
      </c>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c r="AJ254" s="68"/>
      <c r="AK254" s="68"/>
      <c r="AL254" s="68"/>
      <c r="AM254" s="68"/>
      <c r="AN254" s="68"/>
      <c r="AO254" s="68"/>
      <c r="AP254" s="68"/>
      <c r="AQ254" s="68"/>
      <c r="AR254" s="68"/>
      <c r="AS254" s="68"/>
      <c r="AT254" s="68"/>
      <c r="AU254" s="68"/>
      <c r="AV254" s="68"/>
      <c r="AW254" s="68"/>
      <c r="AX254" s="68"/>
    </row>
    <row r="255" spans="2:50" ht="14.5">
      <c r="B255" s="68" t="s">
        <v>1602</v>
      </c>
      <c r="C255" s="68" t="s">
        <v>6360</v>
      </c>
      <c r="D255" s="68" t="s">
        <v>3192</v>
      </c>
      <c r="E255" s="68" t="s">
        <v>6346</v>
      </c>
      <c r="F255" s="68" t="s">
        <v>6361</v>
      </c>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c r="AJ255" s="68"/>
      <c r="AK255" s="68"/>
      <c r="AL255" s="68"/>
      <c r="AM255" s="68"/>
      <c r="AN255" s="68"/>
      <c r="AO255" s="68"/>
      <c r="AP255" s="68"/>
      <c r="AQ255" s="68"/>
      <c r="AR255" s="68"/>
      <c r="AS255" s="68"/>
      <c r="AT255" s="68"/>
      <c r="AU255" s="68"/>
      <c r="AV255" s="68"/>
      <c r="AW255" s="68"/>
      <c r="AX255" s="68"/>
    </row>
    <row r="256" spans="2:50" ht="14.5">
      <c r="B256" s="68" t="s">
        <v>309</v>
      </c>
      <c r="C256" s="68" t="s">
        <v>6362</v>
      </c>
      <c r="D256" s="68" t="s">
        <v>5923</v>
      </c>
      <c r="E256" s="68" t="s">
        <v>5924</v>
      </c>
      <c r="F256" s="68" t="s">
        <v>5925</v>
      </c>
      <c r="G256" s="68" t="s">
        <v>6363</v>
      </c>
      <c r="H256" s="68" t="s">
        <v>5987</v>
      </c>
      <c r="I256" s="68" t="s">
        <v>5929</v>
      </c>
      <c r="J256" s="68" t="s">
        <v>6051</v>
      </c>
      <c r="K256" s="68" t="s">
        <v>5999</v>
      </c>
      <c r="L256" s="68" t="s">
        <v>5928</v>
      </c>
      <c r="M256" s="68" t="s">
        <v>5929</v>
      </c>
      <c r="N256" s="68" t="s">
        <v>5996</v>
      </c>
      <c r="O256" s="68" t="s">
        <v>5932</v>
      </c>
      <c r="P256" s="68" t="s">
        <v>5933</v>
      </c>
      <c r="Q256" s="68" t="s">
        <v>5955</v>
      </c>
      <c r="R256" s="68" t="s">
        <v>6172</v>
      </c>
      <c r="S256" s="68" t="s">
        <v>6084</v>
      </c>
      <c r="T256" s="68" t="s">
        <v>5942</v>
      </c>
      <c r="U256" s="68" t="s">
        <v>5935</v>
      </c>
      <c r="V256" s="68" t="s">
        <v>5998</v>
      </c>
      <c r="W256" s="68" t="s">
        <v>6017</v>
      </c>
      <c r="X256" s="68" t="s">
        <v>5999</v>
      </c>
      <c r="Y256" s="68" t="s">
        <v>5954</v>
      </c>
      <c r="Z256" s="68" t="s">
        <v>5929</v>
      </c>
      <c r="AA256" s="68" t="s">
        <v>5953</v>
      </c>
      <c r="AB256" s="68" t="s">
        <v>6014</v>
      </c>
      <c r="AC256" s="68" t="s">
        <v>5933</v>
      </c>
      <c r="AD256" s="68" t="s">
        <v>5924</v>
      </c>
      <c r="AE256" s="68" t="s">
        <v>6095</v>
      </c>
      <c r="AF256" s="68" t="s">
        <v>6036</v>
      </c>
      <c r="AG256" s="68" t="s">
        <v>5986</v>
      </c>
      <c r="AH256" s="68" t="s">
        <v>6364</v>
      </c>
      <c r="AI256" s="68" t="s">
        <v>6346</v>
      </c>
      <c r="AJ256" s="68" t="s">
        <v>6365</v>
      </c>
      <c r="AK256" s="68"/>
      <c r="AL256" s="68"/>
      <c r="AM256" s="68"/>
      <c r="AN256" s="68"/>
      <c r="AO256" s="68"/>
      <c r="AP256" s="68"/>
      <c r="AQ256" s="68"/>
      <c r="AR256" s="68"/>
      <c r="AS256" s="68"/>
      <c r="AT256" s="68"/>
      <c r="AU256" s="68"/>
      <c r="AV256" s="68"/>
      <c r="AW256" s="68"/>
      <c r="AX256" s="68"/>
    </row>
    <row r="257" spans="2:50" ht="14.5">
      <c r="B257" s="68" t="s">
        <v>1607</v>
      </c>
      <c r="C257" s="68" t="s">
        <v>6366</v>
      </c>
      <c r="D257" s="68" t="s">
        <v>3204</v>
      </c>
      <c r="E257" s="68" t="s">
        <v>99</v>
      </c>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c r="AJ257" s="68"/>
      <c r="AK257" s="68"/>
      <c r="AL257" s="68"/>
      <c r="AM257" s="68"/>
      <c r="AN257" s="68"/>
      <c r="AO257" s="68"/>
      <c r="AP257" s="68"/>
      <c r="AQ257" s="68"/>
      <c r="AR257" s="68"/>
      <c r="AS257" s="68"/>
      <c r="AT257" s="68"/>
      <c r="AU257" s="68"/>
      <c r="AV257" s="68"/>
      <c r="AW257" s="68"/>
      <c r="AX257" s="68"/>
    </row>
    <row r="258" spans="2:50" ht="14.5">
      <c r="B258" s="68" t="s">
        <v>1612</v>
      </c>
      <c r="C258" s="68" t="s">
        <v>6367</v>
      </c>
      <c r="D258" s="68" t="s">
        <v>3204</v>
      </c>
      <c r="E258" s="68" t="s">
        <v>357</v>
      </c>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c r="AJ258" s="68"/>
      <c r="AK258" s="68"/>
      <c r="AL258" s="68"/>
      <c r="AM258" s="68"/>
      <c r="AN258" s="68"/>
      <c r="AO258" s="68"/>
      <c r="AP258" s="68"/>
      <c r="AQ258" s="68"/>
      <c r="AR258" s="68"/>
      <c r="AS258" s="68"/>
      <c r="AT258" s="68"/>
      <c r="AU258" s="68"/>
      <c r="AV258" s="68"/>
      <c r="AW258" s="68"/>
      <c r="AX258" s="68"/>
    </row>
    <row r="259" spans="2:50" ht="14.5">
      <c r="B259" s="68" t="s">
        <v>1616</v>
      </c>
      <c r="C259" s="68" t="s">
        <v>6368</v>
      </c>
      <c r="D259" s="68" t="s">
        <v>3204</v>
      </c>
      <c r="E259" s="68" t="s">
        <v>67</v>
      </c>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c r="AJ259" s="68"/>
      <c r="AK259" s="68"/>
      <c r="AL259" s="68"/>
      <c r="AM259" s="68"/>
      <c r="AN259" s="68"/>
      <c r="AO259" s="68"/>
      <c r="AP259" s="68"/>
      <c r="AQ259" s="68"/>
      <c r="AR259" s="68"/>
      <c r="AS259" s="68"/>
      <c r="AT259" s="68"/>
      <c r="AU259" s="68"/>
      <c r="AV259" s="68"/>
      <c r="AW259" s="68"/>
      <c r="AX259" s="68"/>
    </row>
    <row r="260" spans="2:50" ht="14.5">
      <c r="B260" s="68" t="s">
        <v>316</v>
      </c>
      <c r="C260" s="68" t="s">
        <v>6369</v>
      </c>
      <c r="D260" s="68" t="s">
        <v>5923</v>
      </c>
      <c r="E260" s="68" t="s">
        <v>5924</v>
      </c>
      <c r="F260" s="68" t="s">
        <v>5925</v>
      </c>
      <c r="G260" s="68" t="s">
        <v>5926</v>
      </c>
      <c r="H260" s="68" t="s">
        <v>5927</v>
      </c>
      <c r="I260" s="68" t="s">
        <v>5928</v>
      </c>
      <c r="J260" s="68" t="s">
        <v>5929</v>
      </c>
      <c r="K260" s="68" t="s">
        <v>5990</v>
      </c>
      <c r="L260" s="68" t="s">
        <v>5932</v>
      </c>
      <c r="M260" s="68" t="s">
        <v>5933</v>
      </c>
      <c r="N260" s="68" t="s">
        <v>5955</v>
      </c>
      <c r="O260" s="68" t="s">
        <v>5997</v>
      </c>
      <c r="P260" s="68" t="s">
        <v>5935</v>
      </c>
      <c r="Q260" s="68" t="s">
        <v>5998</v>
      </c>
      <c r="R260" s="68" t="s">
        <v>5955</v>
      </c>
      <c r="S260" s="68" t="s">
        <v>5999</v>
      </c>
      <c r="T260" s="68" t="s">
        <v>5984</v>
      </c>
      <c r="U260" s="68" t="s">
        <v>6048</v>
      </c>
      <c r="V260" s="68" t="s">
        <v>5929</v>
      </c>
      <c r="W260" s="68" t="s">
        <v>6015</v>
      </c>
      <c r="X260" s="68" t="s">
        <v>5943</v>
      </c>
      <c r="Y260" s="68" t="s">
        <v>5929</v>
      </c>
      <c r="Z260" s="68" t="s">
        <v>6084</v>
      </c>
      <c r="AA260" s="68" t="s">
        <v>6098</v>
      </c>
      <c r="AB260" s="68" t="s">
        <v>6036</v>
      </c>
      <c r="AC260" s="68" t="s">
        <v>5929</v>
      </c>
      <c r="AD260" s="68" t="s">
        <v>6037</v>
      </c>
      <c r="AE260" s="68" t="s">
        <v>6364</v>
      </c>
      <c r="AF260" s="68" t="s">
        <v>6346</v>
      </c>
      <c r="AG260" s="68" t="s">
        <v>6370</v>
      </c>
      <c r="AH260" s="68"/>
      <c r="AI260" s="68"/>
      <c r="AJ260" s="68"/>
      <c r="AK260" s="68"/>
      <c r="AL260" s="68"/>
      <c r="AM260" s="68"/>
      <c r="AN260" s="68"/>
      <c r="AO260" s="68"/>
      <c r="AP260" s="68"/>
      <c r="AQ260" s="68"/>
      <c r="AR260" s="68"/>
      <c r="AS260" s="68"/>
      <c r="AT260" s="68"/>
      <c r="AU260" s="68"/>
      <c r="AV260" s="68"/>
      <c r="AW260" s="68"/>
      <c r="AX260" s="68"/>
    </row>
    <row r="261" spans="2:50" ht="14.5">
      <c r="B261" s="68" t="s">
        <v>1620</v>
      </c>
      <c r="C261" s="68" t="s">
        <v>5890</v>
      </c>
      <c r="D261" s="68" t="s">
        <v>1633</v>
      </c>
      <c r="E261" s="68" t="s">
        <v>231</v>
      </c>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c r="AJ261" s="68"/>
      <c r="AK261" s="68"/>
      <c r="AL261" s="68"/>
      <c r="AM261" s="68"/>
      <c r="AN261" s="68"/>
      <c r="AO261" s="68"/>
      <c r="AP261" s="68"/>
      <c r="AQ261" s="68"/>
      <c r="AR261" s="68"/>
      <c r="AS261" s="68"/>
      <c r="AT261" s="68"/>
      <c r="AU261" s="68"/>
      <c r="AV261" s="68"/>
      <c r="AW261" s="68"/>
      <c r="AX261" s="68"/>
    </row>
    <row r="262" spans="2:50" ht="14.5">
      <c r="B262" s="68" t="s">
        <v>1624</v>
      </c>
      <c r="C262" s="68" t="s">
        <v>5890</v>
      </c>
      <c r="D262" s="68" t="s">
        <v>1633</v>
      </c>
      <c r="E262" s="68" t="s">
        <v>876</v>
      </c>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c r="AJ262" s="68"/>
      <c r="AK262" s="68"/>
      <c r="AL262" s="68"/>
      <c r="AM262" s="68"/>
      <c r="AN262" s="68"/>
      <c r="AO262" s="68"/>
      <c r="AP262" s="68"/>
      <c r="AQ262" s="68"/>
      <c r="AR262" s="68"/>
      <c r="AS262" s="68"/>
      <c r="AT262" s="68"/>
      <c r="AU262" s="68"/>
      <c r="AV262" s="68"/>
      <c r="AW262" s="68"/>
      <c r="AX262" s="68"/>
    </row>
    <row r="263" spans="2:50" ht="14.5">
      <c r="B263" s="68" t="s">
        <v>1630</v>
      </c>
      <c r="C263" s="68" t="s">
        <v>6371</v>
      </c>
      <c r="D263" s="68" t="s">
        <v>1633</v>
      </c>
      <c r="E263" s="68" t="s">
        <v>131</v>
      </c>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c r="AJ263" s="68"/>
      <c r="AK263" s="68"/>
      <c r="AL263" s="68"/>
      <c r="AM263" s="68"/>
      <c r="AN263" s="68"/>
      <c r="AO263" s="68"/>
      <c r="AP263" s="68"/>
      <c r="AQ263" s="68"/>
      <c r="AR263" s="68"/>
      <c r="AS263" s="68"/>
      <c r="AT263" s="68"/>
      <c r="AU263" s="68"/>
      <c r="AV263" s="68"/>
      <c r="AW263" s="68"/>
      <c r="AX263" s="68"/>
    </row>
    <row r="264" spans="2:50" ht="14.5">
      <c r="B264" s="68" t="s">
        <v>1635</v>
      </c>
      <c r="C264" s="68" t="s">
        <v>6372</v>
      </c>
      <c r="D264" s="68" t="s">
        <v>1633</v>
      </c>
      <c r="E264" s="68" t="s">
        <v>89</v>
      </c>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c r="AJ264" s="68"/>
      <c r="AK264" s="68"/>
      <c r="AL264" s="68"/>
      <c r="AM264" s="68"/>
      <c r="AN264" s="68"/>
      <c r="AO264" s="68"/>
      <c r="AP264" s="68"/>
      <c r="AQ264" s="68"/>
      <c r="AR264" s="68"/>
      <c r="AS264" s="68"/>
      <c r="AT264" s="68"/>
      <c r="AU264" s="68"/>
      <c r="AV264" s="68"/>
      <c r="AW264" s="68"/>
      <c r="AX264" s="68"/>
    </row>
    <row r="265" spans="2:50" ht="14.5">
      <c r="B265" s="68" t="s">
        <v>1639</v>
      </c>
      <c r="C265" s="68" t="s">
        <v>6373</v>
      </c>
      <c r="D265" s="68" t="s">
        <v>1642</v>
      </c>
      <c r="E265" s="68" t="s">
        <v>6374</v>
      </c>
      <c r="F265" s="68" t="s">
        <v>6375</v>
      </c>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c r="AJ265" s="68"/>
      <c r="AK265" s="68"/>
      <c r="AL265" s="68"/>
      <c r="AM265" s="68"/>
      <c r="AN265" s="68"/>
      <c r="AO265" s="68"/>
      <c r="AP265" s="68"/>
      <c r="AQ265" s="68"/>
      <c r="AR265" s="68"/>
      <c r="AS265" s="68"/>
      <c r="AT265" s="68"/>
      <c r="AU265" s="68"/>
      <c r="AV265" s="68"/>
      <c r="AW265" s="68"/>
      <c r="AX265" s="68"/>
    </row>
    <row r="266" spans="2:50" ht="14.5">
      <c r="B266" s="68" t="s">
        <v>1645</v>
      </c>
      <c r="C266" s="68" t="s">
        <v>6376</v>
      </c>
      <c r="D266" s="68" t="s">
        <v>1648</v>
      </c>
      <c r="E266" s="68" t="s">
        <v>240</v>
      </c>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c r="AJ266" s="68"/>
      <c r="AK266" s="68"/>
      <c r="AL266" s="68"/>
      <c r="AM266" s="68"/>
      <c r="AN266" s="68"/>
      <c r="AO266" s="68"/>
      <c r="AP266" s="68"/>
      <c r="AQ266" s="68"/>
      <c r="AR266" s="68"/>
      <c r="AS266" s="68"/>
      <c r="AT266" s="68"/>
      <c r="AU266" s="68"/>
      <c r="AV266" s="68"/>
      <c r="AW266" s="68"/>
      <c r="AX266" s="68"/>
    </row>
    <row r="267" spans="2:50" ht="14.5">
      <c r="B267" s="68" t="s">
        <v>1651</v>
      </c>
      <c r="C267" s="68" t="s">
        <v>5907</v>
      </c>
      <c r="D267" s="68" t="s">
        <v>1633</v>
      </c>
      <c r="E267" s="68" t="s">
        <v>363</v>
      </c>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c r="AJ267" s="68"/>
      <c r="AK267" s="68"/>
      <c r="AL267" s="68"/>
      <c r="AM267" s="68"/>
      <c r="AN267" s="68"/>
      <c r="AO267" s="68"/>
      <c r="AP267" s="68"/>
      <c r="AQ267" s="68"/>
      <c r="AR267" s="68"/>
      <c r="AS267" s="68"/>
      <c r="AT267" s="68"/>
      <c r="AU267" s="68"/>
      <c r="AV267" s="68"/>
      <c r="AW267" s="68"/>
      <c r="AX267" s="68"/>
    </row>
    <row r="268" spans="2:50" ht="14.5">
      <c r="B268" s="68" t="s">
        <v>1656</v>
      </c>
      <c r="C268" s="68" t="s">
        <v>6377</v>
      </c>
      <c r="D268" s="68" t="s">
        <v>1648</v>
      </c>
      <c r="E268" s="68" t="s">
        <v>357</v>
      </c>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c r="AJ268" s="68"/>
      <c r="AK268" s="68"/>
      <c r="AL268" s="68"/>
      <c r="AM268" s="68"/>
      <c r="AN268" s="68"/>
      <c r="AO268" s="68"/>
      <c r="AP268" s="68"/>
      <c r="AQ268" s="68"/>
      <c r="AR268" s="68"/>
      <c r="AS268" s="68"/>
      <c r="AT268" s="68"/>
      <c r="AU268" s="68"/>
      <c r="AV268" s="68"/>
      <c r="AW268" s="68"/>
      <c r="AX268" s="68"/>
    </row>
    <row r="269" spans="2:50" ht="14.5">
      <c r="B269" s="68" t="s">
        <v>1661</v>
      </c>
      <c r="C269" s="68" t="s">
        <v>6378</v>
      </c>
      <c r="D269" s="68" t="s">
        <v>1664</v>
      </c>
      <c r="E269" s="68" t="s">
        <v>925</v>
      </c>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c r="AJ269" s="68"/>
      <c r="AK269" s="68"/>
      <c r="AL269" s="68"/>
      <c r="AM269" s="68"/>
      <c r="AN269" s="68"/>
      <c r="AO269" s="68"/>
      <c r="AP269" s="68"/>
      <c r="AQ269" s="68"/>
      <c r="AR269" s="68"/>
      <c r="AS269" s="68"/>
      <c r="AT269" s="68"/>
      <c r="AU269" s="68"/>
      <c r="AV269" s="68"/>
      <c r="AW269" s="68"/>
      <c r="AX269" s="68"/>
    </row>
    <row r="270" spans="2:50" ht="14.5">
      <c r="B270" s="68" t="s">
        <v>1668</v>
      </c>
      <c r="C270" s="68" t="s">
        <v>6246</v>
      </c>
      <c r="D270" s="68" t="s">
        <v>1664</v>
      </c>
      <c r="E270" s="68" t="s">
        <v>120</v>
      </c>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c r="AJ270" s="68"/>
      <c r="AK270" s="68"/>
      <c r="AL270" s="68"/>
      <c r="AM270" s="68"/>
      <c r="AN270" s="68"/>
      <c r="AO270" s="68"/>
      <c r="AP270" s="68"/>
      <c r="AQ270" s="68"/>
      <c r="AR270" s="68"/>
      <c r="AS270" s="68"/>
      <c r="AT270" s="68"/>
      <c r="AU270" s="68"/>
      <c r="AV270" s="68"/>
      <c r="AW270" s="68"/>
      <c r="AX270" s="68"/>
    </row>
    <row r="271" spans="2:50" ht="14.5">
      <c r="B271" s="68" t="s">
        <v>1671</v>
      </c>
      <c r="C271" s="68" t="s">
        <v>6379</v>
      </c>
      <c r="D271" s="68" t="s">
        <v>1664</v>
      </c>
      <c r="E271" s="68" t="s">
        <v>131</v>
      </c>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c r="AJ271" s="68"/>
      <c r="AK271" s="68"/>
      <c r="AL271" s="68"/>
      <c r="AM271" s="68"/>
      <c r="AN271" s="68"/>
      <c r="AO271" s="68"/>
      <c r="AP271" s="68"/>
      <c r="AQ271" s="68"/>
      <c r="AR271" s="68"/>
      <c r="AS271" s="68"/>
      <c r="AT271" s="68"/>
      <c r="AU271" s="68"/>
      <c r="AV271" s="68"/>
      <c r="AW271" s="68"/>
      <c r="AX271" s="68"/>
    </row>
    <row r="272" spans="2:50" ht="14.5">
      <c r="B272" s="68" t="s">
        <v>1676</v>
      </c>
      <c r="C272" s="68" t="s">
        <v>6380</v>
      </c>
      <c r="D272" s="68" t="s">
        <v>1664</v>
      </c>
      <c r="E272" s="68" t="s">
        <v>357</v>
      </c>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c r="AJ272" s="68"/>
      <c r="AK272" s="68"/>
      <c r="AL272" s="68"/>
      <c r="AM272" s="68"/>
      <c r="AN272" s="68"/>
      <c r="AO272" s="68"/>
      <c r="AP272" s="68"/>
      <c r="AQ272" s="68"/>
      <c r="AR272" s="68"/>
      <c r="AS272" s="68"/>
      <c r="AT272" s="68"/>
      <c r="AU272" s="68"/>
      <c r="AV272" s="68"/>
      <c r="AW272" s="68"/>
      <c r="AX272" s="68"/>
    </row>
    <row r="273" spans="2:50" ht="14.5">
      <c r="B273" s="68" t="s">
        <v>1679</v>
      </c>
      <c r="C273" s="68" t="s">
        <v>6381</v>
      </c>
      <c r="D273" s="68" t="s">
        <v>1682</v>
      </c>
      <c r="E273" s="68" t="s">
        <v>357</v>
      </c>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c r="AJ273" s="68"/>
      <c r="AK273" s="68"/>
      <c r="AL273" s="68"/>
      <c r="AM273" s="68"/>
      <c r="AN273" s="68"/>
      <c r="AO273" s="68"/>
      <c r="AP273" s="68"/>
      <c r="AQ273" s="68"/>
      <c r="AR273" s="68"/>
      <c r="AS273" s="68"/>
      <c r="AT273" s="68"/>
      <c r="AU273" s="68"/>
      <c r="AV273" s="68"/>
      <c r="AW273" s="68"/>
      <c r="AX273" s="68"/>
    </row>
    <row r="274" spans="2:50" ht="14.5">
      <c r="B274" s="68" t="s">
        <v>1684</v>
      </c>
      <c r="C274" s="68" t="s">
        <v>6382</v>
      </c>
      <c r="D274" s="68" t="s">
        <v>1682</v>
      </c>
      <c r="E274" s="68" t="s">
        <v>248</v>
      </c>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c r="AJ274" s="68"/>
      <c r="AK274" s="68"/>
      <c r="AL274" s="68"/>
      <c r="AM274" s="68"/>
      <c r="AN274" s="68"/>
      <c r="AO274" s="68"/>
      <c r="AP274" s="68"/>
      <c r="AQ274" s="68"/>
      <c r="AR274" s="68"/>
      <c r="AS274" s="68"/>
      <c r="AT274" s="68"/>
      <c r="AU274" s="68"/>
      <c r="AV274" s="68"/>
      <c r="AW274" s="68"/>
      <c r="AX274" s="68"/>
    </row>
    <row r="275" spans="2:50" ht="14.5">
      <c r="B275" s="68" t="s">
        <v>1687</v>
      </c>
      <c r="C275" s="68" t="s">
        <v>6383</v>
      </c>
      <c r="D275" s="68" t="s">
        <v>1682</v>
      </c>
      <c r="E275" s="68" t="s">
        <v>288</v>
      </c>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c r="AJ275" s="68"/>
      <c r="AK275" s="68"/>
      <c r="AL275" s="68"/>
      <c r="AM275" s="68"/>
      <c r="AN275" s="68"/>
      <c r="AO275" s="68"/>
      <c r="AP275" s="68"/>
      <c r="AQ275" s="68"/>
      <c r="AR275" s="68"/>
      <c r="AS275" s="68"/>
      <c r="AT275" s="68"/>
      <c r="AU275" s="68"/>
      <c r="AV275" s="68"/>
      <c r="AW275" s="68"/>
      <c r="AX275" s="68"/>
    </row>
    <row r="276" spans="2:50" ht="14.5">
      <c r="B276" s="68" t="s">
        <v>1690</v>
      </c>
      <c r="C276" s="68" t="s">
        <v>6359</v>
      </c>
      <c r="D276" s="68" t="s">
        <v>1664</v>
      </c>
      <c r="E276" s="68" t="s">
        <v>204</v>
      </c>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c r="AJ276" s="68"/>
      <c r="AK276" s="68"/>
      <c r="AL276" s="68"/>
      <c r="AM276" s="68"/>
      <c r="AN276" s="68"/>
      <c r="AO276" s="68"/>
      <c r="AP276" s="68"/>
      <c r="AQ276" s="68"/>
      <c r="AR276" s="68"/>
      <c r="AS276" s="68"/>
      <c r="AT276" s="68"/>
      <c r="AU276" s="68"/>
      <c r="AV276" s="68"/>
      <c r="AW276" s="68"/>
      <c r="AX276" s="68"/>
    </row>
    <row r="277" spans="2:50" ht="14.5">
      <c r="B277" s="68" t="s">
        <v>1694</v>
      </c>
      <c r="C277" s="68" t="s">
        <v>6359</v>
      </c>
      <c r="D277" s="68" t="s">
        <v>1664</v>
      </c>
      <c r="E277" s="68" t="s">
        <v>67</v>
      </c>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c r="AJ277" s="68"/>
      <c r="AK277" s="68"/>
      <c r="AL277" s="68"/>
      <c r="AM277" s="68"/>
      <c r="AN277" s="68"/>
      <c r="AO277" s="68"/>
      <c r="AP277" s="68"/>
      <c r="AQ277" s="68"/>
      <c r="AR277" s="68"/>
      <c r="AS277" s="68"/>
      <c r="AT277" s="68"/>
      <c r="AU277" s="68"/>
      <c r="AV277" s="68"/>
      <c r="AW277" s="68"/>
      <c r="AX277" s="68"/>
    </row>
    <row r="278" spans="2:50" ht="14.5">
      <c r="B278" s="68" t="s">
        <v>1698</v>
      </c>
      <c r="C278" s="68" t="s">
        <v>6246</v>
      </c>
      <c r="D278" s="68" t="s">
        <v>1664</v>
      </c>
      <c r="E278" s="68" t="s">
        <v>5929</v>
      </c>
      <c r="F278" s="68" t="s">
        <v>6299</v>
      </c>
      <c r="G278" s="68" t="s">
        <v>6234</v>
      </c>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c r="AJ278" s="68"/>
      <c r="AK278" s="68"/>
      <c r="AL278" s="68"/>
      <c r="AM278" s="68"/>
      <c r="AN278" s="68"/>
      <c r="AO278" s="68"/>
      <c r="AP278" s="68"/>
      <c r="AQ278" s="68"/>
      <c r="AR278" s="68"/>
      <c r="AS278" s="68"/>
      <c r="AT278" s="68"/>
      <c r="AU278" s="68"/>
      <c r="AV278" s="68"/>
      <c r="AW278" s="68"/>
      <c r="AX278" s="68"/>
    </row>
    <row r="279" spans="2:50" ht="14.5">
      <c r="B279" s="68" t="s">
        <v>1703</v>
      </c>
      <c r="C279" s="68" t="s">
        <v>5890</v>
      </c>
      <c r="D279" s="68" t="s">
        <v>1633</v>
      </c>
      <c r="E279" s="68" t="s">
        <v>231</v>
      </c>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c r="AJ279" s="68"/>
      <c r="AK279" s="68"/>
      <c r="AL279" s="68"/>
      <c r="AM279" s="68"/>
      <c r="AN279" s="68"/>
      <c r="AO279" s="68"/>
      <c r="AP279" s="68"/>
      <c r="AQ279" s="68"/>
      <c r="AR279" s="68"/>
      <c r="AS279" s="68"/>
      <c r="AT279" s="68"/>
      <c r="AU279" s="68"/>
      <c r="AV279" s="68"/>
      <c r="AW279" s="68"/>
      <c r="AX279" s="68"/>
    </row>
    <row r="280" spans="2:50" ht="14.5">
      <c r="B280" s="68" t="s">
        <v>1707</v>
      </c>
      <c r="C280" s="68" t="s">
        <v>6359</v>
      </c>
      <c r="D280" s="68" t="s">
        <v>1710</v>
      </c>
      <c r="E280" s="68" t="s">
        <v>792</v>
      </c>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c r="AJ280" s="68"/>
      <c r="AK280" s="68"/>
      <c r="AL280" s="68"/>
      <c r="AM280" s="68"/>
      <c r="AN280" s="68"/>
      <c r="AO280" s="68"/>
      <c r="AP280" s="68"/>
      <c r="AQ280" s="68"/>
      <c r="AR280" s="68"/>
      <c r="AS280" s="68"/>
      <c r="AT280" s="68"/>
      <c r="AU280" s="68"/>
      <c r="AV280" s="68"/>
      <c r="AW280" s="68"/>
      <c r="AX280" s="68"/>
    </row>
    <row r="281" spans="2:50" ht="14.5">
      <c r="B281" s="68" t="s">
        <v>1711</v>
      </c>
      <c r="C281" s="68" t="s">
        <v>6384</v>
      </c>
      <c r="D281" s="68" t="s">
        <v>1710</v>
      </c>
      <c r="E281" s="68" t="s">
        <v>277</v>
      </c>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c r="AJ281" s="68"/>
      <c r="AK281" s="68"/>
      <c r="AL281" s="68"/>
      <c r="AM281" s="68"/>
      <c r="AN281" s="68"/>
      <c r="AO281" s="68"/>
      <c r="AP281" s="68"/>
      <c r="AQ281" s="68"/>
      <c r="AR281" s="68"/>
      <c r="AS281" s="68"/>
      <c r="AT281" s="68"/>
      <c r="AU281" s="68"/>
      <c r="AV281" s="68"/>
      <c r="AW281" s="68"/>
      <c r="AX281" s="68"/>
    </row>
    <row r="282" spans="2:50" ht="14.5">
      <c r="B282" s="68" t="s">
        <v>1715</v>
      </c>
      <c r="C282" s="68" t="s">
        <v>6385</v>
      </c>
      <c r="D282" s="68" t="s">
        <v>1710</v>
      </c>
      <c r="E282" s="68" t="s">
        <v>342</v>
      </c>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c r="AJ282" s="68"/>
      <c r="AK282" s="68"/>
      <c r="AL282" s="68"/>
      <c r="AM282" s="68"/>
      <c r="AN282" s="68"/>
      <c r="AO282" s="68"/>
      <c r="AP282" s="68"/>
      <c r="AQ282" s="68"/>
      <c r="AR282" s="68"/>
      <c r="AS282" s="68"/>
      <c r="AT282" s="68"/>
      <c r="AU282" s="68"/>
      <c r="AV282" s="68"/>
      <c r="AW282" s="68"/>
      <c r="AX282" s="68"/>
    </row>
    <row r="283" spans="2:50" ht="14.5">
      <c r="B283" s="68" t="s">
        <v>1718</v>
      </c>
      <c r="C283" s="68" t="s">
        <v>6386</v>
      </c>
      <c r="D283" s="68" t="s">
        <v>1710</v>
      </c>
      <c r="E283" s="68" t="s">
        <v>240</v>
      </c>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c r="AJ283" s="68"/>
      <c r="AK283" s="68"/>
      <c r="AL283" s="68"/>
      <c r="AM283" s="68"/>
      <c r="AN283" s="68"/>
      <c r="AO283" s="68"/>
      <c r="AP283" s="68"/>
      <c r="AQ283" s="68"/>
      <c r="AR283" s="68"/>
      <c r="AS283" s="68"/>
      <c r="AT283" s="68"/>
      <c r="AU283" s="68"/>
      <c r="AV283" s="68"/>
      <c r="AW283" s="68"/>
      <c r="AX283" s="68"/>
    </row>
    <row r="284" spans="2:50" ht="14.5">
      <c r="B284" s="68" t="s">
        <v>1722</v>
      </c>
      <c r="C284" s="68" t="s">
        <v>6387</v>
      </c>
      <c r="D284" s="68" t="s">
        <v>1710</v>
      </c>
      <c r="E284" s="68" t="s">
        <v>357</v>
      </c>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c r="AJ284" s="68"/>
      <c r="AK284" s="68"/>
      <c r="AL284" s="68"/>
      <c r="AM284" s="68"/>
      <c r="AN284" s="68"/>
      <c r="AO284" s="68"/>
      <c r="AP284" s="68"/>
      <c r="AQ284" s="68"/>
      <c r="AR284" s="68"/>
      <c r="AS284" s="68"/>
      <c r="AT284" s="68"/>
      <c r="AU284" s="68"/>
      <c r="AV284" s="68"/>
      <c r="AW284" s="68"/>
      <c r="AX284" s="68"/>
    </row>
    <row r="285" spans="2:50" ht="14.5">
      <c r="B285" s="68" t="s">
        <v>1725</v>
      </c>
      <c r="C285" s="68" t="s">
        <v>6388</v>
      </c>
      <c r="D285" s="68" t="s">
        <v>1728</v>
      </c>
      <c r="E285" s="68" t="s">
        <v>120</v>
      </c>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c r="AJ285" s="68"/>
      <c r="AK285" s="68"/>
      <c r="AL285" s="68"/>
      <c r="AM285" s="68"/>
      <c r="AN285" s="68"/>
      <c r="AO285" s="68"/>
      <c r="AP285" s="68"/>
      <c r="AQ285" s="68"/>
      <c r="AR285" s="68"/>
      <c r="AS285" s="68"/>
      <c r="AT285" s="68"/>
      <c r="AU285" s="68"/>
      <c r="AV285" s="68"/>
      <c r="AW285" s="68"/>
      <c r="AX285" s="68"/>
    </row>
    <row r="286" spans="2:50" ht="14.5">
      <c r="B286" s="68" t="s">
        <v>1730</v>
      </c>
      <c r="C286" s="68" t="s">
        <v>6389</v>
      </c>
      <c r="D286" s="68" t="s">
        <v>1728</v>
      </c>
      <c r="E286" s="68" t="s">
        <v>89</v>
      </c>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c r="AJ286" s="68"/>
      <c r="AK286" s="68"/>
      <c r="AL286" s="68"/>
      <c r="AM286" s="68"/>
      <c r="AN286" s="68"/>
      <c r="AO286" s="68"/>
      <c r="AP286" s="68"/>
      <c r="AQ286" s="68"/>
      <c r="AR286" s="68"/>
      <c r="AS286" s="68"/>
      <c r="AT286" s="68"/>
      <c r="AU286" s="68"/>
      <c r="AV286" s="68"/>
      <c r="AW286" s="68"/>
      <c r="AX286" s="68"/>
    </row>
    <row r="287" spans="2:50" ht="14.5">
      <c r="B287" s="68" t="s">
        <v>1733</v>
      </c>
      <c r="C287" s="68" t="s">
        <v>6390</v>
      </c>
      <c r="D287" s="68" t="s">
        <v>1728</v>
      </c>
      <c r="E287" s="68" t="s">
        <v>99</v>
      </c>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c r="AJ287" s="68"/>
      <c r="AK287" s="68"/>
      <c r="AL287" s="68"/>
      <c r="AM287" s="68"/>
      <c r="AN287" s="68"/>
      <c r="AO287" s="68"/>
      <c r="AP287" s="68"/>
      <c r="AQ287" s="68"/>
      <c r="AR287" s="68"/>
      <c r="AS287" s="68"/>
      <c r="AT287" s="68"/>
      <c r="AU287" s="68"/>
      <c r="AV287" s="68"/>
      <c r="AW287" s="68"/>
      <c r="AX287" s="68"/>
    </row>
    <row r="288" spans="2:50" ht="14.5">
      <c r="B288" s="68" t="s">
        <v>1738</v>
      </c>
      <c r="C288" s="68" t="s">
        <v>6391</v>
      </c>
      <c r="D288" s="68" t="s">
        <v>1728</v>
      </c>
      <c r="E288" s="68" t="s">
        <v>131</v>
      </c>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c r="AJ288" s="68"/>
      <c r="AK288" s="68"/>
      <c r="AL288" s="68"/>
      <c r="AM288" s="68"/>
      <c r="AN288" s="68"/>
      <c r="AO288" s="68"/>
      <c r="AP288" s="68"/>
      <c r="AQ288" s="68"/>
      <c r="AR288" s="68"/>
      <c r="AS288" s="68"/>
      <c r="AT288" s="68"/>
      <c r="AU288" s="68"/>
      <c r="AV288" s="68"/>
      <c r="AW288" s="68"/>
      <c r="AX288" s="68"/>
    </row>
    <row r="289" spans="2:50" ht="14.5">
      <c r="B289" s="68" t="s">
        <v>1741</v>
      </c>
      <c r="C289" s="68" t="s">
        <v>6368</v>
      </c>
      <c r="D289" s="68" t="s">
        <v>1728</v>
      </c>
      <c r="E289" s="68" t="s">
        <v>1744</v>
      </c>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c r="AJ289" s="68"/>
      <c r="AK289" s="68"/>
      <c r="AL289" s="68"/>
      <c r="AM289" s="68"/>
      <c r="AN289" s="68"/>
      <c r="AO289" s="68"/>
      <c r="AP289" s="68"/>
      <c r="AQ289" s="68"/>
      <c r="AR289" s="68"/>
      <c r="AS289" s="68"/>
      <c r="AT289" s="68"/>
      <c r="AU289" s="68"/>
      <c r="AV289" s="68"/>
      <c r="AW289" s="68"/>
      <c r="AX289" s="68"/>
    </row>
    <row r="290" spans="2:50" ht="14.5">
      <c r="B290" s="68" t="s">
        <v>1746</v>
      </c>
      <c r="C290" s="68" t="s">
        <v>6247</v>
      </c>
      <c r="D290" s="68" t="s">
        <v>1749</v>
      </c>
      <c r="E290" s="68" t="s">
        <v>89</v>
      </c>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c r="AJ290" s="68"/>
      <c r="AK290" s="68"/>
      <c r="AL290" s="68"/>
      <c r="AM290" s="68"/>
      <c r="AN290" s="68"/>
      <c r="AO290" s="68"/>
      <c r="AP290" s="68"/>
      <c r="AQ290" s="68"/>
      <c r="AR290" s="68"/>
      <c r="AS290" s="68"/>
      <c r="AT290" s="68"/>
      <c r="AU290" s="68"/>
      <c r="AV290" s="68"/>
      <c r="AW290" s="68"/>
      <c r="AX290" s="68"/>
    </row>
    <row r="291" spans="2:50" ht="14.5">
      <c r="B291" s="68" t="s">
        <v>1751</v>
      </c>
      <c r="C291" s="68" t="s">
        <v>6392</v>
      </c>
      <c r="D291" s="68" t="s">
        <v>1749</v>
      </c>
      <c r="E291" s="68" t="s">
        <v>925</v>
      </c>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c r="AJ291" s="68"/>
      <c r="AK291" s="68"/>
      <c r="AL291" s="68"/>
      <c r="AM291" s="68"/>
      <c r="AN291" s="68"/>
      <c r="AO291" s="68"/>
      <c r="AP291" s="68"/>
      <c r="AQ291" s="68"/>
      <c r="AR291" s="68"/>
      <c r="AS291" s="68"/>
      <c r="AT291" s="68"/>
      <c r="AU291" s="68"/>
      <c r="AV291" s="68"/>
      <c r="AW291" s="68"/>
      <c r="AX291" s="68"/>
    </row>
    <row r="292" spans="2:50" ht="14.5">
      <c r="B292" s="68" t="s">
        <v>1756</v>
      </c>
      <c r="C292" s="68" t="s">
        <v>6393</v>
      </c>
      <c r="D292" s="68" t="s">
        <v>1749</v>
      </c>
      <c r="E292" s="68" t="s">
        <v>195</v>
      </c>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c r="AJ292" s="68"/>
      <c r="AK292" s="68"/>
      <c r="AL292" s="68"/>
      <c r="AM292" s="68"/>
      <c r="AN292" s="68"/>
      <c r="AO292" s="68"/>
      <c r="AP292" s="68"/>
      <c r="AQ292" s="68"/>
      <c r="AR292" s="68"/>
      <c r="AS292" s="68"/>
      <c r="AT292" s="68"/>
      <c r="AU292" s="68"/>
      <c r="AV292" s="68"/>
      <c r="AW292" s="68"/>
      <c r="AX292" s="68"/>
    </row>
    <row r="293" spans="2:50" ht="14.5">
      <c r="B293" s="68" t="s">
        <v>1760</v>
      </c>
      <c r="C293" s="68" t="s">
        <v>6389</v>
      </c>
      <c r="D293" s="68" t="s">
        <v>1749</v>
      </c>
      <c r="E293" s="68" t="s">
        <v>6394</v>
      </c>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c r="AJ293" s="68"/>
      <c r="AK293" s="68"/>
      <c r="AL293" s="68"/>
      <c r="AM293" s="68"/>
      <c r="AN293" s="68"/>
      <c r="AO293" s="68"/>
      <c r="AP293" s="68"/>
      <c r="AQ293" s="68"/>
      <c r="AR293" s="68"/>
      <c r="AS293" s="68"/>
      <c r="AT293" s="68"/>
      <c r="AU293" s="68"/>
      <c r="AV293" s="68"/>
      <c r="AW293" s="68"/>
      <c r="AX293" s="68"/>
    </row>
    <row r="294" spans="2:50" ht="14.5">
      <c r="B294" s="68" t="s">
        <v>1766</v>
      </c>
      <c r="C294" s="68" t="s">
        <v>6391</v>
      </c>
      <c r="D294" s="68" t="s">
        <v>3162</v>
      </c>
      <c r="E294" s="68" t="s">
        <v>876</v>
      </c>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c r="AJ294" s="68"/>
      <c r="AK294" s="68"/>
      <c r="AL294" s="68"/>
      <c r="AM294" s="68"/>
      <c r="AN294" s="68"/>
      <c r="AO294" s="68"/>
      <c r="AP294" s="68"/>
      <c r="AQ294" s="68"/>
      <c r="AR294" s="68"/>
      <c r="AS294" s="68"/>
      <c r="AT294" s="68"/>
      <c r="AU294" s="68"/>
      <c r="AV294" s="68"/>
      <c r="AW294" s="68"/>
      <c r="AX294" s="68"/>
    </row>
    <row r="295" spans="2:50" ht="14.5">
      <c r="B295" s="68" t="s">
        <v>1771</v>
      </c>
      <c r="C295" s="68" t="s">
        <v>6213</v>
      </c>
      <c r="D295" s="68" t="s">
        <v>3162</v>
      </c>
      <c r="E295" s="68" t="s">
        <v>792</v>
      </c>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c r="AJ295" s="68"/>
      <c r="AK295" s="68"/>
      <c r="AL295" s="68"/>
      <c r="AM295" s="68"/>
      <c r="AN295" s="68"/>
      <c r="AO295" s="68"/>
      <c r="AP295" s="68"/>
      <c r="AQ295" s="68"/>
      <c r="AR295" s="68"/>
      <c r="AS295" s="68"/>
      <c r="AT295" s="68"/>
      <c r="AU295" s="68"/>
      <c r="AV295" s="68"/>
      <c r="AW295" s="68"/>
      <c r="AX295" s="68"/>
    </row>
    <row r="296" spans="2:50" ht="14.5">
      <c r="B296" s="68" t="s">
        <v>1775</v>
      </c>
      <c r="C296" s="68" t="s">
        <v>6395</v>
      </c>
      <c r="D296" s="68" t="s">
        <v>3162</v>
      </c>
      <c r="E296" s="68" t="s">
        <v>248</v>
      </c>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c r="AJ296" s="68"/>
      <c r="AK296" s="68"/>
      <c r="AL296" s="68"/>
      <c r="AM296" s="68"/>
      <c r="AN296" s="68"/>
      <c r="AO296" s="68"/>
      <c r="AP296" s="68"/>
      <c r="AQ296" s="68"/>
      <c r="AR296" s="68"/>
      <c r="AS296" s="68"/>
      <c r="AT296" s="68"/>
      <c r="AU296" s="68"/>
      <c r="AV296" s="68"/>
      <c r="AW296" s="68"/>
      <c r="AX296" s="68"/>
    </row>
    <row r="297" spans="2:50" ht="14.5">
      <c r="B297" s="68" t="s">
        <v>1779</v>
      </c>
      <c r="C297" s="68" t="s">
        <v>6247</v>
      </c>
      <c r="D297" s="68" t="s">
        <v>3162</v>
      </c>
      <c r="E297" s="68" t="s">
        <v>590</v>
      </c>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c r="AJ297" s="68"/>
      <c r="AK297" s="68"/>
      <c r="AL297" s="68"/>
      <c r="AM297" s="68"/>
      <c r="AN297" s="68"/>
      <c r="AO297" s="68"/>
      <c r="AP297" s="68"/>
      <c r="AQ297" s="68"/>
      <c r="AR297" s="68"/>
      <c r="AS297" s="68"/>
      <c r="AT297" s="68"/>
      <c r="AU297" s="68"/>
      <c r="AV297" s="68"/>
      <c r="AW297" s="68"/>
      <c r="AX297" s="68"/>
    </row>
    <row r="298" spans="2:50" ht="14.5">
      <c r="B298" s="68" t="s">
        <v>1783</v>
      </c>
      <c r="C298" s="68" t="s">
        <v>6391</v>
      </c>
      <c r="D298" s="68" t="s">
        <v>3162</v>
      </c>
      <c r="E298" s="68" t="s">
        <v>120</v>
      </c>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c r="AJ298" s="68"/>
      <c r="AK298" s="68"/>
      <c r="AL298" s="68"/>
      <c r="AM298" s="68"/>
      <c r="AN298" s="68"/>
      <c r="AO298" s="68"/>
      <c r="AP298" s="68"/>
      <c r="AQ298" s="68"/>
      <c r="AR298" s="68"/>
      <c r="AS298" s="68"/>
      <c r="AT298" s="68"/>
      <c r="AU298" s="68"/>
      <c r="AV298" s="68"/>
      <c r="AW298" s="68"/>
      <c r="AX298" s="68"/>
    </row>
    <row r="299" spans="2:50" ht="14.5">
      <c r="B299" s="68" t="s">
        <v>1787</v>
      </c>
      <c r="C299" s="68" t="s">
        <v>6318</v>
      </c>
      <c r="D299" s="68" t="s">
        <v>1790</v>
      </c>
      <c r="E299" s="68" t="s">
        <v>195</v>
      </c>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c r="AJ299" s="68"/>
      <c r="AK299" s="68"/>
      <c r="AL299" s="68"/>
      <c r="AM299" s="68"/>
      <c r="AN299" s="68"/>
      <c r="AO299" s="68"/>
      <c r="AP299" s="68"/>
      <c r="AQ299" s="68"/>
      <c r="AR299" s="68"/>
      <c r="AS299" s="68"/>
      <c r="AT299" s="68"/>
      <c r="AU299" s="68"/>
      <c r="AV299" s="68"/>
      <c r="AW299" s="68"/>
      <c r="AX299" s="68"/>
    </row>
    <row r="300" spans="2:50" ht="14.5">
      <c r="B300" s="68" t="s">
        <v>1792</v>
      </c>
      <c r="C300" s="68" t="s">
        <v>6247</v>
      </c>
      <c r="D300" s="68" t="s">
        <v>1790</v>
      </c>
      <c r="E300" s="68" t="s">
        <v>89</v>
      </c>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c r="AJ300" s="68"/>
      <c r="AK300" s="68"/>
      <c r="AL300" s="68"/>
      <c r="AM300" s="68"/>
      <c r="AN300" s="68"/>
      <c r="AO300" s="68"/>
      <c r="AP300" s="68"/>
      <c r="AQ300" s="68"/>
      <c r="AR300" s="68"/>
      <c r="AS300" s="68"/>
      <c r="AT300" s="68"/>
      <c r="AU300" s="68"/>
      <c r="AV300" s="68"/>
      <c r="AW300" s="68"/>
      <c r="AX300" s="68"/>
    </row>
    <row r="301" spans="2:50" ht="14.5">
      <c r="B301" s="68" t="s">
        <v>1796</v>
      </c>
      <c r="C301" s="68" t="s">
        <v>6393</v>
      </c>
      <c r="D301" s="68" t="s">
        <v>1790</v>
      </c>
      <c r="E301" s="68" t="s">
        <v>67</v>
      </c>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c r="AJ301" s="68"/>
      <c r="AK301" s="68"/>
      <c r="AL301" s="68"/>
      <c r="AM301" s="68"/>
      <c r="AN301" s="68"/>
      <c r="AO301" s="68"/>
      <c r="AP301" s="68"/>
      <c r="AQ301" s="68"/>
      <c r="AR301" s="68"/>
      <c r="AS301" s="68"/>
      <c r="AT301" s="68"/>
      <c r="AU301" s="68"/>
      <c r="AV301" s="68"/>
      <c r="AW301" s="68"/>
      <c r="AX301" s="68"/>
    </row>
    <row r="302" spans="2:50" ht="14.5">
      <c r="B302" s="68" t="s">
        <v>1802</v>
      </c>
      <c r="C302" s="68" t="s">
        <v>6396</v>
      </c>
      <c r="D302" s="68" t="s">
        <v>1790</v>
      </c>
      <c r="E302" s="68" t="s">
        <v>770</v>
      </c>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c r="AJ302" s="68"/>
      <c r="AK302" s="68"/>
      <c r="AL302" s="68"/>
      <c r="AM302" s="68"/>
      <c r="AN302" s="68"/>
      <c r="AO302" s="68"/>
      <c r="AP302" s="68"/>
      <c r="AQ302" s="68"/>
      <c r="AR302" s="68"/>
      <c r="AS302" s="68"/>
      <c r="AT302" s="68"/>
      <c r="AU302" s="68"/>
      <c r="AV302" s="68"/>
      <c r="AW302" s="68"/>
      <c r="AX302" s="68"/>
    </row>
    <row r="303" spans="2:50" ht="14.5">
      <c r="B303" s="68" t="s">
        <v>1806</v>
      </c>
      <c r="C303" s="68" t="s">
        <v>6397</v>
      </c>
      <c r="D303" s="68" t="s">
        <v>1790</v>
      </c>
      <c r="E303" s="68" t="s">
        <v>6296</v>
      </c>
      <c r="F303" s="68" t="s">
        <v>6297</v>
      </c>
      <c r="G303" s="68">
        <v>8</v>
      </c>
      <c r="H303" s="68" t="s">
        <v>6398</v>
      </c>
      <c r="I303" s="68">
        <v>0</v>
      </c>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c r="AJ303" s="68"/>
      <c r="AK303" s="68"/>
      <c r="AL303" s="68"/>
      <c r="AM303" s="68"/>
      <c r="AN303" s="68"/>
      <c r="AO303" s="68"/>
      <c r="AP303" s="68"/>
      <c r="AQ303" s="68"/>
      <c r="AR303" s="68"/>
      <c r="AS303" s="68"/>
      <c r="AT303" s="68"/>
      <c r="AU303" s="68"/>
      <c r="AV303" s="68"/>
      <c r="AW303" s="68"/>
      <c r="AX303" s="68"/>
    </row>
    <row r="304" spans="2:50" ht="14.5">
      <c r="B304" s="68" t="s">
        <v>1811</v>
      </c>
      <c r="C304" s="68" t="s">
        <v>6399</v>
      </c>
      <c r="D304" s="68" t="s">
        <v>1036</v>
      </c>
      <c r="E304" s="68" t="s">
        <v>262</v>
      </c>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c r="AJ304" s="68"/>
      <c r="AK304" s="68"/>
      <c r="AL304" s="68"/>
      <c r="AM304" s="68"/>
      <c r="AN304" s="68"/>
      <c r="AO304" s="68"/>
      <c r="AP304" s="68"/>
      <c r="AQ304" s="68"/>
      <c r="AR304" s="68"/>
      <c r="AS304" s="68"/>
      <c r="AT304" s="68"/>
      <c r="AU304" s="68"/>
      <c r="AV304" s="68"/>
      <c r="AW304" s="68"/>
      <c r="AX304" s="68"/>
    </row>
    <row r="305" spans="2:50" ht="14.5">
      <c r="B305" s="68" t="s">
        <v>1816</v>
      </c>
      <c r="C305" s="68" t="s">
        <v>6117</v>
      </c>
      <c r="D305" s="68" t="s">
        <v>1819</v>
      </c>
      <c r="E305" s="68" t="s">
        <v>496</v>
      </c>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c r="AJ305" s="68"/>
      <c r="AK305" s="68"/>
      <c r="AL305" s="68"/>
      <c r="AM305" s="68"/>
      <c r="AN305" s="68"/>
      <c r="AO305" s="68"/>
      <c r="AP305" s="68"/>
      <c r="AQ305" s="68"/>
      <c r="AR305" s="68"/>
      <c r="AS305" s="68"/>
      <c r="AT305" s="68"/>
      <c r="AU305" s="68"/>
      <c r="AV305" s="68"/>
      <c r="AW305" s="68"/>
      <c r="AX305" s="68"/>
    </row>
    <row r="306" spans="2:50" ht="14.5">
      <c r="B306" s="68" t="s">
        <v>1822</v>
      </c>
      <c r="C306" s="68" t="s">
        <v>6117</v>
      </c>
      <c r="D306" s="68" t="s">
        <v>1819</v>
      </c>
      <c r="E306" s="68" t="s">
        <v>496</v>
      </c>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c r="AJ306" s="68"/>
      <c r="AK306" s="68"/>
      <c r="AL306" s="68"/>
      <c r="AM306" s="68"/>
      <c r="AN306" s="68"/>
      <c r="AO306" s="68"/>
      <c r="AP306" s="68"/>
      <c r="AQ306" s="68"/>
      <c r="AR306" s="68"/>
      <c r="AS306" s="68"/>
      <c r="AT306" s="68"/>
      <c r="AU306" s="68"/>
      <c r="AV306" s="68"/>
      <c r="AW306" s="68"/>
      <c r="AX306" s="68"/>
    </row>
    <row r="307" spans="2:50" ht="14.5">
      <c r="B307" s="68" t="s">
        <v>1824</v>
      </c>
      <c r="C307" s="68" t="s">
        <v>6400</v>
      </c>
      <c r="D307" s="68" t="s">
        <v>986</v>
      </c>
      <c r="E307" s="68" t="s">
        <v>376</v>
      </c>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c r="AJ307" s="68"/>
      <c r="AK307" s="68"/>
      <c r="AL307" s="68"/>
      <c r="AM307" s="68"/>
      <c r="AN307" s="68"/>
      <c r="AO307" s="68"/>
      <c r="AP307" s="68"/>
      <c r="AQ307" s="68"/>
      <c r="AR307" s="68"/>
      <c r="AS307" s="68"/>
      <c r="AT307" s="68"/>
      <c r="AU307" s="68"/>
      <c r="AV307" s="68"/>
      <c r="AW307" s="68"/>
      <c r="AX307" s="68"/>
    </row>
    <row r="308" spans="2:50" ht="14.5">
      <c r="B308" s="68" t="s">
        <v>1829</v>
      </c>
      <c r="C308" s="68" t="s">
        <v>6401</v>
      </c>
      <c r="D308" s="68" t="s">
        <v>324</v>
      </c>
      <c r="E308" s="68" t="s">
        <v>89</v>
      </c>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c r="AJ308" s="68"/>
      <c r="AK308" s="68"/>
      <c r="AL308" s="68"/>
      <c r="AM308" s="68"/>
      <c r="AN308" s="68"/>
      <c r="AO308" s="68"/>
      <c r="AP308" s="68"/>
      <c r="AQ308" s="68"/>
      <c r="AR308" s="68"/>
      <c r="AS308" s="68"/>
      <c r="AT308" s="68"/>
      <c r="AU308" s="68"/>
      <c r="AV308" s="68"/>
      <c r="AW308" s="68"/>
      <c r="AX308" s="68"/>
    </row>
    <row r="309" spans="2:50" ht="14.5">
      <c r="B309" s="68" t="s">
        <v>1835</v>
      </c>
      <c r="C309" s="68" t="s">
        <v>6402</v>
      </c>
      <c r="D309" s="68" t="s">
        <v>924</v>
      </c>
      <c r="E309" s="68" t="s">
        <v>925</v>
      </c>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c r="AJ309" s="68"/>
      <c r="AK309" s="68"/>
      <c r="AL309" s="68"/>
      <c r="AM309" s="68"/>
      <c r="AN309" s="68"/>
      <c r="AO309" s="68"/>
      <c r="AP309" s="68"/>
      <c r="AQ309" s="68"/>
      <c r="AR309" s="68"/>
      <c r="AS309" s="68"/>
      <c r="AT309" s="68"/>
      <c r="AU309" s="68"/>
      <c r="AV309" s="68"/>
      <c r="AW309" s="68"/>
      <c r="AX309" s="68"/>
    </row>
    <row r="310" spans="2:50" ht="14.5">
      <c r="B310" s="68" t="s">
        <v>1840</v>
      </c>
      <c r="C310" s="68" t="s">
        <v>6403</v>
      </c>
      <c r="D310" s="68" t="s">
        <v>924</v>
      </c>
      <c r="E310" s="68" t="s">
        <v>262</v>
      </c>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c r="AJ310" s="68"/>
      <c r="AK310" s="68"/>
      <c r="AL310" s="68"/>
      <c r="AM310" s="68"/>
      <c r="AN310" s="68"/>
      <c r="AO310" s="68"/>
      <c r="AP310" s="68"/>
      <c r="AQ310" s="68"/>
      <c r="AR310" s="68"/>
      <c r="AS310" s="68"/>
      <c r="AT310" s="68"/>
      <c r="AU310" s="68"/>
      <c r="AV310" s="68"/>
      <c r="AW310" s="68"/>
      <c r="AX310" s="68"/>
    </row>
    <row r="311" spans="2:50" ht="14.5">
      <c r="B311" s="68" t="s">
        <v>1844</v>
      </c>
      <c r="C311" s="68" t="s">
        <v>6404</v>
      </c>
      <c r="D311" s="68" t="s">
        <v>301</v>
      </c>
      <c r="E311" s="68" t="s">
        <v>792</v>
      </c>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c r="AJ311" s="68"/>
      <c r="AK311" s="68"/>
      <c r="AL311" s="68"/>
      <c r="AM311" s="68"/>
      <c r="AN311" s="68"/>
      <c r="AO311" s="68"/>
      <c r="AP311" s="68"/>
      <c r="AQ311" s="68"/>
      <c r="AR311" s="68"/>
      <c r="AS311" s="68"/>
      <c r="AT311" s="68"/>
      <c r="AU311" s="68"/>
      <c r="AV311" s="68"/>
      <c r="AW311" s="68"/>
      <c r="AX311" s="68"/>
    </row>
    <row r="312" spans="2:50" ht="14.5">
      <c r="B312" s="68" t="s">
        <v>1850</v>
      </c>
      <c r="C312" s="68" t="s">
        <v>6405</v>
      </c>
      <c r="D312" s="68" t="s">
        <v>301</v>
      </c>
      <c r="E312" s="68" t="s">
        <v>67</v>
      </c>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c r="AJ312" s="68"/>
      <c r="AK312" s="68"/>
      <c r="AL312" s="68"/>
      <c r="AM312" s="68"/>
      <c r="AN312" s="68"/>
      <c r="AO312" s="68"/>
      <c r="AP312" s="68"/>
      <c r="AQ312" s="68"/>
      <c r="AR312" s="68"/>
      <c r="AS312" s="68"/>
      <c r="AT312" s="68"/>
      <c r="AU312" s="68"/>
      <c r="AV312" s="68"/>
      <c r="AW312" s="68"/>
      <c r="AX312" s="68"/>
    </row>
    <row r="313" spans="2:50" ht="14.5">
      <c r="B313" s="68" t="s">
        <v>1856</v>
      </c>
      <c r="C313" s="68" t="s">
        <v>6406</v>
      </c>
      <c r="D313" s="68" t="s">
        <v>924</v>
      </c>
      <c r="E313" s="68" t="s">
        <v>302</v>
      </c>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c r="AJ313" s="68"/>
      <c r="AK313" s="68"/>
      <c r="AL313" s="68"/>
      <c r="AM313" s="68"/>
      <c r="AN313" s="68"/>
      <c r="AO313" s="68"/>
      <c r="AP313" s="68"/>
      <c r="AQ313" s="68"/>
      <c r="AR313" s="68"/>
      <c r="AS313" s="68"/>
      <c r="AT313" s="68"/>
      <c r="AU313" s="68"/>
      <c r="AV313" s="68"/>
      <c r="AW313" s="68"/>
      <c r="AX313" s="68"/>
    </row>
    <row r="314" spans="2:50" ht="14.5">
      <c r="B314" s="68" t="s">
        <v>1861</v>
      </c>
      <c r="C314" s="68" t="s">
        <v>6407</v>
      </c>
      <c r="D314" s="68" t="s">
        <v>301</v>
      </c>
      <c r="E314" s="68" t="s">
        <v>376</v>
      </c>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c r="AJ314" s="68"/>
      <c r="AK314" s="68"/>
      <c r="AL314" s="68"/>
      <c r="AM314" s="68"/>
      <c r="AN314" s="68"/>
      <c r="AO314" s="68"/>
      <c r="AP314" s="68"/>
      <c r="AQ314" s="68"/>
      <c r="AR314" s="68"/>
      <c r="AS314" s="68"/>
      <c r="AT314" s="68"/>
      <c r="AU314" s="68"/>
      <c r="AV314" s="68"/>
      <c r="AW314" s="68"/>
      <c r="AX314" s="68"/>
    </row>
    <row r="315" spans="2:50" ht="14.5">
      <c r="B315" s="68" t="s">
        <v>1866</v>
      </c>
      <c r="C315" s="68" t="s">
        <v>6118</v>
      </c>
      <c r="D315" s="68" t="s">
        <v>1819</v>
      </c>
      <c r="E315" s="68" t="s">
        <v>6408</v>
      </c>
      <c r="F315" s="68" t="s">
        <v>6409</v>
      </c>
      <c r="G315" s="68" t="s">
        <v>6398</v>
      </c>
      <c r="H315" s="68" t="s">
        <v>1065</v>
      </c>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c r="AJ315" s="68"/>
      <c r="AK315" s="68"/>
      <c r="AL315" s="68"/>
      <c r="AM315" s="68"/>
      <c r="AN315" s="68"/>
      <c r="AO315" s="68"/>
      <c r="AP315" s="68"/>
      <c r="AQ315" s="68"/>
      <c r="AR315" s="68"/>
      <c r="AS315" s="68"/>
      <c r="AT315" s="68"/>
      <c r="AU315" s="68"/>
      <c r="AV315" s="68"/>
      <c r="AW315" s="68"/>
      <c r="AX315" s="68"/>
    </row>
    <row r="316" spans="2:50" ht="14.5">
      <c r="B316" s="68" t="s">
        <v>1872</v>
      </c>
      <c r="C316" s="68" t="s">
        <v>6410</v>
      </c>
      <c r="D316" s="68" t="s">
        <v>154</v>
      </c>
      <c r="E316" s="68" t="s">
        <v>302</v>
      </c>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c r="AJ316" s="68"/>
      <c r="AK316" s="68"/>
      <c r="AL316" s="68"/>
      <c r="AM316" s="68"/>
      <c r="AN316" s="68"/>
      <c r="AO316" s="68"/>
      <c r="AP316" s="68"/>
      <c r="AQ316" s="68"/>
      <c r="AR316" s="68"/>
      <c r="AS316" s="68"/>
      <c r="AT316" s="68"/>
      <c r="AU316" s="68"/>
      <c r="AV316" s="68"/>
      <c r="AW316" s="68"/>
      <c r="AX316" s="68"/>
    </row>
    <row r="317" spans="2:50" ht="14.5">
      <c r="B317" s="68" t="s">
        <v>1877</v>
      </c>
      <c r="C317" s="68" t="s">
        <v>6411</v>
      </c>
      <c r="D317" s="68" t="s">
        <v>1438</v>
      </c>
      <c r="E317" s="68" t="s">
        <v>792</v>
      </c>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c r="AJ317" s="68"/>
      <c r="AK317" s="68"/>
      <c r="AL317" s="68"/>
      <c r="AM317" s="68"/>
      <c r="AN317" s="68"/>
      <c r="AO317" s="68"/>
      <c r="AP317" s="68"/>
      <c r="AQ317" s="68"/>
      <c r="AR317" s="68"/>
      <c r="AS317" s="68"/>
      <c r="AT317" s="68"/>
      <c r="AU317" s="68"/>
      <c r="AV317" s="68"/>
      <c r="AW317" s="68"/>
      <c r="AX317" s="68"/>
    </row>
    <row r="318" spans="2:50" ht="14.5">
      <c r="B318" s="68" t="s">
        <v>1881</v>
      </c>
      <c r="C318" s="68" t="s">
        <v>6412</v>
      </c>
      <c r="D318" s="68" t="s">
        <v>154</v>
      </c>
      <c r="E318" s="68" t="s">
        <v>277</v>
      </c>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c r="AJ318" s="68"/>
      <c r="AK318" s="68"/>
      <c r="AL318" s="68"/>
      <c r="AM318" s="68"/>
      <c r="AN318" s="68"/>
      <c r="AO318" s="68"/>
      <c r="AP318" s="68"/>
      <c r="AQ318" s="68"/>
      <c r="AR318" s="68"/>
      <c r="AS318" s="68"/>
      <c r="AT318" s="68"/>
      <c r="AU318" s="68"/>
      <c r="AV318" s="68"/>
      <c r="AW318" s="68"/>
      <c r="AX318" s="68"/>
    </row>
    <row r="319" spans="2:50" ht="14.5">
      <c r="B319" s="68" t="s">
        <v>218</v>
      </c>
      <c r="C319" s="68" t="s">
        <v>219</v>
      </c>
      <c r="D319" s="68" t="s">
        <v>5923</v>
      </c>
      <c r="E319" s="68" t="s">
        <v>5924</v>
      </c>
      <c r="F319" s="68" t="s">
        <v>5925</v>
      </c>
      <c r="G319" s="68" t="s">
        <v>5926</v>
      </c>
      <c r="H319" s="68" t="s">
        <v>5927</v>
      </c>
      <c r="I319" s="68" t="s">
        <v>5928</v>
      </c>
      <c r="J319" s="68" t="s">
        <v>5929</v>
      </c>
      <c r="K319" s="68" t="s">
        <v>5996</v>
      </c>
      <c r="L319" s="68" t="s">
        <v>5932</v>
      </c>
      <c r="M319" s="68" t="s">
        <v>5933</v>
      </c>
      <c r="N319" s="68" t="s">
        <v>6102</v>
      </c>
      <c r="O319" s="68" t="s">
        <v>5935</v>
      </c>
      <c r="P319" s="68" t="s">
        <v>6015</v>
      </c>
      <c r="Q319" s="68" t="s">
        <v>5939</v>
      </c>
      <c r="R319" s="68" t="s">
        <v>6081</v>
      </c>
      <c r="S319" s="68" t="s">
        <v>6097</v>
      </c>
      <c r="T319" s="68" t="s">
        <v>5955</v>
      </c>
      <c r="U319" s="68" t="s">
        <v>6023</v>
      </c>
      <c r="V319" s="68" t="s">
        <v>6036</v>
      </c>
      <c r="W319" s="68" t="s">
        <v>5929</v>
      </c>
      <c r="X319" s="68" t="s">
        <v>6253</v>
      </c>
      <c r="Y319" s="68" t="s">
        <v>5955</v>
      </c>
      <c r="Z319" s="68" t="s">
        <v>5999</v>
      </c>
      <c r="AA319" s="68" t="s">
        <v>5984</v>
      </c>
      <c r="AB319" s="68" t="s">
        <v>6413</v>
      </c>
      <c r="AC319" s="68" t="s">
        <v>5955</v>
      </c>
      <c r="AD319" s="68" t="s">
        <v>6011</v>
      </c>
      <c r="AE319" s="68" t="s">
        <v>5985</v>
      </c>
      <c r="AF319" s="68" t="s">
        <v>6103</v>
      </c>
      <c r="AG319" s="68" t="s">
        <v>5932</v>
      </c>
      <c r="AH319" s="68" t="s">
        <v>5943</v>
      </c>
      <c r="AI319" s="68" t="s">
        <v>6037</v>
      </c>
      <c r="AJ319" s="68" t="s">
        <v>6414</v>
      </c>
      <c r="AK319" s="68" t="s">
        <v>222</v>
      </c>
      <c r="AL319" s="68"/>
      <c r="AM319" s="68"/>
      <c r="AN319" s="68"/>
      <c r="AO319" s="68"/>
      <c r="AP319" s="68"/>
      <c r="AQ319" s="68"/>
      <c r="AR319" s="68"/>
      <c r="AS319" s="68"/>
      <c r="AT319" s="68"/>
      <c r="AU319" s="68"/>
      <c r="AV319" s="68"/>
      <c r="AW319" s="68"/>
      <c r="AX319" s="68"/>
    </row>
    <row r="320" spans="2:50" ht="14.5">
      <c r="B320" s="68" t="s">
        <v>1885</v>
      </c>
      <c r="C320" s="68" t="s">
        <v>6415</v>
      </c>
      <c r="D320" s="68" t="s">
        <v>1888</v>
      </c>
      <c r="E320" s="68" t="s">
        <v>204</v>
      </c>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c r="AJ320" s="68"/>
      <c r="AK320" s="68"/>
      <c r="AL320" s="68"/>
      <c r="AM320" s="68"/>
      <c r="AN320" s="68"/>
      <c r="AO320" s="68"/>
      <c r="AP320" s="68"/>
      <c r="AQ320" s="68"/>
      <c r="AR320" s="68"/>
      <c r="AS320" s="68"/>
      <c r="AT320" s="68"/>
      <c r="AU320" s="68"/>
      <c r="AV320" s="68"/>
      <c r="AW320" s="68"/>
      <c r="AX320" s="68"/>
    </row>
    <row r="321" spans="2:50" ht="14.5">
      <c r="B321" s="68" t="s">
        <v>1891</v>
      </c>
      <c r="C321" s="68" t="s">
        <v>6416</v>
      </c>
      <c r="D321" s="68" t="s">
        <v>145</v>
      </c>
      <c r="E321" s="68" t="s">
        <v>99</v>
      </c>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c r="AJ321" s="68"/>
      <c r="AK321" s="68"/>
      <c r="AL321" s="68"/>
      <c r="AM321" s="68"/>
      <c r="AN321" s="68"/>
      <c r="AO321" s="68"/>
      <c r="AP321" s="68"/>
      <c r="AQ321" s="68"/>
      <c r="AR321" s="68"/>
      <c r="AS321" s="68"/>
      <c r="AT321" s="68"/>
      <c r="AU321" s="68"/>
      <c r="AV321" s="68"/>
      <c r="AW321" s="68"/>
      <c r="AX321" s="68"/>
    </row>
    <row r="322" spans="2:50" ht="14.5">
      <c r="B322" s="68" t="s">
        <v>1895</v>
      </c>
      <c r="C322" s="68" t="s">
        <v>6417</v>
      </c>
      <c r="D322" s="68" t="s">
        <v>1338</v>
      </c>
      <c r="E322" s="68" t="s">
        <v>357</v>
      </c>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c r="AJ322" s="68"/>
      <c r="AK322" s="68"/>
      <c r="AL322" s="68"/>
      <c r="AM322" s="68"/>
      <c r="AN322" s="68"/>
      <c r="AO322" s="68"/>
      <c r="AP322" s="68"/>
      <c r="AQ322" s="68"/>
      <c r="AR322" s="68"/>
      <c r="AS322" s="68"/>
      <c r="AT322" s="68"/>
      <c r="AU322" s="68"/>
      <c r="AV322" s="68"/>
      <c r="AW322" s="68"/>
      <c r="AX322" s="68"/>
    </row>
    <row r="323" spans="2:50" ht="14.5">
      <c r="B323" s="68" t="s">
        <v>298</v>
      </c>
      <c r="C323" s="68" t="s">
        <v>6418</v>
      </c>
      <c r="D323" s="68" t="s">
        <v>5923</v>
      </c>
      <c r="E323" s="68" t="s">
        <v>5924</v>
      </c>
      <c r="F323" s="68" t="s">
        <v>5925</v>
      </c>
      <c r="G323" s="68" t="s">
        <v>6419</v>
      </c>
      <c r="H323" s="68" t="s">
        <v>5934</v>
      </c>
      <c r="I323" s="68" t="s">
        <v>5985</v>
      </c>
      <c r="J323" s="68" t="s">
        <v>5929</v>
      </c>
      <c r="K323" s="68" t="s">
        <v>5953</v>
      </c>
      <c r="L323" s="68" t="s">
        <v>5928</v>
      </c>
      <c r="M323" s="68" t="s">
        <v>5955</v>
      </c>
      <c r="N323" s="68" t="s">
        <v>5997</v>
      </c>
      <c r="O323" s="68" t="s">
        <v>5935</v>
      </c>
      <c r="P323" s="68" t="s">
        <v>5998</v>
      </c>
      <c r="Q323" s="68" t="s">
        <v>5929</v>
      </c>
      <c r="R323" s="68" t="s">
        <v>5999</v>
      </c>
      <c r="S323" s="68" t="s">
        <v>6036</v>
      </c>
      <c r="T323" s="68" t="s">
        <v>6051</v>
      </c>
      <c r="U323" s="68" t="s">
        <v>5933</v>
      </c>
      <c r="V323" s="68" t="s">
        <v>5924</v>
      </c>
      <c r="W323" s="68" t="s">
        <v>5984</v>
      </c>
      <c r="X323" s="68" t="s">
        <v>6420</v>
      </c>
      <c r="Y323" s="68" t="s">
        <v>6324</v>
      </c>
      <c r="Z323" s="68" t="s">
        <v>5939</v>
      </c>
      <c r="AA323" s="68" t="s">
        <v>6001</v>
      </c>
      <c r="AB323" s="68" t="s">
        <v>5934</v>
      </c>
      <c r="AC323" s="68" t="s">
        <v>5985</v>
      </c>
      <c r="AD323" s="68" t="s">
        <v>5953</v>
      </c>
      <c r="AE323" s="68" t="s">
        <v>5932</v>
      </c>
      <c r="AF323" s="68" t="s">
        <v>6421</v>
      </c>
      <c r="AG323" s="68" t="s">
        <v>5985</v>
      </c>
      <c r="AH323" s="68" t="s">
        <v>6084</v>
      </c>
      <c r="AI323" s="68" t="s">
        <v>6422</v>
      </c>
      <c r="AJ323" s="68" t="s">
        <v>302</v>
      </c>
      <c r="AK323" s="68"/>
      <c r="AL323" s="68"/>
      <c r="AM323" s="68"/>
      <c r="AN323" s="68"/>
      <c r="AO323" s="68"/>
      <c r="AP323" s="68"/>
      <c r="AQ323" s="68"/>
      <c r="AR323" s="68"/>
      <c r="AS323" s="68"/>
      <c r="AT323" s="68"/>
      <c r="AU323" s="68"/>
      <c r="AV323" s="68"/>
      <c r="AW323" s="68"/>
      <c r="AX323" s="68"/>
    </row>
    <row r="324" spans="2:50" ht="14.5">
      <c r="B324" s="68" t="s">
        <v>1900</v>
      </c>
      <c r="C324" s="68" t="s">
        <v>6341</v>
      </c>
      <c r="D324" s="205" t="s">
        <v>6342</v>
      </c>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c r="AJ324" s="68"/>
      <c r="AK324" s="68"/>
      <c r="AL324" s="68"/>
      <c r="AM324" s="68"/>
      <c r="AN324" s="68"/>
      <c r="AO324" s="68"/>
      <c r="AP324" s="68"/>
      <c r="AQ324" s="68"/>
      <c r="AR324" s="68"/>
      <c r="AS324" s="68"/>
      <c r="AT324" s="68"/>
      <c r="AU324" s="68"/>
      <c r="AV324" s="68"/>
      <c r="AW324" s="68"/>
      <c r="AX324" s="68"/>
    </row>
    <row r="325" spans="2:50" ht="14.5">
      <c r="B325" s="68" t="s">
        <v>1905</v>
      </c>
      <c r="C325" s="68" t="s">
        <v>6423</v>
      </c>
      <c r="D325" s="68" t="s">
        <v>154</v>
      </c>
      <c r="E325" s="68" t="s">
        <v>770</v>
      </c>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c r="AJ325" s="68"/>
      <c r="AK325" s="68"/>
      <c r="AL325" s="68"/>
      <c r="AM325" s="68"/>
      <c r="AN325" s="68"/>
      <c r="AO325" s="68"/>
      <c r="AP325" s="68"/>
      <c r="AQ325" s="68"/>
      <c r="AR325" s="68"/>
      <c r="AS325" s="68"/>
      <c r="AT325" s="68"/>
      <c r="AU325" s="68"/>
      <c r="AV325" s="68"/>
      <c r="AW325" s="68"/>
      <c r="AX325" s="68"/>
    </row>
  </sheetData>
  <phoneticPr fontId="85" type="noConversion"/>
  <hyperlinks>
    <hyperlink ref="D240" r:id="rId1" xr:uid="{00000000-0004-0000-1000-000000000000}"/>
    <hyperlink ref="D241" r:id="rId2" xr:uid="{00000000-0004-0000-1000-000001000000}"/>
    <hyperlink ref="D324" r:id="rId3" xr:uid="{00000000-0004-0000-1000-000002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P989"/>
  <sheetViews>
    <sheetView workbookViewId="0"/>
  </sheetViews>
  <sheetFormatPr defaultColWidth="14.3984375" defaultRowHeight="15.75" customHeight="1"/>
  <cols>
    <col min="2" max="2" width="44.3984375" customWidth="1"/>
    <col min="3" max="3" width="17.296875" customWidth="1"/>
    <col min="5" max="5" width="45.8984375" customWidth="1"/>
    <col min="7" max="7" width="14.3984375" customWidth="1"/>
    <col min="8" max="8" width="41.09765625" customWidth="1"/>
  </cols>
  <sheetData>
    <row r="1" spans="1:16" ht="13">
      <c r="A1" s="235" t="s">
        <v>6424</v>
      </c>
      <c r="B1" s="236" t="s">
        <v>6425</v>
      </c>
      <c r="C1" s="34"/>
      <c r="D1" s="34"/>
      <c r="E1" s="34"/>
      <c r="F1" s="34"/>
      <c r="G1" s="34"/>
      <c r="H1" s="34"/>
      <c r="I1" s="34"/>
      <c r="J1" s="34"/>
      <c r="K1" s="34"/>
      <c r="L1" s="34"/>
      <c r="M1" s="34"/>
      <c r="N1" s="34"/>
      <c r="O1" s="34"/>
      <c r="P1" s="34"/>
    </row>
    <row r="2" spans="1:16" ht="13">
      <c r="A2" s="235"/>
      <c r="B2" s="34" t="s">
        <v>6426</v>
      </c>
      <c r="C2" s="34"/>
      <c r="D2" s="34"/>
      <c r="E2" s="34"/>
      <c r="F2" s="34"/>
      <c r="G2" s="34"/>
      <c r="H2" s="34"/>
      <c r="I2" s="34"/>
      <c r="J2" s="34"/>
      <c r="K2" s="34"/>
      <c r="L2" s="34"/>
      <c r="M2" s="34"/>
      <c r="N2" s="34"/>
      <c r="O2" s="34"/>
      <c r="P2" s="34"/>
    </row>
    <row r="3" spans="1:16" ht="13">
      <c r="A3" s="235"/>
      <c r="B3" s="34" t="s">
        <v>6427</v>
      </c>
      <c r="C3" s="34"/>
      <c r="D3" s="34"/>
      <c r="E3" s="34"/>
      <c r="F3" s="34"/>
      <c r="G3" s="34"/>
      <c r="H3" s="34"/>
      <c r="I3" s="34"/>
      <c r="J3" s="34"/>
      <c r="K3" s="34"/>
      <c r="L3" s="34"/>
      <c r="M3" s="34"/>
      <c r="N3" s="34"/>
      <c r="O3" s="34"/>
      <c r="P3" s="34"/>
    </row>
    <row r="4" spans="1:16" ht="13">
      <c r="A4" s="235"/>
      <c r="B4" s="34"/>
      <c r="C4" s="34"/>
      <c r="D4" s="34"/>
      <c r="E4" s="34"/>
      <c r="F4" s="34"/>
      <c r="G4" s="34"/>
      <c r="H4" s="34"/>
      <c r="K4" s="34"/>
      <c r="L4" s="34"/>
      <c r="M4" s="34"/>
      <c r="N4" s="34"/>
      <c r="O4" s="34"/>
      <c r="P4" s="34"/>
    </row>
    <row r="5" spans="1:16" ht="13">
      <c r="A5" s="235" t="s">
        <v>6428</v>
      </c>
      <c r="B5" s="34" t="s">
        <v>6429</v>
      </c>
      <c r="C5" s="34"/>
      <c r="D5" s="34"/>
      <c r="E5" s="34"/>
      <c r="F5" s="34"/>
      <c r="G5" s="34"/>
      <c r="H5" s="34"/>
      <c r="K5" s="34"/>
      <c r="L5" s="34"/>
      <c r="M5" s="34"/>
      <c r="N5" s="34"/>
      <c r="O5" s="34"/>
      <c r="P5" s="34"/>
    </row>
    <row r="6" spans="1:16" ht="13">
      <c r="A6" s="235"/>
      <c r="B6" s="237" t="s">
        <v>6430</v>
      </c>
      <c r="C6" s="34"/>
      <c r="D6" s="34"/>
      <c r="E6" s="34"/>
      <c r="F6" s="34"/>
      <c r="G6" s="34"/>
      <c r="H6" s="34"/>
      <c r="K6" s="34"/>
      <c r="L6" s="34"/>
      <c r="M6" s="34"/>
      <c r="N6" s="34"/>
      <c r="O6" s="34"/>
      <c r="P6" s="34"/>
    </row>
    <row r="7" spans="1:16" ht="13">
      <c r="A7" s="153"/>
      <c r="C7" s="34"/>
      <c r="D7" s="34"/>
      <c r="E7" s="34"/>
      <c r="F7" s="34"/>
      <c r="G7" s="34"/>
      <c r="H7" s="34"/>
      <c r="I7" s="34"/>
      <c r="J7" s="34"/>
      <c r="K7" s="34"/>
      <c r="L7" s="34"/>
      <c r="M7" s="34"/>
      <c r="N7" s="34"/>
      <c r="O7" s="34"/>
      <c r="P7" s="34"/>
    </row>
    <row r="8" spans="1:16" ht="13">
      <c r="A8" s="235" t="s">
        <v>6431</v>
      </c>
      <c r="B8" s="236" t="s">
        <v>6432</v>
      </c>
      <c r="C8" s="34"/>
      <c r="D8" s="34"/>
      <c r="E8" s="34"/>
      <c r="F8" s="34"/>
      <c r="G8" s="34"/>
      <c r="H8" s="34"/>
      <c r="I8" s="34"/>
      <c r="J8" s="34"/>
      <c r="K8" s="34"/>
      <c r="L8" s="34"/>
      <c r="M8" s="34"/>
      <c r="N8" s="34"/>
      <c r="O8" s="34"/>
      <c r="P8" s="34"/>
    </row>
    <row r="9" spans="1:16" ht="13">
      <c r="A9" s="235"/>
      <c r="B9" s="238" t="s">
        <v>6433</v>
      </c>
      <c r="C9" s="34"/>
      <c r="D9" s="34"/>
      <c r="E9" s="34"/>
      <c r="F9" s="34"/>
      <c r="G9" s="34"/>
      <c r="H9" s="34"/>
      <c r="I9" s="34"/>
      <c r="J9" s="34"/>
      <c r="K9" s="34"/>
      <c r="L9" s="34"/>
      <c r="M9" s="34"/>
      <c r="N9" s="34"/>
      <c r="O9" s="34"/>
      <c r="P9" s="34"/>
    </row>
    <row r="10" spans="1:16" ht="13">
      <c r="A10" s="235"/>
      <c r="B10" s="34"/>
      <c r="C10" s="34"/>
      <c r="D10" s="34"/>
      <c r="E10" s="34"/>
      <c r="F10" s="34"/>
      <c r="G10" s="34"/>
      <c r="H10" s="34"/>
      <c r="I10" s="34"/>
      <c r="J10" s="34"/>
      <c r="K10" s="34"/>
      <c r="L10" s="34"/>
      <c r="M10" s="34"/>
      <c r="N10" s="34"/>
      <c r="O10" s="34"/>
      <c r="P10" s="34"/>
    </row>
    <row r="11" spans="1:16" ht="13">
      <c r="A11" s="235" t="s">
        <v>6434</v>
      </c>
      <c r="B11" s="34" t="s">
        <v>6435</v>
      </c>
      <c r="C11" s="34"/>
      <c r="D11" s="34"/>
      <c r="E11" s="34"/>
      <c r="F11" s="34"/>
      <c r="G11" s="34"/>
      <c r="H11" s="34"/>
      <c r="I11" s="34"/>
      <c r="J11" s="34"/>
      <c r="K11" s="34"/>
      <c r="L11" s="34"/>
      <c r="M11" s="34"/>
      <c r="N11" s="34"/>
      <c r="O11" s="34"/>
      <c r="P11" s="34"/>
    </row>
    <row r="12" spans="1:16" ht="13">
      <c r="A12" s="34"/>
      <c r="B12" s="34" t="s">
        <v>6436</v>
      </c>
      <c r="C12" s="34"/>
      <c r="D12" s="34"/>
      <c r="E12" s="34"/>
      <c r="F12" s="34"/>
      <c r="G12" s="34"/>
      <c r="H12" s="34"/>
      <c r="I12" s="34"/>
      <c r="J12" s="34"/>
      <c r="K12" s="34"/>
      <c r="L12" s="34"/>
      <c r="M12" s="34"/>
      <c r="N12" s="34"/>
      <c r="O12" s="34"/>
      <c r="P12" s="34"/>
    </row>
    <row r="13" spans="1:16" ht="13">
      <c r="A13" s="34"/>
      <c r="B13" s="34" t="s">
        <v>6437</v>
      </c>
      <c r="C13" s="34"/>
      <c r="D13" s="34"/>
      <c r="E13" s="34"/>
      <c r="F13" s="34"/>
      <c r="G13" s="34"/>
      <c r="H13" s="34"/>
      <c r="I13" s="34"/>
      <c r="J13" s="34"/>
      <c r="K13" s="34"/>
      <c r="L13" s="34"/>
      <c r="M13" s="34"/>
      <c r="N13" s="34"/>
      <c r="O13" s="34"/>
      <c r="P13" s="34"/>
    </row>
    <row r="14" spans="1:16" ht="13">
      <c r="A14" s="34"/>
      <c r="B14" s="236" t="s">
        <v>6438</v>
      </c>
      <c r="C14" s="34"/>
      <c r="D14" s="34"/>
      <c r="E14" s="34"/>
      <c r="F14" s="34"/>
      <c r="G14" s="34"/>
      <c r="H14" s="34"/>
      <c r="I14" s="34"/>
      <c r="J14" s="34"/>
      <c r="K14" s="34"/>
      <c r="L14" s="34"/>
      <c r="M14" s="34"/>
      <c r="N14" s="34"/>
      <c r="O14" s="34"/>
      <c r="P14" s="34"/>
    </row>
    <row r="15" spans="1:16" ht="13">
      <c r="A15" s="34"/>
      <c r="B15" s="34" t="s">
        <v>6439</v>
      </c>
      <c r="C15" s="34"/>
      <c r="D15" s="34"/>
      <c r="E15" s="34"/>
      <c r="F15" s="34"/>
      <c r="G15" s="34"/>
      <c r="H15" s="34"/>
      <c r="I15" s="34"/>
      <c r="J15" s="34"/>
      <c r="K15" s="34"/>
      <c r="L15" s="34"/>
      <c r="M15" s="34"/>
      <c r="N15" s="34"/>
      <c r="O15" s="34"/>
      <c r="P15" s="34"/>
    </row>
    <row r="16" spans="1:16" ht="13">
      <c r="A16" s="34"/>
      <c r="B16" s="34" t="s">
        <v>6440</v>
      </c>
      <c r="C16" s="34"/>
      <c r="D16" s="34"/>
      <c r="E16" s="34"/>
      <c r="F16" s="34"/>
      <c r="G16" s="34"/>
      <c r="H16" s="34"/>
      <c r="I16" s="34"/>
      <c r="J16" s="34"/>
      <c r="K16" s="34"/>
      <c r="L16" s="34"/>
      <c r="M16" s="34"/>
      <c r="N16" s="34"/>
      <c r="O16" s="34"/>
      <c r="P16" s="34"/>
    </row>
    <row r="17" spans="1:16" ht="13">
      <c r="A17" s="34"/>
      <c r="B17" s="33" t="s">
        <v>6441</v>
      </c>
      <c r="C17" s="34"/>
      <c r="D17" s="34"/>
      <c r="E17" s="34"/>
      <c r="F17" s="34"/>
      <c r="G17" s="34"/>
      <c r="H17" s="34"/>
      <c r="I17" s="34"/>
      <c r="J17" s="34"/>
      <c r="K17" s="34"/>
      <c r="L17" s="34"/>
      <c r="M17" s="34"/>
      <c r="N17" s="34"/>
      <c r="O17" s="34"/>
      <c r="P17" s="34"/>
    </row>
    <row r="18" spans="1:16" ht="13">
      <c r="A18" s="34"/>
      <c r="B18" s="34"/>
      <c r="C18" s="34"/>
      <c r="D18" s="34"/>
      <c r="E18" s="34"/>
      <c r="F18" s="34"/>
      <c r="G18" s="34"/>
      <c r="H18" s="34"/>
      <c r="I18" s="34"/>
      <c r="J18" s="34"/>
      <c r="K18" s="34"/>
      <c r="L18" s="34"/>
      <c r="M18" s="34"/>
      <c r="N18" s="34"/>
      <c r="O18" s="34"/>
      <c r="P18" s="34"/>
    </row>
    <row r="19" spans="1:16" ht="13">
      <c r="A19" s="34"/>
      <c r="B19" s="239" t="s">
        <v>6442</v>
      </c>
      <c r="C19" s="34"/>
      <c r="D19" s="34"/>
      <c r="E19" s="239" t="s">
        <v>6443</v>
      </c>
      <c r="F19" s="34"/>
      <c r="G19" s="34"/>
      <c r="H19" s="239" t="s">
        <v>6444</v>
      </c>
      <c r="I19" s="34"/>
      <c r="J19" s="34"/>
      <c r="K19" s="34"/>
      <c r="L19" s="34"/>
      <c r="M19" s="34"/>
      <c r="N19" s="34"/>
      <c r="O19" s="34"/>
      <c r="P19" s="34"/>
    </row>
    <row r="20" spans="1:16" ht="13">
      <c r="A20" s="34"/>
      <c r="B20" s="34" t="s">
        <v>6445</v>
      </c>
      <c r="C20" s="34"/>
      <c r="D20" s="34"/>
      <c r="E20" s="34" t="s">
        <v>6446</v>
      </c>
      <c r="F20" s="34"/>
      <c r="G20" s="34"/>
      <c r="H20" s="240"/>
      <c r="I20" s="34"/>
      <c r="J20" s="34"/>
      <c r="K20" s="34"/>
      <c r="L20" s="34"/>
      <c r="M20" s="34"/>
      <c r="N20" s="34"/>
      <c r="O20" s="34"/>
      <c r="P20" s="34"/>
    </row>
    <row r="21" spans="1:16" ht="13">
      <c r="A21" s="34"/>
      <c r="B21" s="34" t="s">
        <v>6447</v>
      </c>
      <c r="C21" s="34"/>
      <c r="D21" s="34"/>
      <c r="E21" s="34" t="s">
        <v>6448</v>
      </c>
      <c r="F21" s="34"/>
      <c r="G21" s="34"/>
      <c r="H21" s="34" t="s">
        <v>6449</v>
      </c>
      <c r="I21" s="34"/>
      <c r="J21" s="34"/>
      <c r="K21" s="34"/>
      <c r="L21" s="34"/>
      <c r="M21" s="34"/>
      <c r="N21" s="34"/>
      <c r="O21" s="34"/>
      <c r="P21" s="34"/>
    </row>
    <row r="22" spans="1:16" ht="13">
      <c r="A22" s="34"/>
      <c r="B22" s="34" t="s">
        <v>6450</v>
      </c>
      <c r="C22" s="34"/>
      <c r="D22" s="34"/>
      <c r="E22" s="240" t="s">
        <v>6451</v>
      </c>
      <c r="F22" s="34"/>
      <c r="G22" s="34"/>
      <c r="H22" s="34" t="s">
        <v>6452</v>
      </c>
      <c r="I22" s="236" t="s">
        <v>6453</v>
      </c>
      <c r="J22" s="34"/>
      <c r="K22" s="34"/>
      <c r="L22" s="34"/>
      <c r="M22" s="34"/>
      <c r="N22" s="34"/>
      <c r="O22" s="34"/>
      <c r="P22" s="34"/>
    </row>
    <row r="23" spans="1:16" ht="13">
      <c r="A23" s="34"/>
      <c r="B23" s="34" t="s">
        <v>6454</v>
      </c>
      <c r="C23" s="34" t="s">
        <v>6455</v>
      </c>
      <c r="D23" s="34" t="s">
        <v>6456</v>
      </c>
      <c r="E23" s="34" t="s">
        <v>6457</v>
      </c>
      <c r="F23" s="34"/>
      <c r="G23" s="34"/>
      <c r="H23" s="34" t="s">
        <v>6458</v>
      </c>
      <c r="I23" s="34"/>
      <c r="J23" s="34"/>
      <c r="K23" s="34"/>
      <c r="L23" s="34"/>
      <c r="M23" s="34"/>
      <c r="N23" s="34"/>
      <c r="O23" s="34"/>
      <c r="P23" s="34"/>
    </row>
    <row r="24" spans="1:16" ht="13">
      <c r="A24" s="34"/>
      <c r="B24" s="34" t="s">
        <v>6459</v>
      </c>
      <c r="C24" s="34"/>
      <c r="D24" s="34"/>
      <c r="E24" s="34"/>
      <c r="F24" s="34"/>
      <c r="G24" s="34"/>
      <c r="H24" s="34" t="s">
        <v>6460</v>
      </c>
      <c r="I24" s="34"/>
      <c r="J24" s="34"/>
      <c r="K24" s="34"/>
      <c r="L24" s="34"/>
      <c r="M24" s="34"/>
      <c r="N24" s="34"/>
      <c r="O24" s="34"/>
      <c r="P24" s="34"/>
    </row>
    <row r="25" spans="1:16" ht="13">
      <c r="A25" s="34"/>
      <c r="B25" s="34" t="s">
        <v>6461</v>
      </c>
      <c r="C25" s="34"/>
      <c r="D25" s="34"/>
      <c r="E25" s="34"/>
      <c r="F25" s="34"/>
      <c r="G25" s="34"/>
      <c r="H25" s="34" t="s">
        <v>6462</v>
      </c>
      <c r="I25" s="34"/>
      <c r="J25" s="34"/>
      <c r="K25" s="34"/>
      <c r="L25" s="34"/>
      <c r="M25" s="34"/>
      <c r="N25" s="34"/>
      <c r="O25" s="34"/>
      <c r="P25" s="34"/>
    </row>
    <row r="26" spans="1:16" ht="13">
      <c r="A26" s="34"/>
      <c r="B26" s="240" t="s">
        <v>6463</v>
      </c>
      <c r="C26" s="34"/>
      <c r="D26" s="34"/>
      <c r="E26" s="34"/>
      <c r="F26" s="34"/>
      <c r="G26" s="34"/>
      <c r="H26" s="34" t="s">
        <v>6464</v>
      </c>
      <c r="I26" s="34"/>
      <c r="J26" s="34"/>
      <c r="K26" s="34"/>
      <c r="L26" s="34"/>
      <c r="M26" s="34"/>
      <c r="N26" s="34"/>
      <c r="O26" s="34"/>
      <c r="P26" s="34"/>
    </row>
    <row r="27" spans="1:16" ht="13">
      <c r="A27" s="34"/>
      <c r="B27" s="241" t="s">
        <v>6465</v>
      </c>
      <c r="C27" s="34"/>
      <c r="D27" s="34"/>
      <c r="E27" s="34"/>
      <c r="F27" s="34"/>
      <c r="G27" s="34"/>
      <c r="H27" s="34" t="s">
        <v>6466</v>
      </c>
      <c r="I27" s="34"/>
      <c r="J27" s="34"/>
      <c r="K27" s="34"/>
      <c r="L27" s="34"/>
      <c r="M27" s="34"/>
      <c r="N27" s="34"/>
      <c r="O27" s="34"/>
      <c r="P27" s="34"/>
    </row>
    <row r="28" spans="1:16" ht="13">
      <c r="A28" s="34"/>
      <c r="B28" s="241" t="s">
        <v>6467</v>
      </c>
      <c r="C28" s="34"/>
      <c r="D28" s="34"/>
      <c r="E28" s="34"/>
      <c r="F28" s="34"/>
      <c r="G28" s="34"/>
      <c r="H28" s="34" t="s">
        <v>6468</v>
      </c>
      <c r="I28" s="34"/>
      <c r="J28" s="34"/>
      <c r="K28" s="34"/>
      <c r="L28" s="34"/>
      <c r="M28" s="34"/>
      <c r="N28" s="34"/>
      <c r="O28" s="34"/>
      <c r="P28" s="34"/>
    </row>
    <row r="29" spans="1:16" ht="13">
      <c r="A29" s="34"/>
      <c r="B29" s="241" t="s">
        <v>6469</v>
      </c>
      <c r="C29" s="34"/>
      <c r="D29" s="34"/>
      <c r="E29" s="34"/>
      <c r="F29" s="34"/>
      <c r="G29" s="34"/>
      <c r="H29" s="34" t="s">
        <v>6470</v>
      </c>
      <c r="I29" s="34"/>
      <c r="J29" s="34"/>
      <c r="K29" s="34"/>
      <c r="L29" s="34"/>
      <c r="M29" s="34"/>
      <c r="N29" s="34"/>
      <c r="O29" s="34"/>
      <c r="P29" s="34"/>
    </row>
    <row r="30" spans="1:16" ht="13">
      <c r="A30" s="34"/>
      <c r="B30" s="241" t="s">
        <v>6471</v>
      </c>
      <c r="C30" s="34"/>
      <c r="D30" s="34"/>
      <c r="E30" s="34"/>
      <c r="F30" s="34"/>
      <c r="G30" s="34"/>
      <c r="H30" s="34" t="s">
        <v>6472</v>
      </c>
      <c r="I30" s="34"/>
      <c r="J30" s="34"/>
      <c r="K30" s="34"/>
      <c r="L30" s="34"/>
      <c r="M30" s="34"/>
      <c r="N30" s="34"/>
      <c r="O30" s="34"/>
      <c r="P30" s="34"/>
    </row>
    <row r="31" spans="1:16" ht="13">
      <c r="A31" s="34"/>
      <c r="B31" s="241" t="s">
        <v>6473</v>
      </c>
      <c r="C31" s="34" t="s">
        <v>6474</v>
      </c>
      <c r="D31" s="34"/>
      <c r="E31" s="34"/>
      <c r="F31" s="34"/>
      <c r="G31" s="34"/>
      <c r="H31" s="34" t="s">
        <v>6475</v>
      </c>
      <c r="I31" s="34"/>
      <c r="J31" s="34"/>
      <c r="K31" s="34"/>
      <c r="L31" s="34"/>
      <c r="M31" s="34"/>
      <c r="N31" s="34"/>
      <c r="O31" s="34"/>
      <c r="P31" s="34"/>
    </row>
    <row r="32" spans="1:16" ht="13">
      <c r="A32" s="34"/>
      <c r="B32" s="241" t="s">
        <v>6476</v>
      </c>
      <c r="C32" s="34" t="s">
        <v>6474</v>
      </c>
      <c r="D32" s="34"/>
      <c r="E32" s="34"/>
      <c r="F32" s="34"/>
      <c r="G32" s="34"/>
      <c r="H32" s="34" t="s">
        <v>6477</v>
      </c>
      <c r="I32" s="34"/>
      <c r="J32" s="34"/>
      <c r="K32" s="34"/>
      <c r="L32" s="34"/>
      <c r="M32" s="34"/>
      <c r="N32" s="34"/>
      <c r="O32" s="34"/>
      <c r="P32" s="34"/>
    </row>
    <row r="33" spans="1:16" ht="13">
      <c r="A33" s="34"/>
      <c r="B33" s="34"/>
      <c r="C33" s="34"/>
      <c r="D33" s="34"/>
      <c r="E33" s="34"/>
      <c r="F33" s="34"/>
      <c r="G33" s="34"/>
      <c r="H33" s="34" t="s">
        <v>6478</v>
      </c>
      <c r="I33" s="34"/>
      <c r="J33" s="34"/>
      <c r="K33" s="34"/>
      <c r="L33" s="34"/>
      <c r="M33" s="34"/>
      <c r="N33" s="34"/>
      <c r="O33" s="34"/>
      <c r="P33" s="34"/>
    </row>
    <row r="34" spans="1:16" ht="13">
      <c r="A34" s="34"/>
      <c r="B34" s="239" t="s">
        <v>6479</v>
      </c>
      <c r="C34" s="34"/>
      <c r="D34" s="34"/>
      <c r="E34" s="239" t="s">
        <v>6480</v>
      </c>
      <c r="H34" s="34" t="s">
        <v>6481</v>
      </c>
      <c r="I34" s="34"/>
      <c r="J34" s="34"/>
      <c r="K34" s="34"/>
      <c r="L34" s="34"/>
      <c r="M34" s="34"/>
      <c r="N34" s="34"/>
      <c r="O34" s="34"/>
      <c r="P34" s="34"/>
    </row>
    <row r="35" spans="1:16" ht="22.5" customHeight="1">
      <c r="A35" s="34"/>
      <c r="B35" s="242" t="s">
        <v>6482</v>
      </c>
      <c r="C35" s="34" t="s">
        <v>6483</v>
      </c>
      <c r="D35" s="34"/>
      <c r="E35" s="263" t="s">
        <v>6484</v>
      </c>
      <c r="H35" s="34"/>
      <c r="I35" s="34"/>
      <c r="J35" s="34"/>
      <c r="K35" s="34"/>
      <c r="L35" s="34"/>
      <c r="M35" s="34"/>
      <c r="N35" s="34"/>
      <c r="O35" s="34"/>
      <c r="P35" s="34"/>
    </row>
    <row r="36" spans="1:16" ht="13">
      <c r="A36" s="34"/>
      <c r="B36" s="242" t="s">
        <v>6485</v>
      </c>
      <c r="C36" s="34"/>
      <c r="D36" s="34"/>
      <c r="E36" s="252"/>
      <c r="H36" s="34"/>
      <c r="I36" s="34"/>
      <c r="J36" s="34"/>
      <c r="K36" s="34"/>
      <c r="L36" s="34"/>
      <c r="M36" s="34"/>
      <c r="N36" s="34"/>
      <c r="O36" s="34"/>
      <c r="P36" s="34"/>
    </row>
    <row r="37" spans="1:16" ht="13">
      <c r="A37" s="34"/>
      <c r="B37" s="34" t="s">
        <v>6486</v>
      </c>
      <c r="C37" s="34"/>
      <c r="D37" s="34"/>
      <c r="E37" s="252"/>
      <c r="H37" s="34"/>
      <c r="I37" s="34"/>
      <c r="J37" s="34"/>
      <c r="K37" s="34"/>
      <c r="L37" s="34"/>
      <c r="M37" s="34"/>
      <c r="N37" s="34"/>
      <c r="O37" s="34"/>
      <c r="P37" s="34"/>
    </row>
    <row r="38" spans="1:16" ht="13">
      <c r="A38" s="34"/>
      <c r="B38" s="34" t="s">
        <v>6487</v>
      </c>
      <c r="C38" s="34"/>
      <c r="D38" s="34"/>
      <c r="E38" s="252"/>
      <c r="H38" s="34"/>
      <c r="I38" s="34"/>
      <c r="J38" s="34"/>
      <c r="K38" s="34"/>
      <c r="L38" s="34"/>
      <c r="M38" s="34"/>
      <c r="N38" s="34"/>
      <c r="O38" s="34"/>
      <c r="P38" s="34"/>
    </row>
    <row r="39" spans="1:16" ht="13">
      <c r="A39" s="34"/>
      <c r="B39" s="242" t="s">
        <v>6488</v>
      </c>
      <c r="C39" s="34"/>
      <c r="D39" s="34"/>
      <c r="E39" s="252"/>
      <c r="H39" s="34"/>
      <c r="I39" s="34"/>
      <c r="J39" s="34"/>
      <c r="K39" s="34"/>
      <c r="L39" s="34"/>
      <c r="M39" s="34"/>
      <c r="N39" s="34"/>
      <c r="O39" s="34"/>
      <c r="P39" s="34"/>
    </row>
    <row r="40" spans="1:16" ht="13">
      <c r="A40" s="34"/>
      <c r="B40" s="34" t="s">
        <v>6489</v>
      </c>
      <c r="C40" s="34"/>
      <c r="D40" s="34"/>
      <c r="E40" s="252"/>
      <c r="H40" s="34"/>
      <c r="I40" s="34"/>
      <c r="J40" s="34"/>
      <c r="K40" s="34"/>
      <c r="L40" s="34"/>
      <c r="M40" s="34"/>
      <c r="N40" s="34"/>
      <c r="O40" s="34"/>
      <c r="P40" s="34"/>
    </row>
    <row r="41" spans="1:16" ht="13">
      <c r="A41" s="34"/>
      <c r="B41" s="34" t="s">
        <v>6490</v>
      </c>
      <c r="C41" s="34"/>
      <c r="D41" s="34"/>
      <c r="E41" s="252"/>
      <c r="H41" s="34"/>
      <c r="I41" s="34"/>
      <c r="J41" s="34"/>
      <c r="K41" s="34"/>
      <c r="L41" s="34"/>
      <c r="M41" s="34"/>
      <c r="N41" s="34"/>
      <c r="O41" s="34"/>
      <c r="P41" s="34"/>
    </row>
    <row r="42" spans="1:16" ht="13">
      <c r="A42" s="34"/>
      <c r="B42" s="34" t="s">
        <v>6491</v>
      </c>
      <c r="C42" s="34"/>
      <c r="D42" s="34"/>
      <c r="E42" s="252"/>
      <c r="H42" s="34"/>
      <c r="I42" s="34"/>
      <c r="J42" s="34"/>
      <c r="K42" s="34"/>
      <c r="L42" s="34"/>
      <c r="M42" s="34"/>
      <c r="N42" s="34"/>
      <c r="O42" s="34"/>
      <c r="P42" s="34"/>
    </row>
    <row r="43" spans="1:16" ht="13">
      <c r="A43" s="34"/>
      <c r="B43" s="242" t="s">
        <v>6492</v>
      </c>
      <c r="C43" s="34"/>
      <c r="D43" s="34"/>
      <c r="E43" s="252"/>
      <c r="H43" s="34"/>
      <c r="I43" s="34"/>
      <c r="J43" s="34"/>
      <c r="K43" s="34"/>
      <c r="L43" s="34"/>
      <c r="M43" s="34"/>
      <c r="N43" s="34"/>
      <c r="O43" s="34"/>
      <c r="P43" s="34"/>
    </row>
    <row r="44" spans="1:16" ht="13">
      <c r="A44" s="34"/>
      <c r="B44" s="240" t="s">
        <v>6493</v>
      </c>
      <c r="C44" s="34"/>
      <c r="D44" s="34"/>
      <c r="E44" s="252"/>
      <c r="H44" s="34"/>
      <c r="I44" s="34"/>
      <c r="J44" s="34"/>
      <c r="K44" s="34"/>
      <c r="L44" s="34"/>
      <c r="M44" s="34"/>
      <c r="N44" s="34"/>
      <c r="O44" s="34"/>
      <c r="P44" s="34"/>
    </row>
    <row r="45" spans="1:16" ht="13">
      <c r="A45" s="34"/>
      <c r="B45" s="34"/>
      <c r="C45" s="34"/>
      <c r="D45" s="34"/>
      <c r="H45" s="34"/>
      <c r="I45" s="34"/>
      <c r="J45" s="34"/>
      <c r="K45" s="34"/>
      <c r="L45" s="34"/>
      <c r="M45" s="34"/>
      <c r="N45" s="34"/>
      <c r="O45" s="34"/>
      <c r="P45" s="34"/>
    </row>
    <row r="46" spans="1:16" ht="13">
      <c r="A46" s="34"/>
      <c r="B46" s="34"/>
      <c r="C46" s="34"/>
      <c r="D46" s="34"/>
      <c r="H46" s="34"/>
      <c r="I46" s="34"/>
      <c r="J46" s="34"/>
      <c r="K46" s="34"/>
      <c r="L46" s="34"/>
      <c r="M46" s="34"/>
      <c r="N46" s="34"/>
      <c r="O46" s="34"/>
      <c r="P46" s="34"/>
    </row>
    <row r="47" spans="1:16" ht="13">
      <c r="A47" s="34"/>
      <c r="B47" s="34"/>
      <c r="C47" s="34"/>
      <c r="D47" s="34"/>
      <c r="H47" s="34"/>
      <c r="I47" s="34"/>
      <c r="J47" s="34"/>
      <c r="K47" s="34"/>
      <c r="L47" s="34"/>
      <c r="M47" s="34"/>
      <c r="N47" s="34"/>
      <c r="O47" s="34"/>
      <c r="P47" s="34"/>
    </row>
    <row r="48" spans="1:16" ht="13">
      <c r="A48" s="34"/>
      <c r="B48" s="34"/>
      <c r="C48" s="34"/>
      <c r="D48" s="34"/>
      <c r="H48" s="34"/>
      <c r="I48" s="34"/>
      <c r="J48" s="34"/>
      <c r="K48" s="34"/>
      <c r="L48" s="34"/>
      <c r="M48" s="34"/>
      <c r="N48" s="34"/>
      <c r="O48" s="34"/>
      <c r="P48" s="34"/>
    </row>
    <row r="49" spans="1:16" ht="13">
      <c r="A49" s="34"/>
      <c r="B49" s="34"/>
      <c r="C49" s="34"/>
      <c r="D49" s="34"/>
      <c r="H49" s="34"/>
      <c r="I49" s="34"/>
      <c r="J49" s="34"/>
      <c r="K49" s="34"/>
      <c r="L49" s="34"/>
      <c r="M49" s="34"/>
      <c r="N49" s="34"/>
      <c r="O49" s="34"/>
      <c r="P49" s="34"/>
    </row>
    <row r="50" spans="1:16" ht="13">
      <c r="A50" s="34"/>
      <c r="B50" s="34"/>
      <c r="C50" s="34"/>
      <c r="D50" s="34"/>
      <c r="E50" s="34"/>
      <c r="F50" s="34"/>
      <c r="G50" s="34"/>
      <c r="H50" s="34"/>
      <c r="I50" s="34"/>
      <c r="J50" s="34"/>
      <c r="K50" s="34"/>
      <c r="L50" s="34"/>
      <c r="M50" s="34"/>
      <c r="N50" s="34"/>
      <c r="O50" s="34"/>
      <c r="P50" s="34"/>
    </row>
    <row r="51" spans="1:16" ht="13">
      <c r="A51" s="34"/>
      <c r="B51" s="34"/>
      <c r="C51" s="34"/>
      <c r="D51" s="34"/>
      <c r="F51" s="34"/>
      <c r="G51" s="34"/>
      <c r="H51" s="34"/>
      <c r="I51" s="34"/>
      <c r="J51" s="34"/>
      <c r="K51" s="34"/>
      <c r="L51" s="34"/>
      <c r="M51" s="34"/>
      <c r="N51" s="34"/>
      <c r="O51" s="34"/>
      <c r="P51" s="34"/>
    </row>
    <row r="52" spans="1:16" ht="13">
      <c r="A52" s="34"/>
      <c r="B52" s="34"/>
      <c r="C52" s="34"/>
      <c r="D52" s="34"/>
      <c r="F52" s="34"/>
      <c r="G52" s="34"/>
      <c r="H52" s="34"/>
      <c r="I52" s="34"/>
      <c r="J52" s="34"/>
      <c r="K52" s="34"/>
      <c r="L52" s="34"/>
      <c r="M52" s="34"/>
      <c r="N52" s="34"/>
      <c r="O52" s="34"/>
      <c r="P52" s="34"/>
    </row>
    <row r="53" spans="1:16" ht="13">
      <c r="A53" s="34"/>
      <c r="B53" s="34"/>
      <c r="C53" s="34"/>
      <c r="D53" s="34"/>
      <c r="E53" s="34"/>
      <c r="F53" s="34"/>
      <c r="G53" s="34"/>
      <c r="H53" s="34"/>
      <c r="I53" s="34"/>
      <c r="J53" s="34"/>
      <c r="K53" s="34"/>
      <c r="L53" s="34"/>
      <c r="M53" s="34"/>
      <c r="N53" s="34"/>
      <c r="O53" s="34"/>
      <c r="P53" s="34"/>
    </row>
    <row r="54" spans="1:16" ht="13">
      <c r="A54" s="34"/>
      <c r="B54" s="34"/>
      <c r="C54" s="34"/>
      <c r="D54" s="34"/>
      <c r="E54" s="34"/>
      <c r="F54" s="34"/>
      <c r="G54" s="34"/>
      <c r="H54" s="34"/>
      <c r="I54" s="34"/>
      <c r="J54" s="34"/>
      <c r="K54" s="34"/>
      <c r="L54" s="34"/>
      <c r="M54" s="34"/>
      <c r="N54" s="34"/>
      <c r="O54" s="34"/>
      <c r="P54" s="34"/>
    </row>
    <row r="55" spans="1:16" ht="13">
      <c r="A55" s="34"/>
      <c r="B55" s="34"/>
      <c r="C55" s="34"/>
      <c r="D55" s="34"/>
      <c r="E55" s="34"/>
      <c r="F55" s="34"/>
      <c r="G55" s="34"/>
      <c r="H55" s="34"/>
      <c r="I55" s="34"/>
      <c r="J55" s="34"/>
      <c r="K55" s="34"/>
      <c r="L55" s="34"/>
      <c r="M55" s="34"/>
      <c r="N55" s="34"/>
      <c r="O55" s="34"/>
      <c r="P55" s="34"/>
    </row>
    <row r="56" spans="1:16" ht="13">
      <c r="A56" s="34"/>
      <c r="B56" s="34"/>
      <c r="C56" s="34"/>
      <c r="D56" s="34"/>
      <c r="E56" s="34"/>
      <c r="F56" s="34"/>
      <c r="G56" s="34"/>
      <c r="H56" s="34"/>
      <c r="I56" s="34"/>
      <c r="J56" s="34"/>
      <c r="K56" s="34"/>
      <c r="L56" s="34"/>
      <c r="M56" s="34"/>
      <c r="N56" s="34"/>
      <c r="O56" s="34"/>
      <c r="P56" s="34"/>
    </row>
    <row r="57" spans="1:16" ht="13">
      <c r="A57" s="34"/>
      <c r="B57" s="34"/>
      <c r="C57" s="34"/>
      <c r="D57" s="34"/>
      <c r="E57" s="34"/>
      <c r="F57" s="34"/>
      <c r="G57" s="34"/>
      <c r="H57" s="34"/>
      <c r="I57" s="34"/>
      <c r="J57" s="34"/>
      <c r="K57" s="34"/>
      <c r="L57" s="34"/>
      <c r="M57" s="34"/>
      <c r="N57" s="34"/>
      <c r="O57" s="34"/>
      <c r="P57" s="34"/>
    </row>
    <row r="58" spans="1:16" ht="13">
      <c r="A58" s="34"/>
      <c r="B58" s="34"/>
      <c r="C58" s="34"/>
      <c r="D58" s="34"/>
      <c r="E58" s="34"/>
      <c r="F58" s="34"/>
      <c r="G58" s="34"/>
      <c r="H58" s="34"/>
      <c r="I58" s="34"/>
      <c r="J58" s="34"/>
      <c r="K58" s="34"/>
      <c r="L58" s="34"/>
      <c r="M58" s="34"/>
      <c r="N58" s="34"/>
      <c r="O58" s="34"/>
      <c r="P58" s="34"/>
    </row>
    <row r="59" spans="1:16" ht="13">
      <c r="A59" s="34"/>
      <c r="B59" s="34"/>
      <c r="C59" s="34"/>
      <c r="D59" s="34"/>
      <c r="E59" s="34"/>
      <c r="F59" s="34"/>
      <c r="G59" s="34"/>
      <c r="H59" s="34"/>
      <c r="I59" s="34"/>
      <c r="J59" s="34"/>
      <c r="K59" s="34"/>
      <c r="L59" s="34"/>
      <c r="M59" s="34"/>
      <c r="N59" s="34"/>
      <c r="O59" s="34"/>
      <c r="P59" s="34"/>
    </row>
    <row r="60" spans="1:16" ht="13">
      <c r="A60" s="34"/>
      <c r="B60" s="34"/>
      <c r="C60" s="34"/>
      <c r="D60" s="34"/>
      <c r="E60" s="34"/>
      <c r="F60" s="34"/>
      <c r="G60" s="34"/>
      <c r="H60" s="34"/>
      <c r="I60" s="34"/>
      <c r="J60" s="34"/>
      <c r="K60" s="34"/>
      <c r="L60" s="34"/>
      <c r="M60" s="34"/>
      <c r="N60" s="34"/>
      <c r="O60" s="34"/>
      <c r="P60" s="34"/>
    </row>
    <row r="61" spans="1:16" ht="13">
      <c r="A61" s="34"/>
      <c r="B61" s="34"/>
      <c r="C61" s="34"/>
      <c r="D61" s="34"/>
      <c r="E61" s="34"/>
      <c r="F61" s="34"/>
      <c r="G61" s="34"/>
      <c r="H61" s="34"/>
      <c r="I61" s="34"/>
      <c r="J61" s="34"/>
      <c r="K61" s="34"/>
      <c r="L61" s="34"/>
      <c r="M61" s="34"/>
      <c r="N61" s="34"/>
      <c r="O61" s="34"/>
      <c r="P61" s="34"/>
    </row>
    <row r="62" spans="1:16" ht="13">
      <c r="A62" s="34"/>
      <c r="B62" s="34"/>
      <c r="C62" s="34"/>
      <c r="D62" s="34"/>
      <c r="E62" s="34"/>
      <c r="F62" s="34"/>
      <c r="G62" s="34"/>
      <c r="H62" s="34"/>
      <c r="I62" s="34"/>
      <c r="J62" s="34"/>
      <c r="K62" s="34"/>
      <c r="L62" s="34"/>
      <c r="M62" s="34"/>
      <c r="N62" s="34"/>
      <c r="O62" s="34"/>
      <c r="P62" s="34"/>
    </row>
    <row r="63" spans="1:16" ht="13">
      <c r="A63" s="34"/>
      <c r="B63" s="34"/>
      <c r="C63" s="34"/>
      <c r="D63" s="34"/>
      <c r="E63" s="34"/>
      <c r="F63" s="34"/>
      <c r="G63" s="34"/>
      <c r="H63" s="34"/>
      <c r="I63" s="34"/>
      <c r="J63" s="34"/>
      <c r="K63" s="34"/>
      <c r="L63" s="34"/>
      <c r="M63" s="34"/>
      <c r="N63" s="34"/>
      <c r="O63" s="34"/>
      <c r="P63" s="34"/>
    </row>
    <row r="64" spans="1:16" ht="13">
      <c r="A64" s="34"/>
      <c r="B64" s="34"/>
      <c r="C64" s="34"/>
      <c r="D64" s="34"/>
      <c r="E64" s="34"/>
      <c r="F64" s="34"/>
      <c r="G64" s="34"/>
      <c r="H64" s="34"/>
      <c r="I64" s="34"/>
      <c r="J64" s="34"/>
      <c r="K64" s="34"/>
      <c r="L64" s="34"/>
      <c r="M64" s="34"/>
      <c r="N64" s="34"/>
      <c r="O64" s="34"/>
      <c r="P64" s="34"/>
    </row>
    <row r="65" spans="1:16" ht="13">
      <c r="A65" s="34"/>
      <c r="B65" s="34"/>
      <c r="C65" s="34"/>
      <c r="D65" s="34"/>
      <c r="E65" s="34"/>
      <c r="F65" s="34"/>
      <c r="G65" s="34"/>
      <c r="H65" s="34"/>
      <c r="I65" s="34"/>
      <c r="J65" s="34"/>
      <c r="K65" s="34"/>
      <c r="L65" s="34"/>
      <c r="M65" s="34"/>
      <c r="N65" s="34"/>
      <c r="O65" s="34"/>
      <c r="P65" s="34"/>
    </row>
    <row r="66" spans="1:16" ht="13">
      <c r="A66" s="34"/>
      <c r="B66" s="34"/>
      <c r="C66" s="34"/>
      <c r="D66" s="34"/>
      <c r="E66" s="34"/>
      <c r="F66" s="34"/>
      <c r="G66" s="34"/>
      <c r="H66" s="34"/>
      <c r="I66" s="34"/>
      <c r="J66" s="34"/>
      <c r="K66" s="34"/>
      <c r="L66" s="34"/>
      <c r="M66" s="34"/>
      <c r="N66" s="34"/>
      <c r="O66" s="34"/>
      <c r="P66" s="34"/>
    </row>
    <row r="67" spans="1:16" ht="13">
      <c r="A67" s="34"/>
      <c r="B67" s="34"/>
      <c r="C67" s="34"/>
      <c r="D67" s="34"/>
      <c r="E67" s="34"/>
      <c r="F67" s="34"/>
      <c r="G67" s="34"/>
      <c r="H67" s="34"/>
      <c r="I67" s="34"/>
      <c r="J67" s="34"/>
      <c r="K67" s="34"/>
      <c r="L67" s="34"/>
      <c r="M67" s="34"/>
      <c r="N67" s="34"/>
      <c r="O67" s="34"/>
      <c r="P67" s="34"/>
    </row>
    <row r="68" spans="1:16" ht="13">
      <c r="A68" s="34"/>
      <c r="B68" s="34"/>
      <c r="C68" s="34"/>
      <c r="D68" s="34"/>
      <c r="E68" s="34"/>
      <c r="F68" s="34"/>
      <c r="G68" s="34"/>
      <c r="H68" s="34"/>
      <c r="I68" s="34"/>
      <c r="J68" s="34"/>
      <c r="K68" s="34"/>
      <c r="L68" s="34"/>
      <c r="M68" s="34"/>
      <c r="N68" s="34"/>
      <c r="O68" s="34"/>
      <c r="P68" s="34"/>
    </row>
    <row r="69" spans="1:16" ht="13">
      <c r="A69" s="34"/>
      <c r="B69" s="34"/>
      <c r="C69" s="34"/>
      <c r="D69" s="34"/>
      <c r="E69" s="34"/>
      <c r="F69" s="34"/>
      <c r="G69" s="34"/>
      <c r="H69" s="34"/>
      <c r="I69" s="34"/>
      <c r="J69" s="34"/>
      <c r="K69" s="34"/>
      <c r="L69" s="34"/>
      <c r="M69" s="34"/>
      <c r="N69" s="34"/>
      <c r="O69" s="34"/>
      <c r="P69" s="34"/>
    </row>
    <row r="70" spans="1:16" ht="13">
      <c r="A70" s="34"/>
      <c r="B70" s="34"/>
      <c r="C70" s="34"/>
      <c r="D70" s="34"/>
      <c r="E70" s="34"/>
      <c r="F70" s="34"/>
      <c r="G70" s="34"/>
      <c r="H70" s="34"/>
      <c r="I70" s="34"/>
      <c r="J70" s="34"/>
      <c r="K70" s="34"/>
      <c r="L70" s="34"/>
      <c r="M70" s="34"/>
      <c r="N70" s="34"/>
      <c r="O70" s="34"/>
      <c r="P70" s="34"/>
    </row>
    <row r="71" spans="1:16" ht="13">
      <c r="A71" s="34"/>
      <c r="B71" s="34"/>
      <c r="C71" s="34"/>
      <c r="D71" s="34"/>
      <c r="E71" s="34"/>
      <c r="F71" s="34"/>
      <c r="G71" s="34"/>
      <c r="H71" s="34"/>
      <c r="I71" s="34"/>
      <c r="J71" s="34"/>
      <c r="K71" s="34"/>
      <c r="L71" s="34"/>
      <c r="M71" s="34"/>
      <c r="N71" s="34"/>
      <c r="O71" s="34"/>
      <c r="P71" s="34"/>
    </row>
    <row r="72" spans="1:16" ht="13">
      <c r="A72" s="34"/>
      <c r="B72" s="34"/>
      <c r="C72" s="34"/>
      <c r="D72" s="34"/>
      <c r="E72" s="34"/>
      <c r="F72" s="34"/>
      <c r="G72" s="34"/>
      <c r="H72" s="34"/>
      <c r="I72" s="34"/>
      <c r="J72" s="34"/>
      <c r="K72" s="34"/>
      <c r="L72" s="34"/>
      <c r="M72" s="34"/>
      <c r="N72" s="34"/>
      <c r="O72" s="34"/>
      <c r="P72" s="34"/>
    </row>
    <row r="73" spans="1:16" ht="13">
      <c r="A73" s="34"/>
      <c r="B73" s="34"/>
      <c r="C73" s="34"/>
      <c r="D73" s="34"/>
      <c r="E73" s="34"/>
      <c r="F73" s="34"/>
      <c r="G73" s="34"/>
      <c r="H73" s="34"/>
      <c r="I73" s="34"/>
      <c r="J73" s="34"/>
      <c r="K73" s="34"/>
      <c r="L73" s="34"/>
      <c r="M73" s="34"/>
      <c r="N73" s="34"/>
      <c r="O73" s="34"/>
      <c r="P73" s="34"/>
    </row>
    <row r="74" spans="1:16" ht="13">
      <c r="A74" s="34"/>
      <c r="B74" s="34"/>
      <c r="C74" s="34"/>
      <c r="D74" s="34"/>
      <c r="E74" s="34"/>
      <c r="F74" s="34"/>
      <c r="G74" s="34"/>
      <c r="H74" s="34"/>
      <c r="I74" s="34"/>
      <c r="J74" s="34"/>
      <c r="K74" s="34"/>
      <c r="L74" s="34"/>
      <c r="M74" s="34"/>
      <c r="N74" s="34"/>
      <c r="O74" s="34"/>
      <c r="P74" s="34"/>
    </row>
    <row r="75" spans="1:16" ht="13">
      <c r="A75" s="34"/>
      <c r="B75" s="34"/>
      <c r="C75" s="34"/>
      <c r="D75" s="34"/>
      <c r="E75" s="34"/>
      <c r="F75" s="34"/>
      <c r="G75" s="34"/>
      <c r="H75" s="34"/>
      <c r="I75" s="34"/>
      <c r="J75" s="34"/>
      <c r="K75" s="34"/>
      <c r="L75" s="34"/>
      <c r="M75" s="34"/>
      <c r="N75" s="34"/>
      <c r="O75" s="34"/>
      <c r="P75" s="34"/>
    </row>
    <row r="76" spans="1:16" ht="13">
      <c r="A76" s="34"/>
      <c r="B76" s="34"/>
      <c r="C76" s="34"/>
      <c r="D76" s="34"/>
      <c r="E76" s="34"/>
      <c r="F76" s="34"/>
      <c r="G76" s="34"/>
      <c r="H76" s="34"/>
      <c r="I76" s="34"/>
      <c r="J76" s="34"/>
      <c r="K76" s="34"/>
      <c r="L76" s="34"/>
      <c r="M76" s="34"/>
      <c r="N76" s="34"/>
      <c r="O76" s="34"/>
      <c r="P76" s="34"/>
    </row>
    <row r="77" spans="1:16" ht="13">
      <c r="A77" s="34"/>
      <c r="B77" s="34"/>
      <c r="C77" s="34"/>
      <c r="D77" s="34"/>
      <c r="E77" s="34"/>
      <c r="F77" s="34"/>
      <c r="G77" s="34"/>
      <c r="H77" s="34"/>
      <c r="I77" s="34"/>
      <c r="J77" s="34"/>
      <c r="K77" s="34"/>
      <c r="L77" s="34"/>
      <c r="M77" s="34"/>
      <c r="N77" s="34"/>
      <c r="O77" s="34"/>
      <c r="P77" s="34"/>
    </row>
    <row r="78" spans="1:16" ht="13">
      <c r="A78" s="34"/>
      <c r="B78" s="34"/>
      <c r="C78" s="34"/>
      <c r="D78" s="34"/>
      <c r="E78" s="34"/>
      <c r="F78" s="34"/>
      <c r="G78" s="34"/>
      <c r="H78" s="34"/>
      <c r="I78" s="34"/>
      <c r="J78" s="34"/>
      <c r="K78" s="34"/>
      <c r="L78" s="34"/>
      <c r="M78" s="34"/>
      <c r="N78" s="34"/>
      <c r="O78" s="34"/>
      <c r="P78" s="34"/>
    </row>
    <row r="79" spans="1:16" ht="13">
      <c r="A79" s="34"/>
      <c r="B79" s="34"/>
      <c r="C79" s="34"/>
      <c r="D79" s="34"/>
      <c r="E79" s="34"/>
      <c r="F79" s="34"/>
      <c r="G79" s="34"/>
      <c r="H79" s="34"/>
      <c r="I79" s="34"/>
      <c r="J79" s="34"/>
      <c r="K79" s="34"/>
      <c r="L79" s="34"/>
      <c r="M79" s="34"/>
      <c r="N79" s="34"/>
      <c r="O79" s="34"/>
      <c r="P79" s="34"/>
    </row>
    <row r="80" spans="1:16" ht="13">
      <c r="A80" s="34"/>
      <c r="B80" s="34"/>
      <c r="C80" s="34"/>
      <c r="D80" s="34"/>
      <c r="E80" s="34"/>
      <c r="F80" s="34"/>
      <c r="G80" s="34"/>
      <c r="H80" s="34"/>
      <c r="I80" s="34"/>
      <c r="J80" s="34"/>
      <c r="K80" s="34"/>
      <c r="L80" s="34"/>
      <c r="M80" s="34"/>
      <c r="N80" s="34"/>
      <c r="O80" s="34"/>
      <c r="P80" s="34"/>
    </row>
    <row r="81" spans="1:16" ht="13">
      <c r="A81" s="34"/>
      <c r="B81" s="34"/>
      <c r="C81" s="34"/>
      <c r="D81" s="34"/>
      <c r="E81" s="34"/>
      <c r="F81" s="34"/>
      <c r="G81" s="34"/>
      <c r="H81" s="34"/>
      <c r="I81" s="34"/>
      <c r="J81" s="34"/>
      <c r="K81" s="34"/>
      <c r="L81" s="34"/>
      <c r="M81" s="34"/>
      <c r="N81" s="34"/>
      <c r="O81" s="34"/>
      <c r="P81" s="34"/>
    </row>
    <row r="82" spans="1:16" ht="13">
      <c r="A82" s="34"/>
      <c r="B82" s="34"/>
      <c r="C82" s="34"/>
      <c r="D82" s="34"/>
      <c r="E82" s="34"/>
      <c r="F82" s="34"/>
      <c r="G82" s="34"/>
      <c r="H82" s="34"/>
      <c r="I82" s="34"/>
      <c r="J82" s="34"/>
      <c r="K82" s="34"/>
      <c r="L82" s="34"/>
      <c r="M82" s="34"/>
      <c r="N82" s="34"/>
      <c r="O82" s="34"/>
      <c r="P82" s="34"/>
    </row>
    <row r="83" spans="1:16" ht="13">
      <c r="A83" s="34"/>
      <c r="B83" s="34"/>
      <c r="C83" s="34"/>
      <c r="D83" s="34"/>
      <c r="E83" s="34"/>
      <c r="F83" s="34"/>
      <c r="G83" s="34"/>
      <c r="H83" s="34"/>
      <c r="I83" s="34"/>
      <c r="J83" s="34"/>
      <c r="K83" s="34"/>
      <c r="L83" s="34"/>
      <c r="M83" s="34"/>
      <c r="N83" s="34"/>
      <c r="O83" s="34"/>
      <c r="P83" s="34"/>
    </row>
    <row r="84" spans="1:16" ht="13">
      <c r="A84" s="34"/>
      <c r="B84" s="34"/>
      <c r="C84" s="34"/>
      <c r="D84" s="34"/>
      <c r="E84" s="34"/>
      <c r="F84" s="34"/>
      <c r="G84" s="34"/>
      <c r="H84" s="34"/>
      <c r="I84" s="34"/>
      <c r="J84" s="34"/>
      <c r="K84" s="34"/>
      <c r="L84" s="34"/>
      <c r="M84" s="34"/>
      <c r="N84" s="34"/>
      <c r="O84" s="34"/>
      <c r="P84" s="34"/>
    </row>
    <row r="85" spans="1:16" ht="13">
      <c r="A85" s="34"/>
      <c r="B85" s="34"/>
      <c r="C85" s="34"/>
      <c r="D85" s="34"/>
      <c r="E85" s="34"/>
      <c r="F85" s="34"/>
      <c r="G85" s="34"/>
      <c r="H85" s="34"/>
      <c r="I85" s="34"/>
      <c r="J85" s="34"/>
      <c r="K85" s="34"/>
      <c r="L85" s="34"/>
      <c r="M85" s="34"/>
      <c r="N85" s="34"/>
      <c r="O85" s="34"/>
      <c r="P85" s="34"/>
    </row>
    <row r="86" spans="1:16" ht="13">
      <c r="A86" s="34"/>
      <c r="B86" s="34"/>
      <c r="C86" s="34"/>
      <c r="D86" s="34"/>
      <c r="E86" s="34"/>
      <c r="F86" s="34"/>
      <c r="G86" s="34"/>
      <c r="H86" s="34"/>
      <c r="I86" s="34"/>
      <c r="J86" s="34"/>
      <c r="K86" s="34"/>
      <c r="L86" s="34"/>
      <c r="M86" s="34"/>
      <c r="N86" s="34"/>
      <c r="O86" s="34"/>
      <c r="P86" s="34"/>
    </row>
    <row r="87" spans="1:16" ht="13">
      <c r="A87" s="34"/>
      <c r="B87" s="34"/>
      <c r="C87" s="34"/>
      <c r="D87" s="34"/>
      <c r="E87" s="34"/>
      <c r="F87" s="34"/>
      <c r="G87" s="34"/>
      <c r="H87" s="34"/>
      <c r="I87" s="34"/>
      <c r="J87" s="34"/>
      <c r="K87" s="34"/>
      <c r="L87" s="34"/>
      <c r="M87" s="34"/>
      <c r="N87" s="34"/>
      <c r="O87" s="34"/>
      <c r="P87" s="34"/>
    </row>
    <row r="88" spans="1:16" ht="13">
      <c r="A88" s="34"/>
      <c r="B88" s="34"/>
      <c r="C88" s="34"/>
      <c r="D88" s="34"/>
      <c r="E88" s="34"/>
      <c r="F88" s="34"/>
      <c r="G88" s="34"/>
      <c r="H88" s="34"/>
      <c r="I88" s="34"/>
      <c r="J88" s="34"/>
      <c r="K88" s="34"/>
      <c r="L88" s="34"/>
      <c r="M88" s="34"/>
      <c r="N88" s="34"/>
      <c r="O88" s="34"/>
      <c r="P88" s="34"/>
    </row>
    <row r="89" spans="1:16" ht="13">
      <c r="A89" s="34"/>
      <c r="B89" s="34"/>
      <c r="C89" s="34"/>
      <c r="D89" s="34"/>
      <c r="E89" s="34"/>
      <c r="F89" s="34"/>
      <c r="G89" s="34"/>
      <c r="H89" s="34"/>
      <c r="I89" s="34"/>
      <c r="J89" s="34"/>
      <c r="K89" s="34"/>
      <c r="L89" s="34"/>
      <c r="M89" s="34"/>
      <c r="N89" s="34"/>
      <c r="O89" s="34"/>
      <c r="P89" s="34"/>
    </row>
    <row r="90" spans="1:16" ht="13">
      <c r="A90" s="34"/>
      <c r="B90" s="34"/>
      <c r="C90" s="34"/>
      <c r="D90" s="34"/>
      <c r="E90" s="34"/>
      <c r="F90" s="34"/>
      <c r="G90" s="34"/>
      <c r="H90" s="34"/>
      <c r="I90" s="34"/>
      <c r="J90" s="34"/>
      <c r="K90" s="34"/>
      <c r="L90" s="34"/>
      <c r="M90" s="34"/>
      <c r="N90" s="34"/>
      <c r="O90" s="34"/>
      <c r="P90" s="34"/>
    </row>
    <row r="91" spans="1:16" ht="13">
      <c r="A91" s="34"/>
      <c r="B91" s="34"/>
      <c r="C91" s="34"/>
      <c r="D91" s="34"/>
      <c r="E91" s="34"/>
      <c r="F91" s="34"/>
      <c r="G91" s="34"/>
      <c r="H91" s="34"/>
      <c r="I91" s="34"/>
      <c r="J91" s="34"/>
      <c r="K91" s="34"/>
      <c r="L91" s="34"/>
      <c r="M91" s="34"/>
      <c r="N91" s="34"/>
      <c r="O91" s="34"/>
      <c r="P91" s="34"/>
    </row>
    <row r="92" spans="1:16" ht="13">
      <c r="A92" s="34"/>
      <c r="B92" s="34"/>
      <c r="C92" s="34"/>
      <c r="D92" s="34"/>
      <c r="E92" s="34"/>
      <c r="F92" s="34"/>
      <c r="G92" s="34"/>
      <c r="H92" s="34"/>
      <c r="I92" s="34"/>
      <c r="J92" s="34"/>
      <c r="K92" s="34"/>
      <c r="L92" s="34"/>
      <c r="M92" s="34"/>
      <c r="N92" s="34"/>
      <c r="O92" s="34"/>
      <c r="P92" s="34"/>
    </row>
    <row r="93" spans="1:16" ht="13">
      <c r="A93" s="34"/>
      <c r="B93" s="34"/>
      <c r="C93" s="34"/>
      <c r="D93" s="34"/>
      <c r="E93" s="34"/>
      <c r="F93" s="34"/>
      <c r="G93" s="34"/>
      <c r="H93" s="34"/>
      <c r="I93" s="34"/>
      <c r="J93" s="34"/>
      <c r="K93" s="34"/>
      <c r="L93" s="34"/>
      <c r="M93" s="34"/>
      <c r="N93" s="34"/>
      <c r="O93" s="34"/>
      <c r="P93" s="34"/>
    </row>
    <row r="94" spans="1:16" ht="13">
      <c r="A94" s="34"/>
      <c r="B94" s="34"/>
      <c r="C94" s="34"/>
      <c r="D94" s="34"/>
      <c r="E94" s="34"/>
      <c r="F94" s="34"/>
      <c r="G94" s="34"/>
      <c r="H94" s="34"/>
      <c r="I94" s="34"/>
      <c r="J94" s="34"/>
      <c r="K94" s="34"/>
      <c r="L94" s="34"/>
      <c r="M94" s="34"/>
      <c r="N94" s="34"/>
      <c r="O94" s="34"/>
      <c r="P94" s="34"/>
    </row>
    <row r="95" spans="1:16" ht="13">
      <c r="A95" s="34"/>
      <c r="B95" s="34"/>
      <c r="C95" s="34"/>
      <c r="D95" s="34"/>
      <c r="E95" s="34"/>
      <c r="F95" s="34"/>
      <c r="G95" s="34"/>
      <c r="H95" s="34"/>
      <c r="I95" s="34"/>
      <c r="J95" s="34"/>
      <c r="K95" s="34"/>
      <c r="L95" s="34"/>
      <c r="M95" s="34"/>
      <c r="N95" s="34"/>
      <c r="O95" s="34"/>
      <c r="P95" s="34"/>
    </row>
    <row r="96" spans="1:16" ht="13">
      <c r="A96" s="34"/>
      <c r="B96" s="34"/>
      <c r="C96" s="34"/>
      <c r="D96" s="34"/>
      <c r="E96" s="34"/>
      <c r="F96" s="34"/>
      <c r="G96" s="34"/>
      <c r="H96" s="34"/>
      <c r="I96" s="34"/>
      <c r="J96" s="34"/>
      <c r="K96" s="34"/>
      <c r="L96" s="34"/>
      <c r="M96" s="34"/>
      <c r="N96" s="34"/>
      <c r="O96" s="34"/>
      <c r="P96" s="34"/>
    </row>
    <row r="97" spans="1:16" ht="13">
      <c r="A97" s="34"/>
      <c r="B97" s="34"/>
      <c r="C97" s="34"/>
      <c r="D97" s="34"/>
      <c r="E97" s="34"/>
      <c r="F97" s="34"/>
      <c r="G97" s="34"/>
      <c r="H97" s="34"/>
      <c r="I97" s="34"/>
      <c r="J97" s="34"/>
      <c r="K97" s="34"/>
      <c r="L97" s="34"/>
      <c r="M97" s="34"/>
      <c r="N97" s="34"/>
      <c r="O97" s="34"/>
      <c r="P97" s="34"/>
    </row>
    <row r="98" spans="1:16" ht="13">
      <c r="A98" s="34"/>
      <c r="B98" s="34"/>
      <c r="C98" s="34"/>
      <c r="D98" s="34"/>
      <c r="E98" s="34"/>
      <c r="F98" s="34"/>
      <c r="G98" s="34"/>
      <c r="H98" s="34"/>
      <c r="I98" s="34"/>
      <c r="J98" s="34"/>
      <c r="K98" s="34"/>
      <c r="L98" s="34"/>
      <c r="M98" s="34"/>
      <c r="N98" s="34"/>
      <c r="O98" s="34"/>
      <c r="P98" s="34"/>
    </row>
    <row r="99" spans="1:16" ht="13">
      <c r="A99" s="34"/>
      <c r="B99" s="34"/>
      <c r="C99" s="34"/>
      <c r="D99" s="34"/>
      <c r="E99" s="34"/>
      <c r="F99" s="34"/>
      <c r="G99" s="34"/>
      <c r="H99" s="34"/>
      <c r="I99" s="34"/>
      <c r="J99" s="34"/>
      <c r="K99" s="34"/>
      <c r="L99" s="34"/>
      <c r="M99" s="34"/>
      <c r="N99" s="34"/>
      <c r="O99" s="34"/>
      <c r="P99" s="34"/>
    </row>
    <row r="100" spans="1:16" ht="13">
      <c r="A100" s="34"/>
      <c r="B100" s="34"/>
      <c r="C100" s="34"/>
      <c r="D100" s="34"/>
      <c r="E100" s="34"/>
      <c r="F100" s="34"/>
      <c r="G100" s="34"/>
      <c r="H100" s="34"/>
      <c r="I100" s="34"/>
      <c r="J100" s="34"/>
      <c r="K100" s="34"/>
      <c r="L100" s="34"/>
      <c r="M100" s="34"/>
      <c r="N100" s="34"/>
      <c r="O100" s="34"/>
      <c r="P100" s="34"/>
    </row>
    <row r="101" spans="1:16" ht="13">
      <c r="A101" s="34"/>
      <c r="B101" s="34"/>
      <c r="C101" s="34"/>
      <c r="D101" s="34"/>
      <c r="E101" s="34"/>
      <c r="F101" s="34"/>
      <c r="G101" s="34"/>
      <c r="H101" s="34"/>
      <c r="I101" s="34"/>
      <c r="J101" s="34"/>
      <c r="K101" s="34"/>
      <c r="L101" s="34"/>
      <c r="M101" s="34"/>
      <c r="N101" s="34"/>
      <c r="O101" s="34"/>
      <c r="P101" s="34"/>
    </row>
    <row r="102" spans="1:16" ht="13">
      <c r="A102" s="34"/>
      <c r="B102" s="34"/>
      <c r="C102" s="34"/>
      <c r="D102" s="34"/>
      <c r="E102" s="34"/>
      <c r="F102" s="34"/>
      <c r="G102" s="34"/>
      <c r="H102" s="34"/>
      <c r="I102" s="34"/>
      <c r="J102" s="34"/>
      <c r="K102" s="34"/>
      <c r="L102" s="34"/>
      <c r="M102" s="34"/>
      <c r="N102" s="34"/>
      <c r="O102" s="34"/>
      <c r="P102" s="34"/>
    </row>
    <row r="103" spans="1:16" ht="13">
      <c r="A103" s="34"/>
      <c r="B103" s="34"/>
      <c r="C103" s="34"/>
      <c r="D103" s="34"/>
      <c r="E103" s="34"/>
      <c r="F103" s="34"/>
      <c r="G103" s="34"/>
      <c r="H103" s="34"/>
      <c r="I103" s="34"/>
      <c r="J103" s="34"/>
      <c r="K103" s="34"/>
      <c r="L103" s="34"/>
      <c r="M103" s="34"/>
      <c r="N103" s="34"/>
      <c r="O103" s="34"/>
      <c r="P103" s="34"/>
    </row>
    <row r="104" spans="1:16" ht="13">
      <c r="A104" s="34"/>
      <c r="B104" s="34"/>
      <c r="C104" s="34"/>
      <c r="D104" s="34"/>
      <c r="E104" s="34"/>
      <c r="F104" s="34"/>
      <c r="G104" s="34"/>
      <c r="H104" s="34"/>
      <c r="I104" s="34"/>
      <c r="J104" s="34"/>
      <c r="K104" s="34"/>
      <c r="L104" s="34"/>
      <c r="M104" s="34"/>
      <c r="N104" s="34"/>
      <c r="O104" s="34"/>
      <c r="P104" s="34"/>
    </row>
    <row r="105" spans="1:16" ht="13">
      <c r="A105" s="34"/>
      <c r="B105" s="34"/>
      <c r="C105" s="34"/>
      <c r="D105" s="34"/>
      <c r="E105" s="34"/>
      <c r="F105" s="34"/>
      <c r="G105" s="34"/>
      <c r="H105" s="34"/>
      <c r="I105" s="34"/>
      <c r="J105" s="34"/>
      <c r="K105" s="34"/>
      <c r="L105" s="34"/>
      <c r="M105" s="34"/>
      <c r="N105" s="34"/>
      <c r="O105" s="34"/>
      <c r="P105" s="34"/>
    </row>
    <row r="106" spans="1:16" ht="13">
      <c r="A106" s="34"/>
      <c r="B106" s="34"/>
      <c r="C106" s="34"/>
      <c r="D106" s="34"/>
      <c r="E106" s="34"/>
      <c r="F106" s="34"/>
      <c r="G106" s="34"/>
      <c r="H106" s="34"/>
      <c r="I106" s="34"/>
      <c r="J106" s="34"/>
      <c r="K106" s="34"/>
      <c r="L106" s="34"/>
      <c r="M106" s="34"/>
      <c r="N106" s="34"/>
      <c r="O106" s="34"/>
      <c r="P106" s="34"/>
    </row>
    <row r="107" spans="1:16" ht="13">
      <c r="A107" s="34"/>
      <c r="B107" s="34"/>
      <c r="C107" s="34"/>
      <c r="D107" s="34"/>
      <c r="E107" s="34"/>
      <c r="F107" s="34"/>
      <c r="G107" s="34"/>
      <c r="H107" s="34"/>
      <c r="I107" s="34"/>
      <c r="J107" s="34"/>
      <c r="K107" s="34"/>
      <c r="L107" s="34"/>
      <c r="M107" s="34"/>
      <c r="N107" s="34"/>
      <c r="O107" s="34"/>
      <c r="P107" s="34"/>
    </row>
    <row r="108" spans="1:16" ht="13">
      <c r="A108" s="34"/>
      <c r="B108" s="34"/>
      <c r="C108" s="34"/>
      <c r="D108" s="34"/>
      <c r="E108" s="34"/>
      <c r="F108" s="34"/>
      <c r="G108" s="34"/>
      <c r="H108" s="34"/>
      <c r="I108" s="34"/>
      <c r="J108" s="34"/>
      <c r="K108" s="34"/>
      <c r="L108" s="34"/>
      <c r="M108" s="34"/>
      <c r="N108" s="34"/>
      <c r="O108" s="34"/>
      <c r="P108" s="34"/>
    </row>
    <row r="109" spans="1:16" ht="13">
      <c r="A109" s="34"/>
      <c r="B109" s="34"/>
      <c r="C109" s="34"/>
      <c r="D109" s="34"/>
      <c r="E109" s="34"/>
      <c r="F109" s="34"/>
      <c r="G109" s="34"/>
      <c r="H109" s="34"/>
      <c r="I109" s="34"/>
      <c r="J109" s="34"/>
      <c r="K109" s="34"/>
      <c r="L109" s="34"/>
      <c r="M109" s="34"/>
      <c r="N109" s="34"/>
      <c r="O109" s="34"/>
      <c r="P109" s="34"/>
    </row>
    <row r="110" spans="1:16" ht="13">
      <c r="A110" s="34"/>
      <c r="B110" s="34"/>
      <c r="C110" s="34"/>
      <c r="D110" s="34"/>
      <c r="E110" s="34"/>
      <c r="F110" s="34"/>
      <c r="G110" s="34"/>
      <c r="H110" s="34"/>
      <c r="I110" s="34"/>
      <c r="J110" s="34"/>
      <c r="K110" s="34"/>
      <c r="L110" s="34"/>
      <c r="M110" s="34"/>
      <c r="N110" s="34"/>
      <c r="O110" s="34"/>
      <c r="P110" s="34"/>
    </row>
    <row r="111" spans="1:16" ht="13">
      <c r="A111" s="34"/>
      <c r="B111" s="34"/>
      <c r="C111" s="34"/>
      <c r="D111" s="34"/>
      <c r="E111" s="34"/>
      <c r="F111" s="34"/>
      <c r="G111" s="34"/>
      <c r="H111" s="34"/>
      <c r="I111" s="34"/>
      <c r="J111" s="34"/>
      <c r="K111" s="34"/>
      <c r="L111" s="34"/>
      <c r="M111" s="34"/>
      <c r="N111" s="34"/>
      <c r="O111" s="34"/>
      <c r="P111" s="34"/>
    </row>
    <row r="112" spans="1:16" ht="13">
      <c r="A112" s="34"/>
      <c r="B112" s="34"/>
      <c r="C112" s="34"/>
      <c r="D112" s="34"/>
      <c r="E112" s="34"/>
      <c r="F112" s="34"/>
      <c r="G112" s="34"/>
      <c r="H112" s="34"/>
      <c r="I112" s="34"/>
      <c r="J112" s="34"/>
      <c r="K112" s="34"/>
      <c r="L112" s="34"/>
      <c r="M112" s="34"/>
      <c r="N112" s="34"/>
      <c r="O112" s="34"/>
      <c r="P112" s="34"/>
    </row>
    <row r="113" spans="1:16" ht="13">
      <c r="A113" s="34"/>
      <c r="B113" s="34"/>
      <c r="C113" s="34"/>
      <c r="D113" s="34"/>
      <c r="E113" s="34"/>
      <c r="F113" s="34"/>
      <c r="G113" s="34"/>
      <c r="H113" s="34"/>
      <c r="I113" s="34"/>
      <c r="J113" s="34"/>
      <c r="K113" s="34"/>
      <c r="L113" s="34"/>
      <c r="M113" s="34"/>
      <c r="N113" s="34"/>
      <c r="O113" s="34"/>
      <c r="P113" s="34"/>
    </row>
    <row r="114" spans="1:16" ht="13">
      <c r="A114" s="34"/>
      <c r="B114" s="34"/>
      <c r="C114" s="34"/>
      <c r="D114" s="34"/>
      <c r="E114" s="34"/>
      <c r="F114" s="34"/>
      <c r="G114" s="34"/>
      <c r="H114" s="34"/>
      <c r="I114" s="34"/>
      <c r="J114" s="34"/>
      <c r="K114" s="34"/>
      <c r="L114" s="34"/>
      <c r="M114" s="34"/>
      <c r="N114" s="34"/>
      <c r="O114" s="34"/>
      <c r="P114" s="34"/>
    </row>
    <row r="115" spans="1:16" ht="13">
      <c r="A115" s="34"/>
      <c r="B115" s="34"/>
      <c r="C115" s="34"/>
      <c r="D115" s="34"/>
      <c r="E115" s="34"/>
      <c r="F115" s="34"/>
      <c r="G115" s="34"/>
      <c r="H115" s="34"/>
      <c r="I115" s="34"/>
      <c r="J115" s="34"/>
      <c r="K115" s="34"/>
      <c r="L115" s="34"/>
      <c r="M115" s="34"/>
      <c r="N115" s="34"/>
      <c r="O115" s="34"/>
      <c r="P115" s="34"/>
    </row>
    <row r="116" spans="1:16" ht="13">
      <c r="A116" s="34"/>
      <c r="B116" s="34"/>
      <c r="C116" s="34"/>
      <c r="D116" s="34"/>
      <c r="E116" s="34"/>
      <c r="F116" s="34"/>
      <c r="G116" s="34"/>
      <c r="H116" s="34"/>
      <c r="I116" s="34"/>
      <c r="J116" s="34"/>
      <c r="K116" s="34"/>
      <c r="L116" s="34"/>
      <c r="M116" s="34"/>
      <c r="N116" s="34"/>
      <c r="O116" s="34"/>
      <c r="P116" s="34"/>
    </row>
    <row r="117" spans="1:16" ht="13">
      <c r="A117" s="34"/>
      <c r="B117" s="34"/>
      <c r="C117" s="34"/>
      <c r="D117" s="34"/>
      <c r="E117" s="34"/>
      <c r="F117" s="34"/>
      <c r="G117" s="34"/>
      <c r="H117" s="34"/>
      <c r="I117" s="34"/>
      <c r="J117" s="34"/>
      <c r="K117" s="34"/>
      <c r="L117" s="34"/>
      <c r="M117" s="34"/>
      <c r="N117" s="34"/>
      <c r="O117" s="34"/>
      <c r="P117" s="34"/>
    </row>
    <row r="118" spans="1:16" ht="13">
      <c r="A118" s="34"/>
      <c r="B118" s="34"/>
      <c r="C118" s="34"/>
      <c r="D118" s="34"/>
      <c r="E118" s="34"/>
      <c r="F118" s="34"/>
      <c r="G118" s="34"/>
      <c r="H118" s="34"/>
      <c r="I118" s="34"/>
      <c r="J118" s="34"/>
      <c r="K118" s="34"/>
      <c r="L118" s="34"/>
      <c r="M118" s="34"/>
      <c r="N118" s="34"/>
      <c r="O118" s="34"/>
      <c r="P118" s="34"/>
    </row>
    <row r="119" spans="1:16" ht="13">
      <c r="A119" s="34"/>
      <c r="B119" s="34"/>
      <c r="C119" s="34"/>
      <c r="D119" s="34"/>
      <c r="E119" s="34"/>
      <c r="F119" s="34"/>
      <c r="G119" s="34"/>
      <c r="H119" s="34"/>
      <c r="I119" s="34"/>
      <c r="J119" s="34"/>
      <c r="K119" s="34"/>
      <c r="L119" s="34"/>
      <c r="M119" s="34"/>
      <c r="N119" s="34"/>
      <c r="O119" s="34"/>
      <c r="P119" s="34"/>
    </row>
    <row r="120" spans="1:16" ht="13">
      <c r="A120" s="34"/>
      <c r="B120" s="34"/>
      <c r="C120" s="34"/>
      <c r="D120" s="34"/>
      <c r="E120" s="34"/>
      <c r="F120" s="34"/>
      <c r="G120" s="34"/>
      <c r="H120" s="34"/>
      <c r="I120" s="34"/>
      <c r="J120" s="34"/>
      <c r="K120" s="34"/>
      <c r="L120" s="34"/>
      <c r="M120" s="34"/>
      <c r="N120" s="34"/>
      <c r="O120" s="34"/>
      <c r="P120" s="34"/>
    </row>
    <row r="121" spans="1:16" ht="13">
      <c r="A121" s="34"/>
      <c r="B121" s="34"/>
      <c r="C121" s="34"/>
      <c r="D121" s="34"/>
      <c r="E121" s="34"/>
      <c r="F121" s="34"/>
      <c r="G121" s="34"/>
      <c r="H121" s="34"/>
      <c r="I121" s="34"/>
      <c r="J121" s="34"/>
      <c r="K121" s="34"/>
      <c r="L121" s="34"/>
      <c r="M121" s="34"/>
      <c r="N121" s="34"/>
      <c r="O121" s="34"/>
      <c r="P121" s="34"/>
    </row>
    <row r="122" spans="1:16" ht="13">
      <c r="A122" s="34"/>
      <c r="B122" s="34"/>
      <c r="C122" s="34"/>
      <c r="D122" s="34"/>
      <c r="E122" s="34"/>
      <c r="F122" s="34"/>
      <c r="G122" s="34"/>
      <c r="H122" s="34"/>
      <c r="I122" s="34"/>
      <c r="J122" s="34"/>
      <c r="K122" s="34"/>
      <c r="L122" s="34"/>
      <c r="M122" s="34"/>
      <c r="N122" s="34"/>
      <c r="O122" s="34"/>
      <c r="P122" s="34"/>
    </row>
    <row r="123" spans="1:16" ht="13">
      <c r="A123" s="34"/>
      <c r="B123" s="34"/>
      <c r="C123" s="34"/>
      <c r="D123" s="34"/>
      <c r="E123" s="34"/>
      <c r="F123" s="34"/>
      <c r="G123" s="34"/>
      <c r="H123" s="34"/>
      <c r="I123" s="34"/>
      <c r="J123" s="34"/>
      <c r="K123" s="34"/>
      <c r="L123" s="34"/>
      <c r="M123" s="34"/>
      <c r="N123" s="34"/>
      <c r="O123" s="34"/>
      <c r="P123" s="34"/>
    </row>
    <row r="124" spans="1:16" ht="13">
      <c r="A124" s="34"/>
      <c r="B124" s="34"/>
      <c r="C124" s="34"/>
      <c r="D124" s="34"/>
      <c r="E124" s="34"/>
      <c r="F124" s="34"/>
      <c r="G124" s="34"/>
      <c r="H124" s="34"/>
      <c r="I124" s="34"/>
      <c r="J124" s="34"/>
      <c r="K124" s="34"/>
      <c r="L124" s="34"/>
      <c r="M124" s="34"/>
      <c r="N124" s="34"/>
      <c r="O124" s="34"/>
      <c r="P124" s="34"/>
    </row>
    <row r="125" spans="1:16" ht="13">
      <c r="A125" s="34"/>
      <c r="B125" s="34"/>
      <c r="C125" s="34"/>
      <c r="D125" s="34"/>
      <c r="E125" s="34"/>
      <c r="F125" s="34"/>
      <c r="G125" s="34"/>
      <c r="H125" s="34"/>
      <c r="I125" s="34"/>
      <c r="J125" s="34"/>
      <c r="K125" s="34"/>
      <c r="L125" s="34"/>
      <c r="M125" s="34"/>
      <c r="N125" s="34"/>
      <c r="O125" s="34"/>
      <c r="P125" s="34"/>
    </row>
    <row r="126" spans="1:16" ht="13">
      <c r="A126" s="34"/>
      <c r="B126" s="34"/>
      <c r="C126" s="34"/>
      <c r="D126" s="34"/>
      <c r="E126" s="34"/>
      <c r="F126" s="34"/>
      <c r="G126" s="34"/>
      <c r="H126" s="34"/>
      <c r="I126" s="34"/>
      <c r="J126" s="34"/>
      <c r="K126" s="34"/>
      <c r="L126" s="34"/>
      <c r="M126" s="34"/>
      <c r="N126" s="34"/>
      <c r="O126" s="34"/>
      <c r="P126" s="34"/>
    </row>
    <row r="127" spans="1:16" ht="13">
      <c r="A127" s="34"/>
      <c r="B127" s="34"/>
      <c r="C127" s="34"/>
      <c r="D127" s="34"/>
      <c r="E127" s="34"/>
      <c r="F127" s="34"/>
      <c r="G127" s="34"/>
      <c r="H127" s="34"/>
      <c r="I127" s="34"/>
      <c r="J127" s="34"/>
      <c r="K127" s="34"/>
      <c r="L127" s="34"/>
      <c r="M127" s="34"/>
      <c r="N127" s="34"/>
      <c r="O127" s="34"/>
      <c r="P127" s="34"/>
    </row>
    <row r="128" spans="1:16" ht="13">
      <c r="A128" s="34"/>
      <c r="B128" s="34"/>
      <c r="C128" s="34"/>
      <c r="D128" s="34"/>
      <c r="E128" s="34"/>
      <c r="F128" s="34"/>
      <c r="G128" s="34"/>
      <c r="H128" s="34"/>
      <c r="I128" s="34"/>
      <c r="J128" s="34"/>
      <c r="K128" s="34"/>
      <c r="L128" s="34"/>
      <c r="M128" s="34"/>
      <c r="N128" s="34"/>
      <c r="O128" s="34"/>
      <c r="P128" s="34"/>
    </row>
    <row r="129" spans="1:16" ht="13">
      <c r="A129" s="34"/>
      <c r="B129" s="34"/>
      <c r="C129" s="34"/>
      <c r="D129" s="34"/>
      <c r="E129" s="34"/>
      <c r="F129" s="34"/>
      <c r="G129" s="34"/>
      <c r="H129" s="34"/>
      <c r="I129" s="34"/>
      <c r="J129" s="34"/>
      <c r="K129" s="34"/>
      <c r="L129" s="34"/>
      <c r="M129" s="34"/>
      <c r="N129" s="34"/>
      <c r="O129" s="34"/>
      <c r="P129" s="34"/>
    </row>
    <row r="130" spans="1:16" ht="13">
      <c r="A130" s="34"/>
      <c r="B130" s="34"/>
      <c r="C130" s="34"/>
      <c r="D130" s="34"/>
      <c r="E130" s="34"/>
      <c r="F130" s="34"/>
      <c r="G130" s="34"/>
      <c r="H130" s="34"/>
      <c r="I130" s="34"/>
      <c r="J130" s="34"/>
      <c r="K130" s="34"/>
      <c r="L130" s="34"/>
      <c r="M130" s="34"/>
      <c r="N130" s="34"/>
      <c r="O130" s="34"/>
      <c r="P130" s="34"/>
    </row>
    <row r="131" spans="1:16" ht="13">
      <c r="A131" s="34"/>
      <c r="B131" s="34"/>
      <c r="C131" s="34"/>
      <c r="D131" s="34"/>
      <c r="E131" s="34"/>
      <c r="F131" s="34"/>
      <c r="G131" s="34"/>
      <c r="H131" s="34"/>
      <c r="I131" s="34"/>
      <c r="J131" s="34"/>
      <c r="K131" s="34"/>
      <c r="L131" s="34"/>
      <c r="M131" s="34"/>
      <c r="N131" s="34"/>
      <c r="O131" s="34"/>
      <c r="P131" s="34"/>
    </row>
    <row r="132" spans="1:16" ht="13">
      <c r="A132" s="34"/>
      <c r="B132" s="34"/>
      <c r="C132" s="34"/>
      <c r="D132" s="34"/>
      <c r="E132" s="34"/>
      <c r="F132" s="34"/>
      <c r="G132" s="34"/>
      <c r="H132" s="34"/>
      <c r="I132" s="34"/>
      <c r="J132" s="34"/>
      <c r="K132" s="34"/>
      <c r="L132" s="34"/>
      <c r="M132" s="34"/>
      <c r="N132" s="34"/>
      <c r="O132" s="34"/>
      <c r="P132" s="34"/>
    </row>
    <row r="133" spans="1:16" ht="13">
      <c r="A133" s="34"/>
      <c r="B133" s="34"/>
      <c r="C133" s="34"/>
      <c r="D133" s="34"/>
      <c r="E133" s="34"/>
      <c r="F133" s="34"/>
      <c r="G133" s="34"/>
      <c r="H133" s="34"/>
      <c r="I133" s="34"/>
      <c r="J133" s="34"/>
      <c r="K133" s="34"/>
      <c r="L133" s="34"/>
      <c r="M133" s="34"/>
      <c r="N133" s="34"/>
      <c r="O133" s="34"/>
      <c r="P133" s="34"/>
    </row>
    <row r="134" spans="1:16" ht="13">
      <c r="A134" s="34"/>
      <c r="B134" s="34"/>
      <c r="C134" s="34"/>
      <c r="D134" s="34"/>
      <c r="E134" s="34"/>
      <c r="F134" s="34"/>
      <c r="G134" s="34"/>
      <c r="H134" s="34"/>
      <c r="I134" s="34"/>
      <c r="J134" s="34"/>
      <c r="K134" s="34"/>
      <c r="L134" s="34"/>
      <c r="M134" s="34"/>
      <c r="N134" s="34"/>
      <c r="O134" s="34"/>
      <c r="P134" s="34"/>
    </row>
    <row r="135" spans="1:16" ht="13">
      <c r="A135" s="34"/>
      <c r="B135" s="34"/>
      <c r="C135" s="34"/>
      <c r="D135" s="34"/>
      <c r="E135" s="34"/>
      <c r="F135" s="34"/>
      <c r="G135" s="34"/>
      <c r="H135" s="34"/>
      <c r="I135" s="34"/>
      <c r="J135" s="34"/>
      <c r="K135" s="34"/>
      <c r="L135" s="34"/>
      <c r="M135" s="34"/>
      <c r="N135" s="34"/>
      <c r="O135" s="34"/>
      <c r="P135" s="34"/>
    </row>
    <row r="136" spans="1:16" ht="13">
      <c r="A136" s="34"/>
      <c r="B136" s="34"/>
      <c r="C136" s="34"/>
      <c r="D136" s="34"/>
      <c r="E136" s="34"/>
      <c r="F136" s="34"/>
      <c r="G136" s="34"/>
      <c r="H136" s="34"/>
      <c r="I136" s="34"/>
      <c r="J136" s="34"/>
      <c r="K136" s="34"/>
      <c r="L136" s="34"/>
      <c r="M136" s="34"/>
      <c r="N136" s="34"/>
      <c r="O136" s="34"/>
      <c r="P136" s="34"/>
    </row>
    <row r="137" spans="1:16" ht="13">
      <c r="A137" s="34"/>
      <c r="B137" s="34"/>
      <c r="C137" s="34"/>
      <c r="D137" s="34"/>
      <c r="E137" s="34"/>
      <c r="F137" s="34"/>
      <c r="G137" s="34"/>
      <c r="H137" s="34"/>
      <c r="I137" s="34"/>
      <c r="J137" s="34"/>
      <c r="K137" s="34"/>
      <c r="L137" s="34"/>
      <c r="M137" s="34"/>
      <c r="N137" s="34"/>
      <c r="O137" s="34"/>
      <c r="P137" s="34"/>
    </row>
    <row r="138" spans="1:16" ht="13">
      <c r="A138" s="34"/>
      <c r="B138" s="34"/>
      <c r="C138" s="34"/>
      <c r="D138" s="34"/>
      <c r="E138" s="34"/>
      <c r="F138" s="34"/>
      <c r="G138" s="34"/>
      <c r="H138" s="34"/>
      <c r="I138" s="34"/>
      <c r="J138" s="34"/>
      <c r="K138" s="34"/>
      <c r="L138" s="34"/>
      <c r="M138" s="34"/>
      <c r="N138" s="34"/>
      <c r="O138" s="34"/>
      <c r="P138" s="34"/>
    </row>
    <row r="139" spans="1:16" ht="13">
      <c r="A139" s="34"/>
      <c r="B139" s="34"/>
      <c r="C139" s="34"/>
      <c r="D139" s="34"/>
      <c r="E139" s="34"/>
      <c r="F139" s="34"/>
      <c r="G139" s="34"/>
      <c r="H139" s="34"/>
      <c r="I139" s="34"/>
      <c r="J139" s="34"/>
      <c r="K139" s="34"/>
      <c r="L139" s="34"/>
      <c r="M139" s="34"/>
      <c r="N139" s="34"/>
      <c r="O139" s="34"/>
      <c r="P139" s="34"/>
    </row>
    <row r="140" spans="1:16" ht="13">
      <c r="A140" s="34"/>
      <c r="B140" s="34"/>
      <c r="C140" s="34"/>
      <c r="D140" s="34"/>
      <c r="E140" s="34"/>
      <c r="F140" s="34"/>
      <c r="G140" s="34"/>
      <c r="H140" s="34"/>
      <c r="I140" s="34"/>
      <c r="J140" s="34"/>
      <c r="K140" s="34"/>
      <c r="L140" s="34"/>
      <c r="M140" s="34"/>
      <c r="N140" s="34"/>
      <c r="O140" s="34"/>
      <c r="P140" s="34"/>
    </row>
    <row r="141" spans="1:16" ht="13">
      <c r="A141" s="34"/>
      <c r="B141" s="34"/>
      <c r="C141" s="34"/>
      <c r="D141" s="34"/>
      <c r="E141" s="34"/>
      <c r="F141" s="34"/>
      <c r="G141" s="34"/>
      <c r="H141" s="34"/>
      <c r="I141" s="34"/>
      <c r="J141" s="34"/>
      <c r="K141" s="34"/>
      <c r="L141" s="34"/>
      <c r="M141" s="34"/>
      <c r="N141" s="34"/>
      <c r="O141" s="34"/>
      <c r="P141" s="34"/>
    </row>
    <row r="142" spans="1:16" ht="13">
      <c r="A142" s="34"/>
      <c r="B142" s="34"/>
      <c r="C142" s="34"/>
      <c r="D142" s="34"/>
      <c r="E142" s="34"/>
      <c r="F142" s="34"/>
      <c r="G142" s="34"/>
      <c r="H142" s="34"/>
      <c r="I142" s="34"/>
      <c r="J142" s="34"/>
      <c r="K142" s="34"/>
      <c r="L142" s="34"/>
      <c r="M142" s="34"/>
      <c r="N142" s="34"/>
      <c r="O142" s="34"/>
      <c r="P142" s="34"/>
    </row>
    <row r="143" spans="1:16" ht="13">
      <c r="A143" s="34"/>
      <c r="B143" s="34"/>
      <c r="C143" s="34"/>
      <c r="D143" s="34"/>
      <c r="E143" s="34"/>
      <c r="F143" s="34"/>
      <c r="G143" s="34"/>
      <c r="H143" s="34"/>
      <c r="I143" s="34"/>
      <c r="J143" s="34"/>
      <c r="K143" s="34"/>
      <c r="L143" s="34"/>
      <c r="M143" s="34"/>
      <c r="N143" s="34"/>
      <c r="O143" s="34"/>
      <c r="P143" s="34"/>
    </row>
    <row r="144" spans="1:16" ht="13">
      <c r="A144" s="34"/>
      <c r="B144" s="34"/>
      <c r="C144" s="34"/>
      <c r="D144" s="34"/>
      <c r="E144" s="34"/>
      <c r="F144" s="34"/>
      <c r="G144" s="34"/>
      <c r="H144" s="34"/>
      <c r="I144" s="34"/>
      <c r="J144" s="34"/>
      <c r="K144" s="34"/>
      <c r="L144" s="34"/>
      <c r="M144" s="34"/>
      <c r="N144" s="34"/>
      <c r="O144" s="34"/>
      <c r="P144" s="34"/>
    </row>
    <row r="145" spans="1:16" ht="13">
      <c r="A145" s="34"/>
      <c r="B145" s="34"/>
      <c r="C145" s="34"/>
      <c r="D145" s="34"/>
      <c r="E145" s="34"/>
      <c r="F145" s="34"/>
      <c r="G145" s="34"/>
      <c r="H145" s="34"/>
      <c r="I145" s="34"/>
      <c r="J145" s="34"/>
      <c r="K145" s="34"/>
      <c r="L145" s="34"/>
      <c r="M145" s="34"/>
      <c r="N145" s="34"/>
      <c r="O145" s="34"/>
      <c r="P145" s="34"/>
    </row>
    <row r="146" spans="1:16" ht="13">
      <c r="A146" s="34"/>
      <c r="B146" s="34"/>
      <c r="C146" s="34"/>
      <c r="D146" s="34"/>
      <c r="E146" s="34"/>
      <c r="F146" s="34"/>
      <c r="G146" s="34"/>
      <c r="H146" s="34"/>
      <c r="I146" s="34"/>
      <c r="J146" s="34"/>
      <c r="K146" s="34"/>
      <c r="L146" s="34"/>
      <c r="M146" s="34"/>
      <c r="N146" s="34"/>
      <c r="O146" s="34"/>
      <c r="P146" s="34"/>
    </row>
    <row r="147" spans="1:16" ht="13">
      <c r="A147" s="34"/>
      <c r="B147" s="34"/>
      <c r="C147" s="34"/>
      <c r="D147" s="34"/>
      <c r="E147" s="34"/>
      <c r="F147" s="34"/>
      <c r="G147" s="34"/>
      <c r="H147" s="34"/>
      <c r="I147" s="34"/>
      <c r="J147" s="34"/>
      <c r="K147" s="34"/>
      <c r="L147" s="34"/>
      <c r="M147" s="34"/>
      <c r="N147" s="34"/>
      <c r="O147" s="34"/>
      <c r="P147" s="34"/>
    </row>
    <row r="148" spans="1:16" ht="13">
      <c r="A148" s="34"/>
      <c r="B148" s="34"/>
      <c r="C148" s="34"/>
      <c r="D148" s="34"/>
      <c r="E148" s="34"/>
      <c r="F148" s="34"/>
      <c r="G148" s="34"/>
      <c r="H148" s="34"/>
      <c r="I148" s="34"/>
      <c r="J148" s="34"/>
      <c r="K148" s="34"/>
      <c r="L148" s="34"/>
      <c r="M148" s="34"/>
      <c r="N148" s="34"/>
      <c r="O148" s="34"/>
      <c r="P148" s="34"/>
    </row>
    <row r="149" spans="1:16" ht="13">
      <c r="A149" s="34"/>
      <c r="B149" s="34"/>
      <c r="C149" s="34"/>
      <c r="D149" s="34"/>
      <c r="E149" s="34"/>
      <c r="F149" s="34"/>
      <c r="G149" s="34"/>
      <c r="H149" s="34"/>
      <c r="I149" s="34"/>
      <c r="J149" s="34"/>
      <c r="K149" s="34"/>
      <c r="L149" s="34"/>
      <c r="M149" s="34"/>
      <c r="N149" s="34"/>
      <c r="O149" s="34"/>
      <c r="P149" s="34"/>
    </row>
    <row r="150" spans="1:16" ht="13">
      <c r="A150" s="34"/>
      <c r="B150" s="34"/>
      <c r="C150" s="34"/>
      <c r="D150" s="34"/>
      <c r="E150" s="34"/>
      <c r="F150" s="34"/>
      <c r="G150" s="34"/>
      <c r="H150" s="34"/>
      <c r="I150" s="34"/>
      <c r="J150" s="34"/>
      <c r="K150" s="34"/>
      <c r="L150" s="34"/>
      <c r="M150" s="34"/>
      <c r="N150" s="34"/>
      <c r="O150" s="34"/>
      <c r="P150" s="34"/>
    </row>
    <row r="151" spans="1:16" ht="13">
      <c r="A151" s="34"/>
      <c r="B151" s="34"/>
      <c r="C151" s="34"/>
      <c r="D151" s="34"/>
      <c r="E151" s="34"/>
      <c r="F151" s="34"/>
      <c r="G151" s="34"/>
      <c r="H151" s="34"/>
      <c r="I151" s="34"/>
      <c r="J151" s="34"/>
      <c r="K151" s="34"/>
      <c r="L151" s="34"/>
      <c r="M151" s="34"/>
      <c r="N151" s="34"/>
      <c r="O151" s="34"/>
      <c r="P151" s="34"/>
    </row>
    <row r="152" spans="1:16" ht="13">
      <c r="A152" s="34"/>
      <c r="B152" s="34"/>
      <c r="C152" s="34"/>
      <c r="D152" s="34"/>
      <c r="E152" s="34"/>
      <c r="F152" s="34"/>
      <c r="G152" s="34"/>
      <c r="H152" s="34"/>
      <c r="I152" s="34"/>
      <c r="J152" s="34"/>
      <c r="K152" s="34"/>
      <c r="L152" s="34"/>
      <c r="M152" s="34"/>
      <c r="N152" s="34"/>
      <c r="O152" s="34"/>
      <c r="P152" s="34"/>
    </row>
    <row r="153" spans="1:16" ht="13">
      <c r="A153" s="34"/>
      <c r="B153" s="34"/>
      <c r="C153" s="34"/>
      <c r="D153" s="34"/>
      <c r="E153" s="34"/>
      <c r="F153" s="34"/>
      <c r="G153" s="34"/>
      <c r="H153" s="34"/>
      <c r="I153" s="34"/>
      <c r="J153" s="34"/>
      <c r="K153" s="34"/>
      <c r="L153" s="34"/>
      <c r="M153" s="34"/>
      <c r="N153" s="34"/>
      <c r="O153" s="34"/>
      <c r="P153" s="34"/>
    </row>
    <row r="154" spans="1:16" ht="13">
      <c r="A154" s="34"/>
      <c r="B154" s="34"/>
      <c r="C154" s="34"/>
      <c r="D154" s="34"/>
      <c r="E154" s="34"/>
      <c r="F154" s="34"/>
      <c r="G154" s="34"/>
      <c r="H154" s="34"/>
      <c r="I154" s="34"/>
      <c r="J154" s="34"/>
      <c r="K154" s="34"/>
      <c r="L154" s="34"/>
      <c r="M154" s="34"/>
      <c r="N154" s="34"/>
      <c r="O154" s="34"/>
      <c r="P154" s="34"/>
    </row>
    <row r="155" spans="1:16" ht="13">
      <c r="A155" s="34"/>
      <c r="B155" s="34"/>
      <c r="C155" s="34"/>
      <c r="D155" s="34"/>
      <c r="E155" s="34"/>
      <c r="F155" s="34"/>
      <c r="G155" s="34"/>
      <c r="H155" s="34"/>
      <c r="I155" s="34"/>
      <c r="J155" s="34"/>
      <c r="K155" s="34"/>
      <c r="L155" s="34"/>
      <c r="M155" s="34"/>
      <c r="N155" s="34"/>
      <c r="O155" s="34"/>
      <c r="P155" s="34"/>
    </row>
    <row r="156" spans="1:16" ht="13">
      <c r="A156" s="34"/>
      <c r="B156" s="34"/>
      <c r="C156" s="34"/>
      <c r="D156" s="34"/>
      <c r="E156" s="34"/>
      <c r="F156" s="34"/>
      <c r="G156" s="34"/>
      <c r="H156" s="34"/>
      <c r="I156" s="34"/>
      <c r="J156" s="34"/>
      <c r="K156" s="34"/>
      <c r="L156" s="34"/>
      <c r="M156" s="34"/>
      <c r="N156" s="34"/>
      <c r="O156" s="34"/>
      <c r="P156" s="34"/>
    </row>
    <row r="157" spans="1:16" ht="13">
      <c r="A157" s="34"/>
      <c r="B157" s="34"/>
      <c r="C157" s="34"/>
      <c r="D157" s="34"/>
      <c r="E157" s="34"/>
      <c r="F157" s="34"/>
      <c r="G157" s="34"/>
      <c r="H157" s="34"/>
      <c r="I157" s="34"/>
      <c r="J157" s="34"/>
      <c r="K157" s="34"/>
      <c r="L157" s="34"/>
      <c r="M157" s="34"/>
      <c r="N157" s="34"/>
      <c r="O157" s="34"/>
      <c r="P157" s="34"/>
    </row>
    <row r="158" spans="1:16" ht="13">
      <c r="A158" s="34"/>
      <c r="B158" s="34"/>
      <c r="C158" s="34"/>
      <c r="D158" s="34"/>
      <c r="E158" s="34"/>
      <c r="F158" s="34"/>
      <c r="G158" s="34"/>
      <c r="H158" s="34"/>
      <c r="I158" s="34"/>
      <c r="J158" s="34"/>
      <c r="K158" s="34"/>
      <c r="L158" s="34"/>
      <c r="M158" s="34"/>
      <c r="N158" s="34"/>
      <c r="O158" s="34"/>
      <c r="P158" s="34"/>
    </row>
    <row r="159" spans="1:16" ht="13">
      <c r="A159" s="34"/>
      <c r="B159" s="34"/>
      <c r="C159" s="34"/>
      <c r="D159" s="34"/>
      <c r="E159" s="34"/>
      <c r="F159" s="34"/>
      <c r="G159" s="34"/>
      <c r="H159" s="34"/>
      <c r="I159" s="34"/>
      <c r="J159" s="34"/>
      <c r="K159" s="34"/>
      <c r="L159" s="34"/>
      <c r="M159" s="34"/>
      <c r="N159" s="34"/>
      <c r="O159" s="34"/>
      <c r="P159" s="34"/>
    </row>
    <row r="160" spans="1:16" ht="13">
      <c r="A160" s="34"/>
      <c r="B160" s="34"/>
      <c r="C160" s="34"/>
      <c r="D160" s="34"/>
      <c r="E160" s="34"/>
      <c r="F160" s="34"/>
      <c r="G160" s="34"/>
      <c r="H160" s="34"/>
      <c r="I160" s="34"/>
      <c r="J160" s="34"/>
      <c r="K160" s="34"/>
      <c r="L160" s="34"/>
      <c r="M160" s="34"/>
      <c r="N160" s="34"/>
      <c r="O160" s="34"/>
      <c r="P160" s="34"/>
    </row>
    <row r="161" spans="1:16" ht="13">
      <c r="A161" s="34"/>
      <c r="B161" s="34"/>
      <c r="C161" s="34"/>
      <c r="D161" s="34"/>
      <c r="E161" s="34"/>
      <c r="F161" s="34"/>
      <c r="G161" s="34"/>
      <c r="H161" s="34"/>
      <c r="I161" s="34"/>
      <c r="J161" s="34"/>
      <c r="K161" s="34"/>
      <c r="L161" s="34"/>
      <c r="M161" s="34"/>
      <c r="N161" s="34"/>
      <c r="O161" s="34"/>
      <c r="P161" s="34"/>
    </row>
    <row r="162" spans="1:16" ht="13">
      <c r="A162" s="34"/>
      <c r="B162" s="34"/>
      <c r="C162" s="34"/>
      <c r="D162" s="34"/>
      <c r="E162" s="34"/>
      <c r="F162" s="34"/>
      <c r="G162" s="34"/>
      <c r="H162" s="34"/>
      <c r="I162" s="34"/>
      <c r="J162" s="34"/>
      <c r="K162" s="34"/>
      <c r="L162" s="34"/>
      <c r="M162" s="34"/>
      <c r="N162" s="34"/>
      <c r="O162" s="34"/>
      <c r="P162" s="34"/>
    </row>
    <row r="163" spans="1:16" ht="13">
      <c r="A163" s="34"/>
      <c r="B163" s="34"/>
      <c r="C163" s="34"/>
      <c r="D163" s="34"/>
      <c r="E163" s="34"/>
      <c r="F163" s="34"/>
      <c r="G163" s="34"/>
      <c r="H163" s="34"/>
      <c r="I163" s="34"/>
      <c r="J163" s="34"/>
      <c r="K163" s="34"/>
      <c r="L163" s="34"/>
      <c r="M163" s="34"/>
      <c r="N163" s="34"/>
      <c r="O163" s="34"/>
      <c r="P163" s="34"/>
    </row>
    <row r="164" spans="1:16" ht="13">
      <c r="A164" s="34"/>
      <c r="B164" s="34"/>
      <c r="C164" s="34"/>
      <c r="D164" s="34"/>
      <c r="E164" s="34"/>
      <c r="F164" s="34"/>
      <c r="G164" s="34"/>
      <c r="H164" s="34"/>
      <c r="I164" s="34"/>
      <c r="J164" s="34"/>
      <c r="K164" s="34"/>
      <c r="L164" s="34"/>
      <c r="M164" s="34"/>
      <c r="N164" s="34"/>
      <c r="O164" s="34"/>
      <c r="P164" s="34"/>
    </row>
    <row r="165" spans="1:16" ht="13">
      <c r="A165" s="34"/>
      <c r="B165" s="34"/>
      <c r="C165" s="34"/>
      <c r="D165" s="34"/>
      <c r="E165" s="34"/>
      <c r="F165" s="34"/>
      <c r="G165" s="34"/>
      <c r="H165" s="34"/>
      <c r="I165" s="34"/>
      <c r="J165" s="34"/>
      <c r="K165" s="34"/>
      <c r="L165" s="34"/>
      <c r="M165" s="34"/>
      <c r="N165" s="34"/>
      <c r="O165" s="34"/>
      <c r="P165" s="34"/>
    </row>
    <row r="166" spans="1:16" ht="13">
      <c r="A166" s="34"/>
      <c r="B166" s="34"/>
      <c r="C166" s="34"/>
      <c r="D166" s="34"/>
      <c r="E166" s="34"/>
      <c r="F166" s="34"/>
      <c r="G166" s="34"/>
      <c r="H166" s="34"/>
      <c r="I166" s="34"/>
      <c r="J166" s="34"/>
      <c r="K166" s="34"/>
      <c r="L166" s="34"/>
      <c r="M166" s="34"/>
      <c r="N166" s="34"/>
      <c r="O166" s="34"/>
      <c r="P166" s="34"/>
    </row>
    <row r="167" spans="1:16" ht="13">
      <c r="A167" s="34"/>
      <c r="B167" s="34"/>
      <c r="C167" s="34"/>
      <c r="D167" s="34"/>
      <c r="E167" s="34"/>
      <c r="F167" s="34"/>
      <c r="G167" s="34"/>
      <c r="H167" s="34"/>
      <c r="I167" s="34"/>
      <c r="J167" s="34"/>
      <c r="K167" s="34"/>
      <c r="L167" s="34"/>
      <c r="M167" s="34"/>
      <c r="N167" s="34"/>
      <c r="O167" s="34"/>
      <c r="P167" s="34"/>
    </row>
    <row r="168" spans="1:16" ht="13">
      <c r="A168" s="34"/>
      <c r="B168" s="34"/>
      <c r="C168" s="34"/>
      <c r="D168" s="34"/>
      <c r="E168" s="34"/>
      <c r="F168" s="34"/>
      <c r="G168" s="34"/>
      <c r="H168" s="34"/>
      <c r="I168" s="34"/>
      <c r="J168" s="34"/>
      <c r="K168" s="34"/>
      <c r="L168" s="34"/>
      <c r="M168" s="34"/>
      <c r="N168" s="34"/>
      <c r="O168" s="34"/>
      <c r="P168" s="34"/>
    </row>
    <row r="169" spans="1:16" ht="13">
      <c r="A169" s="34"/>
      <c r="B169" s="34"/>
      <c r="C169" s="34"/>
      <c r="D169" s="34"/>
      <c r="E169" s="34"/>
      <c r="F169" s="34"/>
      <c r="G169" s="34"/>
      <c r="H169" s="34"/>
      <c r="I169" s="34"/>
      <c r="J169" s="34"/>
      <c r="K169" s="34"/>
      <c r="L169" s="34"/>
      <c r="M169" s="34"/>
      <c r="N169" s="34"/>
      <c r="O169" s="34"/>
      <c r="P169" s="34"/>
    </row>
    <row r="170" spans="1:16" ht="13">
      <c r="A170" s="34"/>
      <c r="B170" s="34"/>
      <c r="C170" s="34"/>
      <c r="D170" s="34"/>
      <c r="E170" s="34"/>
      <c r="F170" s="34"/>
      <c r="G170" s="34"/>
      <c r="H170" s="34"/>
      <c r="I170" s="34"/>
      <c r="J170" s="34"/>
      <c r="K170" s="34"/>
      <c r="L170" s="34"/>
      <c r="M170" s="34"/>
      <c r="N170" s="34"/>
      <c r="O170" s="34"/>
      <c r="P170" s="34"/>
    </row>
    <row r="171" spans="1:16" ht="13">
      <c r="A171" s="34"/>
      <c r="B171" s="34"/>
      <c r="C171" s="34"/>
      <c r="D171" s="34"/>
      <c r="E171" s="34"/>
      <c r="F171" s="34"/>
      <c r="G171" s="34"/>
      <c r="H171" s="34"/>
      <c r="I171" s="34"/>
      <c r="J171" s="34"/>
      <c r="K171" s="34"/>
      <c r="L171" s="34"/>
      <c r="M171" s="34"/>
      <c r="N171" s="34"/>
      <c r="O171" s="34"/>
      <c r="P171" s="34"/>
    </row>
    <row r="172" spans="1:16" ht="13">
      <c r="A172" s="34"/>
      <c r="B172" s="34"/>
      <c r="C172" s="34"/>
      <c r="D172" s="34"/>
      <c r="E172" s="34"/>
      <c r="F172" s="34"/>
      <c r="G172" s="34"/>
      <c r="H172" s="34"/>
      <c r="I172" s="34"/>
      <c r="J172" s="34"/>
      <c r="K172" s="34"/>
      <c r="L172" s="34"/>
      <c r="M172" s="34"/>
      <c r="N172" s="34"/>
      <c r="O172" s="34"/>
      <c r="P172" s="34"/>
    </row>
    <row r="173" spans="1:16" ht="13">
      <c r="A173" s="34"/>
      <c r="B173" s="34"/>
      <c r="C173" s="34"/>
      <c r="D173" s="34"/>
      <c r="E173" s="34"/>
      <c r="F173" s="34"/>
      <c r="G173" s="34"/>
      <c r="H173" s="34"/>
      <c r="I173" s="34"/>
      <c r="J173" s="34"/>
      <c r="K173" s="34"/>
      <c r="L173" s="34"/>
      <c r="M173" s="34"/>
      <c r="N173" s="34"/>
      <c r="O173" s="34"/>
      <c r="P173" s="34"/>
    </row>
    <row r="174" spans="1:16" ht="13">
      <c r="A174" s="34"/>
      <c r="B174" s="34"/>
      <c r="C174" s="34"/>
      <c r="D174" s="34"/>
      <c r="E174" s="34"/>
      <c r="F174" s="34"/>
      <c r="G174" s="34"/>
      <c r="H174" s="34"/>
      <c r="I174" s="34"/>
      <c r="J174" s="34"/>
      <c r="K174" s="34"/>
      <c r="L174" s="34"/>
      <c r="M174" s="34"/>
      <c r="N174" s="34"/>
      <c r="O174" s="34"/>
      <c r="P174" s="34"/>
    </row>
    <row r="175" spans="1:16" ht="13">
      <c r="A175" s="34"/>
      <c r="B175" s="34"/>
      <c r="C175" s="34"/>
      <c r="D175" s="34"/>
      <c r="E175" s="34"/>
      <c r="F175" s="34"/>
      <c r="G175" s="34"/>
      <c r="H175" s="34"/>
      <c r="I175" s="34"/>
      <c r="J175" s="34"/>
      <c r="K175" s="34"/>
      <c r="L175" s="34"/>
      <c r="M175" s="34"/>
      <c r="N175" s="34"/>
      <c r="O175" s="34"/>
      <c r="P175" s="34"/>
    </row>
    <row r="176" spans="1:16" ht="13">
      <c r="A176" s="34"/>
      <c r="B176" s="34"/>
      <c r="C176" s="34"/>
      <c r="D176" s="34"/>
      <c r="E176" s="34"/>
      <c r="F176" s="34"/>
      <c r="G176" s="34"/>
      <c r="H176" s="34"/>
      <c r="I176" s="34"/>
      <c r="J176" s="34"/>
      <c r="K176" s="34"/>
      <c r="L176" s="34"/>
      <c r="M176" s="34"/>
      <c r="N176" s="34"/>
      <c r="O176" s="34"/>
      <c r="P176" s="34"/>
    </row>
    <row r="177" spans="1:16" ht="13">
      <c r="A177" s="34"/>
      <c r="B177" s="34"/>
      <c r="C177" s="34"/>
      <c r="D177" s="34"/>
      <c r="E177" s="34"/>
      <c r="F177" s="34"/>
      <c r="G177" s="34"/>
      <c r="H177" s="34"/>
      <c r="I177" s="34"/>
      <c r="J177" s="34"/>
      <c r="K177" s="34"/>
      <c r="L177" s="34"/>
      <c r="M177" s="34"/>
      <c r="N177" s="34"/>
      <c r="O177" s="34"/>
      <c r="P177" s="34"/>
    </row>
    <row r="178" spans="1:16" ht="13">
      <c r="A178" s="34"/>
      <c r="B178" s="34"/>
      <c r="C178" s="34"/>
      <c r="D178" s="34"/>
      <c r="E178" s="34"/>
      <c r="F178" s="34"/>
      <c r="G178" s="34"/>
      <c r="H178" s="34"/>
      <c r="I178" s="34"/>
      <c r="J178" s="34"/>
      <c r="K178" s="34"/>
      <c r="L178" s="34"/>
      <c r="M178" s="34"/>
      <c r="N178" s="34"/>
      <c r="O178" s="34"/>
      <c r="P178" s="34"/>
    </row>
    <row r="179" spans="1:16" ht="13">
      <c r="A179" s="34"/>
      <c r="B179" s="34"/>
      <c r="C179" s="34"/>
      <c r="D179" s="34"/>
      <c r="E179" s="34"/>
      <c r="F179" s="34"/>
      <c r="G179" s="34"/>
      <c r="H179" s="34"/>
      <c r="I179" s="34"/>
      <c r="J179" s="34"/>
      <c r="K179" s="34"/>
      <c r="L179" s="34"/>
      <c r="M179" s="34"/>
      <c r="N179" s="34"/>
      <c r="O179" s="34"/>
      <c r="P179" s="34"/>
    </row>
    <row r="180" spans="1:16" ht="13">
      <c r="A180" s="34"/>
      <c r="B180" s="34"/>
      <c r="C180" s="34"/>
      <c r="D180" s="34"/>
      <c r="E180" s="34"/>
      <c r="F180" s="34"/>
      <c r="G180" s="34"/>
      <c r="H180" s="34"/>
      <c r="I180" s="34"/>
      <c r="J180" s="34"/>
      <c r="K180" s="34"/>
      <c r="L180" s="34"/>
      <c r="M180" s="34"/>
      <c r="N180" s="34"/>
      <c r="O180" s="34"/>
      <c r="P180" s="34"/>
    </row>
    <row r="181" spans="1:16" ht="13">
      <c r="A181" s="34"/>
      <c r="B181" s="34"/>
      <c r="C181" s="34"/>
      <c r="D181" s="34"/>
      <c r="E181" s="34"/>
      <c r="F181" s="34"/>
      <c r="G181" s="34"/>
      <c r="H181" s="34"/>
      <c r="I181" s="34"/>
      <c r="J181" s="34"/>
      <c r="K181" s="34"/>
      <c r="L181" s="34"/>
      <c r="M181" s="34"/>
      <c r="N181" s="34"/>
      <c r="O181" s="34"/>
      <c r="P181" s="34"/>
    </row>
    <row r="182" spans="1:16" ht="13">
      <c r="A182" s="34"/>
      <c r="B182" s="34"/>
      <c r="C182" s="34"/>
      <c r="D182" s="34"/>
      <c r="E182" s="34"/>
      <c r="F182" s="34"/>
      <c r="G182" s="34"/>
      <c r="H182" s="34"/>
      <c r="I182" s="34"/>
      <c r="J182" s="34"/>
      <c r="K182" s="34"/>
      <c r="L182" s="34"/>
      <c r="M182" s="34"/>
      <c r="N182" s="34"/>
      <c r="O182" s="34"/>
      <c r="P182" s="34"/>
    </row>
    <row r="183" spans="1:16" ht="13">
      <c r="A183" s="34"/>
      <c r="B183" s="34"/>
      <c r="C183" s="34"/>
      <c r="D183" s="34"/>
      <c r="E183" s="34"/>
      <c r="F183" s="34"/>
      <c r="G183" s="34"/>
      <c r="H183" s="34"/>
      <c r="I183" s="34"/>
      <c r="J183" s="34"/>
      <c r="K183" s="34"/>
      <c r="L183" s="34"/>
      <c r="M183" s="34"/>
      <c r="N183" s="34"/>
      <c r="O183" s="34"/>
      <c r="P183" s="34"/>
    </row>
    <row r="184" spans="1:16" ht="13">
      <c r="A184" s="34"/>
      <c r="B184" s="34"/>
      <c r="C184" s="34"/>
      <c r="D184" s="34"/>
      <c r="E184" s="34"/>
      <c r="F184" s="34"/>
      <c r="G184" s="34"/>
      <c r="H184" s="34"/>
      <c r="I184" s="34"/>
      <c r="J184" s="34"/>
      <c r="K184" s="34"/>
      <c r="L184" s="34"/>
      <c r="M184" s="34"/>
      <c r="N184" s="34"/>
      <c r="O184" s="34"/>
      <c r="P184" s="34"/>
    </row>
    <row r="185" spans="1:16" ht="13">
      <c r="A185" s="34"/>
      <c r="B185" s="34"/>
      <c r="C185" s="34"/>
      <c r="D185" s="34"/>
      <c r="E185" s="34"/>
      <c r="F185" s="34"/>
      <c r="G185" s="34"/>
      <c r="H185" s="34"/>
      <c r="I185" s="34"/>
      <c r="J185" s="34"/>
      <c r="K185" s="34"/>
      <c r="L185" s="34"/>
      <c r="M185" s="34"/>
      <c r="N185" s="34"/>
      <c r="O185" s="34"/>
      <c r="P185" s="34"/>
    </row>
    <row r="186" spans="1:16" ht="13">
      <c r="A186" s="34"/>
      <c r="B186" s="34"/>
      <c r="C186" s="34"/>
      <c r="D186" s="34"/>
      <c r="E186" s="34"/>
      <c r="F186" s="34"/>
      <c r="G186" s="34"/>
      <c r="H186" s="34"/>
      <c r="I186" s="34"/>
      <c r="J186" s="34"/>
      <c r="K186" s="34"/>
      <c r="L186" s="34"/>
      <c r="M186" s="34"/>
      <c r="N186" s="34"/>
      <c r="O186" s="34"/>
      <c r="P186" s="34"/>
    </row>
    <row r="187" spans="1:16" ht="13">
      <c r="A187" s="34"/>
      <c r="B187" s="34"/>
      <c r="C187" s="34"/>
      <c r="D187" s="34"/>
      <c r="E187" s="34"/>
      <c r="F187" s="34"/>
      <c r="G187" s="34"/>
      <c r="H187" s="34"/>
      <c r="I187" s="34"/>
      <c r="J187" s="34"/>
      <c r="K187" s="34"/>
      <c r="L187" s="34"/>
      <c r="M187" s="34"/>
      <c r="N187" s="34"/>
      <c r="O187" s="34"/>
      <c r="P187" s="34"/>
    </row>
    <row r="188" spans="1:16" ht="13">
      <c r="A188" s="34"/>
      <c r="B188" s="34"/>
      <c r="C188" s="34"/>
      <c r="D188" s="34"/>
      <c r="E188" s="34"/>
      <c r="F188" s="34"/>
      <c r="G188" s="34"/>
      <c r="H188" s="34"/>
      <c r="I188" s="34"/>
      <c r="J188" s="34"/>
      <c r="K188" s="34"/>
      <c r="L188" s="34"/>
      <c r="M188" s="34"/>
      <c r="N188" s="34"/>
      <c r="O188" s="34"/>
      <c r="P188" s="34"/>
    </row>
    <row r="189" spans="1:16" ht="13">
      <c r="A189" s="34"/>
      <c r="B189" s="34"/>
      <c r="C189" s="34"/>
      <c r="D189" s="34"/>
      <c r="E189" s="34"/>
      <c r="F189" s="34"/>
      <c r="G189" s="34"/>
      <c r="H189" s="34"/>
      <c r="I189" s="34"/>
      <c r="J189" s="34"/>
      <c r="K189" s="34"/>
      <c r="L189" s="34"/>
      <c r="M189" s="34"/>
      <c r="N189" s="34"/>
      <c r="O189" s="34"/>
      <c r="P189" s="34"/>
    </row>
    <row r="190" spans="1:16" ht="13">
      <c r="A190" s="34"/>
      <c r="B190" s="34"/>
      <c r="C190" s="34"/>
      <c r="D190" s="34"/>
      <c r="E190" s="34"/>
      <c r="F190" s="34"/>
      <c r="G190" s="34"/>
      <c r="H190" s="34"/>
      <c r="I190" s="34"/>
      <c r="J190" s="34"/>
      <c r="K190" s="34"/>
      <c r="L190" s="34"/>
      <c r="M190" s="34"/>
      <c r="N190" s="34"/>
      <c r="O190" s="34"/>
      <c r="P190" s="34"/>
    </row>
    <row r="191" spans="1:16" ht="13">
      <c r="A191" s="34"/>
      <c r="B191" s="34"/>
      <c r="C191" s="34"/>
      <c r="D191" s="34"/>
      <c r="E191" s="34"/>
      <c r="F191" s="34"/>
      <c r="G191" s="34"/>
      <c r="H191" s="34"/>
      <c r="I191" s="34"/>
      <c r="J191" s="34"/>
      <c r="K191" s="34"/>
      <c r="L191" s="34"/>
      <c r="M191" s="34"/>
      <c r="N191" s="34"/>
      <c r="O191" s="34"/>
      <c r="P191" s="34"/>
    </row>
    <row r="192" spans="1:16" ht="13">
      <c r="A192" s="34"/>
      <c r="B192" s="34"/>
      <c r="C192" s="34"/>
      <c r="D192" s="34"/>
      <c r="E192" s="34"/>
      <c r="F192" s="34"/>
      <c r="G192" s="34"/>
      <c r="H192" s="34"/>
      <c r="I192" s="34"/>
      <c r="J192" s="34"/>
      <c r="K192" s="34"/>
      <c r="L192" s="34"/>
      <c r="M192" s="34"/>
      <c r="N192" s="34"/>
      <c r="O192" s="34"/>
      <c r="P192" s="34"/>
    </row>
    <row r="193" spans="1:16" ht="13">
      <c r="A193" s="34"/>
      <c r="B193" s="34"/>
      <c r="C193" s="34"/>
      <c r="D193" s="34"/>
      <c r="E193" s="34"/>
      <c r="F193" s="34"/>
      <c r="G193" s="34"/>
      <c r="H193" s="34"/>
      <c r="I193" s="34"/>
      <c r="J193" s="34"/>
      <c r="K193" s="34"/>
      <c r="L193" s="34"/>
      <c r="M193" s="34"/>
      <c r="N193" s="34"/>
      <c r="O193" s="34"/>
      <c r="P193" s="34"/>
    </row>
    <row r="194" spans="1:16" ht="13">
      <c r="A194" s="34"/>
      <c r="B194" s="34"/>
      <c r="C194" s="34"/>
      <c r="D194" s="34"/>
      <c r="E194" s="34"/>
      <c r="F194" s="34"/>
      <c r="G194" s="34"/>
      <c r="H194" s="34"/>
      <c r="I194" s="34"/>
      <c r="J194" s="34"/>
      <c r="K194" s="34"/>
      <c r="L194" s="34"/>
      <c r="M194" s="34"/>
      <c r="N194" s="34"/>
      <c r="O194" s="34"/>
      <c r="P194" s="34"/>
    </row>
    <row r="195" spans="1:16" ht="13">
      <c r="A195" s="34"/>
      <c r="B195" s="34"/>
      <c r="C195" s="34"/>
      <c r="D195" s="34"/>
      <c r="E195" s="34"/>
      <c r="F195" s="34"/>
      <c r="G195" s="34"/>
      <c r="H195" s="34"/>
      <c r="I195" s="34"/>
      <c r="J195" s="34"/>
      <c r="K195" s="34"/>
      <c r="L195" s="34"/>
      <c r="M195" s="34"/>
      <c r="N195" s="34"/>
      <c r="O195" s="34"/>
      <c r="P195" s="34"/>
    </row>
    <row r="196" spans="1:16" ht="13">
      <c r="A196" s="34"/>
      <c r="B196" s="34"/>
      <c r="C196" s="34"/>
      <c r="D196" s="34"/>
      <c r="E196" s="34"/>
      <c r="F196" s="34"/>
      <c r="G196" s="34"/>
      <c r="H196" s="34"/>
      <c r="I196" s="34"/>
      <c r="J196" s="34"/>
      <c r="K196" s="34"/>
      <c r="L196" s="34"/>
      <c r="M196" s="34"/>
      <c r="N196" s="34"/>
      <c r="O196" s="34"/>
      <c r="P196" s="34"/>
    </row>
    <row r="197" spans="1:16" ht="13">
      <c r="A197" s="34"/>
      <c r="B197" s="34"/>
      <c r="C197" s="34"/>
      <c r="D197" s="34"/>
      <c r="E197" s="34"/>
      <c r="F197" s="34"/>
      <c r="G197" s="34"/>
      <c r="H197" s="34"/>
      <c r="I197" s="34"/>
      <c r="J197" s="34"/>
      <c r="K197" s="34"/>
      <c r="L197" s="34"/>
      <c r="M197" s="34"/>
      <c r="N197" s="34"/>
      <c r="O197" s="34"/>
      <c r="P197" s="34"/>
    </row>
    <row r="198" spans="1:16" ht="13">
      <c r="A198" s="34"/>
      <c r="B198" s="34"/>
      <c r="C198" s="34"/>
      <c r="D198" s="34"/>
      <c r="E198" s="34"/>
      <c r="F198" s="34"/>
      <c r="G198" s="34"/>
      <c r="H198" s="34"/>
      <c r="I198" s="34"/>
      <c r="J198" s="34"/>
      <c r="K198" s="34"/>
      <c r="L198" s="34"/>
      <c r="M198" s="34"/>
      <c r="N198" s="34"/>
      <c r="O198" s="34"/>
      <c r="P198" s="34"/>
    </row>
    <row r="199" spans="1:16" ht="13">
      <c r="A199" s="34"/>
      <c r="B199" s="34"/>
      <c r="C199" s="34"/>
      <c r="D199" s="34"/>
      <c r="E199" s="34"/>
      <c r="F199" s="34"/>
      <c r="G199" s="34"/>
      <c r="H199" s="34"/>
      <c r="I199" s="34"/>
      <c r="J199" s="34"/>
      <c r="K199" s="34"/>
      <c r="L199" s="34"/>
      <c r="M199" s="34"/>
      <c r="N199" s="34"/>
      <c r="O199" s="34"/>
      <c r="P199" s="34"/>
    </row>
    <row r="200" spans="1:16" ht="13">
      <c r="A200" s="34"/>
      <c r="B200" s="34"/>
      <c r="C200" s="34"/>
      <c r="D200" s="34"/>
      <c r="E200" s="34"/>
      <c r="F200" s="34"/>
      <c r="G200" s="34"/>
      <c r="H200" s="34"/>
      <c r="I200" s="34"/>
      <c r="J200" s="34"/>
      <c r="K200" s="34"/>
      <c r="L200" s="34"/>
      <c r="M200" s="34"/>
      <c r="N200" s="34"/>
      <c r="O200" s="34"/>
      <c r="P200" s="34"/>
    </row>
    <row r="201" spans="1:16" ht="13">
      <c r="A201" s="34"/>
      <c r="B201" s="34"/>
      <c r="C201" s="34"/>
      <c r="D201" s="34"/>
      <c r="E201" s="34"/>
      <c r="F201" s="34"/>
      <c r="G201" s="34"/>
      <c r="H201" s="34"/>
      <c r="I201" s="34"/>
      <c r="J201" s="34"/>
      <c r="K201" s="34"/>
      <c r="L201" s="34"/>
      <c r="M201" s="34"/>
      <c r="N201" s="34"/>
      <c r="O201" s="34"/>
      <c r="P201" s="34"/>
    </row>
    <row r="202" spans="1:16" ht="13">
      <c r="A202" s="34"/>
      <c r="B202" s="34"/>
      <c r="C202" s="34"/>
      <c r="D202" s="34"/>
      <c r="E202" s="34"/>
      <c r="F202" s="34"/>
      <c r="G202" s="34"/>
      <c r="H202" s="34"/>
      <c r="I202" s="34"/>
      <c r="J202" s="34"/>
      <c r="K202" s="34"/>
      <c r="L202" s="34"/>
      <c r="M202" s="34"/>
      <c r="N202" s="34"/>
      <c r="O202" s="34"/>
      <c r="P202" s="34"/>
    </row>
    <row r="203" spans="1:16" ht="13">
      <c r="A203" s="34"/>
      <c r="B203" s="34"/>
      <c r="C203" s="34"/>
      <c r="D203" s="34"/>
      <c r="E203" s="34"/>
      <c r="F203" s="34"/>
      <c r="G203" s="34"/>
      <c r="H203" s="34"/>
      <c r="I203" s="34"/>
      <c r="J203" s="34"/>
      <c r="K203" s="34"/>
      <c r="L203" s="34"/>
      <c r="M203" s="34"/>
      <c r="N203" s="34"/>
      <c r="O203" s="34"/>
      <c r="P203" s="34"/>
    </row>
    <row r="204" spans="1:16" ht="13">
      <c r="A204" s="34"/>
      <c r="B204" s="34"/>
      <c r="C204" s="34"/>
      <c r="D204" s="34"/>
      <c r="E204" s="34"/>
      <c r="F204" s="34"/>
      <c r="G204" s="34"/>
      <c r="H204" s="34"/>
      <c r="I204" s="34"/>
      <c r="J204" s="34"/>
      <c r="K204" s="34"/>
      <c r="L204" s="34"/>
      <c r="M204" s="34"/>
      <c r="N204" s="34"/>
      <c r="O204" s="34"/>
      <c r="P204" s="34"/>
    </row>
    <row r="205" spans="1:16" ht="13">
      <c r="A205" s="34"/>
      <c r="B205" s="34"/>
      <c r="C205" s="34"/>
      <c r="D205" s="34"/>
      <c r="E205" s="34"/>
      <c r="F205" s="34"/>
      <c r="G205" s="34"/>
      <c r="H205" s="34"/>
      <c r="I205" s="34"/>
      <c r="J205" s="34"/>
      <c r="K205" s="34"/>
      <c r="L205" s="34"/>
      <c r="M205" s="34"/>
      <c r="N205" s="34"/>
      <c r="O205" s="34"/>
      <c r="P205" s="34"/>
    </row>
    <row r="206" spans="1:16" ht="13">
      <c r="A206" s="34"/>
      <c r="B206" s="34"/>
      <c r="C206" s="34"/>
      <c r="D206" s="34"/>
      <c r="E206" s="34"/>
      <c r="F206" s="34"/>
      <c r="G206" s="34"/>
      <c r="H206" s="34"/>
      <c r="I206" s="34"/>
      <c r="J206" s="34"/>
      <c r="K206" s="34"/>
      <c r="L206" s="34"/>
      <c r="M206" s="34"/>
      <c r="N206" s="34"/>
      <c r="O206" s="34"/>
      <c r="P206" s="34"/>
    </row>
    <row r="207" spans="1:16" ht="13">
      <c r="A207" s="34"/>
      <c r="B207" s="34"/>
      <c r="C207" s="34"/>
      <c r="D207" s="34"/>
      <c r="E207" s="34"/>
      <c r="F207" s="34"/>
      <c r="G207" s="34"/>
      <c r="H207" s="34"/>
      <c r="I207" s="34"/>
      <c r="J207" s="34"/>
      <c r="K207" s="34"/>
      <c r="L207" s="34"/>
      <c r="M207" s="34"/>
      <c r="N207" s="34"/>
      <c r="O207" s="34"/>
      <c r="P207" s="34"/>
    </row>
    <row r="208" spans="1:16" ht="13">
      <c r="A208" s="34"/>
      <c r="B208" s="34"/>
      <c r="C208" s="34"/>
      <c r="D208" s="34"/>
      <c r="E208" s="34"/>
      <c r="F208" s="34"/>
      <c r="G208" s="34"/>
      <c r="H208" s="34"/>
      <c r="I208" s="34"/>
      <c r="J208" s="34"/>
      <c r="K208" s="34"/>
      <c r="L208" s="34"/>
      <c r="M208" s="34"/>
      <c r="N208" s="34"/>
      <c r="O208" s="34"/>
      <c r="P208" s="34"/>
    </row>
    <row r="209" spans="1:16" ht="13">
      <c r="A209" s="34"/>
      <c r="B209" s="34"/>
      <c r="C209" s="34"/>
      <c r="D209" s="34"/>
      <c r="E209" s="34"/>
      <c r="F209" s="34"/>
      <c r="G209" s="34"/>
      <c r="H209" s="34"/>
      <c r="I209" s="34"/>
      <c r="J209" s="34"/>
      <c r="K209" s="34"/>
      <c r="L209" s="34"/>
      <c r="M209" s="34"/>
      <c r="N209" s="34"/>
      <c r="O209" s="34"/>
      <c r="P209" s="34"/>
    </row>
    <row r="210" spans="1:16" ht="13">
      <c r="A210" s="34"/>
      <c r="B210" s="34"/>
      <c r="C210" s="34"/>
      <c r="D210" s="34"/>
      <c r="E210" s="34"/>
      <c r="F210" s="34"/>
      <c r="G210" s="34"/>
      <c r="H210" s="34"/>
      <c r="I210" s="34"/>
      <c r="J210" s="34"/>
      <c r="K210" s="34"/>
      <c r="L210" s="34"/>
      <c r="M210" s="34"/>
      <c r="N210" s="34"/>
      <c r="O210" s="34"/>
      <c r="P210" s="34"/>
    </row>
    <row r="211" spans="1:16" ht="13">
      <c r="A211" s="34"/>
      <c r="B211" s="34"/>
      <c r="C211" s="34"/>
      <c r="D211" s="34"/>
      <c r="E211" s="34"/>
      <c r="F211" s="34"/>
      <c r="G211" s="34"/>
      <c r="H211" s="34"/>
      <c r="I211" s="34"/>
      <c r="J211" s="34"/>
      <c r="K211" s="34"/>
      <c r="L211" s="34"/>
      <c r="M211" s="34"/>
      <c r="N211" s="34"/>
      <c r="O211" s="34"/>
      <c r="P211" s="34"/>
    </row>
    <row r="212" spans="1:16" ht="13">
      <c r="A212" s="34"/>
      <c r="B212" s="34"/>
      <c r="C212" s="34"/>
      <c r="D212" s="34"/>
      <c r="E212" s="34"/>
      <c r="F212" s="34"/>
      <c r="G212" s="34"/>
      <c r="H212" s="34"/>
      <c r="I212" s="34"/>
      <c r="J212" s="34"/>
      <c r="K212" s="34"/>
      <c r="L212" s="34"/>
      <c r="M212" s="34"/>
      <c r="N212" s="34"/>
      <c r="O212" s="34"/>
      <c r="P212" s="34"/>
    </row>
    <row r="213" spans="1:16" ht="13">
      <c r="A213" s="34"/>
      <c r="B213" s="34"/>
      <c r="C213" s="34"/>
      <c r="D213" s="34"/>
      <c r="E213" s="34"/>
      <c r="F213" s="34"/>
      <c r="G213" s="34"/>
      <c r="H213" s="34"/>
      <c r="I213" s="34"/>
      <c r="J213" s="34"/>
      <c r="K213" s="34"/>
      <c r="L213" s="34"/>
      <c r="M213" s="34"/>
      <c r="N213" s="34"/>
      <c r="O213" s="34"/>
      <c r="P213" s="34"/>
    </row>
    <row r="214" spans="1:16" ht="13">
      <c r="A214" s="34"/>
      <c r="B214" s="34"/>
      <c r="C214" s="34"/>
      <c r="D214" s="34"/>
      <c r="E214" s="34"/>
      <c r="F214" s="34"/>
      <c r="G214" s="34"/>
      <c r="H214" s="34"/>
      <c r="I214" s="34"/>
      <c r="J214" s="34"/>
      <c r="K214" s="34"/>
      <c r="L214" s="34"/>
      <c r="M214" s="34"/>
      <c r="N214" s="34"/>
      <c r="O214" s="34"/>
      <c r="P214" s="34"/>
    </row>
    <row r="215" spans="1:16" ht="13">
      <c r="A215" s="34"/>
      <c r="B215" s="34"/>
      <c r="C215" s="34"/>
      <c r="D215" s="34"/>
      <c r="E215" s="34"/>
      <c r="F215" s="34"/>
      <c r="G215" s="34"/>
      <c r="H215" s="34"/>
      <c r="I215" s="34"/>
      <c r="J215" s="34"/>
      <c r="K215" s="34"/>
      <c r="L215" s="34"/>
      <c r="M215" s="34"/>
      <c r="N215" s="34"/>
      <c r="O215" s="34"/>
      <c r="P215" s="34"/>
    </row>
    <row r="216" spans="1:16" ht="13">
      <c r="A216" s="34"/>
      <c r="B216" s="34"/>
      <c r="C216" s="34"/>
      <c r="D216" s="34"/>
      <c r="E216" s="34"/>
      <c r="F216" s="34"/>
      <c r="G216" s="34"/>
      <c r="H216" s="34"/>
      <c r="I216" s="34"/>
      <c r="J216" s="34"/>
      <c r="K216" s="34"/>
      <c r="L216" s="34"/>
      <c r="M216" s="34"/>
      <c r="N216" s="34"/>
      <c r="O216" s="34"/>
      <c r="P216" s="34"/>
    </row>
    <row r="217" spans="1:16" ht="13">
      <c r="A217" s="34"/>
      <c r="B217" s="34"/>
      <c r="C217" s="34"/>
      <c r="D217" s="34"/>
      <c r="E217" s="34"/>
      <c r="F217" s="34"/>
      <c r="G217" s="34"/>
      <c r="H217" s="34"/>
      <c r="I217" s="34"/>
      <c r="J217" s="34"/>
      <c r="K217" s="34"/>
      <c r="L217" s="34"/>
      <c r="M217" s="34"/>
      <c r="N217" s="34"/>
      <c r="O217" s="34"/>
      <c r="P217" s="34"/>
    </row>
    <row r="218" spans="1:16" ht="13">
      <c r="A218" s="34"/>
      <c r="B218" s="34"/>
      <c r="C218" s="34"/>
      <c r="D218" s="34"/>
      <c r="E218" s="34"/>
      <c r="F218" s="34"/>
      <c r="G218" s="34"/>
      <c r="H218" s="34"/>
      <c r="I218" s="34"/>
      <c r="J218" s="34"/>
      <c r="K218" s="34"/>
      <c r="L218" s="34"/>
      <c r="M218" s="34"/>
      <c r="N218" s="34"/>
      <c r="O218" s="34"/>
      <c r="P218" s="34"/>
    </row>
    <row r="219" spans="1:16" ht="13">
      <c r="A219" s="34"/>
      <c r="B219" s="34"/>
      <c r="C219" s="34"/>
      <c r="D219" s="34"/>
      <c r="E219" s="34"/>
      <c r="F219" s="34"/>
      <c r="G219" s="34"/>
      <c r="H219" s="34"/>
      <c r="I219" s="34"/>
      <c r="J219" s="34"/>
      <c r="K219" s="34"/>
      <c r="L219" s="34"/>
      <c r="M219" s="34"/>
      <c r="N219" s="34"/>
      <c r="O219" s="34"/>
      <c r="P219" s="34"/>
    </row>
    <row r="220" spans="1:16" ht="13">
      <c r="A220" s="34"/>
      <c r="B220" s="34"/>
      <c r="C220" s="34"/>
      <c r="D220" s="34"/>
      <c r="E220" s="34"/>
      <c r="F220" s="34"/>
      <c r="G220" s="34"/>
      <c r="H220" s="34"/>
      <c r="I220" s="34"/>
      <c r="J220" s="34"/>
      <c r="K220" s="34"/>
      <c r="L220" s="34"/>
      <c r="M220" s="34"/>
      <c r="N220" s="34"/>
      <c r="O220" s="34"/>
      <c r="P220" s="34"/>
    </row>
    <row r="221" spans="1:16" ht="13">
      <c r="A221" s="34"/>
      <c r="B221" s="34"/>
      <c r="C221" s="34"/>
      <c r="D221" s="34"/>
      <c r="E221" s="34"/>
      <c r="F221" s="34"/>
      <c r="G221" s="34"/>
      <c r="H221" s="34"/>
      <c r="I221" s="34"/>
      <c r="J221" s="34"/>
      <c r="K221" s="34"/>
      <c r="L221" s="34"/>
      <c r="M221" s="34"/>
      <c r="N221" s="34"/>
      <c r="O221" s="34"/>
      <c r="P221" s="34"/>
    </row>
    <row r="222" spans="1:16" ht="13">
      <c r="A222" s="34"/>
      <c r="B222" s="34"/>
      <c r="C222" s="34"/>
      <c r="D222" s="34"/>
      <c r="E222" s="34"/>
      <c r="F222" s="34"/>
      <c r="G222" s="34"/>
      <c r="H222" s="34"/>
      <c r="I222" s="34"/>
      <c r="J222" s="34"/>
      <c r="K222" s="34"/>
      <c r="L222" s="34"/>
      <c r="M222" s="34"/>
      <c r="N222" s="34"/>
      <c r="O222" s="34"/>
      <c r="P222" s="34"/>
    </row>
    <row r="223" spans="1:16" ht="13">
      <c r="A223" s="34"/>
      <c r="B223" s="34"/>
      <c r="C223" s="34"/>
      <c r="D223" s="34"/>
      <c r="E223" s="34"/>
      <c r="F223" s="34"/>
      <c r="G223" s="34"/>
      <c r="H223" s="34"/>
      <c r="I223" s="34"/>
      <c r="J223" s="34"/>
      <c r="K223" s="34"/>
      <c r="L223" s="34"/>
      <c r="M223" s="34"/>
      <c r="N223" s="34"/>
      <c r="O223" s="34"/>
      <c r="P223" s="34"/>
    </row>
    <row r="224" spans="1:16" ht="13">
      <c r="A224" s="34"/>
      <c r="B224" s="34"/>
      <c r="C224" s="34"/>
      <c r="D224" s="34"/>
      <c r="E224" s="34"/>
      <c r="F224" s="34"/>
      <c r="G224" s="34"/>
      <c r="H224" s="34"/>
      <c r="I224" s="34"/>
      <c r="J224" s="34"/>
      <c r="K224" s="34"/>
      <c r="L224" s="34"/>
      <c r="M224" s="34"/>
      <c r="N224" s="34"/>
      <c r="O224" s="34"/>
      <c r="P224" s="34"/>
    </row>
    <row r="225" spans="1:16" ht="13">
      <c r="A225" s="34"/>
      <c r="B225" s="34"/>
      <c r="C225" s="34"/>
      <c r="D225" s="34"/>
      <c r="E225" s="34"/>
      <c r="F225" s="34"/>
      <c r="G225" s="34"/>
      <c r="H225" s="34"/>
      <c r="I225" s="34"/>
      <c r="J225" s="34"/>
      <c r="K225" s="34"/>
      <c r="L225" s="34"/>
      <c r="M225" s="34"/>
      <c r="N225" s="34"/>
      <c r="O225" s="34"/>
      <c r="P225" s="34"/>
    </row>
    <row r="226" spans="1:16" ht="13">
      <c r="A226" s="34"/>
      <c r="B226" s="34"/>
      <c r="C226" s="34"/>
      <c r="D226" s="34"/>
      <c r="E226" s="34"/>
      <c r="F226" s="34"/>
      <c r="G226" s="34"/>
      <c r="H226" s="34"/>
      <c r="I226" s="34"/>
      <c r="J226" s="34"/>
      <c r="K226" s="34"/>
      <c r="L226" s="34"/>
      <c r="M226" s="34"/>
      <c r="N226" s="34"/>
      <c r="O226" s="34"/>
      <c r="P226" s="34"/>
    </row>
    <row r="227" spans="1:16" ht="13">
      <c r="A227" s="34"/>
      <c r="B227" s="34"/>
      <c r="C227" s="34"/>
      <c r="D227" s="34"/>
      <c r="E227" s="34"/>
      <c r="F227" s="34"/>
      <c r="G227" s="34"/>
      <c r="H227" s="34"/>
      <c r="I227" s="34"/>
      <c r="J227" s="34"/>
      <c r="K227" s="34"/>
      <c r="L227" s="34"/>
      <c r="M227" s="34"/>
      <c r="N227" s="34"/>
      <c r="O227" s="34"/>
      <c r="P227" s="34"/>
    </row>
    <row r="228" spans="1:16" ht="13">
      <c r="A228" s="34"/>
      <c r="B228" s="34"/>
      <c r="C228" s="34"/>
      <c r="D228" s="34"/>
      <c r="E228" s="34"/>
      <c r="F228" s="34"/>
      <c r="G228" s="34"/>
      <c r="H228" s="34"/>
      <c r="I228" s="34"/>
      <c r="J228" s="34"/>
      <c r="K228" s="34"/>
      <c r="L228" s="34"/>
      <c r="M228" s="34"/>
      <c r="N228" s="34"/>
      <c r="O228" s="34"/>
      <c r="P228" s="34"/>
    </row>
    <row r="229" spans="1:16" ht="13">
      <c r="A229" s="34"/>
      <c r="B229" s="34"/>
      <c r="C229" s="34"/>
      <c r="D229" s="34"/>
      <c r="E229" s="34"/>
      <c r="F229" s="34"/>
      <c r="G229" s="34"/>
      <c r="H229" s="34"/>
      <c r="I229" s="34"/>
      <c r="J229" s="34"/>
      <c r="K229" s="34"/>
      <c r="L229" s="34"/>
      <c r="M229" s="34"/>
      <c r="N229" s="34"/>
      <c r="O229" s="34"/>
      <c r="P229" s="34"/>
    </row>
    <row r="230" spans="1:16" ht="13">
      <c r="A230" s="34"/>
      <c r="B230" s="34"/>
      <c r="C230" s="34"/>
      <c r="D230" s="34"/>
      <c r="E230" s="34"/>
      <c r="F230" s="34"/>
      <c r="G230" s="34"/>
      <c r="H230" s="34"/>
      <c r="I230" s="34"/>
      <c r="J230" s="34"/>
      <c r="K230" s="34"/>
      <c r="L230" s="34"/>
      <c r="M230" s="34"/>
      <c r="N230" s="34"/>
      <c r="O230" s="34"/>
      <c r="P230" s="34"/>
    </row>
    <row r="231" spans="1:16" ht="13">
      <c r="A231" s="34"/>
      <c r="B231" s="34"/>
      <c r="C231" s="34"/>
      <c r="D231" s="34"/>
      <c r="E231" s="34"/>
      <c r="F231" s="34"/>
      <c r="G231" s="34"/>
      <c r="H231" s="34"/>
      <c r="I231" s="34"/>
      <c r="J231" s="34"/>
      <c r="K231" s="34"/>
      <c r="L231" s="34"/>
      <c r="M231" s="34"/>
      <c r="N231" s="34"/>
      <c r="O231" s="34"/>
      <c r="P231" s="34"/>
    </row>
    <row r="232" spans="1:16" ht="13">
      <c r="A232" s="34"/>
      <c r="B232" s="34"/>
      <c r="C232" s="34"/>
      <c r="D232" s="34"/>
      <c r="E232" s="34"/>
      <c r="F232" s="34"/>
      <c r="G232" s="34"/>
      <c r="H232" s="34"/>
      <c r="I232" s="34"/>
      <c r="J232" s="34"/>
      <c r="K232" s="34"/>
      <c r="L232" s="34"/>
      <c r="M232" s="34"/>
      <c r="N232" s="34"/>
      <c r="O232" s="34"/>
      <c r="P232" s="34"/>
    </row>
    <row r="233" spans="1:16" ht="13">
      <c r="A233" s="34"/>
      <c r="B233" s="34"/>
      <c r="C233" s="34"/>
      <c r="D233" s="34"/>
      <c r="E233" s="34"/>
      <c r="F233" s="34"/>
      <c r="G233" s="34"/>
      <c r="H233" s="34"/>
      <c r="I233" s="34"/>
      <c r="J233" s="34"/>
      <c r="K233" s="34"/>
      <c r="L233" s="34"/>
      <c r="M233" s="34"/>
      <c r="N233" s="34"/>
      <c r="O233" s="34"/>
      <c r="P233" s="34"/>
    </row>
    <row r="234" spans="1:16" ht="13">
      <c r="A234" s="34"/>
      <c r="B234" s="34"/>
      <c r="C234" s="34"/>
      <c r="D234" s="34"/>
      <c r="E234" s="34"/>
      <c r="F234" s="34"/>
      <c r="G234" s="34"/>
      <c r="H234" s="34"/>
      <c r="I234" s="34"/>
      <c r="J234" s="34"/>
      <c r="K234" s="34"/>
      <c r="L234" s="34"/>
      <c r="M234" s="34"/>
      <c r="N234" s="34"/>
      <c r="O234" s="34"/>
      <c r="P234" s="34"/>
    </row>
    <row r="235" spans="1:16" ht="13">
      <c r="A235" s="34"/>
      <c r="B235" s="34"/>
      <c r="C235" s="34"/>
      <c r="D235" s="34"/>
      <c r="E235" s="34"/>
      <c r="F235" s="34"/>
      <c r="G235" s="34"/>
      <c r="H235" s="34"/>
      <c r="I235" s="34"/>
      <c r="J235" s="34"/>
      <c r="K235" s="34"/>
      <c r="L235" s="34"/>
      <c r="M235" s="34"/>
      <c r="N235" s="34"/>
      <c r="O235" s="34"/>
      <c r="P235" s="34"/>
    </row>
    <row r="236" spans="1:16" ht="13">
      <c r="A236" s="34"/>
      <c r="B236" s="34"/>
      <c r="C236" s="34"/>
      <c r="D236" s="34"/>
      <c r="E236" s="34"/>
      <c r="F236" s="34"/>
      <c r="G236" s="34"/>
      <c r="H236" s="34"/>
      <c r="I236" s="34"/>
      <c r="J236" s="34"/>
      <c r="K236" s="34"/>
      <c r="L236" s="34"/>
      <c r="M236" s="34"/>
      <c r="N236" s="34"/>
      <c r="O236" s="34"/>
      <c r="P236" s="34"/>
    </row>
    <row r="237" spans="1:16" ht="13">
      <c r="A237" s="34"/>
      <c r="B237" s="34"/>
      <c r="C237" s="34"/>
      <c r="D237" s="34"/>
      <c r="E237" s="34"/>
      <c r="F237" s="34"/>
      <c r="G237" s="34"/>
      <c r="H237" s="34"/>
      <c r="I237" s="34"/>
      <c r="J237" s="34"/>
      <c r="K237" s="34"/>
      <c r="L237" s="34"/>
      <c r="M237" s="34"/>
      <c r="N237" s="34"/>
      <c r="O237" s="34"/>
      <c r="P237" s="34"/>
    </row>
    <row r="238" spans="1:16" ht="13">
      <c r="A238" s="34"/>
      <c r="B238" s="34"/>
      <c r="C238" s="34"/>
      <c r="D238" s="34"/>
      <c r="E238" s="34"/>
      <c r="F238" s="34"/>
      <c r="G238" s="34"/>
      <c r="H238" s="34"/>
      <c r="I238" s="34"/>
      <c r="J238" s="34"/>
      <c r="K238" s="34"/>
      <c r="L238" s="34"/>
      <c r="M238" s="34"/>
      <c r="N238" s="34"/>
      <c r="O238" s="34"/>
      <c r="P238" s="34"/>
    </row>
    <row r="239" spans="1:16" ht="13">
      <c r="A239" s="34"/>
      <c r="B239" s="34"/>
      <c r="C239" s="34"/>
      <c r="D239" s="34"/>
      <c r="E239" s="34"/>
      <c r="F239" s="34"/>
      <c r="G239" s="34"/>
      <c r="H239" s="34"/>
      <c r="I239" s="34"/>
      <c r="J239" s="34"/>
      <c r="K239" s="34"/>
      <c r="L239" s="34"/>
      <c r="M239" s="34"/>
      <c r="N239" s="34"/>
      <c r="O239" s="34"/>
      <c r="P239" s="34"/>
    </row>
    <row r="240" spans="1:16" ht="13">
      <c r="A240" s="34"/>
      <c r="B240" s="34"/>
      <c r="C240" s="34"/>
      <c r="D240" s="34"/>
      <c r="E240" s="34"/>
      <c r="F240" s="34"/>
      <c r="G240" s="34"/>
      <c r="H240" s="34"/>
      <c r="I240" s="34"/>
      <c r="J240" s="34"/>
      <c r="K240" s="34"/>
      <c r="L240" s="34"/>
      <c r="M240" s="34"/>
      <c r="N240" s="34"/>
      <c r="O240" s="34"/>
      <c r="P240" s="34"/>
    </row>
    <row r="241" spans="1:16" ht="13">
      <c r="A241" s="34"/>
      <c r="B241" s="34"/>
      <c r="C241" s="34"/>
      <c r="D241" s="34"/>
      <c r="E241" s="34"/>
      <c r="F241" s="34"/>
      <c r="G241" s="34"/>
      <c r="H241" s="34"/>
      <c r="I241" s="34"/>
      <c r="J241" s="34"/>
      <c r="K241" s="34"/>
      <c r="L241" s="34"/>
      <c r="M241" s="34"/>
      <c r="N241" s="34"/>
      <c r="O241" s="34"/>
      <c r="P241" s="34"/>
    </row>
    <row r="242" spans="1:16" ht="13">
      <c r="A242" s="34"/>
      <c r="B242" s="34"/>
      <c r="C242" s="34"/>
      <c r="D242" s="34"/>
      <c r="E242" s="34"/>
      <c r="F242" s="34"/>
      <c r="G242" s="34"/>
      <c r="H242" s="34"/>
      <c r="I242" s="34"/>
      <c r="J242" s="34"/>
      <c r="K242" s="34"/>
      <c r="L242" s="34"/>
      <c r="M242" s="34"/>
      <c r="N242" s="34"/>
      <c r="O242" s="34"/>
      <c r="P242" s="34"/>
    </row>
    <row r="243" spans="1:16" ht="13">
      <c r="A243" s="34"/>
      <c r="B243" s="34"/>
      <c r="C243" s="34"/>
      <c r="D243" s="34"/>
      <c r="E243" s="34"/>
      <c r="F243" s="34"/>
      <c r="G243" s="34"/>
      <c r="H243" s="34"/>
      <c r="I243" s="34"/>
      <c r="J243" s="34"/>
      <c r="K243" s="34"/>
      <c r="L243" s="34"/>
      <c r="M243" s="34"/>
      <c r="N243" s="34"/>
      <c r="O243" s="34"/>
      <c r="P243" s="34"/>
    </row>
    <row r="244" spans="1:16" ht="13">
      <c r="A244" s="34"/>
      <c r="B244" s="34"/>
      <c r="C244" s="34"/>
      <c r="D244" s="34"/>
      <c r="E244" s="34"/>
      <c r="F244" s="34"/>
      <c r="G244" s="34"/>
      <c r="H244" s="34"/>
      <c r="I244" s="34"/>
      <c r="J244" s="34"/>
      <c r="K244" s="34"/>
      <c r="L244" s="34"/>
      <c r="M244" s="34"/>
      <c r="N244" s="34"/>
      <c r="O244" s="34"/>
      <c r="P244" s="34"/>
    </row>
    <row r="245" spans="1:16" ht="13">
      <c r="A245" s="34"/>
      <c r="B245" s="34"/>
      <c r="C245" s="34"/>
      <c r="D245" s="34"/>
      <c r="E245" s="34"/>
      <c r="F245" s="34"/>
      <c r="G245" s="34"/>
      <c r="H245" s="34"/>
      <c r="I245" s="34"/>
      <c r="J245" s="34"/>
      <c r="K245" s="34"/>
      <c r="L245" s="34"/>
      <c r="M245" s="34"/>
      <c r="N245" s="34"/>
      <c r="O245" s="34"/>
      <c r="P245" s="34"/>
    </row>
    <row r="246" spans="1:16" ht="13">
      <c r="A246" s="34"/>
      <c r="B246" s="34"/>
      <c r="C246" s="34"/>
      <c r="D246" s="34"/>
      <c r="E246" s="34"/>
      <c r="F246" s="34"/>
      <c r="G246" s="34"/>
      <c r="H246" s="34"/>
      <c r="I246" s="34"/>
      <c r="J246" s="34"/>
      <c r="K246" s="34"/>
      <c r="L246" s="34"/>
      <c r="M246" s="34"/>
      <c r="N246" s="34"/>
      <c r="O246" s="34"/>
      <c r="P246" s="34"/>
    </row>
    <row r="247" spans="1:16" ht="13">
      <c r="A247" s="34"/>
      <c r="B247" s="34"/>
      <c r="C247" s="34"/>
      <c r="D247" s="34"/>
      <c r="E247" s="34"/>
      <c r="F247" s="34"/>
      <c r="G247" s="34"/>
      <c r="H247" s="34"/>
      <c r="I247" s="34"/>
      <c r="J247" s="34"/>
      <c r="K247" s="34"/>
      <c r="L247" s="34"/>
      <c r="M247" s="34"/>
      <c r="N247" s="34"/>
      <c r="O247" s="34"/>
      <c r="P247" s="34"/>
    </row>
    <row r="248" spans="1:16" ht="13">
      <c r="A248" s="34"/>
      <c r="B248" s="34"/>
      <c r="C248" s="34"/>
      <c r="D248" s="34"/>
      <c r="E248" s="34"/>
      <c r="F248" s="34"/>
      <c r="G248" s="34"/>
      <c r="H248" s="34"/>
      <c r="I248" s="34"/>
      <c r="J248" s="34"/>
      <c r="K248" s="34"/>
      <c r="L248" s="34"/>
      <c r="M248" s="34"/>
      <c r="N248" s="34"/>
      <c r="O248" s="34"/>
      <c r="P248" s="34"/>
    </row>
    <row r="249" spans="1:16" ht="13">
      <c r="A249" s="34"/>
      <c r="B249" s="34"/>
      <c r="C249" s="34"/>
      <c r="D249" s="34"/>
      <c r="E249" s="34"/>
      <c r="F249" s="34"/>
      <c r="G249" s="34"/>
      <c r="H249" s="34"/>
      <c r="I249" s="34"/>
      <c r="J249" s="34"/>
      <c r="K249" s="34"/>
      <c r="L249" s="34"/>
      <c r="M249" s="34"/>
      <c r="N249" s="34"/>
      <c r="O249" s="34"/>
      <c r="P249" s="34"/>
    </row>
    <row r="250" spans="1:16" ht="13">
      <c r="A250" s="34"/>
      <c r="B250" s="34"/>
      <c r="C250" s="34"/>
      <c r="D250" s="34"/>
      <c r="E250" s="34"/>
      <c r="F250" s="34"/>
      <c r="G250" s="34"/>
      <c r="H250" s="34"/>
      <c r="I250" s="34"/>
      <c r="J250" s="34"/>
      <c r="K250" s="34"/>
      <c r="L250" s="34"/>
      <c r="M250" s="34"/>
      <c r="N250" s="34"/>
      <c r="O250" s="34"/>
      <c r="P250" s="34"/>
    </row>
    <row r="251" spans="1:16" ht="13">
      <c r="A251" s="34"/>
      <c r="B251" s="34"/>
      <c r="C251" s="34"/>
      <c r="D251" s="34"/>
      <c r="E251" s="34"/>
      <c r="F251" s="34"/>
      <c r="G251" s="34"/>
      <c r="H251" s="34"/>
      <c r="I251" s="34"/>
      <c r="J251" s="34"/>
      <c r="K251" s="34"/>
      <c r="L251" s="34"/>
      <c r="M251" s="34"/>
      <c r="N251" s="34"/>
      <c r="O251" s="34"/>
      <c r="P251" s="34"/>
    </row>
    <row r="252" spans="1:16" ht="13">
      <c r="A252" s="34"/>
      <c r="B252" s="34"/>
      <c r="C252" s="34"/>
      <c r="D252" s="34"/>
      <c r="E252" s="34"/>
      <c r="F252" s="34"/>
      <c r="G252" s="34"/>
      <c r="H252" s="34"/>
      <c r="I252" s="34"/>
      <c r="J252" s="34"/>
      <c r="K252" s="34"/>
      <c r="L252" s="34"/>
      <c r="M252" s="34"/>
      <c r="N252" s="34"/>
      <c r="O252" s="34"/>
      <c r="P252" s="34"/>
    </row>
    <row r="253" spans="1:16" ht="13">
      <c r="A253" s="34"/>
      <c r="B253" s="34"/>
      <c r="C253" s="34"/>
      <c r="D253" s="34"/>
      <c r="E253" s="34"/>
      <c r="F253" s="34"/>
      <c r="G253" s="34"/>
      <c r="H253" s="34"/>
      <c r="I253" s="34"/>
      <c r="J253" s="34"/>
      <c r="K253" s="34"/>
      <c r="L253" s="34"/>
      <c r="M253" s="34"/>
      <c r="N253" s="34"/>
      <c r="O253" s="34"/>
      <c r="P253" s="34"/>
    </row>
    <row r="254" spans="1:16" ht="13">
      <c r="A254" s="34"/>
      <c r="B254" s="34"/>
      <c r="C254" s="34"/>
      <c r="D254" s="34"/>
      <c r="E254" s="34"/>
      <c r="F254" s="34"/>
      <c r="G254" s="34"/>
      <c r="H254" s="34"/>
      <c r="I254" s="34"/>
      <c r="J254" s="34"/>
      <c r="K254" s="34"/>
      <c r="L254" s="34"/>
      <c r="M254" s="34"/>
      <c r="N254" s="34"/>
      <c r="O254" s="34"/>
      <c r="P254" s="34"/>
    </row>
    <row r="255" spans="1:16" ht="13">
      <c r="A255" s="34"/>
      <c r="B255" s="34"/>
      <c r="C255" s="34"/>
      <c r="D255" s="34"/>
      <c r="E255" s="34"/>
      <c r="F255" s="34"/>
      <c r="G255" s="34"/>
      <c r="H255" s="34"/>
      <c r="I255" s="34"/>
      <c r="J255" s="34"/>
      <c r="K255" s="34"/>
      <c r="L255" s="34"/>
      <c r="M255" s="34"/>
      <c r="N255" s="34"/>
      <c r="O255" s="34"/>
      <c r="P255" s="34"/>
    </row>
    <row r="256" spans="1:16" ht="13">
      <c r="A256" s="34"/>
      <c r="B256" s="34"/>
      <c r="C256" s="34"/>
      <c r="D256" s="34"/>
      <c r="E256" s="34"/>
      <c r="F256" s="34"/>
      <c r="G256" s="34"/>
      <c r="H256" s="34"/>
      <c r="I256" s="34"/>
      <c r="J256" s="34"/>
      <c r="K256" s="34"/>
      <c r="L256" s="34"/>
      <c r="M256" s="34"/>
      <c r="N256" s="34"/>
      <c r="O256" s="34"/>
      <c r="P256" s="34"/>
    </row>
    <row r="257" spans="1:16" ht="13">
      <c r="A257" s="34"/>
      <c r="B257" s="34"/>
      <c r="C257" s="34"/>
      <c r="D257" s="34"/>
      <c r="E257" s="34"/>
      <c r="F257" s="34"/>
      <c r="G257" s="34"/>
      <c r="H257" s="34"/>
      <c r="I257" s="34"/>
      <c r="J257" s="34"/>
      <c r="K257" s="34"/>
      <c r="L257" s="34"/>
      <c r="M257" s="34"/>
      <c r="N257" s="34"/>
      <c r="O257" s="34"/>
      <c r="P257" s="34"/>
    </row>
    <row r="258" spans="1:16" ht="13">
      <c r="A258" s="34"/>
      <c r="B258" s="34"/>
      <c r="C258" s="34"/>
      <c r="D258" s="34"/>
      <c r="E258" s="34"/>
      <c r="F258" s="34"/>
      <c r="G258" s="34"/>
      <c r="H258" s="34"/>
      <c r="I258" s="34"/>
      <c r="J258" s="34"/>
      <c r="K258" s="34"/>
      <c r="L258" s="34"/>
      <c r="M258" s="34"/>
      <c r="N258" s="34"/>
      <c r="O258" s="34"/>
      <c r="P258" s="34"/>
    </row>
    <row r="259" spans="1:16" ht="13">
      <c r="A259" s="34"/>
      <c r="B259" s="34"/>
      <c r="C259" s="34"/>
      <c r="D259" s="34"/>
      <c r="E259" s="34"/>
      <c r="F259" s="34"/>
      <c r="G259" s="34"/>
      <c r="H259" s="34"/>
      <c r="I259" s="34"/>
      <c r="J259" s="34"/>
      <c r="K259" s="34"/>
      <c r="L259" s="34"/>
      <c r="M259" s="34"/>
      <c r="N259" s="34"/>
      <c r="O259" s="34"/>
      <c r="P259" s="34"/>
    </row>
    <row r="260" spans="1:16" ht="13">
      <c r="A260" s="34"/>
      <c r="B260" s="34"/>
      <c r="C260" s="34"/>
      <c r="D260" s="34"/>
      <c r="E260" s="34"/>
      <c r="F260" s="34"/>
      <c r="G260" s="34"/>
      <c r="H260" s="34"/>
      <c r="I260" s="34"/>
      <c r="J260" s="34"/>
      <c r="K260" s="34"/>
      <c r="L260" s="34"/>
      <c r="M260" s="34"/>
      <c r="N260" s="34"/>
      <c r="O260" s="34"/>
      <c r="P260" s="34"/>
    </row>
    <row r="261" spans="1:16" ht="13">
      <c r="A261" s="34"/>
      <c r="B261" s="34"/>
      <c r="C261" s="34"/>
      <c r="D261" s="34"/>
      <c r="E261" s="34"/>
      <c r="F261" s="34"/>
      <c r="G261" s="34"/>
      <c r="H261" s="34"/>
      <c r="I261" s="34"/>
      <c r="J261" s="34"/>
      <c r="K261" s="34"/>
      <c r="L261" s="34"/>
      <c r="M261" s="34"/>
      <c r="N261" s="34"/>
      <c r="O261" s="34"/>
      <c r="P261" s="34"/>
    </row>
    <row r="262" spans="1:16" ht="13">
      <c r="A262" s="34"/>
      <c r="B262" s="34"/>
      <c r="C262" s="34"/>
      <c r="D262" s="34"/>
      <c r="E262" s="34"/>
      <c r="F262" s="34"/>
      <c r="G262" s="34"/>
      <c r="H262" s="34"/>
      <c r="I262" s="34"/>
      <c r="J262" s="34"/>
      <c r="K262" s="34"/>
      <c r="L262" s="34"/>
      <c r="M262" s="34"/>
      <c r="N262" s="34"/>
      <c r="O262" s="34"/>
      <c r="P262" s="34"/>
    </row>
    <row r="263" spans="1:16" ht="13">
      <c r="A263" s="34"/>
      <c r="B263" s="34"/>
      <c r="C263" s="34"/>
      <c r="D263" s="34"/>
      <c r="E263" s="34"/>
      <c r="F263" s="34"/>
      <c r="G263" s="34"/>
      <c r="H263" s="34"/>
      <c r="I263" s="34"/>
      <c r="J263" s="34"/>
      <c r="K263" s="34"/>
      <c r="L263" s="34"/>
      <c r="M263" s="34"/>
      <c r="N263" s="34"/>
      <c r="O263" s="34"/>
      <c r="P263" s="34"/>
    </row>
    <row r="264" spans="1:16" ht="13">
      <c r="A264" s="34"/>
      <c r="B264" s="34"/>
      <c r="C264" s="34"/>
      <c r="D264" s="34"/>
      <c r="E264" s="34"/>
      <c r="F264" s="34"/>
      <c r="G264" s="34"/>
      <c r="H264" s="34"/>
      <c r="I264" s="34"/>
      <c r="J264" s="34"/>
      <c r="K264" s="34"/>
      <c r="L264" s="34"/>
      <c r="M264" s="34"/>
      <c r="N264" s="34"/>
      <c r="O264" s="34"/>
      <c r="P264" s="34"/>
    </row>
    <row r="265" spans="1:16" ht="13">
      <c r="A265" s="34"/>
      <c r="B265" s="34"/>
      <c r="C265" s="34"/>
      <c r="D265" s="34"/>
      <c r="E265" s="34"/>
      <c r="F265" s="34"/>
      <c r="G265" s="34"/>
      <c r="H265" s="34"/>
      <c r="I265" s="34"/>
      <c r="J265" s="34"/>
      <c r="K265" s="34"/>
      <c r="L265" s="34"/>
      <c r="M265" s="34"/>
      <c r="N265" s="34"/>
      <c r="O265" s="34"/>
      <c r="P265" s="34"/>
    </row>
    <row r="266" spans="1:16" ht="13">
      <c r="A266" s="34"/>
      <c r="B266" s="34"/>
      <c r="C266" s="34"/>
      <c r="D266" s="34"/>
      <c r="E266" s="34"/>
      <c r="F266" s="34"/>
      <c r="G266" s="34"/>
      <c r="H266" s="34"/>
      <c r="I266" s="34"/>
      <c r="J266" s="34"/>
      <c r="K266" s="34"/>
      <c r="L266" s="34"/>
      <c r="M266" s="34"/>
      <c r="N266" s="34"/>
      <c r="O266" s="34"/>
      <c r="P266" s="34"/>
    </row>
    <row r="267" spans="1:16" ht="13">
      <c r="A267" s="34"/>
      <c r="B267" s="34"/>
      <c r="C267" s="34"/>
      <c r="D267" s="34"/>
      <c r="E267" s="34"/>
      <c r="F267" s="34"/>
      <c r="G267" s="34"/>
      <c r="H267" s="34"/>
      <c r="I267" s="34"/>
      <c r="J267" s="34"/>
      <c r="K267" s="34"/>
      <c r="L267" s="34"/>
      <c r="M267" s="34"/>
      <c r="N267" s="34"/>
      <c r="O267" s="34"/>
      <c r="P267" s="34"/>
    </row>
    <row r="268" spans="1:16" ht="13">
      <c r="A268" s="34"/>
      <c r="B268" s="34"/>
      <c r="C268" s="34"/>
      <c r="D268" s="34"/>
      <c r="E268" s="34"/>
      <c r="F268" s="34"/>
      <c r="G268" s="34"/>
      <c r="H268" s="34"/>
      <c r="I268" s="34"/>
      <c r="J268" s="34"/>
      <c r="K268" s="34"/>
      <c r="L268" s="34"/>
      <c r="M268" s="34"/>
      <c r="N268" s="34"/>
      <c r="O268" s="34"/>
      <c r="P268" s="34"/>
    </row>
    <row r="269" spans="1:16" ht="13">
      <c r="A269" s="34"/>
      <c r="B269" s="34"/>
      <c r="C269" s="34"/>
      <c r="D269" s="34"/>
      <c r="E269" s="34"/>
      <c r="F269" s="34"/>
      <c r="G269" s="34"/>
      <c r="H269" s="34"/>
      <c r="I269" s="34"/>
      <c r="J269" s="34"/>
      <c r="K269" s="34"/>
      <c r="L269" s="34"/>
      <c r="M269" s="34"/>
      <c r="N269" s="34"/>
      <c r="O269" s="34"/>
      <c r="P269" s="34"/>
    </row>
    <row r="270" spans="1:16" ht="13">
      <c r="A270" s="34"/>
      <c r="B270" s="34"/>
      <c r="C270" s="34"/>
      <c r="D270" s="34"/>
      <c r="E270" s="34"/>
      <c r="F270" s="34"/>
      <c r="G270" s="34"/>
      <c r="H270" s="34"/>
      <c r="I270" s="34"/>
      <c r="J270" s="34"/>
      <c r="K270" s="34"/>
      <c r="L270" s="34"/>
      <c r="M270" s="34"/>
      <c r="N270" s="34"/>
      <c r="O270" s="34"/>
      <c r="P270" s="34"/>
    </row>
    <row r="271" spans="1:16" ht="13">
      <c r="A271" s="34"/>
      <c r="B271" s="34"/>
      <c r="C271" s="34"/>
      <c r="D271" s="34"/>
      <c r="E271" s="34"/>
      <c r="F271" s="34"/>
      <c r="G271" s="34"/>
      <c r="H271" s="34"/>
      <c r="I271" s="34"/>
      <c r="J271" s="34"/>
      <c r="K271" s="34"/>
      <c r="L271" s="34"/>
      <c r="M271" s="34"/>
      <c r="N271" s="34"/>
      <c r="O271" s="34"/>
      <c r="P271" s="34"/>
    </row>
    <row r="272" spans="1:16" ht="13">
      <c r="A272" s="34"/>
      <c r="B272" s="34"/>
      <c r="C272" s="34"/>
      <c r="D272" s="34"/>
      <c r="E272" s="34"/>
      <c r="F272" s="34"/>
      <c r="G272" s="34"/>
      <c r="H272" s="34"/>
      <c r="I272" s="34"/>
      <c r="J272" s="34"/>
      <c r="K272" s="34"/>
      <c r="L272" s="34"/>
      <c r="M272" s="34"/>
      <c r="N272" s="34"/>
      <c r="O272" s="34"/>
      <c r="P272" s="34"/>
    </row>
    <row r="273" spans="1:16" ht="13">
      <c r="A273" s="34"/>
      <c r="B273" s="34"/>
      <c r="C273" s="34"/>
      <c r="D273" s="34"/>
      <c r="E273" s="34"/>
      <c r="F273" s="34"/>
      <c r="G273" s="34"/>
      <c r="H273" s="34"/>
      <c r="I273" s="34"/>
      <c r="J273" s="34"/>
      <c r="K273" s="34"/>
      <c r="L273" s="34"/>
      <c r="M273" s="34"/>
      <c r="N273" s="34"/>
      <c r="O273" s="34"/>
      <c r="P273" s="34"/>
    </row>
    <row r="274" spans="1:16" ht="13">
      <c r="A274" s="34"/>
      <c r="B274" s="34"/>
      <c r="C274" s="34"/>
      <c r="D274" s="34"/>
      <c r="E274" s="34"/>
      <c r="F274" s="34"/>
      <c r="G274" s="34"/>
      <c r="H274" s="34"/>
      <c r="I274" s="34"/>
      <c r="J274" s="34"/>
      <c r="K274" s="34"/>
      <c r="L274" s="34"/>
      <c r="M274" s="34"/>
      <c r="N274" s="34"/>
      <c r="O274" s="34"/>
      <c r="P274" s="34"/>
    </row>
    <row r="275" spans="1:16" ht="13">
      <c r="A275" s="34"/>
      <c r="B275" s="34"/>
      <c r="C275" s="34"/>
      <c r="D275" s="34"/>
      <c r="E275" s="34"/>
      <c r="F275" s="34"/>
      <c r="G275" s="34"/>
      <c r="H275" s="34"/>
      <c r="I275" s="34"/>
      <c r="J275" s="34"/>
      <c r="K275" s="34"/>
      <c r="L275" s="34"/>
      <c r="M275" s="34"/>
      <c r="N275" s="34"/>
      <c r="O275" s="34"/>
      <c r="P275" s="34"/>
    </row>
    <row r="276" spans="1:16" ht="13">
      <c r="A276" s="34"/>
      <c r="B276" s="34"/>
      <c r="C276" s="34"/>
      <c r="D276" s="34"/>
      <c r="E276" s="34"/>
      <c r="F276" s="34"/>
      <c r="G276" s="34"/>
      <c r="H276" s="34"/>
      <c r="I276" s="34"/>
      <c r="J276" s="34"/>
      <c r="K276" s="34"/>
      <c r="L276" s="34"/>
      <c r="M276" s="34"/>
      <c r="N276" s="34"/>
      <c r="O276" s="34"/>
      <c r="P276" s="34"/>
    </row>
    <row r="277" spans="1:16" ht="13">
      <c r="A277" s="34"/>
      <c r="B277" s="34"/>
      <c r="C277" s="34"/>
      <c r="D277" s="34"/>
      <c r="E277" s="34"/>
      <c r="F277" s="34"/>
      <c r="G277" s="34"/>
      <c r="H277" s="34"/>
      <c r="I277" s="34"/>
      <c r="J277" s="34"/>
      <c r="K277" s="34"/>
      <c r="L277" s="34"/>
      <c r="M277" s="34"/>
      <c r="N277" s="34"/>
      <c r="O277" s="34"/>
      <c r="P277" s="34"/>
    </row>
    <row r="278" spans="1:16" ht="13">
      <c r="A278" s="34"/>
      <c r="B278" s="34"/>
      <c r="C278" s="34"/>
      <c r="D278" s="34"/>
      <c r="E278" s="34"/>
      <c r="F278" s="34"/>
      <c r="G278" s="34"/>
      <c r="H278" s="34"/>
      <c r="I278" s="34"/>
      <c r="J278" s="34"/>
      <c r="K278" s="34"/>
      <c r="L278" s="34"/>
      <c r="M278" s="34"/>
      <c r="N278" s="34"/>
      <c r="O278" s="34"/>
      <c r="P278" s="34"/>
    </row>
    <row r="279" spans="1:16" ht="13">
      <c r="A279" s="34"/>
      <c r="B279" s="34"/>
      <c r="C279" s="34"/>
      <c r="D279" s="34"/>
      <c r="E279" s="34"/>
      <c r="F279" s="34"/>
      <c r="G279" s="34"/>
      <c r="H279" s="34"/>
      <c r="I279" s="34"/>
      <c r="J279" s="34"/>
      <c r="K279" s="34"/>
      <c r="L279" s="34"/>
      <c r="M279" s="34"/>
      <c r="N279" s="34"/>
      <c r="O279" s="34"/>
      <c r="P279" s="34"/>
    </row>
    <row r="280" spans="1:16" ht="13">
      <c r="A280" s="34"/>
      <c r="B280" s="34"/>
      <c r="C280" s="34"/>
      <c r="D280" s="34"/>
      <c r="E280" s="34"/>
      <c r="F280" s="34"/>
      <c r="G280" s="34"/>
      <c r="H280" s="34"/>
      <c r="I280" s="34"/>
      <c r="J280" s="34"/>
      <c r="K280" s="34"/>
      <c r="L280" s="34"/>
      <c r="M280" s="34"/>
      <c r="N280" s="34"/>
      <c r="O280" s="34"/>
      <c r="P280" s="34"/>
    </row>
    <row r="281" spans="1:16" ht="13">
      <c r="A281" s="34"/>
      <c r="B281" s="34"/>
      <c r="C281" s="34"/>
      <c r="D281" s="34"/>
      <c r="E281" s="34"/>
      <c r="F281" s="34"/>
      <c r="G281" s="34"/>
      <c r="H281" s="34"/>
      <c r="I281" s="34"/>
      <c r="J281" s="34"/>
      <c r="K281" s="34"/>
      <c r="L281" s="34"/>
      <c r="M281" s="34"/>
      <c r="N281" s="34"/>
      <c r="O281" s="34"/>
      <c r="P281" s="34"/>
    </row>
    <row r="282" spans="1:16" ht="13">
      <c r="A282" s="34"/>
      <c r="B282" s="34"/>
      <c r="C282" s="34"/>
      <c r="D282" s="34"/>
      <c r="E282" s="34"/>
      <c r="F282" s="34"/>
      <c r="G282" s="34"/>
      <c r="H282" s="34"/>
      <c r="I282" s="34"/>
      <c r="J282" s="34"/>
      <c r="K282" s="34"/>
      <c r="L282" s="34"/>
      <c r="M282" s="34"/>
      <c r="N282" s="34"/>
      <c r="O282" s="34"/>
      <c r="P282" s="34"/>
    </row>
    <row r="283" spans="1:16" ht="13">
      <c r="A283" s="34"/>
      <c r="B283" s="34"/>
      <c r="C283" s="34"/>
      <c r="D283" s="34"/>
      <c r="E283" s="34"/>
      <c r="F283" s="34"/>
      <c r="G283" s="34"/>
      <c r="H283" s="34"/>
      <c r="I283" s="34"/>
      <c r="J283" s="34"/>
      <c r="K283" s="34"/>
      <c r="L283" s="34"/>
      <c r="M283" s="34"/>
      <c r="N283" s="34"/>
      <c r="O283" s="34"/>
      <c r="P283" s="34"/>
    </row>
    <row r="284" spans="1:16" ht="13">
      <c r="A284" s="34"/>
      <c r="B284" s="34"/>
      <c r="C284" s="34"/>
      <c r="D284" s="34"/>
      <c r="E284" s="34"/>
      <c r="F284" s="34"/>
      <c r="G284" s="34"/>
      <c r="H284" s="34"/>
      <c r="I284" s="34"/>
      <c r="J284" s="34"/>
      <c r="K284" s="34"/>
      <c r="L284" s="34"/>
      <c r="M284" s="34"/>
      <c r="N284" s="34"/>
      <c r="O284" s="34"/>
      <c r="P284" s="34"/>
    </row>
    <row r="285" spans="1:16" ht="13">
      <c r="A285" s="34"/>
      <c r="B285" s="34"/>
      <c r="C285" s="34"/>
      <c r="D285" s="34"/>
      <c r="E285" s="34"/>
      <c r="F285" s="34"/>
      <c r="G285" s="34"/>
      <c r="H285" s="34"/>
      <c r="I285" s="34"/>
      <c r="J285" s="34"/>
      <c r="K285" s="34"/>
      <c r="L285" s="34"/>
      <c r="M285" s="34"/>
      <c r="N285" s="34"/>
      <c r="O285" s="34"/>
      <c r="P285" s="34"/>
    </row>
    <row r="286" spans="1:16" ht="13">
      <c r="A286" s="34"/>
      <c r="B286" s="34"/>
      <c r="C286" s="34"/>
      <c r="D286" s="34"/>
      <c r="E286" s="34"/>
      <c r="F286" s="34"/>
      <c r="G286" s="34"/>
      <c r="H286" s="34"/>
      <c r="I286" s="34"/>
      <c r="J286" s="34"/>
      <c r="K286" s="34"/>
      <c r="L286" s="34"/>
      <c r="M286" s="34"/>
      <c r="N286" s="34"/>
      <c r="O286" s="34"/>
      <c r="P286" s="34"/>
    </row>
    <row r="287" spans="1:16" ht="13">
      <c r="A287" s="34"/>
      <c r="B287" s="34"/>
      <c r="C287" s="34"/>
      <c r="D287" s="34"/>
      <c r="E287" s="34"/>
      <c r="F287" s="34"/>
      <c r="G287" s="34"/>
      <c r="H287" s="34"/>
      <c r="I287" s="34"/>
      <c r="J287" s="34"/>
      <c r="K287" s="34"/>
      <c r="L287" s="34"/>
      <c r="M287" s="34"/>
      <c r="N287" s="34"/>
      <c r="O287" s="34"/>
      <c r="P287" s="34"/>
    </row>
    <row r="288" spans="1:16" ht="13">
      <c r="A288" s="34"/>
      <c r="B288" s="34"/>
      <c r="C288" s="34"/>
      <c r="D288" s="34"/>
      <c r="E288" s="34"/>
      <c r="F288" s="34"/>
      <c r="G288" s="34"/>
      <c r="H288" s="34"/>
      <c r="I288" s="34"/>
      <c r="J288" s="34"/>
      <c r="K288" s="34"/>
      <c r="L288" s="34"/>
      <c r="M288" s="34"/>
      <c r="N288" s="34"/>
      <c r="O288" s="34"/>
      <c r="P288" s="34"/>
    </row>
    <row r="289" spans="1:16" ht="13">
      <c r="A289" s="34"/>
      <c r="B289" s="34"/>
      <c r="C289" s="34"/>
      <c r="D289" s="34"/>
      <c r="E289" s="34"/>
      <c r="F289" s="34"/>
      <c r="G289" s="34"/>
      <c r="H289" s="34"/>
      <c r="I289" s="34"/>
      <c r="J289" s="34"/>
      <c r="K289" s="34"/>
      <c r="L289" s="34"/>
      <c r="M289" s="34"/>
      <c r="N289" s="34"/>
      <c r="O289" s="34"/>
      <c r="P289" s="34"/>
    </row>
    <row r="290" spans="1:16" ht="13">
      <c r="A290" s="34"/>
      <c r="B290" s="34"/>
      <c r="C290" s="34"/>
      <c r="D290" s="34"/>
      <c r="E290" s="34"/>
      <c r="F290" s="34"/>
      <c r="G290" s="34"/>
      <c r="H290" s="34"/>
      <c r="I290" s="34"/>
      <c r="J290" s="34"/>
      <c r="K290" s="34"/>
      <c r="L290" s="34"/>
      <c r="M290" s="34"/>
      <c r="N290" s="34"/>
      <c r="O290" s="34"/>
      <c r="P290" s="34"/>
    </row>
    <row r="291" spans="1:16" ht="13">
      <c r="A291" s="34"/>
      <c r="B291" s="34"/>
      <c r="C291" s="34"/>
      <c r="D291" s="34"/>
      <c r="E291" s="34"/>
      <c r="F291" s="34"/>
      <c r="G291" s="34"/>
      <c r="H291" s="34"/>
      <c r="I291" s="34"/>
      <c r="J291" s="34"/>
      <c r="K291" s="34"/>
      <c r="L291" s="34"/>
      <c r="M291" s="34"/>
      <c r="N291" s="34"/>
      <c r="O291" s="34"/>
      <c r="P291" s="34"/>
    </row>
    <row r="292" spans="1:16" ht="13">
      <c r="A292" s="34"/>
      <c r="B292" s="34"/>
      <c r="C292" s="34"/>
      <c r="D292" s="34"/>
      <c r="E292" s="34"/>
      <c r="F292" s="34"/>
      <c r="G292" s="34"/>
      <c r="H292" s="34"/>
      <c r="I292" s="34"/>
      <c r="J292" s="34"/>
      <c r="K292" s="34"/>
      <c r="L292" s="34"/>
      <c r="M292" s="34"/>
      <c r="N292" s="34"/>
      <c r="O292" s="34"/>
      <c r="P292" s="34"/>
    </row>
    <row r="293" spans="1:16" ht="13">
      <c r="A293" s="34"/>
      <c r="B293" s="34"/>
      <c r="C293" s="34"/>
      <c r="D293" s="34"/>
      <c r="E293" s="34"/>
      <c r="F293" s="34"/>
      <c r="G293" s="34"/>
      <c r="H293" s="34"/>
      <c r="I293" s="34"/>
      <c r="J293" s="34"/>
      <c r="K293" s="34"/>
      <c r="L293" s="34"/>
      <c r="M293" s="34"/>
      <c r="N293" s="34"/>
      <c r="O293" s="34"/>
      <c r="P293" s="34"/>
    </row>
    <row r="294" spans="1:16" ht="13">
      <c r="A294" s="34"/>
      <c r="B294" s="34"/>
      <c r="C294" s="34"/>
      <c r="D294" s="34"/>
      <c r="E294" s="34"/>
      <c r="F294" s="34"/>
      <c r="G294" s="34"/>
      <c r="H294" s="34"/>
      <c r="I294" s="34"/>
      <c r="J294" s="34"/>
      <c r="K294" s="34"/>
      <c r="L294" s="34"/>
      <c r="M294" s="34"/>
      <c r="N294" s="34"/>
      <c r="O294" s="34"/>
      <c r="P294" s="34"/>
    </row>
    <row r="295" spans="1:16" ht="13">
      <c r="A295" s="34"/>
      <c r="B295" s="34"/>
      <c r="C295" s="34"/>
      <c r="D295" s="34"/>
      <c r="E295" s="34"/>
      <c r="F295" s="34"/>
      <c r="G295" s="34"/>
      <c r="H295" s="34"/>
      <c r="I295" s="34"/>
      <c r="J295" s="34"/>
      <c r="K295" s="34"/>
      <c r="L295" s="34"/>
      <c r="M295" s="34"/>
      <c r="N295" s="34"/>
      <c r="O295" s="34"/>
      <c r="P295" s="34"/>
    </row>
    <row r="296" spans="1:16" ht="13">
      <c r="A296" s="34"/>
      <c r="B296" s="34"/>
      <c r="C296" s="34"/>
      <c r="D296" s="34"/>
      <c r="E296" s="34"/>
      <c r="F296" s="34"/>
      <c r="G296" s="34"/>
      <c r="H296" s="34"/>
      <c r="I296" s="34"/>
      <c r="J296" s="34"/>
      <c r="K296" s="34"/>
      <c r="L296" s="34"/>
      <c r="M296" s="34"/>
      <c r="N296" s="34"/>
      <c r="O296" s="34"/>
      <c r="P296" s="34"/>
    </row>
    <row r="297" spans="1:16" ht="13">
      <c r="A297" s="34"/>
      <c r="B297" s="34"/>
      <c r="C297" s="34"/>
      <c r="D297" s="34"/>
      <c r="E297" s="34"/>
      <c r="F297" s="34"/>
      <c r="G297" s="34"/>
      <c r="H297" s="34"/>
      <c r="I297" s="34"/>
      <c r="J297" s="34"/>
      <c r="K297" s="34"/>
      <c r="L297" s="34"/>
      <c r="M297" s="34"/>
      <c r="N297" s="34"/>
      <c r="O297" s="34"/>
      <c r="P297" s="34"/>
    </row>
    <row r="298" spans="1:16" ht="13">
      <c r="A298" s="34"/>
      <c r="B298" s="34"/>
      <c r="C298" s="34"/>
      <c r="D298" s="34"/>
      <c r="E298" s="34"/>
      <c r="F298" s="34"/>
      <c r="G298" s="34"/>
      <c r="H298" s="34"/>
      <c r="I298" s="34"/>
      <c r="J298" s="34"/>
      <c r="K298" s="34"/>
      <c r="L298" s="34"/>
      <c r="M298" s="34"/>
      <c r="N298" s="34"/>
      <c r="O298" s="34"/>
      <c r="P298" s="34"/>
    </row>
    <row r="299" spans="1:16" ht="13">
      <c r="A299" s="34"/>
      <c r="B299" s="34"/>
      <c r="C299" s="34"/>
      <c r="D299" s="34"/>
      <c r="E299" s="34"/>
      <c r="F299" s="34"/>
      <c r="G299" s="34"/>
      <c r="H299" s="34"/>
      <c r="I299" s="34"/>
      <c r="J299" s="34"/>
      <c r="K299" s="34"/>
      <c r="L299" s="34"/>
      <c r="M299" s="34"/>
      <c r="N299" s="34"/>
      <c r="O299" s="34"/>
      <c r="P299" s="34"/>
    </row>
    <row r="300" spans="1:16" ht="13">
      <c r="A300" s="34"/>
      <c r="B300" s="34"/>
      <c r="C300" s="34"/>
      <c r="D300" s="34"/>
      <c r="E300" s="34"/>
      <c r="F300" s="34"/>
      <c r="G300" s="34"/>
      <c r="H300" s="34"/>
      <c r="I300" s="34"/>
      <c r="J300" s="34"/>
      <c r="K300" s="34"/>
      <c r="L300" s="34"/>
      <c r="M300" s="34"/>
      <c r="N300" s="34"/>
      <c r="O300" s="34"/>
      <c r="P300" s="34"/>
    </row>
    <row r="301" spans="1:16" ht="13">
      <c r="A301" s="34"/>
      <c r="B301" s="34"/>
      <c r="C301" s="34"/>
      <c r="D301" s="34"/>
      <c r="E301" s="34"/>
      <c r="F301" s="34"/>
      <c r="G301" s="34"/>
      <c r="H301" s="34"/>
      <c r="I301" s="34"/>
      <c r="J301" s="34"/>
      <c r="K301" s="34"/>
      <c r="L301" s="34"/>
      <c r="M301" s="34"/>
      <c r="N301" s="34"/>
      <c r="O301" s="34"/>
      <c r="P301" s="34"/>
    </row>
    <row r="302" spans="1:16" ht="13">
      <c r="A302" s="34"/>
      <c r="B302" s="34"/>
      <c r="C302" s="34"/>
      <c r="D302" s="34"/>
      <c r="E302" s="34"/>
      <c r="F302" s="34"/>
      <c r="G302" s="34"/>
      <c r="H302" s="34"/>
      <c r="I302" s="34"/>
      <c r="J302" s="34"/>
      <c r="K302" s="34"/>
      <c r="L302" s="34"/>
      <c r="M302" s="34"/>
      <c r="N302" s="34"/>
      <c r="O302" s="34"/>
      <c r="P302" s="34"/>
    </row>
    <row r="303" spans="1:16" ht="13">
      <c r="A303" s="34"/>
      <c r="B303" s="34"/>
      <c r="C303" s="34"/>
      <c r="D303" s="34"/>
      <c r="E303" s="34"/>
      <c r="F303" s="34"/>
      <c r="G303" s="34"/>
      <c r="H303" s="34"/>
      <c r="I303" s="34"/>
      <c r="J303" s="34"/>
      <c r="K303" s="34"/>
      <c r="L303" s="34"/>
      <c r="M303" s="34"/>
      <c r="N303" s="34"/>
      <c r="O303" s="34"/>
      <c r="P303" s="34"/>
    </row>
    <row r="304" spans="1:16" ht="13">
      <c r="A304" s="34"/>
      <c r="B304" s="34"/>
      <c r="C304" s="34"/>
      <c r="D304" s="34"/>
      <c r="E304" s="34"/>
      <c r="F304" s="34"/>
      <c r="G304" s="34"/>
      <c r="H304" s="34"/>
      <c r="I304" s="34"/>
      <c r="J304" s="34"/>
      <c r="K304" s="34"/>
      <c r="L304" s="34"/>
      <c r="M304" s="34"/>
      <c r="N304" s="34"/>
      <c r="O304" s="34"/>
      <c r="P304" s="34"/>
    </row>
    <row r="305" spans="1:16" ht="13">
      <c r="A305" s="34"/>
      <c r="B305" s="34"/>
      <c r="C305" s="34"/>
      <c r="D305" s="34"/>
      <c r="E305" s="34"/>
      <c r="F305" s="34"/>
      <c r="G305" s="34"/>
      <c r="H305" s="34"/>
      <c r="I305" s="34"/>
      <c r="J305" s="34"/>
      <c r="K305" s="34"/>
      <c r="L305" s="34"/>
      <c r="M305" s="34"/>
      <c r="N305" s="34"/>
      <c r="O305" s="34"/>
      <c r="P305" s="34"/>
    </row>
    <row r="306" spans="1:16" ht="13">
      <c r="A306" s="34"/>
      <c r="B306" s="34"/>
      <c r="C306" s="34"/>
      <c r="D306" s="34"/>
      <c r="E306" s="34"/>
      <c r="F306" s="34"/>
      <c r="G306" s="34"/>
      <c r="H306" s="34"/>
      <c r="I306" s="34"/>
      <c r="J306" s="34"/>
      <c r="K306" s="34"/>
      <c r="L306" s="34"/>
      <c r="M306" s="34"/>
      <c r="N306" s="34"/>
      <c r="O306" s="34"/>
      <c r="P306" s="34"/>
    </row>
    <row r="307" spans="1:16" ht="13">
      <c r="A307" s="34"/>
      <c r="B307" s="34"/>
      <c r="C307" s="34"/>
      <c r="D307" s="34"/>
      <c r="E307" s="34"/>
      <c r="F307" s="34"/>
      <c r="G307" s="34"/>
      <c r="H307" s="34"/>
      <c r="I307" s="34"/>
      <c r="J307" s="34"/>
      <c r="K307" s="34"/>
      <c r="L307" s="34"/>
      <c r="M307" s="34"/>
      <c r="N307" s="34"/>
      <c r="O307" s="34"/>
      <c r="P307" s="34"/>
    </row>
    <row r="308" spans="1:16" ht="13">
      <c r="A308" s="34"/>
      <c r="B308" s="34"/>
      <c r="C308" s="34"/>
      <c r="D308" s="34"/>
      <c r="E308" s="34"/>
      <c r="F308" s="34"/>
      <c r="G308" s="34"/>
      <c r="H308" s="34"/>
      <c r="I308" s="34"/>
      <c r="J308" s="34"/>
      <c r="K308" s="34"/>
      <c r="L308" s="34"/>
      <c r="M308" s="34"/>
      <c r="N308" s="34"/>
      <c r="O308" s="34"/>
      <c r="P308" s="34"/>
    </row>
    <row r="309" spans="1:16" ht="13">
      <c r="A309" s="34"/>
      <c r="B309" s="34"/>
      <c r="C309" s="34"/>
      <c r="D309" s="34"/>
      <c r="E309" s="34"/>
      <c r="F309" s="34"/>
      <c r="G309" s="34"/>
      <c r="H309" s="34"/>
      <c r="I309" s="34"/>
      <c r="J309" s="34"/>
      <c r="K309" s="34"/>
      <c r="L309" s="34"/>
      <c r="M309" s="34"/>
      <c r="N309" s="34"/>
      <c r="O309" s="34"/>
      <c r="P309" s="34"/>
    </row>
    <row r="310" spans="1:16" ht="13">
      <c r="A310" s="34"/>
      <c r="B310" s="34"/>
      <c r="C310" s="34"/>
      <c r="D310" s="34"/>
      <c r="E310" s="34"/>
      <c r="F310" s="34"/>
      <c r="G310" s="34"/>
      <c r="H310" s="34"/>
      <c r="I310" s="34"/>
      <c r="J310" s="34"/>
      <c r="K310" s="34"/>
      <c r="L310" s="34"/>
      <c r="M310" s="34"/>
      <c r="N310" s="34"/>
      <c r="O310" s="34"/>
      <c r="P310" s="34"/>
    </row>
    <row r="311" spans="1:16" ht="13">
      <c r="A311" s="34"/>
      <c r="B311" s="34"/>
      <c r="C311" s="34"/>
      <c r="D311" s="34"/>
      <c r="E311" s="34"/>
      <c r="F311" s="34"/>
      <c r="G311" s="34"/>
      <c r="H311" s="34"/>
      <c r="I311" s="34"/>
      <c r="J311" s="34"/>
      <c r="K311" s="34"/>
      <c r="L311" s="34"/>
      <c r="M311" s="34"/>
      <c r="N311" s="34"/>
      <c r="O311" s="34"/>
      <c r="P311" s="34"/>
    </row>
    <row r="312" spans="1:16" ht="13">
      <c r="A312" s="34"/>
      <c r="B312" s="34"/>
      <c r="C312" s="34"/>
      <c r="D312" s="34"/>
      <c r="E312" s="34"/>
      <c r="F312" s="34"/>
      <c r="G312" s="34"/>
      <c r="H312" s="34"/>
      <c r="I312" s="34"/>
      <c r="J312" s="34"/>
      <c r="K312" s="34"/>
      <c r="L312" s="34"/>
      <c r="M312" s="34"/>
      <c r="N312" s="34"/>
      <c r="O312" s="34"/>
      <c r="P312" s="34"/>
    </row>
    <row r="313" spans="1:16" ht="13">
      <c r="A313" s="34"/>
      <c r="B313" s="34"/>
      <c r="C313" s="34"/>
      <c r="D313" s="34"/>
      <c r="E313" s="34"/>
      <c r="F313" s="34"/>
      <c r="G313" s="34"/>
      <c r="H313" s="34"/>
      <c r="I313" s="34"/>
      <c r="J313" s="34"/>
      <c r="K313" s="34"/>
      <c r="L313" s="34"/>
      <c r="M313" s="34"/>
      <c r="N313" s="34"/>
      <c r="O313" s="34"/>
      <c r="P313" s="34"/>
    </row>
    <row r="314" spans="1:16" ht="13">
      <c r="A314" s="34"/>
      <c r="B314" s="34"/>
      <c r="C314" s="34"/>
      <c r="D314" s="34"/>
      <c r="E314" s="34"/>
      <c r="F314" s="34"/>
      <c r="G314" s="34"/>
      <c r="H314" s="34"/>
      <c r="I314" s="34"/>
      <c r="J314" s="34"/>
      <c r="K314" s="34"/>
      <c r="L314" s="34"/>
      <c r="M314" s="34"/>
      <c r="N314" s="34"/>
      <c r="O314" s="34"/>
      <c r="P314" s="34"/>
    </row>
    <row r="315" spans="1:16" ht="13">
      <c r="A315" s="34"/>
      <c r="B315" s="34"/>
      <c r="C315" s="34"/>
      <c r="D315" s="34"/>
      <c r="E315" s="34"/>
      <c r="F315" s="34"/>
      <c r="G315" s="34"/>
      <c r="H315" s="34"/>
      <c r="I315" s="34"/>
      <c r="J315" s="34"/>
      <c r="K315" s="34"/>
      <c r="L315" s="34"/>
      <c r="M315" s="34"/>
      <c r="N315" s="34"/>
      <c r="O315" s="34"/>
      <c r="P315" s="34"/>
    </row>
    <row r="316" spans="1:16" ht="13">
      <c r="A316" s="34"/>
      <c r="B316" s="34"/>
      <c r="C316" s="34"/>
      <c r="D316" s="34"/>
      <c r="E316" s="34"/>
      <c r="F316" s="34"/>
      <c r="G316" s="34"/>
      <c r="H316" s="34"/>
      <c r="I316" s="34"/>
      <c r="J316" s="34"/>
      <c r="K316" s="34"/>
      <c r="L316" s="34"/>
      <c r="M316" s="34"/>
      <c r="N316" s="34"/>
      <c r="O316" s="34"/>
      <c r="P316" s="34"/>
    </row>
    <row r="317" spans="1:16" ht="13">
      <c r="A317" s="34"/>
      <c r="B317" s="34"/>
      <c r="C317" s="34"/>
      <c r="D317" s="34"/>
      <c r="E317" s="34"/>
      <c r="F317" s="34"/>
      <c r="G317" s="34"/>
      <c r="H317" s="34"/>
      <c r="I317" s="34"/>
      <c r="J317" s="34"/>
      <c r="K317" s="34"/>
      <c r="L317" s="34"/>
      <c r="M317" s="34"/>
      <c r="N317" s="34"/>
      <c r="O317" s="34"/>
      <c r="P317" s="34"/>
    </row>
    <row r="318" spans="1:16" ht="13">
      <c r="A318" s="34"/>
      <c r="B318" s="34"/>
      <c r="C318" s="34"/>
      <c r="D318" s="34"/>
      <c r="E318" s="34"/>
      <c r="F318" s="34"/>
      <c r="G318" s="34"/>
      <c r="H318" s="34"/>
      <c r="I318" s="34"/>
      <c r="J318" s="34"/>
      <c r="K318" s="34"/>
      <c r="L318" s="34"/>
      <c r="M318" s="34"/>
      <c r="N318" s="34"/>
      <c r="O318" s="34"/>
      <c r="P318" s="34"/>
    </row>
    <row r="319" spans="1:16" ht="13">
      <c r="A319" s="34"/>
      <c r="B319" s="34"/>
      <c r="C319" s="34"/>
      <c r="D319" s="34"/>
      <c r="E319" s="34"/>
      <c r="F319" s="34"/>
      <c r="G319" s="34"/>
      <c r="H319" s="34"/>
      <c r="I319" s="34"/>
      <c r="J319" s="34"/>
      <c r="K319" s="34"/>
      <c r="L319" s="34"/>
      <c r="M319" s="34"/>
      <c r="N319" s="34"/>
      <c r="O319" s="34"/>
      <c r="P319" s="34"/>
    </row>
    <row r="320" spans="1:16" ht="13">
      <c r="A320" s="34"/>
      <c r="B320" s="34"/>
      <c r="C320" s="34"/>
      <c r="D320" s="34"/>
      <c r="E320" s="34"/>
      <c r="F320" s="34"/>
      <c r="G320" s="34"/>
      <c r="H320" s="34"/>
      <c r="I320" s="34"/>
      <c r="J320" s="34"/>
      <c r="K320" s="34"/>
      <c r="L320" s="34"/>
      <c r="M320" s="34"/>
      <c r="N320" s="34"/>
      <c r="O320" s="34"/>
      <c r="P320" s="34"/>
    </row>
    <row r="321" spans="1:16" ht="13">
      <c r="A321" s="34"/>
      <c r="B321" s="34"/>
      <c r="C321" s="34"/>
      <c r="D321" s="34"/>
      <c r="E321" s="34"/>
      <c r="F321" s="34"/>
      <c r="G321" s="34"/>
      <c r="H321" s="34"/>
      <c r="I321" s="34"/>
      <c r="J321" s="34"/>
      <c r="K321" s="34"/>
      <c r="L321" s="34"/>
      <c r="M321" s="34"/>
      <c r="N321" s="34"/>
      <c r="O321" s="34"/>
      <c r="P321" s="34"/>
    </row>
    <row r="322" spans="1:16" ht="13">
      <c r="A322" s="34"/>
      <c r="B322" s="34"/>
      <c r="C322" s="34"/>
      <c r="D322" s="34"/>
      <c r="E322" s="34"/>
      <c r="F322" s="34"/>
      <c r="G322" s="34"/>
      <c r="H322" s="34"/>
      <c r="I322" s="34"/>
      <c r="J322" s="34"/>
      <c r="K322" s="34"/>
      <c r="L322" s="34"/>
      <c r="M322" s="34"/>
      <c r="N322" s="34"/>
      <c r="O322" s="34"/>
      <c r="P322" s="34"/>
    </row>
    <row r="323" spans="1:16" ht="13">
      <c r="A323" s="34"/>
      <c r="B323" s="34"/>
      <c r="C323" s="34"/>
      <c r="D323" s="34"/>
      <c r="E323" s="34"/>
      <c r="F323" s="34"/>
      <c r="G323" s="34"/>
      <c r="H323" s="34"/>
      <c r="I323" s="34"/>
      <c r="J323" s="34"/>
      <c r="K323" s="34"/>
      <c r="L323" s="34"/>
      <c r="M323" s="34"/>
      <c r="N323" s="34"/>
      <c r="O323" s="34"/>
      <c r="P323" s="34"/>
    </row>
    <row r="324" spans="1:16" ht="13">
      <c r="A324" s="34"/>
      <c r="B324" s="34"/>
      <c r="C324" s="34"/>
      <c r="D324" s="34"/>
      <c r="E324" s="34"/>
      <c r="F324" s="34"/>
      <c r="G324" s="34"/>
      <c r="H324" s="34"/>
      <c r="I324" s="34"/>
      <c r="J324" s="34"/>
      <c r="K324" s="34"/>
      <c r="L324" s="34"/>
      <c r="M324" s="34"/>
      <c r="N324" s="34"/>
      <c r="O324" s="34"/>
      <c r="P324" s="34"/>
    </row>
    <row r="325" spans="1:16" ht="13">
      <c r="A325" s="34"/>
      <c r="B325" s="34"/>
      <c r="C325" s="34"/>
      <c r="D325" s="34"/>
      <c r="E325" s="34"/>
      <c r="F325" s="34"/>
      <c r="G325" s="34"/>
      <c r="H325" s="34"/>
      <c r="I325" s="34"/>
      <c r="J325" s="34"/>
      <c r="K325" s="34"/>
      <c r="L325" s="34"/>
      <c r="M325" s="34"/>
      <c r="N325" s="34"/>
      <c r="O325" s="34"/>
      <c r="P325" s="34"/>
    </row>
    <row r="326" spans="1:16" ht="13">
      <c r="A326" s="34"/>
      <c r="B326" s="34"/>
      <c r="C326" s="34"/>
      <c r="D326" s="34"/>
      <c r="E326" s="34"/>
      <c r="F326" s="34"/>
      <c r="G326" s="34"/>
      <c r="H326" s="34"/>
      <c r="I326" s="34"/>
      <c r="J326" s="34"/>
      <c r="K326" s="34"/>
      <c r="L326" s="34"/>
      <c r="M326" s="34"/>
      <c r="N326" s="34"/>
      <c r="O326" s="34"/>
      <c r="P326" s="34"/>
    </row>
    <row r="327" spans="1:16" ht="13">
      <c r="A327" s="34"/>
      <c r="B327" s="34"/>
      <c r="C327" s="34"/>
      <c r="D327" s="34"/>
      <c r="E327" s="34"/>
      <c r="F327" s="34"/>
      <c r="G327" s="34"/>
      <c r="H327" s="34"/>
      <c r="I327" s="34"/>
      <c r="J327" s="34"/>
      <c r="K327" s="34"/>
      <c r="L327" s="34"/>
      <c r="M327" s="34"/>
      <c r="N327" s="34"/>
      <c r="O327" s="34"/>
      <c r="P327" s="34"/>
    </row>
    <row r="328" spans="1:16" ht="13">
      <c r="A328" s="34"/>
      <c r="B328" s="34"/>
      <c r="C328" s="34"/>
      <c r="D328" s="34"/>
      <c r="E328" s="34"/>
      <c r="F328" s="34"/>
      <c r="G328" s="34"/>
      <c r="H328" s="34"/>
      <c r="I328" s="34"/>
      <c r="J328" s="34"/>
      <c r="K328" s="34"/>
      <c r="L328" s="34"/>
      <c r="M328" s="34"/>
      <c r="N328" s="34"/>
      <c r="O328" s="34"/>
      <c r="P328" s="34"/>
    </row>
    <row r="329" spans="1:16" ht="13">
      <c r="A329" s="34"/>
      <c r="B329" s="34"/>
      <c r="C329" s="34"/>
      <c r="D329" s="34"/>
      <c r="E329" s="34"/>
      <c r="F329" s="34"/>
      <c r="G329" s="34"/>
      <c r="H329" s="34"/>
      <c r="I329" s="34"/>
      <c r="J329" s="34"/>
      <c r="K329" s="34"/>
      <c r="L329" s="34"/>
      <c r="M329" s="34"/>
      <c r="N329" s="34"/>
      <c r="O329" s="34"/>
      <c r="P329" s="34"/>
    </row>
    <row r="330" spans="1:16" ht="13">
      <c r="A330" s="34"/>
      <c r="B330" s="34"/>
      <c r="C330" s="34"/>
      <c r="D330" s="34"/>
      <c r="E330" s="34"/>
      <c r="F330" s="34"/>
      <c r="G330" s="34"/>
      <c r="H330" s="34"/>
      <c r="I330" s="34"/>
      <c r="J330" s="34"/>
      <c r="K330" s="34"/>
      <c r="L330" s="34"/>
      <c r="M330" s="34"/>
      <c r="N330" s="34"/>
      <c r="O330" s="34"/>
      <c r="P330" s="34"/>
    </row>
    <row r="331" spans="1:16" ht="13">
      <c r="A331" s="34"/>
      <c r="B331" s="34"/>
      <c r="C331" s="34"/>
      <c r="D331" s="34"/>
      <c r="E331" s="34"/>
      <c r="F331" s="34"/>
      <c r="G331" s="34"/>
      <c r="H331" s="34"/>
      <c r="I331" s="34"/>
      <c r="J331" s="34"/>
      <c r="K331" s="34"/>
      <c r="L331" s="34"/>
      <c r="M331" s="34"/>
      <c r="N331" s="34"/>
      <c r="O331" s="34"/>
      <c r="P331" s="34"/>
    </row>
    <row r="332" spans="1:16" ht="13">
      <c r="A332" s="34"/>
      <c r="B332" s="34"/>
      <c r="C332" s="34"/>
      <c r="D332" s="34"/>
      <c r="E332" s="34"/>
      <c r="F332" s="34"/>
      <c r="G332" s="34"/>
      <c r="H332" s="34"/>
      <c r="I332" s="34"/>
      <c r="J332" s="34"/>
      <c r="K332" s="34"/>
      <c r="L332" s="34"/>
      <c r="M332" s="34"/>
      <c r="N332" s="34"/>
      <c r="O332" s="34"/>
      <c r="P332" s="34"/>
    </row>
    <row r="333" spans="1:16" ht="13">
      <c r="A333" s="34"/>
      <c r="B333" s="34"/>
      <c r="C333" s="34"/>
      <c r="D333" s="34"/>
      <c r="E333" s="34"/>
      <c r="F333" s="34"/>
      <c r="G333" s="34"/>
      <c r="H333" s="34"/>
      <c r="I333" s="34"/>
      <c r="J333" s="34"/>
      <c r="K333" s="34"/>
      <c r="L333" s="34"/>
      <c r="M333" s="34"/>
      <c r="N333" s="34"/>
      <c r="O333" s="34"/>
      <c r="P333" s="34"/>
    </row>
    <row r="334" spans="1:16" ht="13">
      <c r="A334" s="34"/>
      <c r="B334" s="34"/>
      <c r="C334" s="34"/>
      <c r="D334" s="34"/>
      <c r="E334" s="34"/>
      <c r="F334" s="34"/>
      <c r="G334" s="34"/>
      <c r="H334" s="34"/>
      <c r="I334" s="34"/>
      <c r="J334" s="34"/>
      <c r="K334" s="34"/>
      <c r="L334" s="34"/>
      <c r="M334" s="34"/>
      <c r="N334" s="34"/>
      <c r="O334" s="34"/>
      <c r="P334" s="34"/>
    </row>
    <row r="335" spans="1:16" ht="13">
      <c r="A335" s="34"/>
      <c r="B335" s="34"/>
      <c r="C335" s="34"/>
      <c r="D335" s="34"/>
      <c r="E335" s="34"/>
      <c r="F335" s="34"/>
      <c r="G335" s="34"/>
      <c r="H335" s="34"/>
      <c r="I335" s="34"/>
      <c r="J335" s="34"/>
      <c r="K335" s="34"/>
      <c r="L335" s="34"/>
      <c r="M335" s="34"/>
      <c r="N335" s="34"/>
      <c r="O335" s="34"/>
      <c r="P335" s="34"/>
    </row>
    <row r="336" spans="1:16" ht="13">
      <c r="A336" s="34"/>
      <c r="B336" s="34"/>
      <c r="C336" s="34"/>
      <c r="D336" s="34"/>
      <c r="E336" s="34"/>
      <c r="F336" s="34"/>
      <c r="G336" s="34"/>
      <c r="H336" s="34"/>
      <c r="I336" s="34"/>
      <c r="J336" s="34"/>
      <c r="K336" s="34"/>
      <c r="L336" s="34"/>
      <c r="M336" s="34"/>
      <c r="N336" s="34"/>
      <c r="O336" s="34"/>
      <c r="P336" s="34"/>
    </row>
    <row r="337" spans="1:16" ht="13">
      <c r="A337" s="34"/>
      <c r="B337" s="34"/>
      <c r="C337" s="34"/>
      <c r="D337" s="34"/>
      <c r="E337" s="34"/>
      <c r="F337" s="34"/>
      <c r="G337" s="34"/>
      <c r="H337" s="34"/>
      <c r="I337" s="34"/>
      <c r="J337" s="34"/>
      <c r="K337" s="34"/>
      <c r="L337" s="34"/>
      <c r="M337" s="34"/>
      <c r="N337" s="34"/>
      <c r="O337" s="34"/>
      <c r="P337" s="34"/>
    </row>
    <row r="338" spans="1:16" ht="13">
      <c r="A338" s="34"/>
      <c r="B338" s="34"/>
      <c r="C338" s="34"/>
      <c r="D338" s="34"/>
      <c r="E338" s="34"/>
      <c r="F338" s="34"/>
      <c r="G338" s="34"/>
      <c r="H338" s="34"/>
      <c r="I338" s="34"/>
      <c r="J338" s="34"/>
      <c r="K338" s="34"/>
      <c r="L338" s="34"/>
      <c r="M338" s="34"/>
      <c r="N338" s="34"/>
      <c r="O338" s="34"/>
      <c r="P338" s="34"/>
    </row>
    <row r="339" spans="1:16" ht="13">
      <c r="A339" s="34"/>
      <c r="B339" s="34"/>
      <c r="C339" s="34"/>
      <c r="D339" s="34"/>
      <c r="E339" s="34"/>
      <c r="F339" s="34"/>
      <c r="G339" s="34"/>
      <c r="H339" s="34"/>
      <c r="I339" s="34"/>
      <c r="J339" s="34"/>
      <c r="K339" s="34"/>
      <c r="L339" s="34"/>
      <c r="M339" s="34"/>
      <c r="N339" s="34"/>
      <c r="O339" s="34"/>
      <c r="P339" s="34"/>
    </row>
    <row r="340" spans="1:16" ht="13">
      <c r="A340" s="34"/>
      <c r="B340" s="34"/>
      <c r="C340" s="34"/>
      <c r="D340" s="34"/>
      <c r="E340" s="34"/>
      <c r="F340" s="34"/>
      <c r="G340" s="34"/>
      <c r="H340" s="34"/>
      <c r="I340" s="34"/>
      <c r="J340" s="34"/>
      <c r="K340" s="34"/>
      <c r="L340" s="34"/>
      <c r="M340" s="34"/>
      <c r="N340" s="34"/>
      <c r="O340" s="34"/>
      <c r="P340" s="34"/>
    </row>
    <row r="341" spans="1:16" ht="13">
      <c r="A341" s="34"/>
      <c r="B341" s="34"/>
      <c r="C341" s="34"/>
      <c r="D341" s="34"/>
      <c r="E341" s="34"/>
      <c r="F341" s="34"/>
      <c r="G341" s="34"/>
      <c r="H341" s="34"/>
      <c r="I341" s="34"/>
      <c r="J341" s="34"/>
      <c r="K341" s="34"/>
      <c r="L341" s="34"/>
      <c r="M341" s="34"/>
      <c r="N341" s="34"/>
      <c r="O341" s="34"/>
      <c r="P341" s="34"/>
    </row>
    <row r="342" spans="1:16" ht="13">
      <c r="A342" s="34"/>
      <c r="B342" s="34"/>
      <c r="C342" s="34"/>
      <c r="D342" s="34"/>
      <c r="E342" s="34"/>
      <c r="F342" s="34"/>
      <c r="G342" s="34"/>
      <c r="H342" s="34"/>
      <c r="I342" s="34"/>
      <c r="J342" s="34"/>
      <c r="K342" s="34"/>
      <c r="L342" s="34"/>
      <c r="M342" s="34"/>
      <c r="N342" s="34"/>
      <c r="O342" s="34"/>
      <c r="P342" s="34"/>
    </row>
    <row r="343" spans="1:16" ht="13">
      <c r="A343" s="34"/>
      <c r="B343" s="34"/>
      <c r="C343" s="34"/>
      <c r="D343" s="34"/>
      <c r="E343" s="34"/>
      <c r="F343" s="34"/>
      <c r="G343" s="34"/>
      <c r="H343" s="34"/>
      <c r="I343" s="34"/>
      <c r="J343" s="34"/>
      <c r="K343" s="34"/>
      <c r="L343" s="34"/>
      <c r="M343" s="34"/>
      <c r="N343" s="34"/>
      <c r="O343" s="34"/>
      <c r="P343" s="34"/>
    </row>
    <row r="344" spans="1:16" ht="13">
      <c r="A344" s="34"/>
      <c r="B344" s="34"/>
      <c r="C344" s="34"/>
      <c r="D344" s="34"/>
      <c r="E344" s="34"/>
      <c r="F344" s="34"/>
      <c r="G344" s="34"/>
      <c r="H344" s="34"/>
      <c r="I344" s="34"/>
      <c r="J344" s="34"/>
      <c r="K344" s="34"/>
      <c r="L344" s="34"/>
      <c r="M344" s="34"/>
      <c r="N344" s="34"/>
      <c r="O344" s="34"/>
      <c r="P344" s="34"/>
    </row>
    <row r="345" spans="1:16" ht="13">
      <c r="A345" s="34"/>
      <c r="B345" s="34"/>
      <c r="C345" s="34"/>
      <c r="D345" s="34"/>
      <c r="E345" s="34"/>
      <c r="F345" s="34"/>
      <c r="G345" s="34"/>
      <c r="H345" s="34"/>
      <c r="I345" s="34"/>
      <c r="J345" s="34"/>
      <c r="K345" s="34"/>
      <c r="L345" s="34"/>
      <c r="M345" s="34"/>
      <c r="N345" s="34"/>
      <c r="O345" s="34"/>
      <c r="P345" s="34"/>
    </row>
    <row r="346" spans="1:16" ht="13">
      <c r="A346" s="34"/>
      <c r="B346" s="34"/>
      <c r="C346" s="34"/>
      <c r="D346" s="34"/>
      <c r="E346" s="34"/>
      <c r="F346" s="34"/>
      <c r="G346" s="34"/>
      <c r="H346" s="34"/>
      <c r="I346" s="34"/>
      <c r="J346" s="34"/>
      <c r="K346" s="34"/>
      <c r="L346" s="34"/>
      <c r="M346" s="34"/>
      <c r="N346" s="34"/>
      <c r="O346" s="34"/>
      <c r="P346" s="34"/>
    </row>
    <row r="347" spans="1:16" ht="13">
      <c r="A347" s="34"/>
      <c r="B347" s="34"/>
      <c r="C347" s="34"/>
      <c r="D347" s="34"/>
      <c r="E347" s="34"/>
      <c r="F347" s="34"/>
      <c r="G347" s="34"/>
      <c r="H347" s="34"/>
      <c r="I347" s="34"/>
      <c r="J347" s="34"/>
      <c r="K347" s="34"/>
      <c r="L347" s="34"/>
      <c r="M347" s="34"/>
      <c r="N347" s="34"/>
      <c r="O347" s="34"/>
      <c r="P347" s="34"/>
    </row>
    <row r="348" spans="1:16" ht="13">
      <c r="A348" s="34"/>
      <c r="B348" s="34"/>
      <c r="C348" s="34"/>
      <c r="D348" s="34"/>
      <c r="E348" s="34"/>
      <c r="F348" s="34"/>
      <c r="G348" s="34"/>
      <c r="H348" s="34"/>
      <c r="I348" s="34"/>
      <c r="J348" s="34"/>
      <c r="K348" s="34"/>
      <c r="L348" s="34"/>
      <c r="M348" s="34"/>
      <c r="N348" s="34"/>
      <c r="O348" s="34"/>
      <c r="P348" s="34"/>
    </row>
    <row r="349" spans="1:16" ht="13">
      <c r="A349" s="34"/>
      <c r="B349" s="34"/>
      <c r="C349" s="34"/>
      <c r="D349" s="34"/>
      <c r="E349" s="34"/>
      <c r="F349" s="34"/>
      <c r="G349" s="34"/>
      <c r="H349" s="34"/>
      <c r="I349" s="34"/>
      <c r="J349" s="34"/>
      <c r="K349" s="34"/>
      <c r="L349" s="34"/>
      <c r="M349" s="34"/>
      <c r="N349" s="34"/>
      <c r="O349" s="34"/>
      <c r="P349" s="34"/>
    </row>
    <row r="350" spans="1:16" ht="13">
      <c r="A350" s="34"/>
      <c r="B350" s="34"/>
      <c r="C350" s="34"/>
      <c r="D350" s="34"/>
      <c r="E350" s="34"/>
      <c r="F350" s="34"/>
      <c r="G350" s="34"/>
      <c r="H350" s="34"/>
      <c r="I350" s="34"/>
      <c r="J350" s="34"/>
      <c r="K350" s="34"/>
      <c r="L350" s="34"/>
      <c r="M350" s="34"/>
      <c r="N350" s="34"/>
      <c r="O350" s="34"/>
      <c r="P350" s="34"/>
    </row>
    <row r="351" spans="1:16" ht="13">
      <c r="A351" s="34"/>
      <c r="B351" s="34"/>
      <c r="C351" s="34"/>
      <c r="D351" s="34"/>
      <c r="E351" s="34"/>
      <c r="F351" s="34"/>
      <c r="G351" s="34"/>
      <c r="H351" s="34"/>
      <c r="I351" s="34"/>
      <c r="J351" s="34"/>
      <c r="K351" s="34"/>
      <c r="L351" s="34"/>
      <c r="M351" s="34"/>
      <c r="N351" s="34"/>
      <c r="O351" s="34"/>
      <c r="P351" s="34"/>
    </row>
    <row r="352" spans="1:16" ht="13">
      <c r="A352" s="34"/>
      <c r="B352" s="34"/>
      <c r="C352" s="34"/>
      <c r="D352" s="34"/>
      <c r="E352" s="34"/>
      <c r="F352" s="34"/>
      <c r="G352" s="34"/>
      <c r="H352" s="34"/>
      <c r="I352" s="34"/>
      <c r="J352" s="34"/>
      <c r="K352" s="34"/>
      <c r="L352" s="34"/>
      <c r="M352" s="34"/>
      <c r="N352" s="34"/>
      <c r="O352" s="34"/>
      <c r="P352" s="34"/>
    </row>
    <row r="353" spans="1:16" ht="13">
      <c r="A353" s="34"/>
      <c r="B353" s="34"/>
      <c r="C353" s="34"/>
      <c r="D353" s="34"/>
      <c r="E353" s="34"/>
      <c r="F353" s="34"/>
      <c r="G353" s="34"/>
      <c r="H353" s="34"/>
      <c r="I353" s="34"/>
      <c r="J353" s="34"/>
      <c r="K353" s="34"/>
      <c r="L353" s="34"/>
      <c r="M353" s="34"/>
      <c r="N353" s="34"/>
      <c r="O353" s="34"/>
      <c r="P353" s="34"/>
    </row>
    <row r="354" spans="1:16" ht="13">
      <c r="A354" s="34"/>
      <c r="B354" s="34"/>
      <c r="C354" s="34"/>
      <c r="D354" s="34"/>
      <c r="E354" s="34"/>
      <c r="F354" s="34"/>
      <c r="G354" s="34"/>
      <c r="H354" s="34"/>
      <c r="I354" s="34"/>
      <c r="J354" s="34"/>
      <c r="K354" s="34"/>
      <c r="L354" s="34"/>
      <c r="M354" s="34"/>
      <c r="N354" s="34"/>
      <c r="O354" s="34"/>
      <c r="P354" s="34"/>
    </row>
    <row r="355" spans="1:16" ht="13">
      <c r="A355" s="34"/>
      <c r="B355" s="34"/>
      <c r="C355" s="34"/>
      <c r="D355" s="34"/>
      <c r="E355" s="34"/>
      <c r="F355" s="34"/>
      <c r="G355" s="34"/>
      <c r="H355" s="34"/>
      <c r="I355" s="34"/>
      <c r="J355" s="34"/>
      <c r="K355" s="34"/>
      <c r="L355" s="34"/>
      <c r="M355" s="34"/>
      <c r="N355" s="34"/>
      <c r="O355" s="34"/>
      <c r="P355" s="34"/>
    </row>
    <row r="356" spans="1:16" ht="13">
      <c r="A356" s="34"/>
      <c r="B356" s="34"/>
      <c r="C356" s="34"/>
      <c r="D356" s="34"/>
      <c r="E356" s="34"/>
      <c r="F356" s="34"/>
      <c r="G356" s="34"/>
      <c r="H356" s="34"/>
      <c r="I356" s="34"/>
      <c r="J356" s="34"/>
      <c r="K356" s="34"/>
      <c r="L356" s="34"/>
      <c r="M356" s="34"/>
      <c r="N356" s="34"/>
      <c r="O356" s="34"/>
      <c r="P356" s="34"/>
    </row>
    <row r="357" spans="1:16" ht="13">
      <c r="A357" s="34"/>
      <c r="B357" s="34"/>
      <c r="C357" s="34"/>
      <c r="D357" s="34"/>
      <c r="E357" s="34"/>
      <c r="F357" s="34"/>
      <c r="G357" s="34"/>
      <c r="H357" s="34"/>
      <c r="I357" s="34"/>
      <c r="J357" s="34"/>
      <c r="K357" s="34"/>
      <c r="L357" s="34"/>
      <c r="M357" s="34"/>
      <c r="N357" s="34"/>
      <c r="O357" s="34"/>
      <c r="P357" s="34"/>
    </row>
    <row r="358" spans="1:16" ht="13">
      <c r="A358" s="34"/>
      <c r="B358" s="34"/>
      <c r="C358" s="34"/>
      <c r="D358" s="34"/>
      <c r="E358" s="34"/>
      <c r="F358" s="34"/>
      <c r="G358" s="34"/>
      <c r="H358" s="34"/>
      <c r="I358" s="34"/>
      <c r="J358" s="34"/>
      <c r="K358" s="34"/>
      <c r="L358" s="34"/>
      <c r="M358" s="34"/>
      <c r="N358" s="34"/>
      <c r="O358" s="34"/>
      <c r="P358" s="34"/>
    </row>
    <row r="359" spans="1:16" ht="13">
      <c r="A359" s="34"/>
      <c r="B359" s="34"/>
      <c r="C359" s="34"/>
      <c r="D359" s="34"/>
      <c r="E359" s="34"/>
      <c r="F359" s="34"/>
      <c r="G359" s="34"/>
      <c r="H359" s="34"/>
      <c r="I359" s="34"/>
      <c r="J359" s="34"/>
      <c r="K359" s="34"/>
      <c r="L359" s="34"/>
      <c r="M359" s="34"/>
      <c r="N359" s="34"/>
      <c r="O359" s="34"/>
      <c r="P359" s="34"/>
    </row>
    <row r="360" spans="1:16" ht="13">
      <c r="A360" s="34"/>
      <c r="B360" s="34"/>
      <c r="C360" s="34"/>
      <c r="D360" s="34"/>
      <c r="E360" s="34"/>
      <c r="F360" s="34"/>
      <c r="G360" s="34"/>
      <c r="H360" s="34"/>
      <c r="I360" s="34"/>
      <c r="J360" s="34"/>
      <c r="K360" s="34"/>
      <c r="L360" s="34"/>
      <c r="M360" s="34"/>
      <c r="N360" s="34"/>
      <c r="O360" s="34"/>
      <c r="P360" s="34"/>
    </row>
    <row r="361" spans="1:16" ht="13">
      <c r="A361" s="34"/>
      <c r="B361" s="34"/>
      <c r="C361" s="34"/>
      <c r="D361" s="34"/>
      <c r="E361" s="34"/>
      <c r="F361" s="34"/>
      <c r="G361" s="34"/>
      <c r="H361" s="34"/>
      <c r="I361" s="34"/>
      <c r="J361" s="34"/>
      <c r="K361" s="34"/>
      <c r="L361" s="34"/>
      <c r="M361" s="34"/>
      <c r="N361" s="34"/>
      <c r="O361" s="34"/>
      <c r="P361" s="34"/>
    </row>
    <row r="362" spans="1:16" ht="13">
      <c r="A362" s="34"/>
      <c r="B362" s="34"/>
      <c r="C362" s="34"/>
      <c r="D362" s="34"/>
      <c r="E362" s="34"/>
      <c r="F362" s="34"/>
      <c r="G362" s="34"/>
      <c r="H362" s="34"/>
      <c r="I362" s="34"/>
      <c r="J362" s="34"/>
      <c r="K362" s="34"/>
      <c r="L362" s="34"/>
      <c r="M362" s="34"/>
      <c r="N362" s="34"/>
      <c r="O362" s="34"/>
      <c r="P362" s="34"/>
    </row>
    <row r="363" spans="1:16" ht="13">
      <c r="A363" s="34"/>
      <c r="B363" s="34"/>
      <c r="C363" s="34"/>
      <c r="D363" s="34"/>
      <c r="E363" s="34"/>
      <c r="F363" s="34"/>
      <c r="G363" s="34"/>
      <c r="H363" s="34"/>
      <c r="I363" s="34"/>
      <c r="J363" s="34"/>
      <c r="K363" s="34"/>
      <c r="L363" s="34"/>
      <c r="M363" s="34"/>
      <c r="N363" s="34"/>
      <c r="O363" s="34"/>
      <c r="P363" s="34"/>
    </row>
    <row r="364" spans="1:16" ht="13">
      <c r="A364" s="34"/>
      <c r="B364" s="34"/>
      <c r="C364" s="34"/>
      <c r="D364" s="34"/>
      <c r="E364" s="34"/>
      <c r="F364" s="34"/>
      <c r="G364" s="34"/>
      <c r="H364" s="34"/>
      <c r="I364" s="34"/>
      <c r="J364" s="34"/>
      <c r="K364" s="34"/>
      <c r="L364" s="34"/>
      <c r="M364" s="34"/>
      <c r="N364" s="34"/>
      <c r="O364" s="34"/>
      <c r="P364" s="34"/>
    </row>
    <row r="365" spans="1:16" ht="13">
      <c r="A365" s="34"/>
      <c r="B365" s="34"/>
      <c r="C365" s="34"/>
      <c r="D365" s="34"/>
      <c r="E365" s="34"/>
      <c r="F365" s="34"/>
      <c r="G365" s="34"/>
      <c r="H365" s="34"/>
      <c r="I365" s="34"/>
      <c r="J365" s="34"/>
      <c r="K365" s="34"/>
      <c r="L365" s="34"/>
      <c r="M365" s="34"/>
      <c r="N365" s="34"/>
      <c r="O365" s="34"/>
      <c r="P365" s="34"/>
    </row>
    <row r="366" spans="1:16" ht="13">
      <c r="A366" s="34"/>
      <c r="B366" s="34"/>
      <c r="C366" s="34"/>
      <c r="D366" s="34"/>
      <c r="E366" s="34"/>
      <c r="F366" s="34"/>
      <c r="G366" s="34"/>
      <c r="H366" s="34"/>
      <c r="I366" s="34"/>
      <c r="J366" s="34"/>
      <c r="K366" s="34"/>
      <c r="L366" s="34"/>
      <c r="M366" s="34"/>
      <c r="N366" s="34"/>
      <c r="O366" s="34"/>
      <c r="P366" s="34"/>
    </row>
    <row r="367" spans="1:16" ht="13">
      <c r="A367" s="34"/>
      <c r="B367" s="34"/>
      <c r="C367" s="34"/>
      <c r="D367" s="34"/>
      <c r="E367" s="34"/>
      <c r="F367" s="34"/>
      <c r="G367" s="34"/>
      <c r="H367" s="34"/>
      <c r="I367" s="34"/>
      <c r="J367" s="34"/>
      <c r="K367" s="34"/>
      <c r="L367" s="34"/>
      <c r="M367" s="34"/>
      <c r="N367" s="34"/>
      <c r="O367" s="34"/>
      <c r="P367" s="34"/>
    </row>
    <row r="368" spans="1:16" ht="13">
      <c r="A368" s="34"/>
      <c r="B368" s="34"/>
      <c r="C368" s="34"/>
      <c r="D368" s="34"/>
      <c r="E368" s="34"/>
      <c r="F368" s="34"/>
      <c r="G368" s="34"/>
      <c r="H368" s="34"/>
      <c r="I368" s="34"/>
      <c r="J368" s="34"/>
      <c r="K368" s="34"/>
      <c r="L368" s="34"/>
      <c r="M368" s="34"/>
      <c r="N368" s="34"/>
      <c r="O368" s="34"/>
      <c r="P368" s="34"/>
    </row>
    <row r="369" spans="1:16" ht="13">
      <c r="A369" s="34"/>
      <c r="B369" s="34"/>
      <c r="C369" s="34"/>
      <c r="D369" s="34"/>
      <c r="E369" s="34"/>
      <c r="F369" s="34"/>
      <c r="G369" s="34"/>
      <c r="H369" s="34"/>
      <c r="I369" s="34"/>
      <c r="J369" s="34"/>
      <c r="K369" s="34"/>
      <c r="L369" s="34"/>
      <c r="M369" s="34"/>
      <c r="N369" s="34"/>
      <c r="O369" s="34"/>
      <c r="P369" s="34"/>
    </row>
    <row r="370" spans="1:16" ht="13">
      <c r="A370" s="34"/>
      <c r="B370" s="34"/>
      <c r="C370" s="34"/>
      <c r="D370" s="34"/>
      <c r="E370" s="34"/>
      <c r="F370" s="34"/>
      <c r="G370" s="34"/>
      <c r="H370" s="34"/>
      <c r="I370" s="34"/>
      <c r="J370" s="34"/>
      <c r="K370" s="34"/>
      <c r="L370" s="34"/>
      <c r="M370" s="34"/>
      <c r="N370" s="34"/>
      <c r="O370" s="34"/>
      <c r="P370" s="34"/>
    </row>
    <row r="371" spans="1:16" ht="13">
      <c r="A371" s="34"/>
      <c r="B371" s="34"/>
      <c r="C371" s="34"/>
      <c r="D371" s="34"/>
      <c r="E371" s="34"/>
      <c r="F371" s="34"/>
      <c r="G371" s="34"/>
      <c r="H371" s="34"/>
      <c r="I371" s="34"/>
      <c r="J371" s="34"/>
      <c r="K371" s="34"/>
      <c r="L371" s="34"/>
      <c r="M371" s="34"/>
      <c r="N371" s="34"/>
      <c r="O371" s="34"/>
      <c r="P371" s="34"/>
    </row>
    <row r="372" spans="1:16" ht="13">
      <c r="A372" s="34"/>
      <c r="B372" s="34"/>
      <c r="C372" s="34"/>
      <c r="D372" s="34"/>
      <c r="E372" s="34"/>
      <c r="F372" s="34"/>
      <c r="G372" s="34"/>
      <c r="H372" s="34"/>
      <c r="I372" s="34"/>
      <c r="J372" s="34"/>
      <c r="K372" s="34"/>
      <c r="L372" s="34"/>
      <c r="M372" s="34"/>
      <c r="N372" s="34"/>
      <c r="O372" s="34"/>
      <c r="P372" s="34"/>
    </row>
    <row r="373" spans="1:16" ht="13">
      <c r="A373" s="34"/>
      <c r="B373" s="34"/>
      <c r="C373" s="34"/>
      <c r="D373" s="34"/>
      <c r="E373" s="34"/>
      <c r="F373" s="34"/>
      <c r="G373" s="34"/>
      <c r="H373" s="34"/>
      <c r="I373" s="34"/>
      <c r="J373" s="34"/>
      <c r="K373" s="34"/>
      <c r="L373" s="34"/>
      <c r="M373" s="34"/>
      <c r="N373" s="34"/>
      <c r="O373" s="34"/>
      <c r="P373" s="34"/>
    </row>
    <row r="374" spans="1:16" ht="13">
      <c r="A374" s="34"/>
      <c r="B374" s="34"/>
      <c r="C374" s="34"/>
      <c r="D374" s="34"/>
      <c r="E374" s="34"/>
      <c r="F374" s="34"/>
      <c r="G374" s="34"/>
      <c r="H374" s="34"/>
      <c r="I374" s="34"/>
      <c r="J374" s="34"/>
      <c r="K374" s="34"/>
      <c r="L374" s="34"/>
      <c r="M374" s="34"/>
      <c r="N374" s="34"/>
      <c r="O374" s="34"/>
      <c r="P374" s="34"/>
    </row>
    <row r="375" spans="1:16" ht="13">
      <c r="A375" s="34"/>
      <c r="B375" s="34"/>
      <c r="C375" s="34"/>
      <c r="D375" s="34"/>
      <c r="E375" s="34"/>
      <c r="F375" s="34"/>
      <c r="G375" s="34"/>
      <c r="H375" s="34"/>
      <c r="I375" s="34"/>
      <c r="J375" s="34"/>
      <c r="K375" s="34"/>
      <c r="L375" s="34"/>
      <c r="M375" s="34"/>
      <c r="N375" s="34"/>
      <c r="O375" s="34"/>
      <c r="P375" s="34"/>
    </row>
    <row r="376" spans="1:16" ht="13">
      <c r="A376" s="34"/>
      <c r="B376" s="34"/>
      <c r="C376" s="34"/>
      <c r="D376" s="34"/>
      <c r="E376" s="34"/>
      <c r="F376" s="34"/>
      <c r="G376" s="34"/>
      <c r="H376" s="34"/>
      <c r="I376" s="34"/>
      <c r="J376" s="34"/>
      <c r="K376" s="34"/>
      <c r="L376" s="34"/>
      <c r="M376" s="34"/>
      <c r="N376" s="34"/>
      <c r="O376" s="34"/>
      <c r="P376" s="34"/>
    </row>
    <row r="377" spans="1:16" ht="13">
      <c r="A377" s="34"/>
      <c r="B377" s="34"/>
      <c r="C377" s="34"/>
      <c r="D377" s="34"/>
      <c r="E377" s="34"/>
      <c r="F377" s="34"/>
      <c r="G377" s="34"/>
      <c r="H377" s="34"/>
      <c r="I377" s="34"/>
      <c r="J377" s="34"/>
      <c r="K377" s="34"/>
      <c r="L377" s="34"/>
      <c r="M377" s="34"/>
      <c r="N377" s="34"/>
      <c r="O377" s="34"/>
      <c r="P377" s="34"/>
    </row>
    <row r="378" spans="1:16" ht="13">
      <c r="A378" s="34"/>
      <c r="B378" s="34"/>
      <c r="C378" s="34"/>
      <c r="D378" s="34"/>
      <c r="E378" s="34"/>
      <c r="F378" s="34"/>
      <c r="G378" s="34"/>
      <c r="H378" s="34"/>
      <c r="I378" s="34"/>
      <c r="J378" s="34"/>
      <c r="K378" s="34"/>
      <c r="L378" s="34"/>
      <c r="M378" s="34"/>
      <c r="N378" s="34"/>
      <c r="O378" s="34"/>
      <c r="P378" s="34"/>
    </row>
    <row r="379" spans="1:16" ht="13">
      <c r="A379" s="34"/>
      <c r="B379" s="34"/>
      <c r="C379" s="34"/>
      <c r="D379" s="34"/>
      <c r="E379" s="34"/>
      <c r="F379" s="34"/>
      <c r="G379" s="34"/>
      <c r="H379" s="34"/>
      <c r="I379" s="34"/>
      <c r="J379" s="34"/>
      <c r="K379" s="34"/>
      <c r="L379" s="34"/>
      <c r="M379" s="34"/>
      <c r="N379" s="34"/>
      <c r="O379" s="34"/>
      <c r="P379" s="34"/>
    </row>
    <row r="380" spans="1:16" ht="13">
      <c r="A380" s="34"/>
      <c r="B380" s="34"/>
      <c r="C380" s="34"/>
      <c r="D380" s="34"/>
      <c r="E380" s="34"/>
      <c r="F380" s="34"/>
      <c r="G380" s="34"/>
      <c r="H380" s="34"/>
      <c r="I380" s="34"/>
      <c r="J380" s="34"/>
      <c r="K380" s="34"/>
      <c r="L380" s="34"/>
      <c r="M380" s="34"/>
      <c r="N380" s="34"/>
      <c r="O380" s="34"/>
      <c r="P380" s="34"/>
    </row>
    <row r="381" spans="1:16" ht="13">
      <c r="A381" s="34"/>
      <c r="B381" s="34"/>
      <c r="C381" s="34"/>
      <c r="D381" s="34"/>
      <c r="E381" s="34"/>
      <c r="F381" s="34"/>
      <c r="G381" s="34"/>
      <c r="H381" s="34"/>
      <c r="I381" s="34"/>
      <c r="J381" s="34"/>
      <c r="K381" s="34"/>
      <c r="L381" s="34"/>
      <c r="M381" s="34"/>
      <c r="N381" s="34"/>
      <c r="O381" s="34"/>
      <c r="P381" s="34"/>
    </row>
    <row r="382" spans="1:16" ht="13">
      <c r="A382" s="34"/>
      <c r="B382" s="34"/>
      <c r="C382" s="34"/>
      <c r="D382" s="34"/>
      <c r="E382" s="34"/>
      <c r="F382" s="34"/>
      <c r="G382" s="34"/>
      <c r="H382" s="34"/>
      <c r="I382" s="34"/>
      <c r="J382" s="34"/>
      <c r="K382" s="34"/>
      <c r="L382" s="34"/>
      <c r="M382" s="34"/>
      <c r="N382" s="34"/>
      <c r="O382" s="34"/>
      <c r="P382" s="34"/>
    </row>
    <row r="383" spans="1:16" ht="13">
      <c r="A383" s="34"/>
      <c r="B383" s="34"/>
      <c r="C383" s="34"/>
      <c r="D383" s="34"/>
      <c r="E383" s="34"/>
      <c r="F383" s="34"/>
      <c r="G383" s="34"/>
      <c r="H383" s="34"/>
      <c r="I383" s="34"/>
      <c r="J383" s="34"/>
      <c r="K383" s="34"/>
      <c r="L383" s="34"/>
      <c r="M383" s="34"/>
      <c r="N383" s="34"/>
      <c r="O383" s="34"/>
      <c r="P383" s="34"/>
    </row>
    <row r="384" spans="1:16" ht="13">
      <c r="A384" s="34"/>
      <c r="B384" s="34"/>
      <c r="C384" s="34"/>
      <c r="D384" s="34"/>
      <c r="E384" s="34"/>
      <c r="F384" s="34"/>
      <c r="G384" s="34"/>
      <c r="H384" s="34"/>
      <c r="I384" s="34"/>
      <c r="J384" s="34"/>
      <c r="K384" s="34"/>
      <c r="L384" s="34"/>
      <c r="M384" s="34"/>
      <c r="N384" s="34"/>
      <c r="O384" s="34"/>
      <c r="P384" s="34"/>
    </row>
    <row r="385" spans="1:16" ht="13">
      <c r="A385" s="34"/>
      <c r="B385" s="34"/>
      <c r="C385" s="34"/>
      <c r="D385" s="34"/>
      <c r="E385" s="34"/>
      <c r="F385" s="34"/>
      <c r="G385" s="34"/>
      <c r="H385" s="34"/>
      <c r="I385" s="34"/>
      <c r="J385" s="34"/>
      <c r="K385" s="34"/>
      <c r="L385" s="34"/>
      <c r="M385" s="34"/>
      <c r="N385" s="34"/>
      <c r="O385" s="34"/>
      <c r="P385" s="34"/>
    </row>
    <row r="386" spans="1:16" ht="13">
      <c r="A386" s="34"/>
      <c r="B386" s="34"/>
      <c r="C386" s="34"/>
      <c r="D386" s="34"/>
      <c r="E386" s="34"/>
      <c r="F386" s="34"/>
      <c r="G386" s="34"/>
      <c r="H386" s="34"/>
      <c r="I386" s="34"/>
      <c r="J386" s="34"/>
      <c r="K386" s="34"/>
      <c r="L386" s="34"/>
      <c r="M386" s="34"/>
      <c r="N386" s="34"/>
      <c r="O386" s="34"/>
      <c r="P386" s="34"/>
    </row>
    <row r="387" spans="1:16" ht="13">
      <c r="A387" s="34"/>
      <c r="B387" s="34"/>
      <c r="C387" s="34"/>
      <c r="D387" s="34"/>
      <c r="E387" s="34"/>
      <c r="F387" s="34"/>
      <c r="G387" s="34"/>
      <c r="H387" s="34"/>
      <c r="I387" s="34"/>
      <c r="J387" s="34"/>
      <c r="K387" s="34"/>
      <c r="L387" s="34"/>
      <c r="M387" s="34"/>
      <c r="N387" s="34"/>
      <c r="O387" s="34"/>
      <c r="P387" s="34"/>
    </row>
    <row r="388" spans="1:16" ht="13">
      <c r="A388" s="34"/>
      <c r="B388" s="34"/>
      <c r="C388" s="34"/>
      <c r="D388" s="34"/>
      <c r="E388" s="34"/>
      <c r="F388" s="34"/>
      <c r="G388" s="34"/>
      <c r="H388" s="34"/>
      <c r="I388" s="34"/>
      <c r="J388" s="34"/>
      <c r="K388" s="34"/>
      <c r="L388" s="34"/>
      <c r="M388" s="34"/>
      <c r="N388" s="34"/>
      <c r="O388" s="34"/>
      <c r="P388" s="34"/>
    </row>
    <row r="389" spans="1:16" ht="13">
      <c r="A389" s="34"/>
      <c r="B389" s="34"/>
      <c r="C389" s="34"/>
      <c r="D389" s="34"/>
      <c r="E389" s="34"/>
      <c r="F389" s="34"/>
      <c r="G389" s="34"/>
      <c r="H389" s="34"/>
      <c r="I389" s="34"/>
      <c r="J389" s="34"/>
      <c r="K389" s="34"/>
      <c r="L389" s="34"/>
      <c r="M389" s="34"/>
      <c r="N389" s="34"/>
      <c r="O389" s="34"/>
      <c r="P389" s="34"/>
    </row>
    <row r="390" spans="1:16" ht="13">
      <c r="A390" s="34"/>
      <c r="B390" s="34"/>
      <c r="C390" s="34"/>
      <c r="D390" s="34"/>
      <c r="E390" s="34"/>
      <c r="F390" s="34"/>
      <c r="G390" s="34"/>
      <c r="H390" s="34"/>
      <c r="I390" s="34"/>
      <c r="J390" s="34"/>
      <c r="K390" s="34"/>
      <c r="L390" s="34"/>
      <c r="M390" s="34"/>
      <c r="N390" s="34"/>
      <c r="O390" s="34"/>
      <c r="P390" s="34"/>
    </row>
    <row r="391" spans="1:16" ht="13">
      <c r="A391" s="34"/>
      <c r="B391" s="34"/>
      <c r="C391" s="34"/>
      <c r="D391" s="34"/>
      <c r="E391" s="34"/>
      <c r="F391" s="34"/>
      <c r="G391" s="34"/>
      <c r="H391" s="34"/>
      <c r="I391" s="34"/>
      <c r="J391" s="34"/>
      <c r="K391" s="34"/>
      <c r="L391" s="34"/>
      <c r="M391" s="34"/>
      <c r="N391" s="34"/>
      <c r="O391" s="34"/>
      <c r="P391" s="34"/>
    </row>
    <row r="392" spans="1:16" ht="13">
      <c r="A392" s="34"/>
      <c r="B392" s="34"/>
      <c r="C392" s="34"/>
      <c r="D392" s="34"/>
      <c r="E392" s="34"/>
      <c r="F392" s="34"/>
      <c r="G392" s="34"/>
      <c r="H392" s="34"/>
      <c r="I392" s="34"/>
      <c r="J392" s="34"/>
      <c r="K392" s="34"/>
      <c r="L392" s="34"/>
      <c r="M392" s="34"/>
      <c r="N392" s="34"/>
      <c r="O392" s="34"/>
      <c r="P392" s="34"/>
    </row>
    <row r="393" spans="1:16" ht="13">
      <c r="A393" s="34"/>
      <c r="B393" s="34"/>
      <c r="C393" s="34"/>
      <c r="D393" s="34"/>
      <c r="E393" s="34"/>
      <c r="F393" s="34"/>
      <c r="G393" s="34"/>
      <c r="H393" s="34"/>
      <c r="I393" s="34"/>
      <c r="J393" s="34"/>
      <c r="K393" s="34"/>
      <c r="L393" s="34"/>
      <c r="M393" s="34"/>
      <c r="N393" s="34"/>
      <c r="O393" s="34"/>
      <c r="P393" s="34"/>
    </row>
    <row r="394" spans="1:16" ht="13">
      <c r="A394" s="34"/>
      <c r="B394" s="34"/>
      <c r="C394" s="34"/>
      <c r="D394" s="34"/>
      <c r="E394" s="34"/>
      <c r="F394" s="34"/>
      <c r="G394" s="34"/>
      <c r="H394" s="34"/>
      <c r="I394" s="34"/>
      <c r="J394" s="34"/>
      <c r="K394" s="34"/>
      <c r="L394" s="34"/>
      <c r="M394" s="34"/>
      <c r="N394" s="34"/>
      <c r="O394" s="34"/>
      <c r="P394" s="34"/>
    </row>
    <row r="395" spans="1:16" ht="13">
      <c r="A395" s="34"/>
      <c r="B395" s="34"/>
      <c r="C395" s="34"/>
      <c r="D395" s="34"/>
      <c r="E395" s="34"/>
      <c r="F395" s="34"/>
      <c r="G395" s="34"/>
      <c r="H395" s="34"/>
      <c r="I395" s="34"/>
      <c r="J395" s="34"/>
      <c r="K395" s="34"/>
      <c r="L395" s="34"/>
      <c r="M395" s="34"/>
      <c r="N395" s="34"/>
      <c r="O395" s="34"/>
      <c r="P395" s="34"/>
    </row>
    <row r="396" spans="1:16" ht="13">
      <c r="A396" s="34"/>
      <c r="B396" s="34"/>
      <c r="C396" s="34"/>
      <c r="D396" s="34"/>
      <c r="E396" s="34"/>
      <c r="F396" s="34"/>
      <c r="G396" s="34"/>
      <c r="H396" s="34"/>
      <c r="I396" s="34"/>
      <c r="J396" s="34"/>
      <c r="K396" s="34"/>
      <c r="L396" s="34"/>
      <c r="M396" s="34"/>
      <c r="N396" s="34"/>
      <c r="O396" s="34"/>
      <c r="P396" s="34"/>
    </row>
    <row r="397" spans="1:16" ht="13">
      <c r="A397" s="34"/>
      <c r="B397" s="34"/>
      <c r="C397" s="34"/>
      <c r="D397" s="34"/>
      <c r="E397" s="34"/>
      <c r="F397" s="34"/>
      <c r="G397" s="34"/>
      <c r="H397" s="34"/>
      <c r="I397" s="34"/>
      <c r="J397" s="34"/>
      <c r="K397" s="34"/>
      <c r="L397" s="34"/>
      <c r="M397" s="34"/>
      <c r="N397" s="34"/>
      <c r="O397" s="34"/>
      <c r="P397" s="34"/>
    </row>
    <row r="398" spans="1:16" ht="13">
      <c r="A398" s="34"/>
      <c r="B398" s="34"/>
      <c r="C398" s="34"/>
      <c r="D398" s="34"/>
      <c r="E398" s="34"/>
      <c r="F398" s="34"/>
      <c r="G398" s="34"/>
      <c r="H398" s="34"/>
      <c r="I398" s="34"/>
      <c r="J398" s="34"/>
      <c r="K398" s="34"/>
      <c r="L398" s="34"/>
      <c r="M398" s="34"/>
      <c r="N398" s="34"/>
      <c r="O398" s="34"/>
      <c r="P398" s="34"/>
    </row>
    <row r="399" spans="1:16" ht="13">
      <c r="A399" s="34"/>
      <c r="B399" s="34"/>
      <c r="C399" s="34"/>
      <c r="D399" s="34"/>
      <c r="E399" s="34"/>
      <c r="F399" s="34"/>
      <c r="G399" s="34"/>
      <c r="H399" s="34"/>
      <c r="I399" s="34"/>
      <c r="J399" s="34"/>
      <c r="K399" s="34"/>
      <c r="L399" s="34"/>
      <c r="M399" s="34"/>
      <c r="N399" s="34"/>
      <c r="O399" s="34"/>
      <c r="P399" s="34"/>
    </row>
    <row r="400" spans="1:16" ht="13">
      <c r="A400" s="34"/>
      <c r="B400" s="34"/>
      <c r="C400" s="34"/>
      <c r="D400" s="34"/>
      <c r="E400" s="34"/>
      <c r="F400" s="34"/>
      <c r="G400" s="34"/>
      <c r="H400" s="34"/>
      <c r="I400" s="34"/>
      <c r="J400" s="34"/>
      <c r="K400" s="34"/>
      <c r="L400" s="34"/>
      <c r="M400" s="34"/>
      <c r="N400" s="34"/>
      <c r="O400" s="34"/>
      <c r="P400" s="34"/>
    </row>
    <row r="401" spans="1:16" ht="13">
      <c r="A401" s="34"/>
      <c r="B401" s="34"/>
      <c r="C401" s="34"/>
      <c r="D401" s="34"/>
      <c r="E401" s="34"/>
      <c r="F401" s="34"/>
      <c r="G401" s="34"/>
      <c r="H401" s="34"/>
      <c r="I401" s="34"/>
      <c r="J401" s="34"/>
      <c r="K401" s="34"/>
      <c r="L401" s="34"/>
      <c r="M401" s="34"/>
      <c r="N401" s="34"/>
      <c r="O401" s="34"/>
      <c r="P401" s="34"/>
    </row>
    <row r="402" spans="1:16" ht="13">
      <c r="A402" s="34"/>
      <c r="B402" s="34"/>
      <c r="C402" s="34"/>
      <c r="D402" s="34"/>
      <c r="E402" s="34"/>
      <c r="F402" s="34"/>
      <c r="G402" s="34"/>
      <c r="H402" s="34"/>
      <c r="I402" s="34"/>
      <c r="J402" s="34"/>
      <c r="K402" s="34"/>
      <c r="L402" s="34"/>
      <c r="M402" s="34"/>
      <c r="N402" s="34"/>
      <c r="O402" s="34"/>
      <c r="P402" s="34"/>
    </row>
    <row r="403" spans="1:16" ht="13">
      <c r="A403" s="34"/>
      <c r="B403" s="34"/>
      <c r="C403" s="34"/>
      <c r="D403" s="34"/>
      <c r="E403" s="34"/>
      <c r="F403" s="34"/>
      <c r="G403" s="34"/>
      <c r="H403" s="34"/>
      <c r="I403" s="34"/>
      <c r="J403" s="34"/>
      <c r="K403" s="34"/>
      <c r="L403" s="34"/>
      <c r="M403" s="34"/>
      <c r="N403" s="34"/>
      <c r="O403" s="34"/>
      <c r="P403" s="34"/>
    </row>
    <row r="404" spans="1:16" ht="13">
      <c r="A404" s="34"/>
      <c r="B404" s="34"/>
      <c r="C404" s="34"/>
      <c r="D404" s="34"/>
      <c r="E404" s="34"/>
      <c r="F404" s="34"/>
      <c r="G404" s="34"/>
      <c r="H404" s="34"/>
      <c r="I404" s="34"/>
      <c r="J404" s="34"/>
      <c r="K404" s="34"/>
      <c r="L404" s="34"/>
      <c r="M404" s="34"/>
      <c r="N404" s="34"/>
      <c r="O404" s="34"/>
      <c r="P404" s="34"/>
    </row>
    <row r="405" spans="1:16" ht="13">
      <c r="A405" s="34"/>
      <c r="B405" s="34"/>
      <c r="C405" s="34"/>
      <c r="D405" s="34"/>
      <c r="E405" s="34"/>
      <c r="F405" s="34"/>
      <c r="G405" s="34"/>
      <c r="H405" s="34"/>
      <c r="I405" s="34"/>
      <c r="J405" s="34"/>
      <c r="K405" s="34"/>
      <c r="L405" s="34"/>
      <c r="M405" s="34"/>
      <c r="N405" s="34"/>
      <c r="O405" s="34"/>
      <c r="P405" s="34"/>
    </row>
    <row r="406" spans="1:16" ht="13">
      <c r="A406" s="34"/>
      <c r="B406" s="34"/>
      <c r="C406" s="34"/>
      <c r="D406" s="34"/>
      <c r="E406" s="34"/>
      <c r="F406" s="34"/>
      <c r="G406" s="34"/>
      <c r="H406" s="34"/>
      <c r="I406" s="34"/>
      <c r="J406" s="34"/>
      <c r="K406" s="34"/>
      <c r="L406" s="34"/>
      <c r="M406" s="34"/>
      <c r="N406" s="34"/>
      <c r="O406" s="34"/>
      <c r="P406" s="34"/>
    </row>
    <row r="407" spans="1:16" ht="13">
      <c r="A407" s="34"/>
      <c r="B407" s="34"/>
      <c r="C407" s="34"/>
      <c r="D407" s="34"/>
      <c r="E407" s="34"/>
      <c r="F407" s="34"/>
      <c r="G407" s="34"/>
      <c r="H407" s="34"/>
      <c r="I407" s="34"/>
      <c r="J407" s="34"/>
      <c r="K407" s="34"/>
      <c r="L407" s="34"/>
      <c r="M407" s="34"/>
      <c r="N407" s="34"/>
      <c r="O407" s="34"/>
      <c r="P407" s="34"/>
    </row>
    <row r="408" spans="1:16" ht="13">
      <c r="A408" s="34"/>
      <c r="B408" s="34"/>
      <c r="C408" s="34"/>
      <c r="D408" s="34"/>
      <c r="E408" s="34"/>
      <c r="F408" s="34"/>
      <c r="G408" s="34"/>
      <c r="H408" s="34"/>
      <c r="I408" s="34"/>
      <c r="J408" s="34"/>
      <c r="K408" s="34"/>
      <c r="L408" s="34"/>
      <c r="M408" s="34"/>
      <c r="N408" s="34"/>
      <c r="O408" s="34"/>
      <c r="P408" s="34"/>
    </row>
    <row r="409" spans="1:16" ht="13">
      <c r="A409" s="34"/>
      <c r="B409" s="34"/>
      <c r="C409" s="34"/>
      <c r="D409" s="34"/>
      <c r="E409" s="34"/>
      <c r="F409" s="34"/>
      <c r="G409" s="34"/>
      <c r="H409" s="34"/>
      <c r="I409" s="34"/>
      <c r="J409" s="34"/>
      <c r="K409" s="34"/>
      <c r="L409" s="34"/>
      <c r="M409" s="34"/>
      <c r="N409" s="34"/>
      <c r="O409" s="34"/>
      <c r="P409" s="34"/>
    </row>
    <row r="410" spans="1:16" ht="13">
      <c r="A410" s="34"/>
      <c r="B410" s="34"/>
      <c r="C410" s="34"/>
      <c r="D410" s="34"/>
      <c r="E410" s="34"/>
      <c r="F410" s="34"/>
      <c r="G410" s="34"/>
      <c r="H410" s="34"/>
      <c r="I410" s="34"/>
      <c r="J410" s="34"/>
      <c r="K410" s="34"/>
      <c r="L410" s="34"/>
      <c r="M410" s="34"/>
      <c r="N410" s="34"/>
      <c r="O410" s="34"/>
      <c r="P410" s="34"/>
    </row>
    <row r="411" spans="1:16" ht="13">
      <c r="A411" s="34"/>
      <c r="B411" s="34"/>
      <c r="C411" s="34"/>
      <c r="D411" s="34"/>
      <c r="E411" s="34"/>
      <c r="F411" s="34"/>
      <c r="G411" s="34"/>
      <c r="H411" s="34"/>
      <c r="I411" s="34"/>
      <c r="J411" s="34"/>
      <c r="K411" s="34"/>
      <c r="L411" s="34"/>
      <c r="M411" s="34"/>
      <c r="N411" s="34"/>
      <c r="O411" s="34"/>
      <c r="P411" s="34"/>
    </row>
    <row r="412" spans="1:16" ht="13">
      <c r="A412" s="34"/>
      <c r="B412" s="34"/>
      <c r="C412" s="34"/>
      <c r="D412" s="34"/>
      <c r="E412" s="34"/>
      <c r="F412" s="34"/>
      <c r="G412" s="34"/>
      <c r="H412" s="34"/>
      <c r="I412" s="34"/>
      <c r="J412" s="34"/>
      <c r="K412" s="34"/>
      <c r="L412" s="34"/>
      <c r="M412" s="34"/>
      <c r="N412" s="34"/>
      <c r="O412" s="34"/>
      <c r="P412" s="34"/>
    </row>
    <row r="413" spans="1:16" ht="13">
      <c r="A413" s="34"/>
      <c r="B413" s="34"/>
      <c r="C413" s="34"/>
      <c r="D413" s="34"/>
      <c r="E413" s="34"/>
      <c r="F413" s="34"/>
      <c r="G413" s="34"/>
      <c r="H413" s="34"/>
      <c r="I413" s="34"/>
      <c r="J413" s="34"/>
      <c r="K413" s="34"/>
      <c r="L413" s="34"/>
      <c r="M413" s="34"/>
      <c r="N413" s="34"/>
      <c r="O413" s="34"/>
      <c r="P413" s="34"/>
    </row>
    <row r="414" spans="1:16" ht="13">
      <c r="A414" s="34"/>
      <c r="B414" s="34"/>
      <c r="C414" s="34"/>
      <c r="D414" s="34"/>
      <c r="E414" s="34"/>
      <c r="F414" s="34"/>
      <c r="G414" s="34"/>
      <c r="H414" s="34"/>
      <c r="I414" s="34"/>
      <c r="J414" s="34"/>
      <c r="K414" s="34"/>
      <c r="L414" s="34"/>
      <c r="M414" s="34"/>
      <c r="N414" s="34"/>
      <c r="O414" s="34"/>
      <c r="P414" s="34"/>
    </row>
    <row r="415" spans="1:16" ht="13">
      <c r="A415" s="34"/>
      <c r="B415" s="34"/>
      <c r="C415" s="34"/>
      <c r="D415" s="34"/>
      <c r="E415" s="34"/>
      <c r="F415" s="34"/>
      <c r="G415" s="34"/>
      <c r="H415" s="34"/>
      <c r="I415" s="34"/>
      <c r="J415" s="34"/>
      <c r="K415" s="34"/>
      <c r="L415" s="34"/>
      <c r="M415" s="34"/>
      <c r="N415" s="34"/>
      <c r="O415" s="34"/>
      <c r="P415" s="34"/>
    </row>
    <row r="416" spans="1:16" ht="13">
      <c r="A416" s="34"/>
      <c r="B416" s="34"/>
      <c r="C416" s="34"/>
      <c r="D416" s="34"/>
      <c r="E416" s="34"/>
      <c r="F416" s="34"/>
      <c r="G416" s="34"/>
      <c r="H416" s="34"/>
      <c r="I416" s="34"/>
      <c r="J416" s="34"/>
      <c r="K416" s="34"/>
      <c r="L416" s="34"/>
      <c r="M416" s="34"/>
      <c r="N416" s="34"/>
      <c r="O416" s="34"/>
      <c r="P416" s="34"/>
    </row>
    <row r="417" spans="1:16" ht="13">
      <c r="A417" s="34"/>
      <c r="B417" s="34"/>
      <c r="C417" s="34"/>
      <c r="D417" s="34"/>
      <c r="E417" s="34"/>
      <c r="F417" s="34"/>
      <c r="G417" s="34"/>
      <c r="H417" s="34"/>
      <c r="I417" s="34"/>
      <c r="J417" s="34"/>
      <c r="K417" s="34"/>
      <c r="L417" s="34"/>
      <c r="M417" s="34"/>
      <c r="N417" s="34"/>
      <c r="O417" s="34"/>
      <c r="P417" s="34"/>
    </row>
    <row r="418" spans="1:16" ht="13">
      <c r="A418" s="34"/>
      <c r="B418" s="34"/>
      <c r="C418" s="34"/>
      <c r="D418" s="34"/>
      <c r="E418" s="34"/>
      <c r="F418" s="34"/>
      <c r="G418" s="34"/>
      <c r="H418" s="34"/>
      <c r="I418" s="34"/>
      <c r="J418" s="34"/>
      <c r="K418" s="34"/>
      <c r="L418" s="34"/>
      <c r="M418" s="34"/>
      <c r="N418" s="34"/>
      <c r="O418" s="34"/>
      <c r="P418" s="34"/>
    </row>
    <row r="419" spans="1:16" ht="13">
      <c r="A419" s="34"/>
      <c r="B419" s="34"/>
      <c r="C419" s="34"/>
      <c r="D419" s="34"/>
      <c r="E419" s="34"/>
      <c r="F419" s="34"/>
      <c r="G419" s="34"/>
      <c r="H419" s="34"/>
      <c r="I419" s="34"/>
      <c r="J419" s="34"/>
      <c r="K419" s="34"/>
      <c r="L419" s="34"/>
      <c r="M419" s="34"/>
      <c r="N419" s="34"/>
      <c r="O419" s="34"/>
      <c r="P419" s="34"/>
    </row>
    <row r="420" spans="1:16" ht="13">
      <c r="A420" s="34"/>
      <c r="B420" s="34"/>
      <c r="C420" s="34"/>
      <c r="D420" s="34"/>
      <c r="E420" s="34"/>
      <c r="F420" s="34"/>
      <c r="G420" s="34"/>
      <c r="H420" s="34"/>
      <c r="I420" s="34"/>
      <c r="J420" s="34"/>
      <c r="K420" s="34"/>
      <c r="L420" s="34"/>
      <c r="M420" s="34"/>
      <c r="N420" s="34"/>
      <c r="O420" s="34"/>
      <c r="P420" s="34"/>
    </row>
    <row r="421" spans="1:16" ht="13">
      <c r="A421" s="34"/>
      <c r="B421" s="34"/>
      <c r="C421" s="34"/>
      <c r="D421" s="34"/>
      <c r="E421" s="34"/>
      <c r="F421" s="34"/>
      <c r="G421" s="34"/>
      <c r="H421" s="34"/>
      <c r="I421" s="34"/>
      <c r="J421" s="34"/>
      <c r="K421" s="34"/>
      <c r="L421" s="34"/>
      <c r="M421" s="34"/>
      <c r="N421" s="34"/>
      <c r="O421" s="34"/>
      <c r="P421" s="34"/>
    </row>
    <row r="422" spans="1:16" ht="13">
      <c r="A422" s="34"/>
      <c r="B422" s="34"/>
      <c r="C422" s="34"/>
      <c r="D422" s="34"/>
      <c r="E422" s="34"/>
      <c r="F422" s="34"/>
      <c r="G422" s="34"/>
      <c r="H422" s="34"/>
      <c r="I422" s="34"/>
      <c r="J422" s="34"/>
      <c r="K422" s="34"/>
      <c r="L422" s="34"/>
      <c r="M422" s="34"/>
      <c r="N422" s="34"/>
      <c r="O422" s="34"/>
      <c r="P422" s="34"/>
    </row>
    <row r="423" spans="1:16" ht="13">
      <c r="A423" s="34"/>
      <c r="B423" s="34"/>
      <c r="C423" s="34"/>
      <c r="D423" s="34"/>
      <c r="E423" s="34"/>
      <c r="F423" s="34"/>
      <c r="G423" s="34"/>
      <c r="H423" s="34"/>
      <c r="I423" s="34"/>
      <c r="J423" s="34"/>
      <c r="K423" s="34"/>
      <c r="L423" s="34"/>
      <c r="M423" s="34"/>
      <c r="N423" s="34"/>
      <c r="O423" s="34"/>
      <c r="P423" s="34"/>
    </row>
    <row r="424" spans="1:16" ht="13">
      <c r="A424" s="34"/>
      <c r="B424" s="34"/>
      <c r="C424" s="34"/>
      <c r="D424" s="34"/>
      <c r="E424" s="34"/>
      <c r="F424" s="34"/>
      <c r="G424" s="34"/>
      <c r="H424" s="34"/>
      <c r="I424" s="34"/>
      <c r="J424" s="34"/>
      <c r="K424" s="34"/>
      <c r="L424" s="34"/>
      <c r="M424" s="34"/>
      <c r="N424" s="34"/>
      <c r="O424" s="34"/>
      <c r="P424" s="34"/>
    </row>
    <row r="425" spans="1:16" ht="13">
      <c r="A425" s="34"/>
      <c r="B425" s="34"/>
      <c r="C425" s="34"/>
      <c r="D425" s="34"/>
      <c r="E425" s="34"/>
      <c r="F425" s="34"/>
      <c r="G425" s="34"/>
      <c r="H425" s="34"/>
      <c r="I425" s="34"/>
      <c r="J425" s="34"/>
      <c r="K425" s="34"/>
      <c r="L425" s="34"/>
      <c r="M425" s="34"/>
      <c r="N425" s="34"/>
      <c r="O425" s="34"/>
      <c r="P425" s="34"/>
    </row>
    <row r="426" spans="1:16" ht="13">
      <c r="A426" s="34"/>
      <c r="B426" s="34"/>
      <c r="C426" s="34"/>
      <c r="D426" s="34"/>
      <c r="E426" s="34"/>
      <c r="F426" s="34"/>
      <c r="G426" s="34"/>
      <c r="H426" s="34"/>
      <c r="I426" s="34"/>
      <c r="J426" s="34"/>
      <c r="K426" s="34"/>
      <c r="L426" s="34"/>
      <c r="M426" s="34"/>
      <c r="N426" s="34"/>
      <c r="O426" s="34"/>
      <c r="P426" s="34"/>
    </row>
    <row r="427" spans="1:16" ht="13">
      <c r="A427" s="34"/>
      <c r="B427" s="34"/>
      <c r="C427" s="34"/>
      <c r="D427" s="34"/>
      <c r="E427" s="34"/>
      <c r="F427" s="34"/>
      <c r="G427" s="34"/>
      <c r="H427" s="34"/>
      <c r="I427" s="34"/>
      <c r="J427" s="34"/>
      <c r="K427" s="34"/>
      <c r="L427" s="34"/>
      <c r="M427" s="34"/>
      <c r="N427" s="34"/>
      <c r="O427" s="34"/>
      <c r="P427" s="34"/>
    </row>
    <row r="428" spans="1:16" ht="13">
      <c r="A428" s="34"/>
      <c r="B428" s="34"/>
      <c r="C428" s="34"/>
      <c r="D428" s="34"/>
      <c r="E428" s="34"/>
      <c r="F428" s="34"/>
      <c r="G428" s="34"/>
      <c r="H428" s="34"/>
      <c r="I428" s="34"/>
      <c r="J428" s="34"/>
      <c r="K428" s="34"/>
      <c r="L428" s="34"/>
      <c r="M428" s="34"/>
      <c r="N428" s="34"/>
      <c r="O428" s="34"/>
      <c r="P428" s="34"/>
    </row>
    <row r="429" spans="1:16" ht="13">
      <c r="A429" s="34"/>
      <c r="B429" s="34"/>
      <c r="C429" s="34"/>
      <c r="D429" s="34"/>
      <c r="E429" s="34"/>
      <c r="F429" s="34"/>
      <c r="G429" s="34"/>
      <c r="H429" s="34"/>
      <c r="I429" s="34"/>
      <c r="J429" s="34"/>
      <c r="K429" s="34"/>
      <c r="L429" s="34"/>
      <c r="M429" s="34"/>
      <c r="N429" s="34"/>
      <c r="O429" s="34"/>
      <c r="P429" s="34"/>
    </row>
    <row r="430" spans="1:16" ht="13">
      <c r="A430" s="34"/>
      <c r="B430" s="34"/>
      <c r="C430" s="34"/>
      <c r="D430" s="34"/>
      <c r="E430" s="34"/>
      <c r="F430" s="34"/>
      <c r="G430" s="34"/>
      <c r="H430" s="34"/>
      <c r="I430" s="34"/>
      <c r="J430" s="34"/>
      <c r="K430" s="34"/>
      <c r="L430" s="34"/>
      <c r="M430" s="34"/>
      <c r="N430" s="34"/>
      <c r="O430" s="34"/>
      <c r="P430" s="34"/>
    </row>
    <row r="431" spans="1:16" ht="13">
      <c r="A431" s="34"/>
      <c r="B431" s="34"/>
      <c r="C431" s="34"/>
      <c r="D431" s="34"/>
      <c r="E431" s="34"/>
      <c r="F431" s="34"/>
      <c r="G431" s="34"/>
      <c r="H431" s="34"/>
      <c r="I431" s="34"/>
      <c r="J431" s="34"/>
      <c r="K431" s="34"/>
      <c r="L431" s="34"/>
      <c r="M431" s="34"/>
      <c r="N431" s="34"/>
      <c r="O431" s="34"/>
      <c r="P431" s="34"/>
    </row>
    <row r="432" spans="1:16" ht="13">
      <c r="A432" s="34"/>
      <c r="B432" s="34"/>
      <c r="C432" s="34"/>
      <c r="D432" s="34"/>
      <c r="E432" s="34"/>
      <c r="F432" s="34"/>
      <c r="G432" s="34"/>
      <c r="H432" s="34"/>
      <c r="I432" s="34"/>
      <c r="J432" s="34"/>
      <c r="K432" s="34"/>
      <c r="L432" s="34"/>
      <c r="M432" s="34"/>
      <c r="N432" s="34"/>
      <c r="O432" s="34"/>
      <c r="P432" s="34"/>
    </row>
    <row r="433" spans="1:16" ht="13">
      <c r="A433" s="34"/>
      <c r="B433" s="34"/>
      <c r="C433" s="34"/>
      <c r="D433" s="34"/>
      <c r="E433" s="34"/>
      <c r="F433" s="34"/>
      <c r="G433" s="34"/>
      <c r="H433" s="34"/>
      <c r="I433" s="34"/>
      <c r="J433" s="34"/>
      <c r="K433" s="34"/>
      <c r="L433" s="34"/>
      <c r="M433" s="34"/>
      <c r="N433" s="34"/>
      <c r="O433" s="34"/>
      <c r="P433" s="34"/>
    </row>
    <row r="434" spans="1:16" ht="13">
      <c r="A434" s="34"/>
      <c r="B434" s="34"/>
      <c r="C434" s="34"/>
      <c r="D434" s="34"/>
      <c r="E434" s="34"/>
      <c r="F434" s="34"/>
      <c r="G434" s="34"/>
      <c r="H434" s="34"/>
      <c r="I434" s="34"/>
      <c r="J434" s="34"/>
      <c r="K434" s="34"/>
      <c r="L434" s="34"/>
      <c r="M434" s="34"/>
      <c r="N434" s="34"/>
      <c r="O434" s="34"/>
      <c r="P434" s="34"/>
    </row>
    <row r="435" spans="1:16" ht="13">
      <c r="A435" s="34"/>
      <c r="B435" s="34"/>
      <c r="C435" s="34"/>
      <c r="D435" s="34"/>
      <c r="E435" s="34"/>
      <c r="F435" s="34"/>
      <c r="G435" s="34"/>
      <c r="H435" s="34"/>
      <c r="I435" s="34"/>
      <c r="J435" s="34"/>
      <c r="K435" s="34"/>
      <c r="L435" s="34"/>
      <c r="M435" s="34"/>
      <c r="N435" s="34"/>
      <c r="O435" s="34"/>
      <c r="P435" s="34"/>
    </row>
    <row r="436" spans="1:16" ht="13">
      <c r="A436" s="34"/>
      <c r="B436" s="34"/>
      <c r="C436" s="34"/>
      <c r="D436" s="34"/>
      <c r="E436" s="34"/>
      <c r="F436" s="34"/>
      <c r="G436" s="34"/>
      <c r="H436" s="34"/>
      <c r="I436" s="34"/>
      <c r="J436" s="34"/>
      <c r="K436" s="34"/>
      <c r="L436" s="34"/>
      <c r="M436" s="34"/>
      <c r="N436" s="34"/>
      <c r="O436" s="34"/>
      <c r="P436" s="34"/>
    </row>
    <row r="437" spans="1:16" ht="13">
      <c r="A437" s="34"/>
      <c r="B437" s="34"/>
      <c r="C437" s="34"/>
      <c r="D437" s="34"/>
      <c r="E437" s="34"/>
      <c r="F437" s="34"/>
      <c r="G437" s="34"/>
      <c r="H437" s="34"/>
      <c r="I437" s="34"/>
      <c r="J437" s="34"/>
      <c r="K437" s="34"/>
      <c r="L437" s="34"/>
      <c r="M437" s="34"/>
      <c r="N437" s="34"/>
      <c r="O437" s="34"/>
      <c r="P437" s="34"/>
    </row>
    <row r="438" spans="1:16" ht="13">
      <c r="A438" s="34"/>
      <c r="B438" s="34"/>
      <c r="C438" s="34"/>
      <c r="D438" s="34"/>
      <c r="E438" s="34"/>
      <c r="F438" s="34"/>
      <c r="G438" s="34"/>
      <c r="H438" s="34"/>
      <c r="I438" s="34"/>
      <c r="J438" s="34"/>
      <c r="K438" s="34"/>
      <c r="L438" s="34"/>
      <c r="M438" s="34"/>
      <c r="N438" s="34"/>
      <c r="O438" s="34"/>
      <c r="P438" s="34"/>
    </row>
    <row r="439" spans="1:16" ht="13">
      <c r="A439" s="34"/>
      <c r="B439" s="34"/>
      <c r="C439" s="34"/>
      <c r="D439" s="34"/>
      <c r="E439" s="34"/>
      <c r="F439" s="34"/>
      <c r="G439" s="34"/>
      <c r="H439" s="34"/>
      <c r="I439" s="34"/>
      <c r="J439" s="34"/>
      <c r="K439" s="34"/>
      <c r="L439" s="34"/>
      <c r="M439" s="34"/>
      <c r="N439" s="34"/>
      <c r="O439" s="34"/>
      <c r="P439" s="34"/>
    </row>
    <row r="440" spans="1:16" ht="13">
      <c r="A440" s="34"/>
      <c r="B440" s="34"/>
      <c r="C440" s="34"/>
      <c r="D440" s="34"/>
      <c r="E440" s="34"/>
      <c r="F440" s="34"/>
      <c r="G440" s="34"/>
      <c r="H440" s="34"/>
      <c r="I440" s="34"/>
      <c r="J440" s="34"/>
      <c r="K440" s="34"/>
      <c r="L440" s="34"/>
      <c r="M440" s="34"/>
      <c r="N440" s="34"/>
      <c r="O440" s="34"/>
      <c r="P440" s="34"/>
    </row>
    <row r="441" spans="1:16" ht="13">
      <c r="A441" s="34"/>
      <c r="B441" s="34"/>
      <c r="C441" s="34"/>
      <c r="D441" s="34"/>
      <c r="E441" s="34"/>
      <c r="F441" s="34"/>
      <c r="G441" s="34"/>
      <c r="H441" s="34"/>
      <c r="I441" s="34"/>
      <c r="J441" s="34"/>
      <c r="K441" s="34"/>
      <c r="L441" s="34"/>
      <c r="M441" s="34"/>
      <c r="N441" s="34"/>
      <c r="O441" s="34"/>
      <c r="P441" s="34"/>
    </row>
    <row r="442" spans="1:16" ht="13">
      <c r="A442" s="34"/>
      <c r="B442" s="34"/>
      <c r="C442" s="34"/>
      <c r="D442" s="34"/>
      <c r="E442" s="34"/>
      <c r="F442" s="34"/>
      <c r="G442" s="34"/>
      <c r="H442" s="34"/>
      <c r="I442" s="34"/>
      <c r="J442" s="34"/>
      <c r="K442" s="34"/>
      <c r="L442" s="34"/>
      <c r="M442" s="34"/>
      <c r="N442" s="34"/>
      <c r="O442" s="34"/>
      <c r="P442" s="34"/>
    </row>
    <row r="443" spans="1:16" ht="13">
      <c r="A443" s="34"/>
      <c r="B443" s="34"/>
      <c r="C443" s="34"/>
      <c r="D443" s="34"/>
      <c r="E443" s="34"/>
      <c r="F443" s="34"/>
      <c r="G443" s="34"/>
      <c r="H443" s="34"/>
      <c r="I443" s="34"/>
      <c r="J443" s="34"/>
      <c r="K443" s="34"/>
      <c r="L443" s="34"/>
      <c r="M443" s="34"/>
      <c r="N443" s="34"/>
      <c r="O443" s="34"/>
      <c r="P443" s="34"/>
    </row>
    <row r="444" spans="1:16" ht="13">
      <c r="A444" s="34"/>
      <c r="B444" s="34"/>
      <c r="C444" s="34"/>
      <c r="D444" s="34"/>
      <c r="E444" s="34"/>
      <c r="F444" s="34"/>
      <c r="G444" s="34"/>
      <c r="H444" s="34"/>
      <c r="I444" s="34"/>
      <c r="J444" s="34"/>
      <c r="K444" s="34"/>
      <c r="L444" s="34"/>
      <c r="M444" s="34"/>
      <c r="N444" s="34"/>
      <c r="O444" s="34"/>
      <c r="P444" s="34"/>
    </row>
    <row r="445" spans="1:16" ht="13">
      <c r="A445" s="34"/>
      <c r="B445" s="34"/>
      <c r="C445" s="34"/>
      <c r="D445" s="34"/>
      <c r="E445" s="34"/>
      <c r="F445" s="34"/>
      <c r="G445" s="34"/>
      <c r="H445" s="34"/>
      <c r="I445" s="34"/>
      <c r="J445" s="34"/>
      <c r="K445" s="34"/>
      <c r="L445" s="34"/>
      <c r="M445" s="34"/>
      <c r="N445" s="34"/>
      <c r="O445" s="34"/>
      <c r="P445" s="34"/>
    </row>
    <row r="446" spans="1:16" ht="13">
      <c r="A446" s="34"/>
      <c r="B446" s="34"/>
      <c r="C446" s="34"/>
      <c r="D446" s="34"/>
      <c r="E446" s="34"/>
      <c r="F446" s="34"/>
      <c r="G446" s="34"/>
      <c r="H446" s="34"/>
      <c r="I446" s="34"/>
      <c r="J446" s="34"/>
      <c r="K446" s="34"/>
      <c r="L446" s="34"/>
      <c r="M446" s="34"/>
      <c r="N446" s="34"/>
      <c r="O446" s="34"/>
      <c r="P446" s="34"/>
    </row>
    <row r="447" spans="1:16" ht="13">
      <c r="A447" s="34"/>
      <c r="B447" s="34"/>
      <c r="C447" s="34"/>
      <c r="D447" s="34"/>
      <c r="E447" s="34"/>
      <c r="F447" s="34"/>
      <c r="G447" s="34"/>
      <c r="H447" s="34"/>
      <c r="I447" s="34"/>
      <c r="J447" s="34"/>
      <c r="K447" s="34"/>
      <c r="L447" s="34"/>
      <c r="M447" s="34"/>
      <c r="N447" s="34"/>
      <c r="O447" s="34"/>
      <c r="P447" s="34"/>
    </row>
    <row r="448" spans="1:16" ht="13">
      <c r="A448" s="34"/>
      <c r="B448" s="34"/>
      <c r="C448" s="34"/>
      <c r="D448" s="34"/>
      <c r="E448" s="34"/>
      <c r="F448" s="34"/>
      <c r="G448" s="34"/>
      <c r="H448" s="34"/>
      <c r="I448" s="34"/>
      <c r="J448" s="34"/>
      <c r="K448" s="34"/>
      <c r="L448" s="34"/>
      <c r="M448" s="34"/>
      <c r="N448" s="34"/>
      <c r="O448" s="34"/>
      <c r="P448" s="34"/>
    </row>
    <row r="449" spans="1:16" ht="13">
      <c r="A449" s="34"/>
      <c r="B449" s="34"/>
      <c r="C449" s="34"/>
      <c r="D449" s="34"/>
      <c r="E449" s="34"/>
      <c r="F449" s="34"/>
      <c r="G449" s="34"/>
      <c r="H449" s="34"/>
      <c r="I449" s="34"/>
      <c r="J449" s="34"/>
      <c r="K449" s="34"/>
      <c r="L449" s="34"/>
      <c r="M449" s="34"/>
      <c r="N449" s="34"/>
      <c r="O449" s="34"/>
      <c r="P449" s="34"/>
    </row>
    <row r="450" spans="1:16" ht="13">
      <c r="A450" s="34"/>
      <c r="B450" s="34"/>
      <c r="C450" s="34"/>
      <c r="D450" s="34"/>
      <c r="E450" s="34"/>
      <c r="F450" s="34"/>
      <c r="G450" s="34"/>
      <c r="H450" s="34"/>
      <c r="I450" s="34"/>
      <c r="J450" s="34"/>
      <c r="K450" s="34"/>
      <c r="L450" s="34"/>
      <c r="M450" s="34"/>
      <c r="N450" s="34"/>
      <c r="O450" s="34"/>
      <c r="P450" s="34"/>
    </row>
    <row r="451" spans="1:16" ht="13">
      <c r="A451" s="34"/>
      <c r="B451" s="34"/>
      <c r="C451" s="34"/>
      <c r="D451" s="34"/>
      <c r="E451" s="34"/>
      <c r="F451" s="34"/>
      <c r="G451" s="34"/>
      <c r="H451" s="34"/>
      <c r="I451" s="34"/>
      <c r="J451" s="34"/>
      <c r="K451" s="34"/>
      <c r="L451" s="34"/>
      <c r="M451" s="34"/>
      <c r="N451" s="34"/>
      <c r="O451" s="34"/>
      <c r="P451" s="34"/>
    </row>
    <row r="452" spans="1:16" ht="13">
      <c r="A452" s="34"/>
      <c r="B452" s="34"/>
      <c r="C452" s="34"/>
      <c r="D452" s="34"/>
      <c r="E452" s="34"/>
      <c r="F452" s="34"/>
      <c r="G452" s="34"/>
      <c r="H452" s="34"/>
      <c r="I452" s="34"/>
      <c r="J452" s="34"/>
      <c r="K452" s="34"/>
      <c r="L452" s="34"/>
      <c r="M452" s="34"/>
      <c r="N452" s="34"/>
      <c r="O452" s="34"/>
      <c r="P452" s="34"/>
    </row>
    <row r="453" spans="1:16" ht="13">
      <c r="A453" s="34"/>
      <c r="B453" s="34"/>
      <c r="C453" s="34"/>
      <c r="D453" s="34"/>
      <c r="E453" s="34"/>
      <c r="F453" s="34"/>
      <c r="G453" s="34"/>
      <c r="H453" s="34"/>
      <c r="I453" s="34"/>
      <c r="J453" s="34"/>
      <c r="K453" s="34"/>
      <c r="L453" s="34"/>
      <c r="M453" s="34"/>
      <c r="N453" s="34"/>
      <c r="O453" s="34"/>
      <c r="P453" s="34"/>
    </row>
    <row r="454" spans="1:16" ht="13">
      <c r="A454" s="34"/>
      <c r="B454" s="34"/>
      <c r="C454" s="34"/>
      <c r="D454" s="34"/>
      <c r="E454" s="34"/>
      <c r="F454" s="34"/>
      <c r="G454" s="34"/>
      <c r="H454" s="34"/>
      <c r="I454" s="34"/>
      <c r="J454" s="34"/>
      <c r="K454" s="34"/>
      <c r="L454" s="34"/>
      <c r="M454" s="34"/>
      <c r="N454" s="34"/>
      <c r="O454" s="34"/>
      <c r="P454" s="34"/>
    </row>
    <row r="455" spans="1:16" ht="13">
      <c r="A455" s="34"/>
      <c r="B455" s="34"/>
      <c r="C455" s="34"/>
      <c r="D455" s="34"/>
      <c r="E455" s="34"/>
      <c r="F455" s="34"/>
      <c r="G455" s="34"/>
      <c r="H455" s="34"/>
      <c r="I455" s="34"/>
      <c r="J455" s="34"/>
      <c r="K455" s="34"/>
      <c r="L455" s="34"/>
      <c r="M455" s="34"/>
      <c r="N455" s="34"/>
      <c r="O455" s="34"/>
      <c r="P455" s="34"/>
    </row>
    <row r="456" spans="1:16" ht="13">
      <c r="A456" s="34"/>
      <c r="B456" s="34"/>
      <c r="C456" s="34"/>
      <c r="D456" s="34"/>
      <c r="E456" s="34"/>
      <c r="F456" s="34"/>
      <c r="G456" s="34"/>
      <c r="H456" s="34"/>
      <c r="I456" s="34"/>
      <c r="J456" s="34"/>
      <c r="K456" s="34"/>
      <c r="L456" s="34"/>
      <c r="M456" s="34"/>
      <c r="N456" s="34"/>
      <c r="O456" s="34"/>
      <c r="P456" s="34"/>
    </row>
    <row r="457" spans="1:16" ht="13">
      <c r="A457" s="34"/>
      <c r="B457" s="34"/>
      <c r="C457" s="34"/>
      <c r="D457" s="34"/>
      <c r="E457" s="34"/>
      <c r="F457" s="34"/>
      <c r="G457" s="34"/>
      <c r="H457" s="34"/>
      <c r="I457" s="34"/>
      <c r="J457" s="34"/>
      <c r="K457" s="34"/>
      <c r="L457" s="34"/>
      <c r="M457" s="34"/>
      <c r="N457" s="34"/>
      <c r="O457" s="34"/>
      <c r="P457" s="34"/>
    </row>
    <row r="458" spans="1:16" ht="13">
      <c r="A458" s="34"/>
      <c r="B458" s="34"/>
      <c r="C458" s="34"/>
      <c r="D458" s="34"/>
      <c r="E458" s="34"/>
      <c r="F458" s="34"/>
      <c r="G458" s="34"/>
      <c r="H458" s="34"/>
      <c r="I458" s="34"/>
      <c r="J458" s="34"/>
      <c r="K458" s="34"/>
      <c r="L458" s="34"/>
      <c r="M458" s="34"/>
      <c r="N458" s="34"/>
      <c r="O458" s="34"/>
      <c r="P458" s="34"/>
    </row>
    <row r="459" spans="1:16" ht="13">
      <c r="A459" s="34"/>
      <c r="B459" s="34"/>
      <c r="C459" s="34"/>
      <c r="D459" s="34"/>
      <c r="E459" s="34"/>
      <c r="F459" s="34"/>
      <c r="G459" s="34"/>
      <c r="H459" s="34"/>
      <c r="I459" s="34"/>
      <c r="J459" s="34"/>
      <c r="K459" s="34"/>
      <c r="L459" s="34"/>
      <c r="M459" s="34"/>
      <c r="N459" s="34"/>
      <c r="O459" s="34"/>
      <c r="P459" s="34"/>
    </row>
    <row r="460" spans="1:16" ht="13">
      <c r="A460" s="34"/>
      <c r="B460" s="34"/>
      <c r="C460" s="34"/>
      <c r="D460" s="34"/>
      <c r="E460" s="34"/>
      <c r="F460" s="34"/>
      <c r="G460" s="34"/>
      <c r="H460" s="34"/>
      <c r="I460" s="34"/>
      <c r="J460" s="34"/>
      <c r="K460" s="34"/>
      <c r="L460" s="34"/>
      <c r="M460" s="34"/>
      <c r="N460" s="34"/>
      <c r="O460" s="34"/>
      <c r="P460" s="34"/>
    </row>
    <row r="461" spans="1:16" ht="13">
      <c r="A461" s="34"/>
      <c r="B461" s="34"/>
      <c r="C461" s="34"/>
      <c r="D461" s="34"/>
      <c r="E461" s="34"/>
      <c r="F461" s="34"/>
      <c r="G461" s="34"/>
      <c r="H461" s="34"/>
      <c r="I461" s="34"/>
      <c r="J461" s="34"/>
      <c r="K461" s="34"/>
      <c r="L461" s="34"/>
      <c r="M461" s="34"/>
      <c r="N461" s="34"/>
      <c r="O461" s="34"/>
      <c r="P461" s="34"/>
    </row>
    <row r="462" spans="1:16" ht="13">
      <c r="A462" s="34"/>
      <c r="B462" s="34"/>
      <c r="C462" s="34"/>
      <c r="D462" s="34"/>
      <c r="E462" s="34"/>
      <c r="F462" s="34"/>
      <c r="G462" s="34"/>
      <c r="H462" s="34"/>
      <c r="I462" s="34"/>
      <c r="J462" s="34"/>
      <c r="K462" s="34"/>
      <c r="L462" s="34"/>
      <c r="M462" s="34"/>
      <c r="N462" s="34"/>
      <c r="O462" s="34"/>
      <c r="P462" s="34"/>
    </row>
    <row r="463" spans="1:16" ht="13">
      <c r="A463" s="34"/>
      <c r="B463" s="34"/>
      <c r="C463" s="34"/>
      <c r="D463" s="34"/>
      <c r="E463" s="34"/>
      <c r="F463" s="34"/>
      <c r="G463" s="34"/>
      <c r="H463" s="34"/>
      <c r="I463" s="34"/>
      <c r="J463" s="34"/>
      <c r="K463" s="34"/>
      <c r="L463" s="34"/>
      <c r="M463" s="34"/>
      <c r="N463" s="34"/>
      <c r="O463" s="34"/>
      <c r="P463" s="34"/>
    </row>
    <row r="464" spans="1:16" ht="13">
      <c r="A464" s="34"/>
      <c r="B464" s="34"/>
      <c r="C464" s="34"/>
      <c r="D464" s="34"/>
      <c r="E464" s="34"/>
      <c r="F464" s="34"/>
      <c r="G464" s="34"/>
      <c r="H464" s="34"/>
      <c r="I464" s="34"/>
      <c r="J464" s="34"/>
      <c r="K464" s="34"/>
      <c r="L464" s="34"/>
      <c r="M464" s="34"/>
      <c r="N464" s="34"/>
      <c r="O464" s="34"/>
      <c r="P464" s="34"/>
    </row>
    <row r="465" spans="1:16" ht="13">
      <c r="A465" s="34"/>
      <c r="B465" s="34"/>
      <c r="C465" s="34"/>
      <c r="D465" s="34"/>
      <c r="E465" s="34"/>
      <c r="F465" s="34"/>
      <c r="G465" s="34"/>
      <c r="H465" s="34"/>
      <c r="I465" s="34"/>
      <c r="J465" s="34"/>
      <c r="K465" s="34"/>
      <c r="L465" s="34"/>
      <c r="M465" s="34"/>
      <c r="N465" s="34"/>
      <c r="O465" s="34"/>
      <c r="P465" s="34"/>
    </row>
    <row r="466" spans="1:16" ht="13">
      <c r="A466" s="34"/>
      <c r="B466" s="34"/>
      <c r="C466" s="34"/>
      <c r="D466" s="34"/>
      <c r="E466" s="34"/>
      <c r="F466" s="34"/>
      <c r="G466" s="34"/>
      <c r="H466" s="34"/>
      <c r="I466" s="34"/>
      <c r="J466" s="34"/>
      <c r="K466" s="34"/>
      <c r="L466" s="34"/>
      <c r="M466" s="34"/>
      <c r="N466" s="34"/>
      <c r="O466" s="34"/>
      <c r="P466" s="34"/>
    </row>
    <row r="467" spans="1:16" ht="13">
      <c r="A467" s="34"/>
      <c r="B467" s="34"/>
      <c r="C467" s="34"/>
      <c r="D467" s="34"/>
      <c r="E467" s="34"/>
      <c r="F467" s="34"/>
      <c r="G467" s="34"/>
      <c r="H467" s="34"/>
      <c r="I467" s="34"/>
      <c r="J467" s="34"/>
      <c r="K467" s="34"/>
      <c r="L467" s="34"/>
      <c r="M467" s="34"/>
      <c r="N467" s="34"/>
      <c r="O467" s="34"/>
      <c r="P467" s="34"/>
    </row>
    <row r="468" spans="1:16" ht="13">
      <c r="A468" s="34"/>
      <c r="B468" s="34"/>
      <c r="C468" s="34"/>
      <c r="D468" s="34"/>
      <c r="E468" s="34"/>
      <c r="F468" s="34"/>
      <c r="G468" s="34"/>
      <c r="H468" s="34"/>
      <c r="I468" s="34"/>
      <c r="J468" s="34"/>
      <c r="K468" s="34"/>
      <c r="L468" s="34"/>
      <c r="M468" s="34"/>
      <c r="N468" s="34"/>
      <c r="O468" s="34"/>
      <c r="P468" s="34"/>
    </row>
    <row r="469" spans="1:16" ht="13">
      <c r="A469" s="34"/>
      <c r="B469" s="34"/>
      <c r="C469" s="34"/>
      <c r="D469" s="34"/>
      <c r="E469" s="34"/>
      <c r="F469" s="34"/>
      <c r="G469" s="34"/>
      <c r="H469" s="34"/>
      <c r="I469" s="34"/>
      <c r="J469" s="34"/>
      <c r="K469" s="34"/>
      <c r="L469" s="34"/>
      <c r="M469" s="34"/>
      <c r="N469" s="34"/>
      <c r="O469" s="34"/>
      <c r="P469" s="34"/>
    </row>
    <row r="470" spans="1:16" ht="13">
      <c r="A470" s="34"/>
      <c r="B470" s="34"/>
      <c r="C470" s="34"/>
      <c r="D470" s="34"/>
      <c r="E470" s="34"/>
      <c r="F470" s="34"/>
      <c r="G470" s="34"/>
      <c r="H470" s="34"/>
      <c r="I470" s="34"/>
      <c r="J470" s="34"/>
      <c r="K470" s="34"/>
      <c r="L470" s="34"/>
      <c r="M470" s="34"/>
      <c r="N470" s="34"/>
      <c r="O470" s="34"/>
      <c r="P470" s="34"/>
    </row>
    <row r="471" spans="1:16" ht="13">
      <c r="A471" s="34"/>
      <c r="B471" s="34"/>
      <c r="C471" s="34"/>
      <c r="D471" s="34"/>
      <c r="E471" s="34"/>
      <c r="F471" s="34"/>
      <c r="G471" s="34"/>
      <c r="H471" s="34"/>
      <c r="I471" s="34"/>
      <c r="J471" s="34"/>
      <c r="K471" s="34"/>
      <c r="L471" s="34"/>
      <c r="M471" s="34"/>
      <c r="N471" s="34"/>
      <c r="O471" s="34"/>
      <c r="P471" s="34"/>
    </row>
    <row r="472" spans="1:16" ht="13">
      <c r="A472" s="34"/>
      <c r="B472" s="34"/>
      <c r="C472" s="34"/>
      <c r="D472" s="34"/>
      <c r="E472" s="34"/>
      <c r="F472" s="34"/>
      <c r="G472" s="34"/>
      <c r="H472" s="34"/>
      <c r="I472" s="34"/>
      <c r="J472" s="34"/>
      <c r="K472" s="34"/>
      <c r="L472" s="34"/>
      <c r="M472" s="34"/>
      <c r="N472" s="34"/>
      <c r="O472" s="34"/>
      <c r="P472" s="34"/>
    </row>
    <row r="473" spans="1:16" ht="13">
      <c r="A473" s="34"/>
      <c r="B473" s="34"/>
      <c r="C473" s="34"/>
      <c r="D473" s="34"/>
      <c r="E473" s="34"/>
      <c r="F473" s="34"/>
      <c r="G473" s="34"/>
      <c r="H473" s="34"/>
      <c r="I473" s="34"/>
      <c r="J473" s="34"/>
      <c r="K473" s="34"/>
      <c r="L473" s="34"/>
      <c r="M473" s="34"/>
      <c r="N473" s="34"/>
      <c r="O473" s="34"/>
      <c r="P473" s="34"/>
    </row>
    <row r="474" spans="1:16" ht="13">
      <c r="A474" s="34"/>
      <c r="B474" s="34"/>
      <c r="C474" s="34"/>
      <c r="D474" s="34"/>
      <c r="E474" s="34"/>
      <c r="F474" s="34"/>
      <c r="G474" s="34"/>
      <c r="H474" s="34"/>
      <c r="I474" s="34"/>
      <c r="J474" s="34"/>
      <c r="K474" s="34"/>
      <c r="L474" s="34"/>
      <c r="M474" s="34"/>
      <c r="N474" s="34"/>
      <c r="O474" s="34"/>
      <c r="P474" s="34"/>
    </row>
    <row r="475" spans="1:16" ht="13">
      <c r="A475" s="34"/>
      <c r="B475" s="34"/>
      <c r="C475" s="34"/>
      <c r="D475" s="34"/>
      <c r="E475" s="34"/>
      <c r="F475" s="34"/>
      <c r="G475" s="34"/>
      <c r="H475" s="34"/>
      <c r="I475" s="34"/>
      <c r="J475" s="34"/>
      <c r="K475" s="34"/>
      <c r="L475" s="34"/>
      <c r="M475" s="34"/>
      <c r="N475" s="34"/>
      <c r="O475" s="34"/>
      <c r="P475" s="34"/>
    </row>
    <row r="476" spans="1:16" ht="13">
      <c r="A476" s="34"/>
      <c r="B476" s="34"/>
      <c r="C476" s="34"/>
      <c r="D476" s="34"/>
      <c r="E476" s="34"/>
      <c r="F476" s="34"/>
      <c r="G476" s="34"/>
      <c r="H476" s="34"/>
      <c r="I476" s="34"/>
      <c r="J476" s="34"/>
      <c r="K476" s="34"/>
      <c r="L476" s="34"/>
      <c r="M476" s="34"/>
      <c r="N476" s="34"/>
      <c r="O476" s="34"/>
      <c r="P476" s="34"/>
    </row>
    <row r="477" spans="1:16" ht="13">
      <c r="A477" s="34"/>
      <c r="B477" s="34"/>
      <c r="C477" s="34"/>
      <c r="D477" s="34"/>
      <c r="E477" s="34"/>
      <c r="F477" s="34"/>
      <c r="G477" s="34"/>
      <c r="H477" s="34"/>
      <c r="I477" s="34"/>
      <c r="J477" s="34"/>
      <c r="K477" s="34"/>
      <c r="L477" s="34"/>
      <c r="M477" s="34"/>
      <c r="N477" s="34"/>
      <c r="O477" s="34"/>
      <c r="P477" s="34"/>
    </row>
    <row r="478" spans="1:16" ht="13">
      <c r="A478" s="34"/>
      <c r="B478" s="34"/>
      <c r="C478" s="34"/>
      <c r="D478" s="34"/>
      <c r="E478" s="34"/>
      <c r="F478" s="34"/>
      <c r="G478" s="34"/>
      <c r="H478" s="34"/>
      <c r="I478" s="34"/>
      <c r="J478" s="34"/>
      <c r="K478" s="34"/>
      <c r="L478" s="34"/>
      <c r="M478" s="34"/>
      <c r="N478" s="34"/>
      <c r="O478" s="34"/>
      <c r="P478" s="34"/>
    </row>
    <row r="479" spans="1:16" ht="13">
      <c r="A479" s="34"/>
      <c r="B479" s="34"/>
      <c r="C479" s="34"/>
      <c r="D479" s="34"/>
      <c r="E479" s="34"/>
      <c r="F479" s="34"/>
      <c r="G479" s="34"/>
      <c r="H479" s="34"/>
      <c r="I479" s="34"/>
      <c r="J479" s="34"/>
      <c r="K479" s="34"/>
      <c r="L479" s="34"/>
      <c r="M479" s="34"/>
      <c r="N479" s="34"/>
      <c r="O479" s="34"/>
      <c r="P479" s="34"/>
    </row>
    <row r="480" spans="1:16" ht="13">
      <c r="A480" s="34"/>
      <c r="B480" s="34"/>
      <c r="C480" s="34"/>
      <c r="D480" s="34"/>
      <c r="E480" s="34"/>
      <c r="F480" s="34"/>
      <c r="G480" s="34"/>
      <c r="H480" s="34"/>
      <c r="I480" s="34"/>
      <c r="J480" s="34"/>
      <c r="K480" s="34"/>
      <c r="L480" s="34"/>
      <c r="M480" s="34"/>
      <c r="N480" s="34"/>
      <c r="O480" s="34"/>
      <c r="P480" s="34"/>
    </row>
    <row r="481" spans="1:16" ht="13">
      <c r="A481" s="34"/>
      <c r="B481" s="34"/>
      <c r="C481" s="34"/>
      <c r="D481" s="34"/>
      <c r="E481" s="34"/>
      <c r="F481" s="34"/>
      <c r="G481" s="34"/>
      <c r="H481" s="34"/>
      <c r="I481" s="34"/>
      <c r="J481" s="34"/>
      <c r="K481" s="34"/>
      <c r="L481" s="34"/>
      <c r="M481" s="34"/>
      <c r="N481" s="34"/>
      <c r="O481" s="34"/>
      <c r="P481" s="34"/>
    </row>
    <row r="482" spans="1:16" ht="13">
      <c r="A482" s="34"/>
      <c r="B482" s="34"/>
      <c r="C482" s="34"/>
      <c r="D482" s="34"/>
      <c r="E482" s="34"/>
      <c r="F482" s="34"/>
      <c r="G482" s="34"/>
      <c r="H482" s="34"/>
      <c r="I482" s="34"/>
      <c r="J482" s="34"/>
      <c r="K482" s="34"/>
      <c r="L482" s="34"/>
      <c r="M482" s="34"/>
      <c r="N482" s="34"/>
      <c r="O482" s="34"/>
      <c r="P482" s="34"/>
    </row>
    <row r="483" spans="1:16" ht="13">
      <c r="A483" s="34"/>
      <c r="B483" s="34"/>
      <c r="C483" s="34"/>
      <c r="D483" s="34"/>
      <c r="E483" s="34"/>
      <c r="F483" s="34"/>
      <c r="G483" s="34"/>
      <c r="H483" s="34"/>
      <c r="I483" s="34"/>
      <c r="J483" s="34"/>
      <c r="K483" s="34"/>
      <c r="L483" s="34"/>
      <c r="M483" s="34"/>
      <c r="N483" s="34"/>
      <c r="O483" s="34"/>
      <c r="P483" s="34"/>
    </row>
    <row r="484" spans="1:16" ht="13">
      <c r="A484" s="34"/>
      <c r="B484" s="34"/>
      <c r="C484" s="34"/>
      <c r="D484" s="34"/>
      <c r="E484" s="34"/>
      <c r="F484" s="34"/>
      <c r="G484" s="34"/>
      <c r="H484" s="34"/>
      <c r="I484" s="34"/>
      <c r="J484" s="34"/>
      <c r="K484" s="34"/>
      <c r="L484" s="34"/>
      <c r="M484" s="34"/>
      <c r="N484" s="34"/>
      <c r="O484" s="34"/>
      <c r="P484" s="34"/>
    </row>
    <row r="485" spans="1:16" ht="13">
      <c r="A485" s="34"/>
      <c r="B485" s="34"/>
      <c r="C485" s="34"/>
      <c r="D485" s="34"/>
      <c r="E485" s="34"/>
      <c r="F485" s="34"/>
      <c r="G485" s="34"/>
      <c r="H485" s="34"/>
      <c r="I485" s="34"/>
      <c r="J485" s="34"/>
      <c r="K485" s="34"/>
      <c r="L485" s="34"/>
      <c r="M485" s="34"/>
      <c r="N485" s="34"/>
      <c r="O485" s="34"/>
      <c r="P485" s="34"/>
    </row>
    <row r="486" spans="1:16" ht="13">
      <c r="A486" s="34"/>
      <c r="B486" s="34"/>
      <c r="C486" s="34"/>
      <c r="D486" s="34"/>
      <c r="E486" s="34"/>
      <c r="F486" s="34"/>
      <c r="G486" s="34"/>
      <c r="H486" s="34"/>
      <c r="I486" s="34"/>
      <c r="J486" s="34"/>
      <c r="K486" s="34"/>
      <c r="L486" s="34"/>
      <c r="M486" s="34"/>
      <c r="N486" s="34"/>
      <c r="O486" s="34"/>
      <c r="P486" s="34"/>
    </row>
    <row r="487" spans="1:16" ht="13">
      <c r="A487" s="34"/>
      <c r="B487" s="34"/>
      <c r="C487" s="34"/>
      <c r="D487" s="34"/>
      <c r="E487" s="34"/>
      <c r="F487" s="34"/>
      <c r="G487" s="34"/>
      <c r="H487" s="34"/>
      <c r="I487" s="34"/>
      <c r="J487" s="34"/>
      <c r="K487" s="34"/>
      <c r="L487" s="34"/>
      <c r="M487" s="34"/>
      <c r="N487" s="34"/>
      <c r="O487" s="34"/>
      <c r="P487" s="34"/>
    </row>
    <row r="488" spans="1:16" ht="13">
      <c r="A488" s="34"/>
      <c r="B488" s="34"/>
      <c r="C488" s="34"/>
      <c r="D488" s="34"/>
      <c r="E488" s="34"/>
      <c r="F488" s="34"/>
      <c r="G488" s="34"/>
      <c r="H488" s="34"/>
      <c r="I488" s="34"/>
      <c r="J488" s="34"/>
      <c r="K488" s="34"/>
      <c r="L488" s="34"/>
      <c r="M488" s="34"/>
      <c r="N488" s="34"/>
      <c r="O488" s="34"/>
      <c r="P488" s="34"/>
    </row>
    <row r="489" spans="1:16" ht="13">
      <c r="A489" s="34"/>
      <c r="B489" s="34"/>
      <c r="C489" s="34"/>
      <c r="D489" s="34"/>
      <c r="E489" s="34"/>
      <c r="F489" s="34"/>
      <c r="G489" s="34"/>
      <c r="H489" s="34"/>
      <c r="I489" s="34"/>
      <c r="J489" s="34"/>
      <c r="K489" s="34"/>
      <c r="L489" s="34"/>
      <c r="M489" s="34"/>
      <c r="N489" s="34"/>
      <c r="O489" s="34"/>
      <c r="P489" s="34"/>
    </row>
    <row r="490" spans="1:16" ht="13">
      <c r="A490" s="34"/>
      <c r="B490" s="34"/>
      <c r="C490" s="34"/>
      <c r="D490" s="34"/>
      <c r="E490" s="34"/>
      <c r="F490" s="34"/>
      <c r="G490" s="34"/>
      <c r="H490" s="34"/>
      <c r="I490" s="34"/>
      <c r="J490" s="34"/>
      <c r="K490" s="34"/>
      <c r="L490" s="34"/>
      <c r="M490" s="34"/>
      <c r="N490" s="34"/>
      <c r="O490" s="34"/>
      <c r="P490" s="34"/>
    </row>
    <row r="491" spans="1:16" ht="13">
      <c r="A491" s="34"/>
      <c r="B491" s="34"/>
      <c r="C491" s="34"/>
      <c r="D491" s="34"/>
      <c r="E491" s="34"/>
      <c r="F491" s="34"/>
      <c r="G491" s="34"/>
      <c r="H491" s="34"/>
      <c r="I491" s="34"/>
      <c r="J491" s="34"/>
      <c r="K491" s="34"/>
      <c r="L491" s="34"/>
      <c r="M491" s="34"/>
      <c r="N491" s="34"/>
      <c r="O491" s="34"/>
      <c r="P491" s="34"/>
    </row>
    <row r="492" spans="1:16" ht="13">
      <c r="A492" s="34"/>
      <c r="B492" s="34"/>
      <c r="C492" s="34"/>
      <c r="D492" s="34"/>
      <c r="E492" s="34"/>
      <c r="F492" s="34"/>
      <c r="G492" s="34"/>
      <c r="H492" s="34"/>
      <c r="I492" s="34"/>
      <c r="J492" s="34"/>
      <c r="K492" s="34"/>
      <c r="L492" s="34"/>
      <c r="M492" s="34"/>
      <c r="N492" s="34"/>
      <c r="O492" s="34"/>
      <c r="P492" s="34"/>
    </row>
    <row r="493" spans="1:16" ht="13">
      <c r="A493" s="34"/>
      <c r="B493" s="34"/>
      <c r="C493" s="34"/>
      <c r="D493" s="34"/>
      <c r="E493" s="34"/>
      <c r="F493" s="34"/>
      <c r="G493" s="34"/>
      <c r="H493" s="34"/>
      <c r="I493" s="34"/>
      <c r="J493" s="34"/>
      <c r="K493" s="34"/>
      <c r="L493" s="34"/>
      <c r="M493" s="34"/>
      <c r="N493" s="34"/>
      <c r="O493" s="34"/>
      <c r="P493" s="34"/>
    </row>
    <row r="494" spans="1:16" ht="13">
      <c r="A494" s="34"/>
      <c r="B494" s="34"/>
      <c r="C494" s="34"/>
      <c r="D494" s="34"/>
      <c r="E494" s="34"/>
      <c r="F494" s="34"/>
      <c r="G494" s="34"/>
      <c r="H494" s="34"/>
      <c r="I494" s="34"/>
      <c r="J494" s="34"/>
      <c r="K494" s="34"/>
      <c r="L494" s="34"/>
      <c r="M494" s="34"/>
      <c r="N494" s="34"/>
      <c r="O494" s="34"/>
      <c r="P494" s="34"/>
    </row>
    <row r="495" spans="1:16" ht="13">
      <c r="A495" s="34"/>
      <c r="B495" s="34"/>
      <c r="C495" s="34"/>
      <c r="D495" s="34"/>
      <c r="E495" s="34"/>
      <c r="F495" s="34"/>
      <c r="G495" s="34"/>
      <c r="H495" s="34"/>
      <c r="I495" s="34"/>
      <c r="J495" s="34"/>
      <c r="K495" s="34"/>
      <c r="L495" s="34"/>
      <c r="M495" s="34"/>
      <c r="N495" s="34"/>
      <c r="O495" s="34"/>
      <c r="P495" s="34"/>
    </row>
    <row r="496" spans="1:16" ht="13">
      <c r="A496" s="34"/>
      <c r="B496" s="34"/>
      <c r="C496" s="34"/>
      <c r="D496" s="34"/>
      <c r="E496" s="34"/>
      <c r="F496" s="34"/>
      <c r="G496" s="34"/>
      <c r="H496" s="34"/>
      <c r="I496" s="34"/>
      <c r="J496" s="34"/>
      <c r="K496" s="34"/>
      <c r="L496" s="34"/>
      <c r="M496" s="34"/>
      <c r="N496" s="34"/>
      <c r="O496" s="34"/>
      <c r="P496" s="34"/>
    </row>
    <row r="497" spans="1:16" ht="13">
      <c r="A497" s="34"/>
      <c r="B497" s="34"/>
      <c r="C497" s="34"/>
      <c r="D497" s="34"/>
      <c r="E497" s="34"/>
      <c r="F497" s="34"/>
      <c r="G497" s="34"/>
      <c r="H497" s="34"/>
      <c r="I497" s="34"/>
      <c r="J497" s="34"/>
      <c r="K497" s="34"/>
      <c r="L497" s="34"/>
      <c r="M497" s="34"/>
      <c r="N497" s="34"/>
      <c r="O497" s="34"/>
      <c r="P497" s="34"/>
    </row>
    <row r="498" spans="1:16" ht="13">
      <c r="A498" s="34"/>
      <c r="B498" s="34"/>
      <c r="C498" s="34"/>
      <c r="D498" s="34"/>
      <c r="E498" s="34"/>
      <c r="F498" s="34"/>
      <c r="G498" s="34"/>
      <c r="H498" s="34"/>
      <c r="I498" s="34"/>
      <c r="J498" s="34"/>
      <c r="K498" s="34"/>
      <c r="L498" s="34"/>
      <c r="M498" s="34"/>
      <c r="N498" s="34"/>
      <c r="O498" s="34"/>
      <c r="P498" s="34"/>
    </row>
    <row r="499" spans="1:16" ht="13">
      <c r="A499" s="34"/>
      <c r="B499" s="34"/>
      <c r="C499" s="34"/>
      <c r="D499" s="34"/>
      <c r="E499" s="34"/>
      <c r="F499" s="34"/>
      <c r="G499" s="34"/>
      <c r="H499" s="34"/>
      <c r="I499" s="34"/>
      <c r="J499" s="34"/>
      <c r="K499" s="34"/>
      <c r="L499" s="34"/>
      <c r="M499" s="34"/>
      <c r="N499" s="34"/>
      <c r="O499" s="34"/>
      <c r="P499" s="34"/>
    </row>
    <row r="500" spans="1:16" ht="13">
      <c r="A500" s="34"/>
      <c r="B500" s="34"/>
      <c r="C500" s="34"/>
      <c r="D500" s="34"/>
      <c r="E500" s="34"/>
      <c r="F500" s="34"/>
      <c r="G500" s="34"/>
      <c r="H500" s="34"/>
      <c r="I500" s="34"/>
      <c r="J500" s="34"/>
      <c r="K500" s="34"/>
      <c r="L500" s="34"/>
      <c r="M500" s="34"/>
      <c r="N500" s="34"/>
      <c r="O500" s="34"/>
      <c r="P500" s="34"/>
    </row>
    <row r="501" spans="1:16" ht="13">
      <c r="A501" s="34"/>
      <c r="B501" s="34"/>
      <c r="C501" s="34"/>
      <c r="D501" s="34"/>
      <c r="E501" s="34"/>
      <c r="F501" s="34"/>
      <c r="G501" s="34"/>
      <c r="H501" s="34"/>
      <c r="I501" s="34"/>
      <c r="J501" s="34"/>
      <c r="K501" s="34"/>
      <c r="L501" s="34"/>
      <c r="M501" s="34"/>
      <c r="N501" s="34"/>
      <c r="O501" s="34"/>
      <c r="P501" s="34"/>
    </row>
    <row r="502" spans="1:16" ht="13">
      <c r="A502" s="34"/>
      <c r="B502" s="34"/>
      <c r="C502" s="34"/>
      <c r="D502" s="34"/>
      <c r="E502" s="34"/>
      <c r="F502" s="34"/>
      <c r="G502" s="34"/>
      <c r="H502" s="34"/>
      <c r="I502" s="34"/>
      <c r="J502" s="34"/>
      <c r="K502" s="34"/>
      <c r="L502" s="34"/>
      <c r="M502" s="34"/>
      <c r="N502" s="34"/>
      <c r="O502" s="34"/>
      <c r="P502" s="34"/>
    </row>
    <row r="503" spans="1:16" ht="13">
      <c r="A503" s="34"/>
      <c r="B503" s="34"/>
      <c r="C503" s="34"/>
      <c r="D503" s="34"/>
      <c r="E503" s="34"/>
      <c r="F503" s="34"/>
      <c r="G503" s="34"/>
      <c r="H503" s="34"/>
      <c r="I503" s="34"/>
      <c r="J503" s="34"/>
      <c r="K503" s="34"/>
      <c r="L503" s="34"/>
      <c r="M503" s="34"/>
      <c r="N503" s="34"/>
      <c r="O503" s="34"/>
      <c r="P503" s="34"/>
    </row>
    <row r="504" spans="1:16" ht="13">
      <c r="A504" s="34"/>
      <c r="B504" s="34"/>
      <c r="C504" s="34"/>
      <c r="D504" s="34"/>
      <c r="E504" s="34"/>
      <c r="F504" s="34"/>
      <c r="G504" s="34"/>
      <c r="H504" s="34"/>
      <c r="I504" s="34"/>
      <c r="J504" s="34"/>
      <c r="K504" s="34"/>
      <c r="L504" s="34"/>
      <c r="M504" s="34"/>
      <c r="N504" s="34"/>
      <c r="O504" s="34"/>
      <c r="P504" s="34"/>
    </row>
    <row r="505" spans="1:16" ht="13">
      <c r="A505" s="34"/>
      <c r="B505" s="34"/>
      <c r="C505" s="34"/>
      <c r="D505" s="34"/>
      <c r="E505" s="34"/>
      <c r="F505" s="34"/>
      <c r="G505" s="34"/>
      <c r="H505" s="34"/>
      <c r="I505" s="34"/>
      <c r="J505" s="34"/>
      <c r="K505" s="34"/>
      <c r="L505" s="34"/>
      <c r="M505" s="34"/>
      <c r="N505" s="34"/>
      <c r="O505" s="34"/>
      <c r="P505" s="34"/>
    </row>
    <row r="506" spans="1:16" ht="13">
      <c r="A506" s="34"/>
      <c r="B506" s="34"/>
      <c r="C506" s="34"/>
      <c r="D506" s="34"/>
      <c r="E506" s="34"/>
      <c r="F506" s="34"/>
      <c r="G506" s="34"/>
      <c r="H506" s="34"/>
      <c r="I506" s="34"/>
      <c r="J506" s="34"/>
      <c r="K506" s="34"/>
      <c r="L506" s="34"/>
      <c r="M506" s="34"/>
      <c r="N506" s="34"/>
      <c r="O506" s="34"/>
      <c r="P506" s="34"/>
    </row>
    <row r="507" spans="1:16" ht="13">
      <c r="A507" s="34"/>
      <c r="B507" s="34"/>
      <c r="C507" s="34"/>
      <c r="D507" s="34"/>
      <c r="E507" s="34"/>
      <c r="F507" s="34"/>
      <c r="G507" s="34"/>
      <c r="H507" s="34"/>
      <c r="I507" s="34"/>
      <c r="J507" s="34"/>
      <c r="K507" s="34"/>
      <c r="L507" s="34"/>
      <c r="M507" s="34"/>
      <c r="N507" s="34"/>
      <c r="O507" s="34"/>
      <c r="P507" s="34"/>
    </row>
    <row r="508" spans="1:16" ht="13">
      <c r="A508" s="34"/>
      <c r="B508" s="34"/>
      <c r="C508" s="34"/>
      <c r="D508" s="34"/>
      <c r="E508" s="34"/>
      <c r="F508" s="34"/>
      <c r="G508" s="34"/>
      <c r="H508" s="34"/>
      <c r="I508" s="34"/>
      <c r="J508" s="34"/>
      <c r="K508" s="34"/>
      <c r="L508" s="34"/>
      <c r="M508" s="34"/>
      <c r="N508" s="34"/>
      <c r="O508" s="34"/>
      <c r="P508" s="34"/>
    </row>
    <row r="509" spans="1:16" ht="13">
      <c r="A509" s="34"/>
      <c r="B509" s="34"/>
      <c r="C509" s="34"/>
      <c r="D509" s="34"/>
      <c r="E509" s="34"/>
      <c r="F509" s="34"/>
      <c r="G509" s="34"/>
      <c r="H509" s="34"/>
      <c r="I509" s="34"/>
      <c r="J509" s="34"/>
      <c r="K509" s="34"/>
      <c r="L509" s="34"/>
      <c r="M509" s="34"/>
      <c r="N509" s="34"/>
      <c r="O509" s="34"/>
      <c r="P509" s="34"/>
    </row>
    <row r="510" spans="1:16" ht="13">
      <c r="A510" s="34"/>
      <c r="B510" s="34"/>
      <c r="C510" s="34"/>
      <c r="D510" s="34"/>
      <c r="E510" s="34"/>
      <c r="F510" s="34"/>
      <c r="G510" s="34"/>
      <c r="H510" s="34"/>
      <c r="I510" s="34"/>
      <c r="J510" s="34"/>
      <c r="K510" s="34"/>
      <c r="L510" s="34"/>
      <c r="M510" s="34"/>
      <c r="N510" s="34"/>
      <c r="O510" s="34"/>
      <c r="P510" s="34"/>
    </row>
    <row r="511" spans="1:16" ht="13">
      <c r="A511" s="34"/>
      <c r="B511" s="34"/>
      <c r="C511" s="34"/>
      <c r="D511" s="34"/>
      <c r="E511" s="34"/>
      <c r="F511" s="34"/>
      <c r="G511" s="34"/>
      <c r="H511" s="34"/>
      <c r="I511" s="34"/>
      <c r="J511" s="34"/>
      <c r="K511" s="34"/>
      <c r="L511" s="34"/>
      <c r="M511" s="34"/>
      <c r="N511" s="34"/>
      <c r="O511" s="34"/>
      <c r="P511" s="34"/>
    </row>
    <row r="512" spans="1:16" ht="13">
      <c r="A512" s="34"/>
      <c r="B512" s="34"/>
      <c r="C512" s="34"/>
      <c r="D512" s="34"/>
      <c r="E512" s="34"/>
      <c r="F512" s="34"/>
      <c r="G512" s="34"/>
      <c r="H512" s="34"/>
      <c r="I512" s="34"/>
      <c r="J512" s="34"/>
      <c r="K512" s="34"/>
      <c r="L512" s="34"/>
      <c r="M512" s="34"/>
      <c r="N512" s="34"/>
      <c r="O512" s="34"/>
      <c r="P512" s="34"/>
    </row>
    <row r="513" spans="1:16" ht="13">
      <c r="A513" s="34"/>
      <c r="B513" s="34"/>
      <c r="C513" s="34"/>
      <c r="D513" s="34"/>
      <c r="E513" s="34"/>
      <c r="F513" s="34"/>
      <c r="G513" s="34"/>
      <c r="H513" s="34"/>
      <c r="I513" s="34"/>
      <c r="J513" s="34"/>
      <c r="K513" s="34"/>
      <c r="L513" s="34"/>
      <c r="M513" s="34"/>
      <c r="N513" s="34"/>
      <c r="O513" s="34"/>
      <c r="P513" s="34"/>
    </row>
    <row r="514" spans="1:16" ht="13">
      <c r="A514" s="34"/>
      <c r="B514" s="34"/>
      <c r="C514" s="34"/>
      <c r="D514" s="34"/>
      <c r="E514" s="34"/>
      <c r="F514" s="34"/>
      <c r="G514" s="34"/>
      <c r="H514" s="34"/>
      <c r="I514" s="34"/>
      <c r="J514" s="34"/>
      <c r="K514" s="34"/>
      <c r="L514" s="34"/>
      <c r="M514" s="34"/>
      <c r="N514" s="34"/>
      <c r="O514" s="34"/>
      <c r="P514" s="34"/>
    </row>
    <row r="515" spans="1:16" ht="13">
      <c r="A515" s="34"/>
      <c r="B515" s="34"/>
      <c r="C515" s="34"/>
      <c r="D515" s="34"/>
      <c r="E515" s="34"/>
      <c r="F515" s="34"/>
      <c r="G515" s="34"/>
      <c r="H515" s="34"/>
      <c r="I515" s="34"/>
      <c r="J515" s="34"/>
      <c r="K515" s="34"/>
      <c r="L515" s="34"/>
      <c r="M515" s="34"/>
      <c r="N515" s="34"/>
      <c r="O515" s="34"/>
      <c r="P515" s="34"/>
    </row>
    <row r="516" spans="1:16" ht="13">
      <c r="A516" s="34"/>
      <c r="B516" s="34"/>
      <c r="C516" s="34"/>
      <c r="D516" s="34"/>
      <c r="E516" s="34"/>
      <c r="F516" s="34"/>
      <c r="G516" s="34"/>
      <c r="H516" s="34"/>
      <c r="I516" s="34"/>
      <c r="J516" s="34"/>
      <c r="K516" s="34"/>
      <c r="L516" s="34"/>
      <c r="M516" s="34"/>
      <c r="N516" s="34"/>
      <c r="O516" s="34"/>
      <c r="P516" s="34"/>
    </row>
    <row r="517" spans="1:16" ht="13">
      <c r="A517" s="34"/>
      <c r="B517" s="34"/>
      <c r="C517" s="34"/>
      <c r="D517" s="34"/>
      <c r="E517" s="34"/>
      <c r="F517" s="34"/>
      <c r="G517" s="34"/>
      <c r="H517" s="34"/>
      <c r="I517" s="34"/>
      <c r="J517" s="34"/>
      <c r="K517" s="34"/>
      <c r="L517" s="34"/>
      <c r="M517" s="34"/>
      <c r="N517" s="34"/>
      <c r="O517" s="34"/>
      <c r="P517" s="34"/>
    </row>
    <row r="518" spans="1:16" ht="13">
      <c r="A518" s="34"/>
      <c r="B518" s="34"/>
      <c r="C518" s="34"/>
      <c r="D518" s="34"/>
      <c r="E518" s="34"/>
      <c r="F518" s="34"/>
      <c r="G518" s="34"/>
      <c r="H518" s="34"/>
      <c r="I518" s="34"/>
      <c r="J518" s="34"/>
      <c r="K518" s="34"/>
      <c r="L518" s="34"/>
      <c r="M518" s="34"/>
      <c r="N518" s="34"/>
      <c r="O518" s="34"/>
      <c r="P518" s="34"/>
    </row>
    <row r="519" spans="1:16" ht="13">
      <c r="A519" s="34"/>
      <c r="B519" s="34"/>
      <c r="C519" s="34"/>
      <c r="D519" s="34"/>
      <c r="E519" s="34"/>
      <c r="F519" s="34"/>
      <c r="G519" s="34"/>
      <c r="H519" s="34"/>
      <c r="I519" s="34"/>
      <c r="J519" s="34"/>
      <c r="K519" s="34"/>
      <c r="L519" s="34"/>
      <c r="M519" s="34"/>
      <c r="N519" s="34"/>
      <c r="O519" s="34"/>
      <c r="P519" s="34"/>
    </row>
    <row r="520" spans="1:16" ht="13">
      <c r="A520" s="34"/>
      <c r="B520" s="34"/>
      <c r="C520" s="34"/>
      <c r="D520" s="34"/>
      <c r="E520" s="34"/>
      <c r="F520" s="34"/>
      <c r="G520" s="34"/>
      <c r="H520" s="34"/>
      <c r="I520" s="34"/>
      <c r="J520" s="34"/>
      <c r="K520" s="34"/>
      <c r="L520" s="34"/>
      <c r="M520" s="34"/>
      <c r="N520" s="34"/>
      <c r="O520" s="34"/>
      <c r="P520" s="34"/>
    </row>
    <row r="521" spans="1:16" ht="13">
      <c r="A521" s="34"/>
      <c r="B521" s="34"/>
      <c r="C521" s="34"/>
      <c r="D521" s="34"/>
      <c r="E521" s="34"/>
      <c r="F521" s="34"/>
      <c r="G521" s="34"/>
      <c r="H521" s="34"/>
      <c r="I521" s="34"/>
      <c r="J521" s="34"/>
      <c r="K521" s="34"/>
      <c r="L521" s="34"/>
      <c r="M521" s="34"/>
      <c r="N521" s="34"/>
      <c r="O521" s="34"/>
      <c r="P521" s="34"/>
    </row>
    <row r="522" spans="1:16" ht="13">
      <c r="A522" s="34"/>
      <c r="B522" s="34"/>
      <c r="C522" s="34"/>
      <c r="D522" s="34"/>
      <c r="E522" s="34"/>
      <c r="F522" s="34"/>
      <c r="G522" s="34"/>
      <c r="H522" s="34"/>
      <c r="I522" s="34"/>
      <c r="J522" s="34"/>
      <c r="K522" s="34"/>
      <c r="L522" s="34"/>
      <c r="M522" s="34"/>
      <c r="N522" s="34"/>
      <c r="O522" s="34"/>
      <c r="P522" s="34"/>
    </row>
    <row r="523" spans="1:16" ht="13">
      <c r="A523" s="34"/>
      <c r="B523" s="34"/>
      <c r="C523" s="34"/>
      <c r="D523" s="34"/>
      <c r="E523" s="34"/>
      <c r="F523" s="34"/>
      <c r="G523" s="34"/>
      <c r="H523" s="34"/>
      <c r="I523" s="34"/>
      <c r="J523" s="34"/>
      <c r="K523" s="34"/>
      <c r="L523" s="34"/>
      <c r="M523" s="34"/>
      <c r="N523" s="34"/>
      <c r="O523" s="34"/>
      <c r="P523" s="34"/>
    </row>
    <row r="524" spans="1:16" ht="13">
      <c r="A524" s="34"/>
      <c r="B524" s="34"/>
      <c r="C524" s="34"/>
      <c r="D524" s="34"/>
      <c r="E524" s="34"/>
      <c r="F524" s="34"/>
      <c r="G524" s="34"/>
      <c r="H524" s="34"/>
      <c r="I524" s="34"/>
      <c r="J524" s="34"/>
      <c r="K524" s="34"/>
      <c r="L524" s="34"/>
      <c r="M524" s="34"/>
      <c r="N524" s="34"/>
      <c r="O524" s="34"/>
      <c r="P524" s="34"/>
    </row>
    <row r="525" spans="1:16" ht="13">
      <c r="A525" s="34"/>
      <c r="B525" s="34"/>
      <c r="C525" s="34"/>
      <c r="D525" s="34"/>
      <c r="E525" s="34"/>
      <c r="F525" s="34"/>
      <c r="G525" s="34"/>
      <c r="H525" s="34"/>
      <c r="I525" s="34"/>
      <c r="J525" s="34"/>
      <c r="K525" s="34"/>
      <c r="L525" s="34"/>
      <c r="M525" s="34"/>
      <c r="N525" s="34"/>
      <c r="O525" s="34"/>
      <c r="P525" s="34"/>
    </row>
    <row r="526" spans="1:16" ht="13">
      <c r="A526" s="34"/>
      <c r="B526" s="34"/>
      <c r="C526" s="34"/>
      <c r="D526" s="34"/>
      <c r="E526" s="34"/>
      <c r="F526" s="34"/>
      <c r="G526" s="34"/>
      <c r="H526" s="34"/>
      <c r="I526" s="34"/>
      <c r="J526" s="34"/>
      <c r="K526" s="34"/>
      <c r="L526" s="34"/>
      <c r="M526" s="34"/>
      <c r="N526" s="34"/>
      <c r="O526" s="34"/>
      <c r="P526" s="34"/>
    </row>
    <row r="527" spans="1:16" ht="13">
      <c r="A527" s="34"/>
      <c r="B527" s="34"/>
      <c r="C527" s="34"/>
      <c r="D527" s="34"/>
      <c r="E527" s="34"/>
      <c r="F527" s="34"/>
      <c r="G527" s="34"/>
      <c r="H527" s="34"/>
      <c r="I527" s="34"/>
      <c r="J527" s="34"/>
      <c r="K527" s="34"/>
      <c r="L527" s="34"/>
      <c r="M527" s="34"/>
      <c r="N527" s="34"/>
      <c r="O527" s="34"/>
      <c r="P527" s="34"/>
    </row>
    <row r="528" spans="1:16" ht="13">
      <c r="A528" s="34"/>
      <c r="B528" s="34"/>
      <c r="C528" s="34"/>
      <c r="D528" s="34"/>
      <c r="E528" s="34"/>
      <c r="F528" s="34"/>
      <c r="G528" s="34"/>
      <c r="H528" s="34"/>
      <c r="I528" s="34"/>
      <c r="J528" s="34"/>
      <c r="K528" s="34"/>
      <c r="L528" s="34"/>
      <c r="M528" s="34"/>
      <c r="N528" s="34"/>
      <c r="O528" s="34"/>
      <c r="P528" s="34"/>
    </row>
    <row r="529" spans="1:16" ht="13">
      <c r="A529" s="34"/>
      <c r="B529" s="34"/>
      <c r="C529" s="34"/>
      <c r="D529" s="34"/>
      <c r="E529" s="34"/>
      <c r="F529" s="34"/>
      <c r="G529" s="34"/>
      <c r="H529" s="34"/>
      <c r="I529" s="34"/>
      <c r="J529" s="34"/>
      <c r="K529" s="34"/>
      <c r="L529" s="34"/>
      <c r="M529" s="34"/>
      <c r="N529" s="34"/>
      <c r="O529" s="34"/>
      <c r="P529" s="34"/>
    </row>
    <row r="530" spans="1:16" ht="13">
      <c r="A530" s="34"/>
      <c r="B530" s="34"/>
      <c r="C530" s="34"/>
      <c r="D530" s="34"/>
      <c r="E530" s="34"/>
      <c r="F530" s="34"/>
      <c r="G530" s="34"/>
      <c r="H530" s="34"/>
      <c r="I530" s="34"/>
      <c r="J530" s="34"/>
      <c r="K530" s="34"/>
      <c r="L530" s="34"/>
      <c r="M530" s="34"/>
      <c r="N530" s="34"/>
      <c r="O530" s="34"/>
      <c r="P530" s="34"/>
    </row>
    <row r="531" spans="1:16" ht="13">
      <c r="A531" s="34"/>
      <c r="B531" s="34"/>
      <c r="C531" s="34"/>
      <c r="D531" s="34"/>
      <c r="E531" s="34"/>
      <c r="F531" s="34"/>
      <c r="G531" s="34"/>
      <c r="H531" s="34"/>
      <c r="I531" s="34"/>
      <c r="J531" s="34"/>
      <c r="K531" s="34"/>
      <c r="L531" s="34"/>
      <c r="M531" s="34"/>
      <c r="N531" s="34"/>
      <c r="O531" s="34"/>
      <c r="P531" s="34"/>
    </row>
    <row r="532" spans="1:16" ht="13">
      <c r="A532" s="34"/>
      <c r="B532" s="34"/>
      <c r="C532" s="34"/>
      <c r="D532" s="34"/>
      <c r="E532" s="34"/>
      <c r="F532" s="34"/>
      <c r="G532" s="34"/>
      <c r="H532" s="34"/>
      <c r="I532" s="34"/>
      <c r="J532" s="34"/>
      <c r="K532" s="34"/>
      <c r="L532" s="34"/>
      <c r="M532" s="34"/>
      <c r="N532" s="34"/>
      <c r="O532" s="34"/>
      <c r="P532" s="34"/>
    </row>
    <row r="533" spans="1:16" ht="13">
      <c r="A533" s="34"/>
      <c r="B533" s="34"/>
      <c r="C533" s="34"/>
      <c r="D533" s="34"/>
      <c r="E533" s="34"/>
      <c r="F533" s="34"/>
      <c r="G533" s="34"/>
      <c r="H533" s="34"/>
      <c r="I533" s="34"/>
      <c r="J533" s="34"/>
      <c r="K533" s="34"/>
      <c r="L533" s="34"/>
      <c r="M533" s="34"/>
      <c r="N533" s="34"/>
      <c r="O533" s="34"/>
      <c r="P533" s="34"/>
    </row>
    <row r="534" spans="1:16" ht="13">
      <c r="A534" s="34"/>
      <c r="B534" s="34"/>
      <c r="C534" s="34"/>
      <c r="D534" s="34"/>
      <c r="E534" s="34"/>
      <c r="F534" s="34"/>
      <c r="G534" s="34"/>
      <c r="H534" s="34"/>
      <c r="I534" s="34"/>
      <c r="J534" s="34"/>
      <c r="K534" s="34"/>
      <c r="L534" s="34"/>
      <c r="M534" s="34"/>
      <c r="N534" s="34"/>
      <c r="O534" s="34"/>
      <c r="P534" s="34"/>
    </row>
    <row r="535" spans="1:16" ht="13">
      <c r="A535" s="34"/>
      <c r="B535" s="34"/>
      <c r="C535" s="34"/>
      <c r="D535" s="34"/>
      <c r="E535" s="34"/>
      <c r="F535" s="34"/>
      <c r="G535" s="34"/>
      <c r="H535" s="34"/>
      <c r="I535" s="34"/>
      <c r="J535" s="34"/>
      <c r="K535" s="34"/>
      <c r="L535" s="34"/>
      <c r="M535" s="34"/>
      <c r="N535" s="34"/>
      <c r="O535" s="34"/>
      <c r="P535" s="34"/>
    </row>
    <row r="536" spans="1:16" ht="13">
      <c r="A536" s="34"/>
      <c r="B536" s="34"/>
      <c r="C536" s="34"/>
      <c r="D536" s="34"/>
      <c r="E536" s="34"/>
      <c r="F536" s="34"/>
      <c r="G536" s="34"/>
      <c r="H536" s="34"/>
      <c r="I536" s="34"/>
      <c r="J536" s="34"/>
      <c r="K536" s="34"/>
      <c r="L536" s="34"/>
      <c r="M536" s="34"/>
      <c r="N536" s="34"/>
      <c r="O536" s="34"/>
      <c r="P536" s="34"/>
    </row>
    <row r="537" spans="1:16" ht="13">
      <c r="A537" s="34"/>
      <c r="B537" s="34"/>
      <c r="C537" s="34"/>
      <c r="D537" s="34"/>
      <c r="E537" s="34"/>
      <c r="F537" s="34"/>
      <c r="G537" s="34"/>
      <c r="H537" s="34"/>
      <c r="I537" s="34"/>
      <c r="J537" s="34"/>
      <c r="K537" s="34"/>
      <c r="L537" s="34"/>
      <c r="M537" s="34"/>
      <c r="N537" s="34"/>
      <c r="O537" s="34"/>
      <c r="P537" s="34"/>
    </row>
    <row r="538" spans="1:16" ht="13">
      <c r="A538" s="34"/>
      <c r="B538" s="34"/>
      <c r="C538" s="34"/>
      <c r="D538" s="34"/>
      <c r="E538" s="34"/>
      <c r="F538" s="34"/>
      <c r="G538" s="34"/>
      <c r="H538" s="34"/>
      <c r="I538" s="34"/>
      <c r="J538" s="34"/>
      <c r="K538" s="34"/>
      <c r="L538" s="34"/>
      <c r="M538" s="34"/>
      <c r="N538" s="34"/>
      <c r="O538" s="34"/>
      <c r="P538" s="34"/>
    </row>
    <row r="539" spans="1:16" ht="13">
      <c r="A539" s="34"/>
      <c r="B539" s="34"/>
      <c r="C539" s="34"/>
      <c r="D539" s="34"/>
      <c r="E539" s="34"/>
      <c r="F539" s="34"/>
      <c r="G539" s="34"/>
      <c r="H539" s="34"/>
      <c r="I539" s="34"/>
      <c r="J539" s="34"/>
      <c r="K539" s="34"/>
      <c r="L539" s="34"/>
      <c r="M539" s="34"/>
      <c r="N539" s="34"/>
      <c r="O539" s="34"/>
      <c r="P539" s="34"/>
    </row>
    <row r="540" spans="1:16" ht="13">
      <c r="A540" s="34"/>
      <c r="B540" s="34"/>
      <c r="C540" s="34"/>
      <c r="D540" s="34"/>
      <c r="E540" s="34"/>
      <c r="F540" s="34"/>
      <c r="G540" s="34"/>
      <c r="H540" s="34"/>
      <c r="I540" s="34"/>
      <c r="J540" s="34"/>
      <c r="K540" s="34"/>
      <c r="L540" s="34"/>
      <c r="M540" s="34"/>
      <c r="N540" s="34"/>
      <c r="O540" s="34"/>
      <c r="P540" s="34"/>
    </row>
    <row r="541" spans="1:16" ht="13">
      <c r="A541" s="34"/>
      <c r="B541" s="34"/>
      <c r="C541" s="34"/>
      <c r="D541" s="34"/>
      <c r="E541" s="34"/>
      <c r="F541" s="34"/>
      <c r="G541" s="34"/>
      <c r="H541" s="34"/>
      <c r="I541" s="34"/>
      <c r="J541" s="34"/>
      <c r="K541" s="34"/>
      <c r="L541" s="34"/>
      <c r="M541" s="34"/>
      <c r="N541" s="34"/>
      <c r="O541" s="34"/>
      <c r="P541" s="34"/>
    </row>
    <row r="542" spans="1:16" ht="13">
      <c r="A542" s="34"/>
      <c r="B542" s="34"/>
      <c r="C542" s="34"/>
      <c r="D542" s="34"/>
      <c r="E542" s="34"/>
      <c r="F542" s="34"/>
      <c r="G542" s="34"/>
      <c r="H542" s="34"/>
      <c r="I542" s="34"/>
      <c r="J542" s="34"/>
      <c r="K542" s="34"/>
      <c r="L542" s="34"/>
      <c r="M542" s="34"/>
      <c r="N542" s="34"/>
      <c r="O542" s="34"/>
      <c r="P542" s="34"/>
    </row>
    <row r="543" spans="1:16" ht="13">
      <c r="A543" s="34"/>
      <c r="B543" s="34"/>
      <c r="C543" s="34"/>
      <c r="D543" s="34"/>
      <c r="E543" s="34"/>
      <c r="F543" s="34"/>
      <c r="G543" s="34"/>
      <c r="H543" s="34"/>
      <c r="I543" s="34"/>
      <c r="J543" s="34"/>
      <c r="K543" s="34"/>
      <c r="L543" s="34"/>
      <c r="M543" s="34"/>
      <c r="N543" s="34"/>
      <c r="O543" s="34"/>
      <c r="P543" s="34"/>
    </row>
    <row r="544" spans="1:16" ht="13">
      <c r="A544" s="34"/>
      <c r="B544" s="34"/>
      <c r="C544" s="34"/>
      <c r="D544" s="34"/>
      <c r="E544" s="34"/>
      <c r="F544" s="34"/>
      <c r="G544" s="34"/>
      <c r="H544" s="34"/>
      <c r="I544" s="34"/>
      <c r="J544" s="34"/>
      <c r="K544" s="34"/>
      <c r="L544" s="34"/>
      <c r="M544" s="34"/>
      <c r="N544" s="34"/>
      <c r="O544" s="34"/>
      <c r="P544" s="34"/>
    </row>
    <row r="545" spans="1:16" ht="13">
      <c r="A545" s="34"/>
      <c r="B545" s="34"/>
      <c r="C545" s="34"/>
      <c r="D545" s="34"/>
      <c r="E545" s="34"/>
      <c r="F545" s="34"/>
      <c r="G545" s="34"/>
      <c r="H545" s="34"/>
      <c r="I545" s="34"/>
      <c r="J545" s="34"/>
      <c r="K545" s="34"/>
      <c r="L545" s="34"/>
      <c r="M545" s="34"/>
      <c r="N545" s="34"/>
      <c r="O545" s="34"/>
      <c r="P545" s="34"/>
    </row>
    <row r="546" spans="1:16" ht="13">
      <c r="A546" s="34"/>
      <c r="B546" s="34"/>
      <c r="C546" s="34"/>
      <c r="D546" s="34"/>
      <c r="E546" s="34"/>
      <c r="F546" s="34"/>
      <c r="G546" s="34"/>
      <c r="H546" s="34"/>
      <c r="I546" s="34"/>
      <c r="J546" s="34"/>
      <c r="K546" s="34"/>
      <c r="L546" s="34"/>
      <c r="M546" s="34"/>
      <c r="N546" s="34"/>
      <c r="O546" s="34"/>
      <c r="P546" s="34"/>
    </row>
    <row r="547" spans="1:16" ht="13">
      <c r="A547" s="34"/>
      <c r="B547" s="34"/>
      <c r="C547" s="34"/>
      <c r="D547" s="34"/>
      <c r="E547" s="34"/>
      <c r="F547" s="34"/>
      <c r="G547" s="34"/>
      <c r="H547" s="34"/>
      <c r="I547" s="34"/>
      <c r="J547" s="34"/>
      <c r="K547" s="34"/>
      <c r="L547" s="34"/>
      <c r="M547" s="34"/>
      <c r="N547" s="34"/>
      <c r="O547" s="34"/>
      <c r="P547" s="34"/>
    </row>
    <row r="548" spans="1:16" ht="13">
      <c r="A548" s="34"/>
      <c r="B548" s="34"/>
      <c r="C548" s="34"/>
      <c r="D548" s="34"/>
      <c r="E548" s="34"/>
      <c r="F548" s="34"/>
      <c r="G548" s="34"/>
      <c r="H548" s="34"/>
      <c r="I548" s="34"/>
      <c r="J548" s="34"/>
      <c r="K548" s="34"/>
      <c r="L548" s="34"/>
      <c r="M548" s="34"/>
      <c r="N548" s="34"/>
      <c r="O548" s="34"/>
      <c r="P548" s="34"/>
    </row>
    <row r="549" spans="1:16" ht="13">
      <c r="A549" s="34"/>
      <c r="B549" s="34"/>
      <c r="C549" s="34"/>
      <c r="D549" s="34"/>
      <c r="E549" s="34"/>
      <c r="F549" s="34"/>
      <c r="G549" s="34"/>
      <c r="H549" s="34"/>
      <c r="I549" s="34"/>
      <c r="J549" s="34"/>
      <c r="K549" s="34"/>
      <c r="L549" s="34"/>
      <c r="M549" s="34"/>
      <c r="N549" s="34"/>
      <c r="O549" s="34"/>
      <c r="P549" s="34"/>
    </row>
    <row r="550" spans="1:16" ht="13">
      <c r="A550" s="34"/>
      <c r="B550" s="34"/>
      <c r="C550" s="34"/>
      <c r="D550" s="34"/>
      <c r="E550" s="34"/>
      <c r="F550" s="34"/>
      <c r="G550" s="34"/>
      <c r="H550" s="34"/>
      <c r="I550" s="34"/>
      <c r="J550" s="34"/>
      <c r="K550" s="34"/>
      <c r="L550" s="34"/>
      <c r="M550" s="34"/>
      <c r="N550" s="34"/>
      <c r="O550" s="34"/>
      <c r="P550" s="34"/>
    </row>
    <row r="551" spans="1:16" ht="13">
      <c r="A551" s="34"/>
      <c r="B551" s="34"/>
      <c r="C551" s="34"/>
      <c r="D551" s="34"/>
      <c r="E551" s="34"/>
      <c r="F551" s="34"/>
      <c r="G551" s="34"/>
      <c r="H551" s="34"/>
      <c r="I551" s="34"/>
      <c r="J551" s="34"/>
      <c r="K551" s="34"/>
      <c r="L551" s="34"/>
      <c r="M551" s="34"/>
      <c r="N551" s="34"/>
      <c r="O551" s="34"/>
      <c r="P551" s="34"/>
    </row>
    <row r="552" spans="1:16" ht="13">
      <c r="A552" s="34"/>
      <c r="B552" s="34"/>
      <c r="C552" s="34"/>
      <c r="D552" s="34"/>
      <c r="E552" s="34"/>
      <c r="F552" s="34"/>
      <c r="G552" s="34"/>
      <c r="H552" s="34"/>
      <c r="I552" s="34"/>
      <c r="J552" s="34"/>
      <c r="K552" s="34"/>
      <c r="L552" s="34"/>
      <c r="M552" s="34"/>
      <c r="N552" s="34"/>
      <c r="O552" s="34"/>
      <c r="P552" s="34"/>
    </row>
    <row r="553" spans="1:16" ht="13">
      <c r="A553" s="34"/>
      <c r="B553" s="34"/>
      <c r="C553" s="34"/>
      <c r="D553" s="34"/>
      <c r="E553" s="34"/>
      <c r="F553" s="34"/>
      <c r="G553" s="34"/>
      <c r="H553" s="34"/>
      <c r="I553" s="34"/>
      <c r="J553" s="34"/>
      <c r="K553" s="34"/>
      <c r="L553" s="34"/>
      <c r="M553" s="34"/>
      <c r="N553" s="34"/>
      <c r="O553" s="34"/>
      <c r="P553" s="34"/>
    </row>
    <row r="554" spans="1:16" ht="13">
      <c r="A554" s="34"/>
      <c r="B554" s="34"/>
      <c r="C554" s="34"/>
      <c r="D554" s="34"/>
      <c r="E554" s="34"/>
      <c r="F554" s="34"/>
      <c r="G554" s="34"/>
      <c r="H554" s="34"/>
      <c r="I554" s="34"/>
      <c r="J554" s="34"/>
      <c r="K554" s="34"/>
      <c r="L554" s="34"/>
      <c r="M554" s="34"/>
      <c r="N554" s="34"/>
      <c r="O554" s="34"/>
      <c r="P554" s="34"/>
    </row>
    <row r="555" spans="1:16" ht="13">
      <c r="A555" s="34"/>
      <c r="B555" s="34"/>
      <c r="C555" s="34"/>
      <c r="D555" s="34"/>
      <c r="E555" s="34"/>
      <c r="F555" s="34"/>
      <c r="G555" s="34"/>
      <c r="H555" s="34"/>
      <c r="I555" s="34"/>
      <c r="J555" s="34"/>
      <c r="K555" s="34"/>
      <c r="L555" s="34"/>
      <c r="M555" s="34"/>
      <c r="N555" s="34"/>
      <c r="O555" s="34"/>
      <c r="P555" s="34"/>
    </row>
    <row r="556" spans="1:16" ht="13">
      <c r="A556" s="34"/>
      <c r="B556" s="34"/>
      <c r="C556" s="34"/>
      <c r="D556" s="34"/>
      <c r="E556" s="34"/>
      <c r="F556" s="34"/>
      <c r="G556" s="34"/>
      <c r="H556" s="34"/>
      <c r="I556" s="34"/>
      <c r="J556" s="34"/>
      <c r="K556" s="34"/>
      <c r="L556" s="34"/>
      <c r="M556" s="34"/>
      <c r="N556" s="34"/>
      <c r="O556" s="34"/>
      <c r="P556" s="34"/>
    </row>
    <row r="557" spans="1:16" ht="13">
      <c r="A557" s="34"/>
      <c r="B557" s="34"/>
      <c r="C557" s="34"/>
      <c r="D557" s="34"/>
      <c r="E557" s="34"/>
      <c r="F557" s="34"/>
      <c r="G557" s="34"/>
      <c r="H557" s="34"/>
      <c r="I557" s="34"/>
      <c r="J557" s="34"/>
      <c r="K557" s="34"/>
      <c r="L557" s="34"/>
      <c r="M557" s="34"/>
      <c r="N557" s="34"/>
      <c r="O557" s="34"/>
      <c r="P557" s="34"/>
    </row>
    <row r="558" spans="1:16" ht="13">
      <c r="A558" s="34"/>
      <c r="B558" s="34"/>
      <c r="C558" s="34"/>
      <c r="D558" s="34"/>
      <c r="E558" s="34"/>
      <c r="F558" s="34"/>
      <c r="G558" s="34"/>
      <c r="H558" s="34"/>
      <c r="I558" s="34"/>
      <c r="J558" s="34"/>
      <c r="K558" s="34"/>
      <c r="L558" s="34"/>
      <c r="M558" s="34"/>
      <c r="N558" s="34"/>
      <c r="O558" s="34"/>
      <c r="P558" s="34"/>
    </row>
    <row r="559" spans="1:16" ht="13">
      <c r="A559" s="34"/>
      <c r="B559" s="34"/>
      <c r="C559" s="34"/>
      <c r="D559" s="34"/>
      <c r="E559" s="34"/>
      <c r="F559" s="34"/>
      <c r="G559" s="34"/>
      <c r="H559" s="34"/>
      <c r="I559" s="34"/>
      <c r="J559" s="34"/>
      <c r="K559" s="34"/>
      <c r="L559" s="34"/>
      <c r="M559" s="34"/>
      <c r="N559" s="34"/>
      <c r="O559" s="34"/>
      <c r="P559" s="34"/>
    </row>
    <row r="560" spans="1:16" ht="13">
      <c r="A560" s="34"/>
      <c r="B560" s="34"/>
      <c r="C560" s="34"/>
      <c r="D560" s="34"/>
      <c r="E560" s="34"/>
      <c r="F560" s="34"/>
      <c r="G560" s="34"/>
      <c r="H560" s="34"/>
      <c r="I560" s="34"/>
      <c r="J560" s="34"/>
      <c r="K560" s="34"/>
      <c r="L560" s="34"/>
      <c r="M560" s="34"/>
      <c r="N560" s="34"/>
      <c r="O560" s="34"/>
      <c r="P560" s="34"/>
    </row>
    <row r="561" spans="1:16" ht="13">
      <c r="A561" s="34"/>
      <c r="B561" s="34"/>
      <c r="C561" s="34"/>
      <c r="D561" s="34"/>
      <c r="E561" s="34"/>
      <c r="F561" s="34"/>
      <c r="G561" s="34"/>
      <c r="H561" s="34"/>
      <c r="I561" s="34"/>
      <c r="J561" s="34"/>
      <c r="K561" s="34"/>
      <c r="L561" s="34"/>
      <c r="M561" s="34"/>
      <c r="N561" s="34"/>
      <c r="O561" s="34"/>
      <c r="P561" s="34"/>
    </row>
    <row r="562" spans="1:16" ht="13">
      <c r="A562" s="34"/>
      <c r="B562" s="34"/>
      <c r="C562" s="34"/>
      <c r="D562" s="34"/>
      <c r="E562" s="34"/>
      <c r="F562" s="34"/>
      <c r="G562" s="34"/>
      <c r="H562" s="34"/>
      <c r="I562" s="34"/>
      <c r="J562" s="34"/>
      <c r="K562" s="34"/>
      <c r="L562" s="34"/>
      <c r="M562" s="34"/>
      <c r="N562" s="34"/>
      <c r="O562" s="34"/>
      <c r="P562" s="34"/>
    </row>
    <row r="563" spans="1:16" ht="13">
      <c r="A563" s="34"/>
      <c r="B563" s="34"/>
      <c r="C563" s="34"/>
      <c r="D563" s="34"/>
      <c r="E563" s="34"/>
      <c r="F563" s="34"/>
      <c r="G563" s="34"/>
      <c r="H563" s="34"/>
      <c r="I563" s="34"/>
      <c r="J563" s="34"/>
      <c r="K563" s="34"/>
      <c r="L563" s="34"/>
      <c r="M563" s="34"/>
      <c r="N563" s="34"/>
      <c r="O563" s="34"/>
      <c r="P563" s="34"/>
    </row>
    <row r="564" spans="1:16" ht="13">
      <c r="A564" s="34"/>
      <c r="B564" s="34"/>
      <c r="C564" s="34"/>
      <c r="D564" s="34"/>
      <c r="E564" s="34"/>
      <c r="F564" s="34"/>
      <c r="G564" s="34"/>
      <c r="H564" s="34"/>
      <c r="I564" s="34"/>
      <c r="J564" s="34"/>
      <c r="K564" s="34"/>
      <c r="L564" s="34"/>
      <c r="M564" s="34"/>
      <c r="N564" s="34"/>
      <c r="O564" s="34"/>
      <c r="P564" s="34"/>
    </row>
    <row r="565" spans="1:16" ht="13">
      <c r="A565" s="34"/>
      <c r="B565" s="34"/>
      <c r="C565" s="34"/>
      <c r="D565" s="34"/>
      <c r="E565" s="34"/>
      <c r="F565" s="34"/>
      <c r="G565" s="34"/>
      <c r="H565" s="34"/>
      <c r="I565" s="34"/>
      <c r="J565" s="34"/>
      <c r="K565" s="34"/>
      <c r="L565" s="34"/>
      <c r="M565" s="34"/>
      <c r="N565" s="34"/>
      <c r="O565" s="34"/>
      <c r="P565" s="34"/>
    </row>
    <row r="566" spans="1:16" ht="13">
      <c r="A566" s="34"/>
      <c r="B566" s="34"/>
      <c r="C566" s="34"/>
      <c r="D566" s="34"/>
      <c r="E566" s="34"/>
      <c r="F566" s="34"/>
      <c r="G566" s="34"/>
      <c r="H566" s="34"/>
      <c r="I566" s="34"/>
      <c r="J566" s="34"/>
      <c r="K566" s="34"/>
      <c r="L566" s="34"/>
      <c r="M566" s="34"/>
      <c r="N566" s="34"/>
      <c r="O566" s="34"/>
      <c r="P566" s="34"/>
    </row>
    <row r="567" spans="1:16" ht="13">
      <c r="A567" s="34"/>
      <c r="B567" s="34"/>
      <c r="C567" s="34"/>
      <c r="D567" s="34"/>
      <c r="E567" s="34"/>
      <c r="F567" s="34"/>
      <c r="G567" s="34"/>
      <c r="H567" s="34"/>
      <c r="I567" s="34"/>
      <c r="J567" s="34"/>
      <c r="K567" s="34"/>
      <c r="L567" s="34"/>
      <c r="M567" s="34"/>
      <c r="N567" s="34"/>
      <c r="O567" s="34"/>
      <c r="P567" s="34"/>
    </row>
    <row r="568" spans="1:16" ht="13">
      <c r="A568" s="34"/>
      <c r="B568" s="34"/>
      <c r="C568" s="34"/>
      <c r="D568" s="34"/>
      <c r="E568" s="34"/>
      <c r="F568" s="34"/>
      <c r="G568" s="34"/>
      <c r="H568" s="34"/>
      <c r="I568" s="34"/>
      <c r="J568" s="34"/>
      <c r="K568" s="34"/>
      <c r="L568" s="34"/>
      <c r="M568" s="34"/>
      <c r="N568" s="34"/>
      <c r="O568" s="34"/>
      <c r="P568" s="34"/>
    </row>
    <row r="569" spans="1:16" ht="13">
      <c r="A569" s="34"/>
      <c r="B569" s="34"/>
      <c r="C569" s="34"/>
      <c r="D569" s="34"/>
      <c r="E569" s="34"/>
      <c r="F569" s="34"/>
      <c r="G569" s="34"/>
      <c r="H569" s="34"/>
      <c r="I569" s="34"/>
      <c r="J569" s="34"/>
      <c r="K569" s="34"/>
      <c r="L569" s="34"/>
      <c r="M569" s="34"/>
      <c r="N569" s="34"/>
      <c r="O569" s="34"/>
      <c r="P569" s="34"/>
    </row>
    <row r="570" spans="1:16" ht="13">
      <c r="A570" s="34"/>
      <c r="B570" s="34"/>
      <c r="C570" s="34"/>
      <c r="D570" s="34"/>
      <c r="E570" s="34"/>
      <c r="F570" s="34"/>
      <c r="G570" s="34"/>
      <c r="H570" s="34"/>
      <c r="I570" s="34"/>
      <c r="J570" s="34"/>
      <c r="K570" s="34"/>
      <c r="L570" s="34"/>
      <c r="M570" s="34"/>
      <c r="N570" s="34"/>
      <c r="O570" s="34"/>
      <c r="P570" s="34"/>
    </row>
    <row r="571" spans="1:16" ht="13">
      <c r="A571" s="34"/>
      <c r="B571" s="34"/>
      <c r="C571" s="34"/>
      <c r="D571" s="34"/>
      <c r="E571" s="34"/>
      <c r="F571" s="34"/>
      <c r="G571" s="34"/>
      <c r="H571" s="34"/>
      <c r="I571" s="34"/>
      <c r="J571" s="34"/>
      <c r="K571" s="34"/>
      <c r="L571" s="34"/>
      <c r="M571" s="34"/>
      <c r="N571" s="34"/>
      <c r="O571" s="34"/>
      <c r="P571" s="34"/>
    </row>
    <row r="572" spans="1:16" ht="13">
      <c r="A572" s="34"/>
      <c r="B572" s="34"/>
      <c r="C572" s="34"/>
      <c r="D572" s="34"/>
      <c r="E572" s="34"/>
      <c r="F572" s="34"/>
      <c r="G572" s="34"/>
      <c r="H572" s="34"/>
      <c r="I572" s="34"/>
      <c r="J572" s="34"/>
      <c r="K572" s="34"/>
      <c r="L572" s="34"/>
      <c r="M572" s="34"/>
      <c r="N572" s="34"/>
      <c r="O572" s="34"/>
      <c r="P572" s="34"/>
    </row>
    <row r="573" spans="1:16" ht="13">
      <c r="A573" s="34"/>
      <c r="B573" s="34"/>
      <c r="C573" s="34"/>
      <c r="D573" s="34"/>
      <c r="E573" s="34"/>
      <c r="F573" s="34"/>
      <c r="G573" s="34"/>
      <c r="H573" s="34"/>
      <c r="I573" s="34"/>
      <c r="J573" s="34"/>
      <c r="K573" s="34"/>
      <c r="L573" s="34"/>
      <c r="M573" s="34"/>
      <c r="N573" s="34"/>
      <c r="O573" s="34"/>
      <c r="P573" s="34"/>
    </row>
    <row r="574" spans="1:16" ht="13">
      <c r="A574" s="34"/>
      <c r="B574" s="34"/>
      <c r="C574" s="34"/>
      <c r="D574" s="34"/>
      <c r="E574" s="34"/>
      <c r="F574" s="34"/>
      <c r="G574" s="34"/>
      <c r="H574" s="34"/>
      <c r="I574" s="34"/>
      <c r="J574" s="34"/>
      <c r="K574" s="34"/>
      <c r="L574" s="34"/>
      <c r="M574" s="34"/>
      <c r="N574" s="34"/>
      <c r="O574" s="34"/>
      <c r="P574" s="34"/>
    </row>
    <row r="575" spans="1:16" ht="13">
      <c r="A575" s="34"/>
      <c r="B575" s="34"/>
      <c r="C575" s="34"/>
      <c r="D575" s="34"/>
      <c r="E575" s="34"/>
      <c r="F575" s="34"/>
      <c r="G575" s="34"/>
      <c r="H575" s="34"/>
      <c r="I575" s="34"/>
      <c r="J575" s="34"/>
      <c r="K575" s="34"/>
      <c r="L575" s="34"/>
      <c r="M575" s="34"/>
      <c r="N575" s="34"/>
      <c r="O575" s="34"/>
      <c r="P575" s="34"/>
    </row>
    <row r="576" spans="1:16" ht="13">
      <c r="A576" s="34"/>
      <c r="B576" s="34"/>
      <c r="C576" s="34"/>
      <c r="D576" s="34"/>
      <c r="E576" s="34"/>
      <c r="F576" s="34"/>
      <c r="G576" s="34"/>
      <c r="H576" s="34"/>
      <c r="I576" s="34"/>
      <c r="J576" s="34"/>
      <c r="K576" s="34"/>
      <c r="L576" s="34"/>
      <c r="M576" s="34"/>
      <c r="N576" s="34"/>
      <c r="O576" s="34"/>
      <c r="P576" s="34"/>
    </row>
    <row r="577" spans="1:16" ht="13">
      <c r="A577" s="34"/>
      <c r="B577" s="34"/>
      <c r="C577" s="34"/>
      <c r="D577" s="34"/>
      <c r="E577" s="34"/>
      <c r="F577" s="34"/>
      <c r="G577" s="34"/>
      <c r="H577" s="34"/>
      <c r="I577" s="34"/>
      <c r="J577" s="34"/>
      <c r="K577" s="34"/>
      <c r="L577" s="34"/>
      <c r="M577" s="34"/>
      <c r="N577" s="34"/>
      <c r="O577" s="34"/>
      <c r="P577" s="34"/>
    </row>
    <row r="578" spans="1:16" ht="13">
      <c r="A578" s="34"/>
      <c r="B578" s="34"/>
      <c r="C578" s="34"/>
      <c r="D578" s="34"/>
      <c r="E578" s="34"/>
      <c r="F578" s="34"/>
      <c r="G578" s="34"/>
      <c r="H578" s="34"/>
      <c r="I578" s="34"/>
      <c r="J578" s="34"/>
      <c r="K578" s="34"/>
      <c r="L578" s="34"/>
      <c r="M578" s="34"/>
      <c r="N578" s="34"/>
      <c r="O578" s="34"/>
      <c r="P578" s="34"/>
    </row>
    <row r="579" spans="1:16" ht="13">
      <c r="A579" s="34"/>
      <c r="B579" s="34"/>
      <c r="C579" s="34"/>
      <c r="D579" s="34"/>
      <c r="E579" s="34"/>
      <c r="F579" s="34"/>
      <c r="G579" s="34"/>
      <c r="H579" s="34"/>
      <c r="I579" s="34"/>
      <c r="J579" s="34"/>
      <c r="K579" s="34"/>
      <c r="L579" s="34"/>
      <c r="M579" s="34"/>
      <c r="N579" s="34"/>
      <c r="O579" s="34"/>
      <c r="P579" s="34"/>
    </row>
    <row r="580" spans="1:16" ht="13">
      <c r="A580" s="34"/>
      <c r="B580" s="34"/>
      <c r="C580" s="34"/>
      <c r="D580" s="34"/>
      <c r="E580" s="34"/>
      <c r="F580" s="34"/>
      <c r="G580" s="34"/>
      <c r="H580" s="34"/>
      <c r="I580" s="34"/>
      <c r="J580" s="34"/>
      <c r="K580" s="34"/>
      <c r="L580" s="34"/>
      <c r="M580" s="34"/>
      <c r="N580" s="34"/>
      <c r="O580" s="34"/>
      <c r="P580" s="34"/>
    </row>
    <row r="581" spans="1:16" ht="13">
      <c r="A581" s="34"/>
      <c r="B581" s="34"/>
      <c r="C581" s="34"/>
      <c r="D581" s="34"/>
      <c r="E581" s="34"/>
      <c r="F581" s="34"/>
      <c r="G581" s="34"/>
      <c r="H581" s="34"/>
      <c r="I581" s="34"/>
      <c r="J581" s="34"/>
      <c r="K581" s="34"/>
      <c r="L581" s="34"/>
      <c r="M581" s="34"/>
      <c r="N581" s="34"/>
      <c r="O581" s="34"/>
      <c r="P581" s="34"/>
    </row>
    <row r="582" spans="1:16" ht="13">
      <c r="A582" s="34"/>
      <c r="B582" s="34"/>
      <c r="C582" s="34"/>
      <c r="D582" s="34"/>
      <c r="E582" s="34"/>
      <c r="F582" s="34"/>
      <c r="G582" s="34"/>
      <c r="H582" s="34"/>
      <c r="I582" s="34"/>
      <c r="J582" s="34"/>
      <c r="K582" s="34"/>
      <c r="L582" s="34"/>
      <c r="M582" s="34"/>
      <c r="N582" s="34"/>
      <c r="O582" s="34"/>
      <c r="P582" s="34"/>
    </row>
    <row r="583" spans="1:16" ht="13">
      <c r="A583" s="34"/>
      <c r="B583" s="34"/>
      <c r="C583" s="34"/>
      <c r="D583" s="34"/>
      <c r="E583" s="34"/>
      <c r="F583" s="34"/>
      <c r="G583" s="34"/>
      <c r="H583" s="34"/>
      <c r="I583" s="34"/>
      <c r="J583" s="34"/>
      <c r="K583" s="34"/>
      <c r="L583" s="34"/>
      <c r="M583" s="34"/>
      <c r="N583" s="34"/>
      <c r="O583" s="34"/>
      <c r="P583" s="34"/>
    </row>
    <row r="584" spans="1:16" ht="13">
      <c r="A584" s="34"/>
      <c r="B584" s="34"/>
      <c r="C584" s="34"/>
      <c r="D584" s="34"/>
      <c r="E584" s="34"/>
      <c r="F584" s="34"/>
      <c r="G584" s="34"/>
      <c r="H584" s="34"/>
      <c r="I584" s="34"/>
      <c r="J584" s="34"/>
      <c r="K584" s="34"/>
      <c r="L584" s="34"/>
      <c r="M584" s="34"/>
      <c r="N584" s="34"/>
      <c r="O584" s="34"/>
      <c r="P584" s="34"/>
    </row>
    <row r="585" spans="1:16" ht="13">
      <c r="A585" s="34"/>
      <c r="B585" s="34"/>
      <c r="C585" s="34"/>
      <c r="D585" s="34"/>
      <c r="E585" s="34"/>
      <c r="F585" s="34"/>
      <c r="G585" s="34"/>
      <c r="H585" s="34"/>
      <c r="I585" s="34"/>
      <c r="J585" s="34"/>
      <c r="K585" s="34"/>
      <c r="L585" s="34"/>
      <c r="M585" s="34"/>
      <c r="N585" s="34"/>
      <c r="O585" s="34"/>
      <c r="P585" s="34"/>
    </row>
    <row r="586" spans="1:16" ht="13">
      <c r="A586" s="34"/>
      <c r="B586" s="34"/>
      <c r="C586" s="34"/>
      <c r="D586" s="34"/>
      <c r="E586" s="34"/>
      <c r="F586" s="34"/>
      <c r="G586" s="34"/>
      <c r="H586" s="34"/>
      <c r="I586" s="34"/>
      <c r="J586" s="34"/>
      <c r="K586" s="34"/>
      <c r="L586" s="34"/>
      <c r="M586" s="34"/>
      <c r="N586" s="34"/>
      <c r="O586" s="34"/>
      <c r="P586" s="34"/>
    </row>
    <row r="587" spans="1:16" ht="13">
      <c r="A587" s="34"/>
      <c r="B587" s="34"/>
      <c r="C587" s="34"/>
      <c r="D587" s="34"/>
      <c r="E587" s="34"/>
      <c r="F587" s="34"/>
      <c r="G587" s="34"/>
      <c r="H587" s="34"/>
      <c r="I587" s="34"/>
      <c r="J587" s="34"/>
      <c r="K587" s="34"/>
      <c r="L587" s="34"/>
      <c r="M587" s="34"/>
      <c r="N587" s="34"/>
      <c r="O587" s="34"/>
      <c r="P587" s="34"/>
    </row>
    <row r="588" spans="1:16" ht="13">
      <c r="A588" s="34"/>
      <c r="B588" s="34"/>
      <c r="C588" s="34"/>
      <c r="D588" s="34"/>
      <c r="E588" s="34"/>
      <c r="F588" s="34"/>
      <c r="G588" s="34"/>
      <c r="H588" s="34"/>
      <c r="I588" s="34"/>
      <c r="J588" s="34"/>
      <c r="K588" s="34"/>
      <c r="L588" s="34"/>
      <c r="M588" s="34"/>
      <c r="N588" s="34"/>
      <c r="O588" s="34"/>
      <c r="P588" s="34"/>
    </row>
    <row r="589" spans="1:16" ht="13">
      <c r="A589" s="34"/>
      <c r="B589" s="34"/>
      <c r="C589" s="34"/>
      <c r="D589" s="34"/>
      <c r="E589" s="34"/>
      <c r="F589" s="34"/>
      <c r="G589" s="34"/>
      <c r="H589" s="34"/>
      <c r="I589" s="34"/>
      <c r="J589" s="34"/>
      <c r="K589" s="34"/>
      <c r="L589" s="34"/>
      <c r="M589" s="34"/>
      <c r="N589" s="34"/>
      <c r="O589" s="34"/>
      <c r="P589" s="34"/>
    </row>
    <row r="590" spans="1:16" ht="13">
      <c r="A590" s="34"/>
      <c r="B590" s="34"/>
      <c r="C590" s="34"/>
      <c r="D590" s="34"/>
      <c r="E590" s="34"/>
      <c r="F590" s="34"/>
      <c r="G590" s="34"/>
      <c r="H590" s="34"/>
      <c r="I590" s="34"/>
      <c r="J590" s="34"/>
      <c r="K590" s="34"/>
      <c r="L590" s="34"/>
      <c r="M590" s="34"/>
      <c r="N590" s="34"/>
      <c r="O590" s="34"/>
      <c r="P590" s="34"/>
    </row>
    <row r="591" spans="1:16" ht="13">
      <c r="A591" s="34"/>
      <c r="B591" s="34"/>
      <c r="C591" s="34"/>
      <c r="D591" s="34"/>
      <c r="E591" s="34"/>
      <c r="F591" s="34"/>
      <c r="G591" s="34"/>
      <c r="H591" s="34"/>
      <c r="I591" s="34"/>
      <c r="J591" s="34"/>
      <c r="K591" s="34"/>
      <c r="L591" s="34"/>
      <c r="M591" s="34"/>
      <c r="N591" s="34"/>
      <c r="O591" s="34"/>
      <c r="P591" s="34"/>
    </row>
    <row r="592" spans="1:16" ht="13">
      <c r="A592" s="34"/>
      <c r="B592" s="34"/>
      <c r="C592" s="34"/>
      <c r="D592" s="34"/>
      <c r="E592" s="34"/>
      <c r="F592" s="34"/>
      <c r="G592" s="34"/>
      <c r="H592" s="34"/>
      <c r="I592" s="34"/>
      <c r="J592" s="34"/>
      <c r="K592" s="34"/>
      <c r="L592" s="34"/>
      <c r="M592" s="34"/>
      <c r="N592" s="34"/>
      <c r="O592" s="34"/>
      <c r="P592" s="34"/>
    </row>
    <row r="593" spans="1:16" ht="13">
      <c r="A593" s="34"/>
      <c r="B593" s="34"/>
      <c r="C593" s="34"/>
      <c r="D593" s="34"/>
      <c r="E593" s="34"/>
      <c r="F593" s="34"/>
      <c r="G593" s="34"/>
      <c r="H593" s="34"/>
      <c r="I593" s="34"/>
      <c r="J593" s="34"/>
      <c r="K593" s="34"/>
      <c r="L593" s="34"/>
      <c r="M593" s="34"/>
      <c r="N593" s="34"/>
      <c r="O593" s="34"/>
      <c r="P593" s="34"/>
    </row>
    <row r="594" spans="1:16" ht="13">
      <c r="A594" s="34"/>
      <c r="B594" s="34"/>
      <c r="C594" s="34"/>
      <c r="D594" s="34"/>
      <c r="E594" s="34"/>
      <c r="F594" s="34"/>
      <c r="G594" s="34"/>
      <c r="H594" s="34"/>
      <c r="I594" s="34"/>
      <c r="J594" s="34"/>
      <c r="K594" s="34"/>
      <c r="L594" s="34"/>
      <c r="M594" s="34"/>
      <c r="N594" s="34"/>
      <c r="O594" s="34"/>
      <c r="P594" s="34"/>
    </row>
    <row r="595" spans="1:16" ht="13">
      <c r="A595" s="34"/>
      <c r="B595" s="34"/>
      <c r="C595" s="34"/>
      <c r="D595" s="34"/>
      <c r="E595" s="34"/>
      <c r="F595" s="34"/>
      <c r="G595" s="34"/>
      <c r="H595" s="34"/>
      <c r="I595" s="34"/>
      <c r="J595" s="34"/>
      <c r="K595" s="34"/>
      <c r="L595" s="34"/>
      <c r="M595" s="34"/>
      <c r="N595" s="34"/>
      <c r="O595" s="34"/>
      <c r="P595" s="34"/>
    </row>
    <row r="596" spans="1:16" ht="13">
      <c r="A596" s="34"/>
      <c r="B596" s="34"/>
      <c r="C596" s="34"/>
      <c r="D596" s="34"/>
      <c r="E596" s="34"/>
      <c r="F596" s="34"/>
      <c r="G596" s="34"/>
      <c r="H596" s="34"/>
      <c r="I596" s="34"/>
      <c r="J596" s="34"/>
      <c r="K596" s="34"/>
      <c r="L596" s="34"/>
      <c r="M596" s="34"/>
      <c r="N596" s="34"/>
      <c r="O596" s="34"/>
      <c r="P596" s="34"/>
    </row>
    <row r="597" spans="1:16" ht="13">
      <c r="A597" s="34"/>
      <c r="B597" s="34"/>
      <c r="C597" s="34"/>
      <c r="D597" s="34"/>
      <c r="E597" s="34"/>
      <c r="F597" s="34"/>
      <c r="G597" s="34"/>
      <c r="H597" s="34"/>
      <c r="I597" s="34"/>
      <c r="J597" s="34"/>
      <c r="K597" s="34"/>
      <c r="L597" s="34"/>
      <c r="M597" s="34"/>
      <c r="N597" s="34"/>
      <c r="O597" s="34"/>
      <c r="P597" s="34"/>
    </row>
    <row r="598" spans="1:16" ht="13">
      <c r="A598" s="34"/>
      <c r="B598" s="34"/>
      <c r="C598" s="34"/>
      <c r="D598" s="34"/>
      <c r="E598" s="34"/>
      <c r="F598" s="34"/>
      <c r="G598" s="34"/>
      <c r="H598" s="34"/>
      <c r="I598" s="34"/>
      <c r="J598" s="34"/>
      <c r="K598" s="34"/>
      <c r="L598" s="34"/>
      <c r="M598" s="34"/>
      <c r="N598" s="34"/>
      <c r="O598" s="34"/>
      <c r="P598" s="34"/>
    </row>
    <row r="599" spans="1:16" ht="13">
      <c r="A599" s="34"/>
      <c r="B599" s="34"/>
      <c r="C599" s="34"/>
      <c r="D599" s="34"/>
      <c r="E599" s="34"/>
      <c r="F599" s="34"/>
      <c r="G599" s="34"/>
      <c r="H599" s="34"/>
      <c r="I599" s="34"/>
      <c r="J599" s="34"/>
      <c r="K599" s="34"/>
      <c r="L599" s="34"/>
      <c r="M599" s="34"/>
      <c r="N599" s="34"/>
      <c r="O599" s="34"/>
      <c r="P599" s="34"/>
    </row>
    <row r="600" spans="1:16" ht="13">
      <c r="A600" s="34"/>
      <c r="B600" s="34"/>
      <c r="C600" s="34"/>
      <c r="D600" s="34"/>
      <c r="E600" s="34"/>
      <c r="F600" s="34"/>
      <c r="G600" s="34"/>
      <c r="H600" s="34"/>
      <c r="I600" s="34"/>
      <c r="J600" s="34"/>
      <c r="K600" s="34"/>
      <c r="L600" s="34"/>
      <c r="M600" s="34"/>
      <c r="N600" s="34"/>
      <c r="O600" s="34"/>
      <c r="P600" s="34"/>
    </row>
    <row r="601" spans="1:16" ht="13">
      <c r="A601" s="34"/>
      <c r="B601" s="34"/>
      <c r="C601" s="34"/>
      <c r="D601" s="34"/>
      <c r="E601" s="34"/>
      <c r="F601" s="34"/>
      <c r="G601" s="34"/>
      <c r="H601" s="34"/>
      <c r="I601" s="34"/>
      <c r="J601" s="34"/>
      <c r="K601" s="34"/>
      <c r="L601" s="34"/>
      <c r="M601" s="34"/>
      <c r="N601" s="34"/>
      <c r="O601" s="34"/>
      <c r="P601" s="34"/>
    </row>
    <row r="602" spans="1:16" ht="13">
      <c r="A602" s="34"/>
      <c r="B602" s="34"/>
      <c r="C602" s="34"/>
      <c r="D602" s="34"/>
      <c r="E602" s="34"/>
      <c r="F602" s="34"/>
      <c r="G602" s="34"/>
      <c r="H602" s="34"/>
      <c r="I602" s="34"/>
      <c r="J602" s="34"/>
      <c r="K602" s="34"/>
      <c r="L602" s="34"/>
      <c r="M602" s="34"/>
      <c r="N602" s="34"/>
      <c r="O602" s="34"/>
      <c r="P602" s="34"/>
    </row>
    <row r="603" spans="1:16" ht="13">
      <c r="A603" s="34"/>
      <c r="B603" s="34"/>
      <c r="C603" s="34"/>
      <c r="D603" s="34"/>
      <c r="E603" s="34"/>
      <c r="F603" s="34"/>
      <c r="G603" s="34"/>
      <c r="H603" s="34"/>
      <c r="I603" s="34"/>
      <c r="J603" s="34"/>
      <c r="K603" s="34"/>
      <c r="L603" s="34"/>
      <c r="M603" s="34"/>
      <c r="N603" s="34"/>
      <c r="O603" s="34"/>
      <c r="P603" s="34"/>
    </row>
    <row r="604" spans="1:16" ht="13">
      <c r="A604" s="34"/>
      <c r="B604" s="34"/>
      <c r="C604" s="34"/>
      <c r="D604" s="34"/>
      <c r="E604" s="34"/>
      <c r="F604" s="34"/>
      <c r="G604" s="34"/>
      <c r="H604" s="34"/>
      <c r="I604" s="34"/>
      <c r="J604" s="34"/>
      <c r="K604" s="34"/>
      <c r="L604" s="34"/>
      <c r="M604" s="34"/>
      <c r="N604" s="34"/>
      <c r="O604" s="34"/>
      <c r="P604" s="34"/>
    </row>
    <row r="605" spans="1:16" ht="13">
      <c r="A605" s="34"/>
      <c r="B605" s="34"/>
      <c r="C605" s="34"/>
      <c r="D605" s="34"/>
      <c r="E605" s="34"/>
      <c r="F605" s="34"/>
      <c r="G605" s="34"/>
      <c r="H605" s="34"/>
      <c r="I605" s="34"/>
      <c r="J605" s="34"/>
      <c r="K605" s="34"/>
      <c r="L605" s="34"/>
      <c r="M605" s="34"/>
      <c r="N605" s="34"/>
      <c r="O605" s="34"/>
      <c r="P605" s="34"/>
    </row>
    <row r="606" spans="1:16" ht="13">
      <c r="A606" s="34"/>
      <c r="B606" s="34"/>
      <c r="C606" s="34"/>
      <c r="D606" s="34"/>
      <c r="E606" s="34"/>
      <c r="F606" s="34"/>
      <c r="G606" s="34"/>
      <c r="H606" s="34"/>
      <c r="I606" s="34"/>
      <c r="J606" s="34"/>
      <c r="K606" s="34"/>
      <c r="L606" s="34"/>
      <c r="M606" s="34"/>
      <c r="N606" s="34"/>
      <c r="O606" s="34"/>
      <c r="P606" s="34"/>
    </row>
    <row r="607" spans="1:16" ht="13">
      <c r="A607" s="34"/>
      <c r="B607" s="34"/>
      <c r="C607" s="34"/>
      <c r="D607" s="34"/>
      <c r="E607" s="34"/>
      <c r="F607" s="34"/>
      <c r="G607" s="34"/>
      <c r="H607" s="34"/>
      <c r="I607" s="34"/>
      <c r="J607" s="34"/>
      <c r="K607" s="34"/>
      <c r="L607" s="34"/>
      <c r="M607" s="34"/>
      <c r="N607" s="34"/>
      <c r="O607" s="34"/>
      <c r="P607" s="34"/>
    </row>
    <row r="608" spans="1:16" ht="13">
      <c r="A608" s="34"/>
      <c r="B608" s="34"/>
      <c r="C608" s="34"/>
      <c r="D608" s="34"/>
      <c r="E608" s="34"/>
      <c r="F608" s="34"/>
      <c r="G608" s="34"/>
      <c r="H608" s="34"/>
      <c r="I608" s="34"/>
      <c r="J608" s="34"/>
      <c r="K608" s="34"/>
      <c r="L608" s="34"/>
      <c r="M608" s="34"/>
      <c r="N608" s="34"/>
      <c r="O608" s="34"/>
      <c r="P608" s="34"/>
    </row>
    <row r="609" spans="1:16" ht="13">
      <c r="A609" s="34"/>
      <c r="B609" s="34"/>
      <c r="C609" s="34"/>
      <c r="D609" s="34"/>
      <c r="E609" s="34"/>
      <c r="F609" s="34"/>
      <c r="G609" s="34"/>
      <c r="H609" s="34"/>
      <c r="I609" s="34"/>
      <c r="J609" s="34"/>
      <c r="K609" s="34"/>
      <c r="L609" s="34"/>
      <c r="M609" s="34"/>
      <c r="N609" s="34"/>
      <c r="O609" s="34"/>
      <c r="P609" s="34"/>
    </row>
    <row r="610" spans="1:16" ht="13">
      <c r="A610" s="34"/>
      <c r="B610" s="34"/>
      <c r="C610" s="34"/>
      <c r="D610" s="34"/>
      <c r="E610" s="34"/>
      <c r="F610" s="34"/>
      <c r="G610" s="34"/>
      <c r="H610" s="34"/>
      <c r="I610" s="34"/>
      <c r="J610" s="34"/>
      <c r="K610" s="34"/>
      <c r="L610" s="34"/>
      <c r="M610" s="34"/>
      <c r="N610" s="34"/>
      <c r="O610" s="34"/>
      <c r="P610" s="34"/>
    </row>
    <row r="611" spans="1:16" ht="13">
      <c r="A611" s="34"/>
      <c r="B611" s="34"/>
      <c r="C611" s="34"/>
      <c r="D611" s="34"/>
      <c r="E611" s="34"/>
      <c r="F611" s="34"/>
      <c r="G611" s="34"/>
      <c r="H611" s="34"/>
      <c r="I611" s="34"/>
      <c r="J611" s="34"/>
      <c r="K611" s="34"/>
      <c r="L611" s="34"/>
      <c r="M611" s="34"/>
      <c r="N611" s="34"/>
      <c r="O611" s="34"/>
      <c r="P611" s="34"/>
    </row>
    <row r="612" spans="1:16" ht="13">
      <c r="A612" s="34"/>
      <c r="B612" s="34"/>
      <c r="C612" s="34"/>
      <c r="D612" s="34"/>
      <c r="E612" s="34"/>
      <c r="F612" s="34"/>
      <c r="G612" s="34"/>
      <c r="H612" s="34"/>
      <c r="I612" s="34"/>
      <c r="J612" s="34"/>
      <c r="K612" s="34"/>
      <c r="L612" s="34"/>
      <c r="M612" s="34"/>
      <c r="N612" s="34"/>
      <c r="O612" s="34"/>
      <c r="P612" s="34"/>
    </row>
    <row r="613" spans="1:16" ht="13">
      <c r="A613" s="34"/>
      <c r="B613" s="34"/>
      <c r="C613" s="34"/>
      <c r="D613" s="34"/>
      <c r="E613" s="34"/>
      <c r="F613" s="34"/>
      <c r="G613" s="34"/>
      <c r="H613" s="34"/>
      <c r="I613" s="34"/>
      <c r="J613" s="34"/>
      <c r="K613" s="34"/>
      <c r="L613" s="34"/>
      <c r="M613" s="34"/>
      <c r="N613" s="34"/>
      <c r="O613" s="34"/>
      <c r="P613" s="34"/>
    </row>
    <row r="614" spans="1:16" ht="13">
      <c r="A614" s="34"/>
      <c r="B614" s="34"/>
      <c r="C614" s="34"/>
      <c r="D614" s="34"/>
      <c r="E614" s="34"/>
      <c r="F614" s="34"/>
      <c r="G614" s="34"/>
      <c r="H614" s="34"/>
      <c r="I614" s="34"/>
      <c r="J614" s="34"/>
      <c r="K614" s="34"/>
      <c r="L614" s="34"/>
      <c r="M614" s="34"/>
      <c r="N614" s="34"/>
      <c r="O614" s="34"/>
      <c r="P614" s="34"/>
    </row>
    <row r="615" spans="1:16" ht="13">
      <c r="A615" s="34"/>
      <c r="B615" s="34"/>
      <c r="C615" s="34"/>
      <c r="D615" s="34"/>
      <c r="E615" s="34"/>
      <c r="F615" s="34"/>
      <c r="G615" s="34"/>
      <c r="H615" s="34"/>
      <c r="I615" s="34"/>
      <c r="J615" s="34"/>
      <c r="K615" s="34"/>
      <c r="L615" s="34"/>
      <c r="M615" s="34"/>
      <c r="N615" s="34"/>
      <c r="O615" s="34"/>
      <c r="P615" s="34"/>
    </row>
    <row r="616" spans="1:16" ht="13">
      <c r="A616" s="34"/>
      <c r="B616" s="34"/>
      <c r="C616" s="34"/>
      <c r="D616" s="34"/>
      <c r="E616" s="34"/>
      <c r="F616" s="34"/>
      <c r="G616" s="34"/>
      <c r="H616" s="34"/>
      <c r="I616" s="34"/>
      <c r="J616" s="34"/>
      <c r="K616" s="34"/>
      <c r="L616" s="34"/>
      <c r="M616" s="34"/>
      <c r="N616" s="34"/>
      <c r="O616" s="34"/>
      <c r="P616" s="34"/>
    </row>
    <row r="617" spans="1:16" ht="13">
      <c r="A617" s="34"/>
      <c r="B617" s="34"/>
      <c r="C617" s="34"/>
      <c r="D617" s="34"/>
      <c r="E617" s="34"/>
      <c r="F617" s="34"/>
      <c r="G617" s="34"/>
      <c r="H617" s="34"/>
      <c r="I617" s="34"/>
      <c r="J617" s="34"/>
      <c r="K617" s="34"/>
      <c r="L617" s="34"/>
      <c r="M617" s="34"/>
      <c r="N617" s="34"/>
      <c r="O617" s="34"/>
      <c r="P617" s="34"/>
    </row>
    <row r="618" spans="1:16" ht="13">
      <c r="A618" s="34"/>
      <c r="B618" s="34"/>
      <c r="C618" s="34"/>
      <c r="D618" s="34"/>
      <c r="E618" s="34"/>
      <c r="F618" s="34"/>
      <c r="G618" s="34"/>
      <c r="H618" s="34"/>
      <c r="I618" s="34"/>
      <c r="J618" s="34"/>
      <c r="K618" s="34"/>
      <c r="L618" s="34"/>
      <c r="M618" s="34"/>
      <c r="N618" s="34"/>
      <c r="O618" s="34"/>
      <c r="P618" s="34"/>
    </row>
    <row r="619" spans="1:16" ht="13">
      <c r="A619" s="34"/>
      <c r="B619" s="34"/>
      <c r="C619" s="34"/>
      <c r="D619" s="34"/>
      <c r="E619" s="34"/>
      <c r="F619" s="34"/>
      <c r="G619" s="34"/>
      <c r="H619" s="34"/>
      <c r="I619" s="34"/>
      <c r="J619" s="34"/>
      <c r="K619" s="34"/>
      <c r="L619" s="34"/>
      <c r="M619" s="34"/>
      <c r="N619" s="34"/>
      <c r="O619" s="34"/>
      <c r="P619" s="34"/>
    </row>
    <row r="620" spans="1:16" ht="13">
      <c r="A620" s="34"/>
      <c r="B620" s="34"/>
      <c r="C620" s="34"/>
      <c r="D620" s="34"/>
      <c r="E620" s="34"/>
      <c r="F620" s="34"/>
      <c r="G620" s="34"/>
      <c r="H620" s="34"/>
      <c r="I620" s="34"/>
      <c r="J620" s="34"/>
      <c r="K620" s="34"/>
      <c r="L620" s="34"/>
      <c r="M620" s="34"/>
      <c r="N620" s="34"/>
      <c r="O620" s="34"/>
      <c r="P620" s="34"/>
    </row>
    <row r="621" spans="1:16" ht="13">
      <c r="A621" s="34"/>
      <c r="B621" s="34"/>
      <c r="C621" s="34"/>
      <c r="D621" s="34"/>
      <c r="E621" s="34"/>
      <c r="F621" s="34"/>
      <c r="G621" s="34"/>
      <c r="H621" s="34"/>
      <c r="I621" s="34"/>
      <c r="J621" s="34"/>
      <c r="K621" s="34"/>
      <c r="L621" s="34"/>
      <c r="M621" s="34"/>
      <c r="N621" s="34"/>
      <c r="O621" s="34"/>
      <c r="P621" s="34"/>
    </row>
    <row r="622" spans="1:16" ht="13">
      <c r="A622" s="34"/>
      <c r="B622" s="34"/>
      <c r="C622" s="34"/>
      <c r="D622" s="34"/>
      <c r="E622" s="34"/>
      <c r="F622" s="34"/>
      <c r="G622" s="34"/>
      <c r="H622" s="34"/>
      <c r="I622" s="34"/>
      <c r="J622" s="34"/>
      <c r="K622" s="34"/>
      <c r="L622" s="34"/>
      <c r="M622" s="34"/>
      <c r="N622" s="34"/>
      <c r="O622" s="34"/>
      <c r="P622" s="34"/>
    </row>
    <row r="623" spans="1:16" ht="13">
      <c r="A623" s="34"/>
      <c r="B623" s="34"/>
      <c r="C623" s="34"/>
      <c r="D623" s="34"/>
      <c r="E623" s="34"/>
      <c r="F623" s="34"/>
      <c r="G623" s="34"/>
      <c r="H623" s="34"/>
      <c r="I623" s="34"/>
      <c r="J623" s="34"/>
      <c r="K623" s="34"/>
      <c r="L623" s="34"/>
      <c r="M623" s="34"/>
      <c r="N623" s="34"/>
      <c r="O623" s="34"/>
      <c r="P623" s="34"/>
    </row>
    <row r="624" spans="1:16" ht="13">
      <c r="A624" s="34"/>
      <c r="B624" s="34"/>
      <c r="C624" s="34"/>
      <c r="D624" s="34"/>
      <c r="E624" s="34"/>
      <c r="F624" s="34"/>
      <c r="G624" s="34"/>
      <c r="H624" s="34"/>
      <c r="I624" s="34"/>
      <c r="J624" s="34"/>
      <c r="K624" s="34"/>
      <c r="L624" s="34"/>
      <c r="M624" s="34"/>
      <c r="N624" s="34"/>
      <c r="O624" s="34"/>
      <c r="P624" s="34"/>
    </row>
    <row r="625" spans="1:16" ht="13">
      <c r="A625" s="34"/>
      <c r="B625" s="34"/>
      <c r="C625" s="34"/>
      <c r="D625" s="34"/>
      <c r="E625" s="34"/>
      <c r="F625" s="34"/>
      <c r="G625" s="34"/>
      <c r="H625" s="34"/>
      <c r="I625" s="34"/>
      <c r="J625" s="34"/>
      <c r="K625" s="34"/>
      <c r="L625" s="34"/>
      <c r="M625" s="34"/>
      <c r="N625" s="34"/>
      <c r="O625" s="34"/>
      <c r="P625" s="34"/>
    </row>
    <row r="626" spans="1:16" ht="13">
      <c r="A626" s="34"/>
      <c r="B626" s="34"/>
      <c r="C626" s="34"/>
      <c r="D626" s="34"/>
      <c r="E626" s="34"/>
      <c r="F626" s="34"/>
      <c r="G626" s="34"/>
      <c r="H626" s="34"/>
      <c r="I626" s="34"/>
      <c r="J626" s="34"/>
      <c r="K626" s="34"/>
      <c r="L626" s="34"/>
      <c r="M626" s="34"/>
      <c r="N626" s="34"/>
      <c r="O626" s="34"/>
      <c r="P626" s="34"/>
    </row>
    <row r="627" spans="1:16" ht="13">
      <c r="A627" s="34"/>
      <c r="B627" s="34"/>
      <c r="C627" s="34"/>
      <c r="D627" s="34"/>
      <c r="E627" s="34"/>
      <c r="F627" s="34"/>
      <c r="G627" s="34"/>
      <c r="H627" s="34"/>
      <c r="I627" s="34"/>
      <c r="J627" s="34"/>
      <c r="K627" s="34"/>
      <c r="L627" s="34"/>
      <c r="M627" s="34"/>
      <c r="N627" s="34"/>
      <c r="O627" s="34"/>
      <c r="P627" s="34"/>
    </row>
    <row r="628" spans="1:16" ht="13">
      <c r="A628" s="34"/>
      <c r="B628" s="34"/>
      <c r="C628" s="34"/>
      <c r="D628" s="34"/>
      <c r="E628" s="34"/>
      <c r="F628" s="34"/>
      <c r="G628" s="34"/>
      <c r="H628" s="34"/>
      <c r="I628" s="34"/>
      <c r="J628" s="34"/>
      <c r="K628" s="34"/>
      <c r="L628" s="34"/>
      <c r="M628" s="34"/>
      <c r="N628" s="34"/>
      <c r="O628" s="34"/>
      <c r="P628" s="34"/>
    </row>
    <row r="629" spans="1:16" ht="13">
      <c r="A629" s="34"/>
      <c r="B629" s="34"/>
      <c r="C629" s="34"/>
      <c r="D629" s="34"/>
      <c r="E629" s="34"/>
      <c r="F629" s="34"/>
      <c r="G629" s="34"/>
      <c r="H629" s="34"/>
      <c r="I629" s="34"/>
      <c r="J629" s="34"/>
      <c r="K629" s="34"/>
      <c r="L629" s="34"/>
      <c r="M629" s="34"/>
      <c r="N629" s="34"/>
      <c r="O629" s="34"/>
      <c r="P629" s="34"/>
    </row>
    <row r="630" spans="1:16" ht="13">
      <c r="A630" s="34"/>
      <c r="B630" s="34"/>
      <c r="C630" s="34"/>
      <c r="D630" s="34"/>
      <c r="E630" s="34"/>
      <c r="F630" s="34"/>
      <c r="G630" s="34"/>
      <c r="H630" s="34"/>
      <c r="I630" s="34"/>
      <c r="J630" s="34"/>
      <c r="K630" s="34"/>
      <c r="L630" s="34"/>
      <c r="M630" s="34"/>
      <c r="N630" s="34"/>
      <c r="O630" s="34"/>
      <c r="P630" s="34"/>
    </row>
    <row r="631" spans="1:16" ht="13">
      <c r="A631" s="34"/>
      <c r="B631" s="34"/>
      <c r="C631" s="34"/>
      <c r="D631" s="34"/>
      <c r="E631" s="34"/>
      <c r="F631" s="34"/>
      <c r="G631" s="34"/>
      <c r="H631" s="34"/>
      <c r="I631" s="34"/>
      <c r="J631" s="34"/>
      <c r="K631" s="34"/>
      <c r="L631" s="34"/>
      <c r="M631" s="34"/>
      <c r="N631" s="34"/>
      <c r="O631" s="34"/>
      <c r="P631" s="34"/>
    </row>
    <row r="632" spans="1:16" ht="13">
      <c r="A632" s="34"/>
      <c r="B632" s="34"/>
      <c r="C632" s="34"/>
      <c r="D632" s="34"/>
      <c r="E632" s="34"/>
      <c r="F632" s="34"/>
      <c r="G632" s="34"/>
      <c r="H632" s="34"/>
      <c r="I632" s="34"/>
      <c r="J632" s="34"/>
      <c r="K632" s="34"/>
      <c r="L632" s="34"/>
      <c r="M632" s="34"/>
      <c r="N632" s="34"/>
      <c r="O632" s="34"/>
      <c r="P632" s="34"/>
    </row>
    <row r="633" spans="1:16" ht="13">
      <c r="A633" s="34"/>
      <c r="B633" s="34"/>
      <c r="C633" s="34"/>
      <c r="D633" s="34"/>
      <c r="E633" s="34"/>
      <c r="F633" s="34"/>
      <c r="G633" s="34"/>
      <c r="H633" s="34"/>
      <c r="I633" s="34"/>
      <c r="J633" s="34"/>
      <c r="K633" s="34"/>
      <c r="L633" s="34"/>
      <c r="M633" s="34"/>
      <c r="N633" s="34"/>
      <c r="O633" s="34"/>
      <c r="P633" s="34"/>
    </row>
    <row r="634" spans="1:16" ht="13">
      <c r="A634" s="34"/>
      <c r="B634" s="34"/>
      <c r="C634" s="34"/>
      <c r="D634" s="34"/>
      <c r="E634" s="34"/>
      <c r="F634" s="34"/>
      <c r="G634" s="34"/>
      <c r="H634" s="34"/>
      <c r="I634" s="34"/>
      <c r="J634" s="34"/>
      <c r="K634" s="34"/>
      <c r="L634" s="34"/>
      <c r="M634" s="34"/>
      <c r="N634" s="34"/>
      <c r="O634" s="34"/>
      <c r="P634" s="34"/>
    </row>
    <row r="635" spans="1:16" ht="13">
      <c r="A635" s="34"/>
      <c r="B635" s="34"/>
      <c r="C635" s="34"/>
      <c r="D635" s="34"/>
      <c r="E635" s="34"/>
      <c r="F635" s="34"/>
      <c r="G635" s="34"/>
      <c r="H635" s="34"/>
      <c r="I635" s="34"/>
      <c r="J635" s="34"/>
      <c r="K635" s="34"/>
      <c r="L635" s="34"/>
      <c r="M635" s="34"/>
      <c r="N635" s="34"/>
      <c r="O635" s="34"/>
      <c r="P635" s="34"/>
    </row>
    <row r="636" spans="1:16" ht="13">
      <c r="A636" s="34"/>
      <c r="B636" s="34"/>
      <c r="C636" s="34"/>
      <c r="D636" s="34"/>
      <c r="E636" s="34"/>
      <c r="F636" s="34"/>
      <c r="G636" s="34"/>
      <c r="H636" s="34"/>
      <c r="I636" s="34"/>
      <c r="J636" s="34"/>
      <c r="K636" s="34"/>
      <c r="L636" s="34"/>
      <c r="M636" s="34"/>
      <c r="N636" s="34"/>
      <c r="O636" s="34"/>
      <c r="P636" s="34"/>
    </row>
    <row r="637" spans="1:16" ht="13">
      <c r="A637" s="34"/>
      <c r="B637" s="34"/>
      <c r="C637" s="34"/>
      <c r="D637" s="34"/>
      <c r="E637" s="34"/>
      <c r="F637" s="34"/>
      <c r="G637" s="34"/>
      <c r="H637" s="34"/>
      <c r="I637" s="34"/>
      <c r="J637" s="34"/>
      <c r="K637" s="34"/>
      <c r="L637" s="34"/>
      <c r="M637" s="34"/>
      <c r="N637" s="34"/>
      <c r="O637" s="34"/>
      <c r="P637" s="34"/>
    </row>
    <row r="638" spans="1:16" ht="13">
      <c r="A638" s="34"/>
      <c r="B638" s="34"/>
      <c r="C638" s="34"/>
      <c r="D638" s="34"/>
      <c r="E638" s="34"/>
      <c r="F638" s="34"/>
      <c r="G638" s="34"/>
      <c r="H638" s="34"/>
      <c r="I638" s="34"/>
      <c r="J638" s="34"/>
      <c r="K638" s="34"/>
      <c r="L638" s="34"/>
      <c r="M638" s="34"/>
      <c r="N638" s="34"/>
      <c r="O638" s="34"/>
      <c r="P638" s="34"/>
    </row>
    <row r="639" spans="1:16" ht="13">
      <c r="A639" s="34"/>
      <c r="B639" s="34"/>
      <c r="C639" s="34"/>
      <c r="D639" s="34"/>
      <c r="E639" s="34"/>
      <c r="F639" s="34"/>
      <c r="G639" s="34"/>
      <c r="H639" s="34"/>
      <c r="I639" s="34"/>
      <c r="J639" s="34"/>
      <c r="K639" s="34"/>
      <c r="L639" s="34"/>
      <c r="M639" s="34"/>
      <c r="N639" s="34"/>
      <c r="O639" s="34"/>
      <c r="P639" s="34"/>
    </row>
    <row r="640" spans="1:16" ht="13">
      <c r="A640" s="34"/>
      <c r="B640" s="34"/>
      <c r="C640" s="34"/>
      <c r="D640" s="34"/>
      <c r="E640" s="34"/>
      <c r="F640" s="34"/>
      <c r="G640" s="34"/>
      <c r="H640" s="34"/>
      <c r="I640" s="34"/>
      <c r="J640" s="34"/>
      <c r="K640" s="34"/>
      <c r="L640" s="34"/>
      <c r="M640" s="34"/>
      <c r="N640" s="34"/>
      <c r="O640" s="34"/>
      <c r="P640" s="34"/>
    </row>
    <row r="641" spans="1:16" ht="13">
      <c r="A641" s="34"/>
      <c r="B641" s="34"/>
      <c r="C641" s="34"/>
      <c r="D641" s="34"/>
      <c r="E641" s="34"/>
      <c r="F641" s="34"/>
      <c r="G641" s="34"/>
      <c r="H641" s="34"/>
      <c r="I641" s="34"/>
      <c r="J641" s="34"/>
      <c r="K641" s="34"/>
      <c r="L641" s="34"/>
      <c r="M641" s="34"/>
      <c r="N641" s="34"/>
      <c r="O641" s="34"/>
      <c r="P641" s="34"/>
    </row>
    <row r="642" spans="1:16" ht="13">
      <c r="A642" s="34"/>
      <c r="B642" s="34"/>
      <c r="C642" s="34"/>
      <c r="D642" s="34"/>
      <c r="E642" s="34"/>
      <c r="F642" s="34"/>
      <c r="G642" s="34"/>
      <c r="H642" s="34"/>
      <c r="I642" s="34"/>
      <c r="J642" s="34"/>
      <c r="K642" s="34"/>
      <c r="L642" s="34"/>
      <c r="M642" s="34"/>
      <c r="N642" s="34"/>
      <c r="O642" s="34"/>
      <c r="P642" s="34"/>
    </row>
    <row r="643" spans="1:16" ht="13">
      <c r="A643" s="34"/>
      <c r="B643" s="34"/>
      <c r="C643" s="34"/>
      <c r="D643" s="34"/>
      <c r="E643" s="34"/>
      <c r="F643" s="34"/>
      <c r="G643" s="34"/>
      <c r="H643" s="34"/>
      <c r="I643" s="34"/>
      <c r="J643" s="34"/>
      <c r="K643" s="34"/>
      <c r="L643" s="34"/>
      <c r="M643" s="34"/>
      <c r="N643" s="34"/>
      <c r="O643" s="34"/>
      <c r="P643" s="34"/>
    </row>
    <row r="644" spans="1:16" ht="13">
      <c r="A644" s="34"/>
      <c r="B644" s="34"/>
      <c r="C644" s="34"/>
      <c r="D644" s="34"/>
      <c r="E644" s="34"/>
      <c r="F644" s="34"/>
      <c r="G644" s="34"/>
      <c r="H644" s="34"/>
      <c r="I644" s="34"/>
      <c r="J644" s="34"/>
      <c r="K644" s="34"/>
      <c r="L644" s="34"/>
      <c r="M644" s="34"/>
      <c r="N644" s="34"/>
      <c r="O644" s="34"/>
      <c r="P644" s="34"/>
    </row>
    <row r="645" spans="1:16" ht="13">
      <c r="A645" s="34"/>
      <c r="B645" s="34"/>
      <c r="C645" s="34"/>
      <c r="D645" s="34"/>
      <c r="E645" s="34"/>
      <c r="F645" s="34"/>
      <c r="G645" s="34"/>
      <c r="H645" s="34"/>
      <c r="I645" s="34"/>
      <c r="J645" s="34"/>
      <c r="K645" s="34"/>
      <c r="L645" s="34"/>
      <c r="M645" s="34"/>
      <c r="N645" s="34"/>
      <c r="O645" s="34"/>
      <c r="P645" s="34"/>
    </row>
    <row r="646" spans="1:16" ht="13">
      <c r="A646" s="34"/>
      <c r="B646" s="34"/>
      <c r="C646" s="34"/>
      <c r="D646" s="34"/>
      <c r="E646" s="34"/>
      <c r="F646" s="34"/>
      <c r="G646" s="34"/>
      <c r="H646" s="34"/>
      <c r="I646" s="34"/>
      <c r="J646" s="34"/>
      <c r="K646" s="34"/>
      <c r="L646" s="34"/>
      <c r="M646" s="34"/>
      <c r="N646" s="34"/>
      <c r="O646" s="34"/>
      <c r="P646" s="34"/>
    </row>
    <row r="647" spans="1:16" ht="13">
      <c r="A647" s="34"/>
      <c r="B647" s="34"/>
      <c r="C647" s="34"/>
      <c r="D647" s="34"/>
      <c r="E647" s="34"/>
      <c r="F647" s="34"/>
      <c r="G647" s="34"/>
      <c r="H647" s="34"/>
      <c r="I647" s="34"/>
      <c r="J647" s="34"/>
      <c r="K647" s="34"/>
      <c r="L647" s="34"/>
      <c r="M647" s="34"/>
      <c r="N647" s="34"/>
      <c r="O647" s="34"/>
      <c r="P647" s="34"/>
    </row>
    <row r="648" spans="1:16" ht="13">
      <c r="A648" s="34"/>
      <c r="B648" s="34"/>
      <c r="C648" s="34"/>
      <c r="D648" s="34"/>
      <c r="E648" s="34"/>
      <c r="F648" s="34"/>
      <c r="G648" s="34"/>
      <c r="H648" s="34"/>
      <c r="I648" s="34"/>
      <c r="J648" s="34"/>
      <c r="K648" s="34"/>
      <c r="L648" s="34"/>
      <c r="M648" s="34"/>
      <c r="N648" s="34"/>
      <c r="O648" s="34"/>
      <c r="P648" s="34"/>
    </row>
    <row r="649" spans="1:16" ht="13">
      <c r="A649" s="34"/>
      <c r="B649" s="34"/>
      <c r="C649" s="34"/>
      <c r="D649" s="34"/>
      <c r="E649" s="34"/>
      <c r="F649" s="34"/>
      <c r="G649" s="34"/>
      <c r="H649" s="34"/>
      <c r="I649" s="34"/>
      <c r="J649" s="34"/>
      <c r="K649" s="34"/>
      <c r="L649" s="34"/>
      <c r="M649" s="34"/>
      <c r="N649" s="34"/>
      <c r="O649" s="34"/>
      <c r="P649" s="34"/>
    </row>
    <row r="650" spans="1:16" ht="13">
      <c r="A650" s="34"/>
      <c r="B650" s="34"/>
      <c r="C650" s="34"/>
      <c r="D650" s="34"/>
      <c r="E650" s="34"/>
      <c r="F650" s="34"/>
      <c r="G650" s="34"/>
      <c r="H650" s="34"/>
      <c r="I650" s="34"/>
      <c r="J650" s="34"/>
      <c r="K650" s="34"/>
      <c r="L650" s="34"/>
      <c r="M650" s="34"/>
      <c r="N650" s="34"/>
      <c r="O650" s="34"/>
      <c r="P650" s="34"/>
    </row>
    <row r="651" spans="1:16" ht="13">
      <c r="A651" s="34"/>
      <c r="B651" s="34"/>
      <c r="C651" s="34"/>
      <c r="D651" s="34"/>
      <c r="E651" s="34"/>
      <c r="F651" s="34"/>
      <c r="G651" s="34"/>
      <c r="H651" s="34"/>
      <c r="I651" s="34"/>
      <c r="J651" s="34"/>
      <c r="K651" s="34"/>
      <c r="L651" s="34"/>
      <c r="M651" s="34"/>
      <c r="N651" s="34"/>
      <c r="O651" s="34"/>
      <c r="P651" s="34"/>
    </row>
    <row r="652" spans="1:16" ht="13">
      <c r="A652" s="34"/>
      <c r="B652" s="34"/>
      <c r="C652" s="34"/>
      <c r="D652" s="34"/>
      <c r="E652" s="34"/>
      <c r="F652" s="34"/>
      <c r="G652" s="34"/>
      <c r="H652" s="34"/>
      <c r="I652" s="34"/>
      <c r="J652" s="34"/>
      <c r="K652" s="34"/>
      <c r="L652" s="34"/>
      <c r="M652" s="34"/>
      <c r="N652" s="34"/>
      <c r="O652" s="34"/>
      <c r="P652" s="34"/>
    </row>
    <row r="653" spans="1:16" ht="13">
      <c r="A653" s="34"/>
      <c r="B653" s="34"/>
      <c r="C653" s="34"/>
      <c r="D653" s="34"/>
      <c r="E653" s="34"/>
      <c r="F653" s="34"/>
      <c r="G653" s="34"/>
      <c r="H653" s="34"/>
      <c r="I653" s="34"/>
      <c r="J653" s="34"/>
      <c r="K653" s="34"/>
      <c r="L653" s="34"/>
      <c r="M653" s="34"/>
      <c r="N653" s="34"/>
      <c r="O653" s="34"/>
      <c r="P653" s="34"/>
    </row>
    <row r="654" spans="1:16" ht="13">
      <c r="A654" s="34"/>
      <c r="B654" s="34"/>
      <c r="C654" s="34"/>
      <c r="D654" s="34"/>
      <c r="E654" s="34"/>
      <c r="F654" s="34"/>
      <c r="G654" s="34"/>
      <c r="H654" s="34"/>
      <c r="I654" s="34"/>
      <c r="J654" s="34"/>
      <c r="K654" s="34"/>
      <c r="L654" s="34"/>
      <c r="M654" s="34"/>
      <c r="N654" s="34"/>
      <c r="O654" s="34"/>
      <c r="P654" s="34"/>
    </row>
    <row r="655" spans="1:16" ht="13">
      <c r="A655" s="34"/>
      <c r="B655" s="34"/>
      <c r="C655" s="34"/>
      <c r="D655" s="34"/>
      <c r="E655" s="34"/>
      <c r="F655" s="34"/>
      <c r="G655" s="34"/>
      <c r="H655" s="34"/>
      <c r="I655" s="34"/>
      <c r="J655" s="34"/>
      <c r="K655" s="34"/>
      <c r="L655" s="34"/>
      <c r="M655" s="34"/>
      <c r="N655" s="34"/>
      <c r="O655" s="34"/>
      <c r="P655" s="34"/>
    </row>
    <row r="656" spans="1:16" ht="13">
      <c r="A656" s="34"/>
      <c r="B656" s="34"/>
      <c r="C656" s="34"/>
      <c r="D656" s="34"/>
      <c r="E656" s="34"/>
      <c r="F656" s="34"/>
      <c r="G656" s="34"/>
      <c r="H656" s="34"/>
      <c r="I656" s="34"/>
      <c r="J656" s="34"/>
      <c r="K656" s="34"/>
      <c r="L656" s="34"/>
      <c r="M656" s="34"/>
      <c r="N656" s="34"/>
      <c r="O656" s="34"/>
      <c r="P656" s="34"/>
    </row>
    <row r="657" spans="1:16" ht="13">
      <c r="A657" s="34"/>
      <c r="B657" s="34"/>
      <c r="C657" s="34"/>
      <c r="D657" s="34"/>
      <c r="E657" s="34"/>
      <c r="F657" s="34"/>
      <c r="G657" s="34"/>
      <c r="H657" s="34"/>
      <c r="I657" s="34"/>
      <c r="J657" s="34"/>
      <c r="K657" s="34"/>
      <c r="L657" s="34"/>
      <c r="M657" s="34"/>
      <c r="N657" s="34"/>
      <c r="O657" s="34"/>
      <c r="P657" s="34"/>
    </row>
    <row r="658" spans="1:16" ht="13">
      <c r="A658" s="34"/>
      <c r="B658" s="34"/>
      <c r="C658" s="34"/>
      <c r="D658" s="34"/>
      <c r="E658" s="34"/>
      <c r="F658" s="34"/>
      <c r="G658" s="34"/>
      <c r="H658" s="34"/>
      <c r="I658" s="34"/>
      <c r="J658" s="34"/>
      <c r="K658" s="34"/>
      <c r="L658" s="34"/>
      <c r="M658" s="34"/>
      <c r="N658" s="34"/>
      <c r="O658" s="34"/>
      <c r="P658" s="34"/>
    </row>
    <row r="659" spans="1:16" ht="13">
      <c r="A659" s="34"/>
      <c r="B659" s="34"/>
      <c r="C659" s="34"/>
      <c r="D659" s="34"/>
      <c r="E659" s="34"/>
      <c r="F659" s="34"/>
      <c r="G659" s="34"/>
      <c r="H659" s="34"/>
      <c r="I659" s="34"/>
      <c r="J659" s="34"/>
      <c r="K659" s="34"/>
      <c r="L659" s="34"/>
      <c r="M659" s="34"/>
      <c r="N659" s="34"/>
      <c r="O659" s="34"/>
      <c r="P659" s="34"/>
    </row>
    <row r="660" spans="1:16" ht="13">
      <c r="A660" s="34"/>
      <c r="B660" s="34"/>
      <c r="C660" s="34"/>
      <c r="D660" s="34"/>
      <c r="E660" s="34"/>
      <c r="F660" s="34"/>
      <c r="G660" s="34"/>
      <c r="H660" s="34"/>
      <c r="I660" s="34"/>
      <c r="J660" s="34"/>
      <c r="K660" s="34"/>
      <c r="L660" s="34"/>
      <c r="M660" s="34"/>
      <c r="N660" s="34"/>
      <c r="O660" s="34"/>
      <c r="P660" s="34"/>
    </row>
    <row r="661" spans="1:16" ht="13">
      <c r="A661" s="34"/>
      <c r="B661" s="34"/>
      <c r="C661" s="34"/>
      <c r="D661" s="34"/>
      <c r="E661" s="34"/>
      <c r="F661" s="34"/>
      <c r="G661" s="34"/>
      <c r="H661" s="34"/>
      <c r="I661" s="34"/>
      <c r="J661" s="34"/>
      <c r="K661" s="34"/>
      <c r="L661" s="34"/>
      <c r="M661" s="34"/>
      <c r="N661" s="34"/>
      <c r="O661" s="34"/>
      <c r="P661" s="34"/>
    </row>
    <row r="662" spans="1:16" ht="13">
      <c r="A662" s="34"/>
      <c r="B662" s="34"/>
      <c r="C662" s="34"/>
      <c r="D662" s="34"/>
      <c r="E662" s="34"/>
      <c r="F662" s="34"/>
      <c r="G662" s="34"/>
      <c r="H662" s="34"/>
      <c r="I662" s="34"/>
      <c r="J662" s="34"/>
      <c r="K662" s="34"/>
      <c r="L662" s="34"/>
      <c r="M662" s="34"/>
      <c r="N662" s="34"/>
      <c r="O662" s="34"/>
      <c r="P662" s="34"/>
    </row>
    <row r="663" spans="1:16" ht="13">
      <c r="A663" s="34"/>
      <c r="B663" s="34"/>
      <c r="C663" s="34"/>
      <c r="D663" s="34"/>
      <c r="E663" s="34"/>
      <c r="F663" s="34"/>
      <c r="G663" s="34"/>
      <c r="H663" s="34"/>
      <c r="I663" s="34"/>
      <c r="J663" s="34"/>
      <c r="K663" s="34"/>
      <c r="L663" s="34"/>
      <c r="M663" s="34"/>
      <c r="N663" s="34"/>
      <c r="O663" s="34"/>
      <c r="P663" s="34"/>
    </row>
    <row r="664" spans="1:16" ht="13">
      <c r="A664" s="34"/>
      <c r="B664" s="34"/>
      <c r="C664" s="34"/>
      <c r="D664" s="34"/>
      <c r="E664" s="34"/>
      <c r="F664" s="34"/>
      <c r="G664" s="34"/>
      <c r="H664" s="34"/>
      <c r="I664" s="34"/>
      <c r="J664" s="34"/>
      <c r="K664" s="34"/>
      <c r="L664" s="34"/>
      <c r="M664" s="34"/>
      <c r="N664" s="34"/>
      <c r="O664" s="34"/>
      <c r="P664" s="34"/>
    </row>
    <row r="665" spans="1:16" ht="13">
      <c r="A665" s="34"/>
      <c r="B665" s="34"/>
      <c r="C665" s="34"/>
      <c r="D665" s="34"/>
      <c r="E665" s="34"/>
      <c r="F665" s="34"/>
      <c r="G665" s="34"/>
      <c r="H665" s="34"/>
      <c r="I665" s="34"/>
      <c r="J665" s="34"/>
      <c r="K665" s="34"/>
      <c r="L665" s="34"/>
      <c r="M665" s="34"/>
      <c r="N665" s="34"/>
      <c r="O665" s="34"/>
      <c r="P665" s="34"/>
    </row>
    <row r="666" spans="1:16" ht="13">
      <c r="A666" s="34"/>
      <c r="B666" s="34"/>
      <c r="C666" s="34"/>
      <c r="D666" s="34"/>
      <c r="E666" s="34"/>
      <c r="F666" s="34"/>
      <c r="G666" s="34"/>
      <c r="H666" s="34"/>
      <c r="I666" s="34"/>
      <c r="J666" s="34"/>
      <c r="K666" s="34"/>
      <c r="L666" s="34"/>
      <c r="M666" s="34"/>
      <c r="N666" s="34"/>
      <c r="O666" s="34"/>
      <c r="P666" s="34"/>
    </row>
    <row r="667" spans="1:16" ht="13">
      <c r="A667" s="34"/>
      <c r="B667" s="34"/>
      <c r="C667" s="34"/>
      <c r="D667" s="34"/>
      <c r="E667" s="34"/>
      <c r="F667" s="34"/>
      <c r="G667" s="34"/>
      <c r="H667" s="34"/>
      <c r="I667" s="34"/>
      <c r="J667" s="34"/>
      <c r="K667" s="34"/>
      <c r="L667" s="34"/>
      <c r="M667" s="34"/>
      <c r="N667" s="34"/>
      <c r="O667" s="34"/>
      <c r="P667" s="34"/>
    </row>
    <row r="668" spans="1:16" ht="13">
      <c r="A668" s="34"/>
      <c r="B668" s="34"/>
      <c r="C668" s="34"/>
      <c r="D668" s="34"/>
      <c r="E668" s="34"/>
      <c r="F668" s="34"/>
      <c r="G668" s="34"/>
      <c r="H668" s="34"/>
      <c r="I668" s="34"/>
      <c r="J668" s="34"/>
      <c r="K668" s="34"/>
      <c r="L668" s="34"/>
      <c r="M668" s="34"/>
      <c r="N668" s="34"/>
      <c r="O668" s="34"/>
      <c r="P668" s="34"/>
    </row>
    <row r="669" spans="1:16" ht="13">
      <c r="A669" s="34"/>
      <c r="B669" s="34"/>
      <c r="C669" s="34"/>
      <c r="D669" s="34"/>
      <c r="E669" s="34"/>
      <c r="F669" s="34"/>
      <c r="G669" s="34"/>
      <c r="H669" s="34"/>
      <c r="I669" s="34"/>
      <c r="J669" s="34"/>
      <c r="K669" s="34"/>
      <c r="L669" s="34"/>
      <c r="M669" s="34"/>
      <c r="N669" s="34"/>
      <c r="O669" s="34"/>
      <c r="P669" s="34"/>
    </row>
    <row r="670" spans="1:16" ht="13">
      <c r="A670" s="34"/>
      <c r="B670" s="34"/>
      <c r="C670" s="34"/>
      <c r="D670" s="34"/>
      <c r="E670" s="34"/>
      <c r="F670" s="34"/>
      <c r="G670" s="34"/>
      <c r="H670" s="34"/>
      <c r="I670" s="34"/>
      <c r="J670" s="34"/>
      <c r="K670" s="34"/>
      <c r="L670" s="34"/>
      <c r="M670" s="34"/>
      <c r="N670" s="34"/>
      <c r="O670" s="34"/>
      <c r="P670" s="34"/>
    </row>
    <row r="671" spans="1:16" ht="13">
      <c r="A671" s="34"/>
      <c r="B671" s="34"/>
      <c r="C671" s="34"/>
      <c r="D671" s="34"/>
      <c r="E671" s="34"/>
      <c r="F671" s="34"/>
      <c r="G671" s="34"/>
      <c r="H671" s="34"/>
      <c r="I671" s="34"/>
      <c r="J671" s="34"/>
      <c r="K671" s="34"/>
      <c r="L671" s="34"/>
      <c r="M671" s="34"/>
      <c r="N671" s="34"/>
      <c r="O671" s="34"/>
      <c r="P671" s="34"/>
    </row>
    <row r="672" spans="1:16" ht="13">
      <c r="A672" s="34"/>
      <c r="B672" s="34"/>
      <c r="C672" s="34"/>
      <c r="D672" s="34"/>
      <c r="E672" s="34"/>
      <c r="F672" s="34"/>
      <c r="G672" s="34"/>
      <c r="H672" s="34"/>
      <c r="I672" s="34"/>
      <c r="J672" s="34"/>
      <c r="K672" s="34"/>
      <c r="L672" s="34"/>
      <c r="M672" s="34"/>
      <c r="N672" s="34"/>
      <c r="O672" s="34"/>
      <c r="P672" s="34"/>
    </row>
    <row r="673" spans="1:16" ht="13">
      <c r="A673" s="34"/>
      <c r="B673" s="34"/>
      <c r="C673" s="34"/>
      <c r="D673" s="34"/>
      <c r="E673" s="34"/>
      <c r="F673" s="34"/>
      <c r="G673" s="34"/>
      <c r="H673" s="34"/>
      <c r="I673" s="34"/>
      <c r="J673" s="34"/>
      <c r="K673" s="34"/>
      <c r="L673" s="34"/>
      <c r="M673" s="34"/>
      <c r="N673" s="34"/>
      <c r="O673" s="34"/>
      <c r="P673" s="34"/>
    </row>
    <row r="674" spans="1:16" ht="13">
      <c r="A674" s="34"/>
      <c r="B674" s="34"/>
      <c r="C674" s="34"/>
      <c r="D674" s="34"/>
      <c r="E674" s="34"/>
      <c r="F674" s="34"/>
      <c r="G674" s="34"/>
      <c r="H674" s="34"/>
      <c r="I674" s="34"/>
      <c r="J674" s="34"/>
      <c r="K674" s="34"/>
      <c r="L674" s="34"/>
      <c r="M674" s="34"/>
      <c r="N674" s="34"/>
      <c r="O674" s="34"/>
      <c r="P674" s="34"/>
    </row>
    <row r="675" spans="1:16" ht="13">
      <c r="A675" s="34"/>
      <c r="B675" s="34"/>
      <c r="C675" s="34"/>
      <c r="D675" s="34"/>
      <c r="E675" s="34"/>
      <c r="F675" s="34"/>
      <c r="G675" s="34"/>
      <c r="H675" s="34"/>
      <c r="I675" s="34"/>
      <c r="J675" s="34"/>
      <c r="K675" s="34"/>
      <c r="L675" s="34"/>
      <c r="M675" s="34"/>
      <c r="N675" s="34"/>
      <c r="O675" s="34"/>
      <c r="P675" s="34"/>
    </row>
    <row r="676" spans="1:16" ht="13">
      <c r="A676" s="34"/>
      <c r="B676" s="34"/>
      <c r="C676" s="34"/>
      <c r="D676" s="34"/>
      <c r="E676" s="34"/>
      <c r="F676" s="34"/>
      <c r="G676" s="34"/>
      <c r="H676" s="34"/>
      <c r="I676" s="34"/>
      <c r="J676" s="34"/>
      <c r="K676" s="34"/>
      <c r="L676" s="34"/>
      <c r="M676" s="34"/>
      <c r="N676" s="34"/>
      <c r="O676" s="34"/>
      <c r="P676" s="34"/>
    </row>
    <row r="677" spans="1:16" ht="13">
      <c r="A677" s="34"/>
      <c r="B677" s="34"/>
      <c r="C677" s="34"/>
      <c r="D677" s="34"/>
      <c r="E677" s="34"/>
      <c r="F677" s="34"/>
      <c r="G677" s="34"/>
      <c r="H677" s="34"/>
      <c r="I677" s="34"/>
      <c r="J677" s="34"/>
      <c r="K677" s="34"/>
      <c r="L677" s="34"/>
      <c r="M677" s="34"/>
      <c r="N677" s="34"/>
      <c r="O677" s="34"/>
      <c r="P677" s="34"/>
    </row>
    <row r="678" spans="1:16" ht="13">
      <c r="A678" s="34"/>
      <c r="B678" s="34"/>
      <c r="C678" s="34"/>
      <c r="D678" s="34"/>
      <c r="E678" s="34"/>
      <c r="F678" s="34"/>
      <c r="G678" s="34"/>
      <c r="H678" s="34"/>
      <c r="I678" s="34"/>
      <c r="J678" s="34"/>
      <c r="K678" s="34"/>
      <c r="L678" s="34"/>
      <c r="M678" s="34"/>
      <c r="N678" s="34"/>
      <c r="O678" s="34"/>
      <c r="P678" s="34"/>
    </row>
    <row r="679" spans="1:16" ht="13">
      <c r="A679" s="34"/>
      <c r="B679" s="34"/>
      <c r="C679" s="34"/>
      <c r="D679" s="34"/>
      <c r="E679" s="34"/>
      <c r="F679" s="34"/>
      <c r="G679" s="34"/>
      <c r="H679" s="34"/>
      <c r="I679" s="34"/>
      <c r="J679" s="34"/>
      <c r="K679" s="34"/>
      <c r="L679" s="34"/>
      <c r="M679" s="34"/>
      <c r="N679" s="34"/>
      <c r="O679" s="34"/>
      <c r="P679" s="34"/>
    </row>
    <row r="680" spans="1:16" ht="13">
      <c r="A680" s="34"/>
      <c r="B680" s="34"/>
      <c r="C680" s="34"/>
      <c r="D680" s="34"/>
      <c r="E680" s="34"/>
      <c r="F680" s="34"/>
      <c r="G680" s="34"/>
      <c r="H680" s="34"/>
      <c r="I680" s="34"/>
      <c r="J680" s="34"/>
      <c r="K680" s="34"/>
      <c r="L680" s="34"/>
      <c r="M680" s="34"/>
      <c r="N680" s="34"/>
      <c r="O680" s="34"/>
      <c r="P680" s="34"/>
    </row>
    <row r="681" spans="1:16" ht="13">
      <c r="A681" s="34"/>
      <c r="B681" s="34"/>
      <c r="C681" s="34"/>
      <c r="D681" s="34"/>
      <c r="E681" s="34"/>
      <c r="F681" s="34"/>
      <c r="G681" s="34"/>
      <c r="H681" s="34"/>
      <c r="I681" s="34"/>
      <c r="J681" s="34"/>
      <c r="K681" s="34"/>
      <c r="L681" s="34"/>
      <c r="M681" s="34"/>
      <c r="N681" s="34"/>
      <c r="O681" s="34"/>
      <c r="P681" s="34"/>
    </row>
    <row r="682" spans="1:16" ht="13">
      <c r="A682" s="34"/>
      <c r="B682" s="34"/>
      <c r="C682" s="34"/>
      <c r="D682" s="34"/>
      <c r="E682" s="34"/>
      <c r="F682" s="34"/>
      <c r="G682" s="34"/>
      <c r="H682" s="34"/>
      <c r="I682" s="34"/>
      <c r="J682" s="34"/>
      <c r="K682" s="34"/>
      <c r="L682" s="34"/>
      <c r="M682" s="34"/>
      <c r="N682" s="34"/>
      <c r="O682" s="34"/>
      <c r="P682" s="34"/>
    </row>
    <row r="683" spans="1:16" ht="13">
      <c r="A683" s="34"/>
      <c r="B683" s="34"/>
      <c r="C683" s="34"/>
      <c r="D683" s="34"/>
      <c r="E683" s="34"/>
      <c r="F683" s="34"/>
      <c r="G683" s="34"/>
      <c r="H683" s="34"/>
      <c r="I683" s="34"/>
      <c r="J683" s="34"/>
      <c r="K683" s="34"/>
      <c r="L683" s="34"/>
      <c r="M683" s="34"/>
      <c r="N683" s="34"/>
      <c r="O683" s="34"/>
      <c r="P683" s="34"/>
    </row>
    <row r="684" spans="1:16" ht="13">
      <c r="A684" s="34"/>
      <c r="B684" s="34"/>
      <c r="C684" s="34"/>
      <c r="D684" s="34"/>
      <c r="E684" s="34"/>
      <c r="F684" s="34"/>
      <c r="G684" s="34"/>
      <c r="H684" s="34"/>
      <c r="I684" s="34"/>
      <c r="J684" s="34"/>
      <c r="K684" s="34"/>
      <c r="L684" s="34"/>
      <c r="M684" s="34"/>
      <c r="N684" s="34"/>
      <c r="O684" s="34"/>
      <c r="P684" s="34"/>
    </row>
    <row r="685" spans="1:16" ht="13">
      <c r="A685" s="34"/>
      <c r="B685" s="34"/>
      <c r="C685" s="34"/>
      <c r="D685" s="34"/>
      <c r="E685" s="34"/>
      <c r="F685" s="34"/>
      <c r="G685" s="34"/>
      <c r="H685" s="34"/>
      <c r="I685" s="34"/>
      <c r="J685" s="34"/>
      <c r="K685" s="34"/>
      <c r="L685" s="34"/>
      <c r="M685" s="34"/>
      <c r="N685" s="34"/>
      <c r="O685" s="34"/>
      <c r="P685" s="34"/>
    </row>
    <row r="686" spans="1:16" ht="13">
      <c r="A686" s="34"/>
      <c r="B686" s="34"/>
      <c r="C686" s="34"/>
      <c r="D686" s="34"/>
      <c r="E686" s="34"/>
      <c r="F686" s="34"/>
      <c r="G686" s="34"/>
      <c r="H686" s="34"/>
      <c r="I686" s="34"/>
      <c r="J686" s="34"/>
      <c r="K686" s="34"/>
      <c r="L686" s="34"/>
      <c r="M686" s="34"/>
      <c r="N686" s="34"/>
      <c r="O686" s="34"/>
      <c r="P686" s="34"/>
    </row>
    <row r="687" spans="1:16" ht="13">
      <c r="A687" s="34"/>
      <c r="B687" s="34"/>
      <c r="C687" s="34"/>
      <c r="D687" s="34"/>
      <c r="E687" s="34"/>
      <c r="F687" s="34"/>
      <c r="G687" s="34"/>
      <c r="H687" s="34"/>
      <c r="I687" s="34"/>
      <c r="J687" s="34"/>
      <c r="K687" s="34"/>
      <c r="L687" s="34"/>
      <c r="M687" s="34"/>
      <c r="N687" s="34"/>
      <c r="O687" s="34"/>
      <c r="P687" s="34"/>
    </row>
    <row r="688" spans="1:16" ht="13">
      <c r="A688" s="34"/>
      <c r="B688" s="34"/>
      <c r="C688" s="34"/>
      <c r="D688" s="34"/>
      <c r="E688" s="34"/>
      <c r="F688" s="34"/>
      <c r="G688" s="34"/>
      <c r="H688" s="34"/>
      <c r="I688" s="34"/>
      <c r="J688" s="34"/>
      <c r="K688" s="34"/>
      <c r="L688" s="34"/>
      <c r="M688" s="34"/>
      <c r="N688" s="34"/>
      <c r="O688" s="34"/>
      <c r="P688" s="34"/>
    </row>
    <row r="689" spans="1:16" ht="13">
      <c r="A689" s="34"/>
      <c r="B689" s="34"/>
      <c r="C689" s="34"/>
      <c r="D689" s="34"/>
      <c r="E689" s="34"/>
      <c r="F689" s="34"/>
      <c r="G689" s="34"/>
      <c r="H689" s="34"/>
      <c r="I689" s="34"/>
      <c r="J689" s="34"/>
      <c r="K689" s="34"/>
      <c r="L689" s="34"/>
      <c r="M689" s="34"/>
      <c r="N689" s="34"/>
      <c r="O689" s="34"/>
      <c r="P689" s="34"/>
    </row>
    <row r="690" spans="1:16" ht="13">
      <c r="A690" s="34"/>
      <c r="B690" s="34"/>
      <c r="C690" s="34"/>
      <c r="D690" s="34"/>
      <c r="E690" s="34"/>
      <c r="F690" s="34"/>
      <c r="G690" s="34"/>
      <c r="H690" s="34"/>
      <c r="I690" s="34"/>
      <c r="J690" s="34"/>
      <c r="K690" s="34"/>
      <c r="L690" s="34"/>
      <c r="M690" s="34"/>
      <c r="N690" s="34"/>
      <c r="O690" s="34"/>
      <c r="P690" s="34"/>
    </row>
    <row r="691" spans="1:16" ht="13">
      <c r="A691" s="34"/>
      <c r="B691" s="34"/>
      <c r="C691" s="34"/>
      <c r="D691" s="34"/>
      <c r="E691" s="34"/>
      <c r="F691" s="34"/>
      <c r="G691" s="34"/>
      <c r="H691" s="34"/>
      <c r="I691" s="34"/>
      <c r="J691" s="34"/>
      <c r="K691" s="34"/>
      <c r="L691" s="34"/>
      <c r="M691" s="34"/>
      <c r="N691" s="34"/>
      <c r="O691" s="34"/>
      <c r="P691" s="34"/>
    </row>
    <row r="692" spans="1:16" ht="13">
      <c r="A692" s="34"/>
      <c r="B692" s="34"/>
      <c r="C692" s="34"/>
      <c r="D692" s="34"/>
      <c r="E692" s="34"/>
      <c r="F692" s="34"/>
      <c r="G692" s="34"/>
      <c r="H692" s="34"/>
      <c r="I692" s="34"/>
      <c r="J692" s="34"/>
      <c r="K692" s="34"/>
      <c r="L692" s="34"/>
      <c r="M692" s="34"/>
      <c r="N692" s="34"/>
      <c r="O692" s="34"/>
      <c r="P692" s="34"/>
    </row>
    <row r="693" spans="1:16" ht="13">
      <c r="A693" s="34"/>
      <c r="B693" s="34"/>
      <c r="C693" s="34"/>
      <c r="D693" s="34"/>
      <c r="E693" s="34"/>
      <c r="F693" s="34"/>
      <c r="G693" s="34"/>
      <c r="H693" s="34"/>
      <c r="I693" s="34"/>
      <c r="J693" s="34"/>
      <c r="K693" s="34"/>
      <c r="L693" s="34"/>
      <c r="M693" s="34"/>
      <c r="N693" s="34"/>
      <c r="O693" s="34"/>
      <c r="P693" s="34"/>
    </row>
    <row r="694" spans="1:16" ht="13">
      <c r="A694" s="34"/>
      <c r="B694" s="34"/>
      <c r="C694" s="34"/>
      <c r="D694" s="34"/>
      <c r="E694" s="34"/>
      <c r="F694" s="34"/>
      <c r="G694" s="34"/>
      <c r="H694" s="34"/>
      <c r="I694" s="34"/>
      <c r="J694" s="34"/>
      <c r="K694" s="34"/>
      <c r="L694" s="34"/>
      <c r="M694" s="34"/>
      <c r="N694" s="34"/>
      <c r="O694" s="34"/>
      <c r="P694" s="34"/>
    </row>
    <row r="695" spans="1:16" ht="13">
      <c r="A695" s="34"/>
      <c r="B695" s="34"/>
      <c r="C695" s="34"/>
      <c r="D695" s="34"/>
      <c r="E695" s="34"/>
      <c r="F695" s="34"/>
      <c r="G695" s="34"/>
      <c r="H695" s="34"/>
      <c r="I695" s="34"/>
      <c r="J695" s="34"/>
      <c r="K695" s="34"/>
      <c r="L695" s="34"/>
      <c r="M695" s="34"/>
      <c r="N695" s="34"/>
      <c r="O695" s="34"/>
      <c r="P695" s="34"/>
    </row>
    <row r="696" spans="1:16" ht="13">
      <c r="A696" s="34"/>
      <c r="B696" s="34"/>
      <c r="C696" s="34"/>
      <c r="D696" s="34"/>
      <c r="E696" s="34"/>
      <c r="F696" s="34"/>
      <c r="G696" s="34"/>
      <c r="H696" s="34"/>
      <c r="I696" s="34"/>
      <c r="J696" s="34"/>
      <c r="K696" s="34"/>
      <c r="L696" s="34"/>
      <c r="M696" s="34"/>
      <c r="N696" s="34"/>
      <c r="O696" s="34"/>
      <c r="P696" s="34"/>
    </row>
    <row r="697" spans="1:16" ht="13">
      <c r="A697" s="34"/>
      <c r="B697" s="34"/>
      <c r="C697" s="34"/>
      <c r="D697" s="34"/>
      <c r="E697" s="34"/>
      <c r="F697" s="34"/>
      <c r="G697" s="34"/>
      <c r="H697" s="34"/>
      <c r="I697" s="34"/>
      <c r="J697" s="34"/>
      <c r="K697" s="34"/>
      <c r="L697" s="34"/>
      <c r="M697" s="34"/>
      <c r="N697" s="34"/>
      <c r="O697" s="34"/>
      <c r="P697" s="34"/>
    </row>
    <row r="698" spans="1:16" ht="13">
      <c r="A698" s="34"/>
      <c r="B698" s="34"/>
      <c r="C698" s="34"/>
      <c r="D698" s="34"/>
      <c r="E698" s="34"/>
      <c r="F698" s="34"/>
      <c r="G698" s="34"/>
      <c r="H698" s="34"/>
      <c r="I698" s="34"/>
      <c r="J698" s="34"/>
      <c r="K698" s="34"/>
      <c r="L698" s="34"/>
      <c r="M698" s="34"/>
      <c r="N698" s="34"/>
      <c r="O698" s="34"/>
      <c r="P698" s="34"/>
    </row>
    <row r="699" spans="1:16" ht="13">
      <c r="A699" s="34"/>
      <c r="B699" s="34"/>
      <c r="C699" s="34"/>
      <c r="D699" s="34"/>
      <c r="E699" s="34"/>
      <c r="F699" s="34"/>
      <c r="G699" s="34"/>
      <c r="H699" s="34"/>
      <c r="I699" s="34"/>
      <c r="J699" s="34"/>
      <c r="K699" s="34"/>
      <c r="L699" s="34"/>
      <c r="M699" s="34"/>
      <c r="N699" s="34"/>
      <c r="O699" s="34"/>
      <c r="P699" s="34"/>
    </row>
    <row r="700" spans="1:16" ht="13">
      <c r="A700" s="34"/>
      <c r="B700" s="34"/>
      <c r="C700" s="34"/>
      <c r="D700" s="34"/>
      <c r="E700" s="34"/>
      <c r="F700" s="34"/>
      <c r="G700" s="34"/>
      <c r="H700" s="34"/>
      <c r="I700" s="34"/>
      <c r="J700" s="34"/>
      <c r="K700" s="34"/>
      <c r="L700" s="34"/>
      <c r="M700" s="34"/>
      <c r="N700" s="34"/>
      <c r="O700" s="34"/>
      <c r="P700" s="34"/>
    </row>
    <row r="701" spans="1:16" ht="13">
      <c r="A701" s="34"/>
      <c r="B701" s="34"/>
      <c r="C701" s="34"/>
      <c r="D701" s="34"/>
      <c r="E701" s="34"/>
      <c r="F701" s="34"/>
      <c r="G701" s="34"/>
      <c r="H701" s="34"/>
      <c r="I701" s="34"/>
      <c r="J701" s="34"/>
      <c r="K701" s="34"/>
      <c r="L701" s="34"/>
      <c r="M701" s="34"/>
      <c r="N701" s="34"/>
      <c r="O701" s="34"/>
      <c r="P701" s="34"/>
    </row>
    <row r="702" spans="1:16" ht="13">
      <c r="A702" s="34"/>
      <c r="B702" s="34"/>
      <c r="C702" s="34"/>
      <c r="D702" s="34"/>
      <c r="E702" s="34"/>
      <c r="F702" s="34"/>
      <c r="G702" s="34"/>
      <c r="H702" s="34"/>
      <c r="I702" s="34"/>
      <c r="J702" s="34"/>
      <c r="K702" s="34"/>
      <c r="L702" s="34"/>
      <c r="M702" s="34"/>
      <c r="N702" s="34"/>
      <c r="O702" s="34"/>
      <c r="P702" s="34"/>
    </row>
    <row r="703" spans="1:16" ht="13">
      <c r="A703" s="34"/>
      <c r="B703" s="34"/>
      <c r="C703" s="34"/>
      <c r="D703" s="34"/>
      <c r="E703" s="34"/>
      <c r="F703" s="34"/>
      <c r="G703" s="34"/>
      <c r="H703" s="34"/>
      <c r="I703" s="34"/>
      <c r="J703" s="34"/>
      <c r="K703" s="34"/>
      <c r="L703" s="34"/>
      <c r="M703" s="34"/>
      <c r="N703" s="34"/>
      <c r="O703" s="34"/>
      <c r="P703" s="34"/>
    </row>
    <row r="704" spans="1:16" ht="13">
      <c r="A704" s="34"/>
      <c r="B704" s="34"/>
      <c r="C704" s="34"/>
      <c r="D704" s="34"/>
      <c r="E704" s="34"/>
      <c r="F704" s="34"/>
      <c r="G704" s="34"/>
      <c r="H704" s="34"/>
      <c r="I704" s="34"/>
      <c r="J704" s="34"/>
      <c r="K704" s="34"/>
      <c r="L704" s="34"/>
      <c r="M704" s="34"/>
      <c r="N704" s="34"/>
      <c r="O704" s="34"/>
      <c r="P704" s="34"/>
    </row>
    <row r="705" spans="1:16" ht="13">
      <c r="A705" s="34"/>
      <c r="B705" s="34"/>
      <c r="C705" s="34"/>
      <c r="D705" s="34"/>
      <c r="E705" s="34"/>
      <c r="F705" s="34"/>
      <c r="G705" s="34"/>
      <c r="H705" s="34"/>
      <c r="I705" s="34"/>
      <c r="J705" s="34"/>
      <c r="K705" s="34"/>
      <c r="L705" s="34"/>
      <c r="M705" s="34"/>
      <c r="N705" s="34"/>
      <c r="O705" s="34"/>
      <c r="P705" s="34"/>
    </row>
    <row r="706" spans="1:16" ht="13">
      <c r="A706" s="34"/>
      <c r="B706" s="34"/>
      <c r="C706" s="34"/>
      <c r="D706" s="34"/>
      <c r="E706" s="34"/>
      <c r="F706" s="34"/>
      <c r="G706" s="34"/>
      <c r="H706" s="34"/>
      <c r="I706" s="34"/>
      <c r="J706" s="34"/>
      <c r="K706" s="34"/>
      <c r="L706" s="34"/>
      <c r="M706" s="34"/>
      <c r="N706" s="34"/>
      <c r="O706" s="34"/>
      <c r="P706" s="34"/>
    </row>
    <row r="707" spans="1:16" ht="13">
      <c r="A707" s="34"/>
      <c r="B707" s="34"/>
      <c r="C707" s="34"/>
      <c r="D707" s="34"/>
      <c r="E707" s="34"/>
      <c r="F707" s="34"/>
      <c r="G707" s="34"/>
      <c r="H707" s="34"/>
      <c r="I707" s="34"/>
      <c r="J707" s="34"/>
      <c r="K707" s="34"/>
      <c r="L707" s="34"/>
      <c r="M707" s="34"/>
      <c r="N707" s="34"/>
      <c r="O707" s="34"/>
      <c r="P707" s="34"/>
    </row>
    <row r="708" spans="1:16" ht="13">
      <c r="A708" s="34"/>
      <c r="B708" s="34"/>
      <c r="C708" s="34"/>
      <c r="D708" s="34"/>
      <c r="E708" s="34"/>
      <c r="F708" s="34"/>
      <c r="G708" s="34"/>
      <c r="H708" s="34"/>
      <c r="I708" s="34"/>
      <c r="J708" s="34"/>
      <c r="K708" s="34"/>
      <c r="L708" s="34"/>
      <c r="M708" s="34"/>
      <c r="N708" s="34"/>
      <c r="O708" s="34"/>
      <c r="P708" s="34"/>
    </row>
    <row r="709" spans="1:16" ht="13">
      <c r="A709" s="34"/>
      <c r="B709" s="34"/>
      <c r="C709" s="34"/>
      <c r="D709" s="34"/>
      <c r="E709" s="34"/>
      <c r="F709" s="34"/>
      <c r="G709" s="34"/>
      <c r="H709" s="34"/>
      <c r="I709" s="34"/>
      <c r="J709" s="34"/>
      <c r="K709" s="34"/>
      <c r="L709" s="34"/>
      <c r="M709" s="34"/>
      <c r="N709" s="34"/>
      <c r="O709" s="34"/>
      <c r="P709" s="34"/>
    </row>
    <row r="710" spans="1:16" ht="13">
      <c r="A710" s="34"/>
      <c r="B710" s="34"/>
      <c r="C710" s="34"/>
      <c r="D710" s="34"/>
      <c r="E710" s="34"/>
      <c r="F710" s="34"/>
      <c r="G710" s="34"/>
      <c r="H710" s="34"/>
      <c r="I710" s="34"/>
      <c r="J710" s="34"/>
      <c r="K710" s="34"/>
      <c r="L710" s="34"/>
      <c r="M710" s="34"/>
      <c r="N710" s="34"/>
      <c r="O710" s="34"/>
      <c r="P710" s="34"/>
    </row>
    <row r="711" spans="1:16" ht="13">
      <c r="A711" s="34"/>
      <c r="B711" s="34"/>
      <c r="C711" s="34"/>
      <c r="D711" s="34"/>
      <c r="E711" s="34"/>
      <c r="F711" s="34"/>
      <c r="G711" s="34"/>
      <c r="H711" s="34"/>
      <c r="I711" s="34"/>
      <c r="J711" s="34"/>
      <c r="K711" s="34"/>
      <c r="L711" s="34"/>
      <c r="M711" s="34"/>
      <c r="N711" s="34"/>
      <c r="O711" s="34"/>
      <c r="P711" s="34"/>
    </row>
    <row r="712" spans="1:16" ht="13">
      <c r="A712" s="34"/>
      <c r="B712" s="34"/>
      <c r="C712" s="34"/>
      <c r="D712" s="34"/>
      <c r="E712" s="34"/>
      <c r="F712" s="34"/>
      <c r="G712" s="34"/>
      <c r="H712" s="34"/>
      <c r="I712" s="34"/>
      <c r="J712" s="34"/>
      <c r="K712" s="34"/>
      <c r="L712" s="34"/>
      <c r="M712" s="34"/>
      <c r="N712" s="34"/>
      <c r="O712" s="34"/>
      <c r="P712" s="34"/>
    </row>
    <row r="713" spans="1:16" ht="13">
      <c r="A713" s="34"/>
      <c r="B713" s="34"/>
      <c r="C713" s="34"/>
      <c r="D713" s="34"/>
      <c r="E713" s="34"/>
      <c r="F713" s="34"/>
      <c r="G713" s="34"/>
      <c r="H713" s="34"/>
      <c r="I713" s="34"/>
      <c r="J713" s="34"/>
      <c r="K713" s="34"/>
      <c r="L713" s="34"/>
      <c r="M713" s="34"/>
      <c r="N713" s="34"/>
      <c r="O713" s="34"/>
      <c r="P713" s="34"/>
    </row>
    <row r="714" spans="1:16" ht="13">
      <c r="A714" s="34"/>
      <c r="B714" s="34"/>
      <c r="C714" s="34"/>
      <c r="D714" s="34"/>
      <c r="E714" s="34"/>
      <c r="F714" s="34"/>
      <c r="G714" s="34"/>
      <c r="H714" s="34"/>
      <c r="I714" s="34"/>
      <c r="J714" s="34"/>
      <c r="K714" s="34"/>
      <c r="L714" s="34"/>
      <c r="M714" s="34"/>
      <c r="N714" s="34"/>
      <c r="O714" s="34"/>
      <c r="P714" s="34"/>
    </row>
    <row r="715" spans="1:16" ht="13">
      <c r="A715" s="34"/>
      <c r="B715" s="34"/>
      <c r="C715" s="34"/>
      <c r="D715" s="34"/>
      <c r="E715" s="34"/>
      <c r="F715" s="34"/>
      <c r="G715" s="34"/>
      <c r="H715" s="34"/>
      <c r="I715" s="34"/>
      <c r="J715" s="34"/>
      <c r="K715" s="34"/>
      <c r="L715" s="34"/>
      <c r="M715" s="34"/>
      <c r="N715" s="34"/>
      <c r="O715" s="34"/>
      <c r="P715" s="34"/>
    </row>
    <row r="716" spans="1:16" ht="13">
      <c r="A716" s="34"/>
      <c r="B716" s="34"/>
      <c r="C716" s="34"/>
      <c r="D716" s="34"/>
      <c r="E716" s="34"/>
      <c r="F716" s="34"/>
      <c r="G716" s="34"/>
      <c r="H716" s="34"/>
      <c r="I716" s="34"/>
      <c r="J716" s="34"/>
      <c r="K716" s="34"/>
      <c r="L716" s="34"/>
      <c r="M716" s="34"/>
      <c r="N716" s="34"/>
      <c r="O716" s="34"/>
      <c r="P716" s="34"/>
    </row>
    <row r="717" spans="1:16" ht="13">
      <c r="A717" s="34"/>
      <c r="B717" s="34"/>
      <c r="C717" s="34"/>
      <c r="D717" s="34"/>
      <c r="E717" s="34"/>
      <c r="F717" s="34"/>
      <c r="G717" s="34"/>
      <c r="H717" s="34"/>
      <c r="I717" s="34"/>
      <c r="J717" s="34"/>
      <c r="K717" s="34"/>
      <c r="L717" s="34"/>
      <c r="M717" s="34"/>
      <c r="N717" s="34"/>
      <c r="O717" s="34"/>
      <c r="P717" s="34"/>
    </row>
    <row r="718" spans="1:16" ht="13">
      <c r="A718" s="34"/>
      <c r="B718" s="34"/>
      <c r="C718" s="34"/>
      <c r="D718" s="34"/>
      <c r="E718" s="34"/>
      <c r="F718" s="34"/>
      <c r="G718" s="34"/>
      <c r="H718" s="34"/>
      <c r="I718" s="34"/>
      <c r="J718" s="34"/>
      <c r="K718" s="34"/>
      <c r="L718" s="34"/>
      <c r="M718" s="34"/>
      <c r="N718" s="34"/>
      <c r="O718" s="34"/>
      <c r="P718" s="34"/>
    </row>
    <row r="719" spans="1:16" ht="13">
      <c r="A719" s="34"/>
      <c r="B719" s="34"/>
      <c r="C719" s="34"/>
      <c r="D719" s="34"/>
      <c r="E719" s="34"/>
      <c r="F719" s="34"/>
      <c r="G719" s="34"/>
      <c r="H719" s="34"/>
      <c r="I719" s="34"/>
      <c r="J719" s="34"/>
      <c r="K719" s="34"/>
      <c r="L719" s="34"/>
      <c r="M719" s="34"/>
      <c r="N719" s="34"/>
      <c r="O719" s="34"/>
      <c r="P719" s="34"/>
    </row>
    <row r="720" spans="1:16" ht="13">
      <c r="A720" s="34"/>
      <c r="B720" s="34"/>
      <c r="C720" s="34"/>
      <c r="D720" s="34"/>
      <c r="E720" s="34"/>
      <c r="F720" s="34"/>
      <c r="G720" s="34"/>
      <c r="H720" s="34"/>
      <c r="I720" s="34"/>
      <c r="J720" s="34"/>
      <c r="K720" s="34"/>
      <c r="L720" s="34"/>
      <c r="M720" s="34"/>
      <c r="N720" s="34"/>
      <c r="O720" s="34"/>
      <c r="P720" s="34"/>
    </row>
    <row r="721" spans="1:16" ht="13">
      <c r="A721" s="34"/>
      <c r="B721" s="34"/>
      <c r="C721" s="34"/>
      <c r="D721" s="34"/>
      <c r="E721" s="34"/>
      <c r="F721" s="34"/>
      <c r="G721" s="34"/>
      <c r="H721" s="34"/>
      <c r="I721" s="34"/>
      <c r="J721" s="34"/>
      <c r="K721" s="34"/>
      <c r="L721" s="34"/>
      <c r="M721" s="34"/>
      <c r="N721" s="34"/>
      <c r="O721" s="34"/>
      <c r="P721" s="34"/>
    </row>
    <row r="722" spans="1:16" ht="13">
      <c r="A722" s="34"/>
      <c r="B722" s="34"/>
      <c r="C722" s="34"/>
      <c r="D722" s="34"/>
      <c r="E722" s="34"/>
      <c r="F722" s="34"/>
      <c r="G722" s="34"/>
      <c r="H722" s="34"/>
      <c r="I722" s="34"/>
      <c r="J722" s="34"/>
      <c r="K722" s="34"/>
      <c r="L722" s="34"/>
      <c r="M722" s="34"/>
      <c r="N722" s="34"/>
      <c r="O722" s="34"/>
      <c r="P722" s="34"/>
    </row>
    <row r="723" spans="1:16" ht="13">
      <c r="A723" s="34"/>
      <c r="B723" s="34"/>
      <c r="C723" s="34"/>
      <c r="D723" s="34"/>
      <c r="E723" s="34"/>
      <c r="F723" s="34"/>
      <c r="G723" s="34"/>
      <c r="H723" s="34"/>
      <c r="I723" s="34"/>
      <c r="J723" s="34"/>
      <c r="K723" s="34"/>
      <c r="L723" s="34"/>
      <c r="M723" s="34"/>
      <c r="N723" s="34"/>
      <c r="O723" s="34"/>
      <c r="P723" s="34"/>
    </row>
    <row r="724" spans="1:16" ht="13">
      <c r="A724" s="34"/>
      <c r="B724" s="34"/>
      <c r="C724" s="34"/>
      <c r="D724" s="34"/>
      <c r="E724" s="34"/>
      <c r="F724" s="34"/>
      <c r="G724" s="34"/>
      <c r="H724" s="34"/>
      <c r="I724" s="34"/>
      <c r="J724" s="34"/>
      <c r="K724" s="34"/>
      <c r="L724" s="34"/>
      <c r="M724" s="34"/>
      <c r="N724" s="34"/>
      <c r="O724" s="34"/>
      <c r="P724" s="34"/>
    </row>
    <row r="725" spans="1:16" ht="13">
      <c r="A725" s="34"/>
      <c r="B725" s="34"/>
      <c r="C725" s="34"/>
      <c r="D725" s="34"/>
      <c r="E725" s="34"/>
      <c r="F725" s="34"/>
      <c r="G725" s="34"/>
      <c r="H725" s="34"/>
      <c r="I725" s="34"/>
      <c r="J725" s="34"/>
      <c r="K725" s="34"/>
      <c r="L725" s="34"/>
      <c r="M725" s="34"/>
      <c r="N725" s="34"/>
      <c r="O725" s="34"/>
      <c r="P725" s="34"/>
    </row>
    <row r="726" spans="1:16" ht="13">
      <c r="A726" s="34"/>
      <c r="B726" s="34"/>
      <c r="C726" s="34"/>
      <c r="D726" s="34"/>
      <c r="E726" s="34"/>
      <c r="F726" s="34"/>
      <c r="G726" s="34"/>
      <c r="H726" s="34"/>
      <c r="I726" s="34"/>
      <c r="J726" s="34"/>
      <c r="K726" s="34"/>
      <c r="L726" s="34"/>
      <c r="M726" s="34"/>
      <c r="N726" s="34"/>
      <c r="O726" s="34"/>
      <c r="P726" s="34"/>
    </row>
    <row r="727" spans="1:16" ht="13">
      <c r="A727" s="34"/>
      <c r="B727" s="34"/>
      <c r="C727" s="34"/>
      <c r="D727" s="34"/>
      <c r="E727" s="34"/>
      <c r="F727" s="34"/>
      <c r="G727" s="34"/>
      <c r="H727" s="34"/>
      <c r="I727" s="34"/>
      <c r="J727" s="34"/>
      <c r="K727" s="34"/>
      <c r="L727" s="34"/>
      <c r="M727" s="34"/>
      <c r="N727" s="34"/>
      <c r="O727" s="34"/>
      <c r="P727" s="34"/>
    </row>
    <row r="728" spans="1:16" ht="13">
      <c r="A728" s="34"/>
      <c r="B728" s="34"/>
      <c r="C728" s="34"/>
      <c r="D728" s="34"/>
      <c r="E728" s="34"/>
      <c r="F728" s="34"/>
      <c r="G728" s="34"/>
      <c r="H728" s="34"/>
      <c r="I728" s="34"/>
      <c r="J728" s="34"/>
      <c r="K728" s="34"/>
      <c r="L728" s="34"/>
      <c r="M728" s="34"/>
      <c r="N728" s="34"/>
      <c r="O728" s="34"/>
      <c r="P728" s="34"/>
    </row>
    <row r="729" spans="1:16" ht="13">
      <c r="A729" s="34"/>
      <c r="B729" s="34"/>
      <c r="C729" s="34"/>
      <c r="D729" s="34"/>
      <c r="E729" s="34"/>
      <c r="F729" s="34"/>
      <c r="G729" s="34"/>
      <c r="H729" s="34"/>
      <c r="I729" s="34"/>
      <c r="J729" s="34"/>
      <c r="K729" s="34"/>
      <c r="L729" s="34"/>
      <c r="M729" s="34"/>
      <c r="N729" s="34"/>
      <c r="O729" s="34"/>
      <c r="P729" s="34"/>
    </row>
    <row r="730" spans="1:16" ht="13">
      <c r="A730" s="34"/>
      <c r="B730" s="34"/>
      <c r="C730" s="34"/>
      <c r="D730" s="34"/>
      <c r="E730" s="34"/>
      <c r="F730" s="34"/>
      <c r="G730" s="34"/>
      <c r="H730" s="34"/>
      <c r="I730" s="34"/>
      <c r="J730" s="34"/>
      <c r="K730" s="34"/>
      <c r="L730" s="34"/>
      <c r="M730" s="34"/>
      <c r="N730" s="34"/>
      <c r="O730" s="34"/>
      <c r="P730" s="34"/>
    </row>
    <row r="731" spans="1:16" ht="13">
      <c r="A731" s="34"/>
      <c r="B731" s="34"/>
      <c r="C731" s="34"/>
      <c r="D731" s="34"/>
      <c r="E731" s="34"/>
      <c r="F731" s="34"/>
      <c r="G731" s="34"/>
      <c r="H731" s="34"/>
      <c r="I731" s="34"/>
      <c r="J731" s="34"/>
      <c r="K731" s="34"/>
      <c r="L731" s="34"/>
      <c r="M731" s="34"/>
      <c r="N731" s="34"/>
      <c r="O731" s="34"/>
      <c r="P731" s="34"/>
    </row>
    <row r="732" spans="1:16" ht="13">
      <c r="A732" s="34"/>
      <c r="B732" s="34"/>
      <c r="C732" s="34"/>
      <c r="D732" s="34"/>
      <c r="E732" s="34"/>
      <c r="F732" s="34"/>
      <c r="G732" s="34"/>
      <c r="H732" s="34"/>
      <c r="I732" s="34"/>
      <c r="J732" s="34"/>
      <c r="K732" s="34"/>
      <c r="L732" s="34"/>
      <c r="M732" s="34"/>
      <c r="N732" s="34"/>
      <c r="O732" s="34"/>
      <c r="P732" s="34"/>
    </row>
    <row r="733" spans="1:16" ht="13">
      <c r="A733" s="34"/>
      <c r="B733" s="34"/>
      <c r="C733" s="34"/>
      <c r="D733" s="34"/>
      <c r="E733" s="34"/>
      <c r="F733" s="34"/>
      <c r="G733" s="34"/>
      <c r="H733" s="34"/>
      <c r="I733" s="34"/>
      <c r="J733" s="34"/>
      <c r="K733" s="34"/>
      <c r="L733" s="34"/>
      <c r="M733" s="34"/>
      <c r="N733" s="34"/>
      <c r="O733" s="34"/>
      <c r="P733" s="34"/>
    </row>
    <row r="734" spans="1:16" ht="13">
      <c r="A734" s="34"/>
      <c r="B734" s="34"/>
      <c r="C734" s="34"/>
      <c r="D734" s="34"/>
      <c r="E734" s="34"/>
      <c r="F734" s="34"/>
      <c r="G734" s="34"/>
      <c r="H734" s="34"/>
      <c r="I734" s="34"/>
      <c r="J734" s="34"/>
      <c r="K734" s="34"/>
      <c r="L734" s="34"/>
      <c r="M734" s="34"/>
      <c r="N734" s="34"/>
      <c r="O734" s="34"/>
      <c r="P734" s="34"/>
    </row>
    <row r="735" spans="1:16" ht="13">
      <c r="A735" s="34"/>
      <c r="B735" s="34"/>
      <c r="C735" s="34"/>
      <c r="D735" s="34"/>
      <c r="E735" s="34"/>
      <c r="F735" s="34"/>
      <c r="G735" s="34"/>
      <c r="H735" s="34"/>
      <c r="I735" s="34"/>
      <c r="J735" s="34"/>
      <c r="K735" s="34"/>
      <c r="L735" s="34"/>
      <c r="M735" s="34"/>
      <c r="N735" s="34"/>
      <c r="O735" s="34"/>
      <c r="P735" s="34"/>
    </row>
    <row r="736" spans="1:16" ht="13">
      <c r="A736" s="34"/>
      <c r="B736" s="34"/>
      <c r="C736" s="34"/>
      <c r="D736" s="34"/>
      <c r="E736" s="34"/>
      <c r="F736" s="34"/>
      <c r="G736" s="34"/>
      <c r="H736" s="34"/>
      <c r="I736" s="34"/>
      <c r="J736" s="34"/>
      <c r="K736" s="34"/>
      <c r="L736" s="34"/>
      <c r="M736" s="34"/>
      <c r="N736" s="34"/>
      <c r="O736" s="34"/>
      <c r="P736" s="34"/>
    </row>
    <row r="737" spans="1:16" ht="13">
      <c r="A737" s="34"/>
      <c r="B737" s="34"/>
      <c r="C737" s="34"/>
      <c r="D737" s="34"/>
      <c r="E737" s="34"/>
      <c r="F737" s="34"/>
      <c r="G737" s="34"/>
      <c r="H737" s="34"/>
      <c r="I737" s="34"/>
      <c r="J737" s="34"/>
      <c r="K737" s="34"/>
      <c r="L737" s="34"/>
      <c r="M737" s="34"/>
      <c r="N737" s="34"/>
      <c r="O737" s="34"/>
      <c r="P737" s="34"/>
    </row>
    <row r="738" spans="1:16" ht="13">
      <c r="A738" s="34"/>
      <c r="B738" s="34"/>
      <c r="C738" s="34"/>
      <c r="D738" s="34"/>
      <c r="E738" s="34"/>
      <c r="F738" s="34"/>
      <c r="G738" s="34"/>
      <c r="H738" s="34"/>
      <c r="I738" s="34"/>
      <c r="J738" s="34"/>
      <c r="K738" s="34"/>
      <c r="L738" s="34"/>
      <c r="M738" s="34"/>
      <c r="N738" s="34"/>
      <c r="O738" s="34"/>
      <c r="P738" s="34"/>
    </row>
    <row r="739" spans="1:16" ht="13">
      <c r="A739" s="34"/>
      <c r="B739" s="34"/>
      <c r="C739" s="34"/>
      <c r="D739" s="34"/>
      <c r="E739" s="34"/>
      <c r="F739" s="34"/>
      <c r="G739" s="34"/>
      <c r="H739" s="34"/>
      <c r="I739" s="34"/>
      <c r="J739" s="34"/>
      <c r="K739" s="34"/>
      <c r="L739" s="34"/>
      <c r="M739" s="34"/>
      <c r="N739" s="34"/>
      <c r="O739" s="34"/>
      <c r="P739" s="34"/>
    </row>
    <row r="740" spans="1:16" ht="13">
      <c r="A740" s="34"/>
      <c r="B740" s="34"/>
      <c r="C740" s="34"/>
      <c r="D740" s="34"/>
      <c r="E740" s="34"/>
      <c r="F740" s="34"/>
      <c r="G740" s="34"/>
      <c r="H740" s="34"/>
      <c r="I740" s="34"/>
      <c r="J740" s="34"/>
      <c r="K740" s="34"/>
      <c r="L740" s="34"/>
      <c r="M740" s="34"/>
      <c r="N740" s="34"/>
      <c r="O740" s="34"/>
      <c r="P740" s="34"/>
    </row>
    <row r="741" spans="1:16" ht="13">
      <c r="A741" s="34"/>
      <c r="B741" s="34"/>
      <c r="C741" s="34"/>
      <c r="D741" s="34"/>
      <c r="E741" s="34"/>
      <c r="F741" s="34"/>
      <c r="G741" s="34"/>
      <c r="H741" s="34"/>
      <c r="I741" s="34"/>
      <c r="J741" s="34"/>
      <c r="K741" s="34"/>
      <c r="L741" s="34"/>
      <c r="M741" s="34"/>
      <c r="N741" s="34"/>
      <c r="O741" s="34"/>
      <c r="P741" s="34"/>
    </row>
    <row r="742" spans="1:16" ht="13">
      <c r="A742" s="34"/>
      <c r="B742" s="34"/>
      <c r="C742" s="34"/>
      <c r="D742" s="34"/>
      <c r="E742" s="34"/>
      <c r="F742" s="34"/>
      <c r="G742" s="34"/>
      <c r="H742" s="34"/>
      <c r="I742" s="34"/>
      <c r="J742" s="34"/>
      <c r="K742" s="34"/>
      <c r="L742" s="34"/>
      <c r="M742" s="34"/>
      <c r="N742" s="34"/>
      <c r="O742" s="34"/>
      <c r="P742" s="34"/>
    </row>
    <row r="743" spans="1:16" ht="13">
      <c r="A743" s="34"/>
      <c r="B743" s="34"/>
      <c r="C743" s="34"/>
      <c r="D743" s="34"/>
      <c r="E743" s="34"/>
      <c r="F743" s="34"/>
      <c r="G743" s="34"/>
      <c r="H743" s="34"/>
      <c r="I743" s="34"/>
      <c r="J743" s="34"/>
      <c r="K743" s="34"/>
      <c r="L743" s="34"/>
      <c r="M743" s="34"/>
      <c r="N743" s="34"/>
      <c r="O743" s="34"/>
      <c r="P743" s="34"/>
    </row>
    <row r="744" spans="1:16" ht="13">
      <c r="A744" s="34"/>
      <c r="B744" s="34"/>
      <c r="C744" s="34"/>
      <c r="D744" s="34"/>
      <c r="E744" s="34"/>
      <c r="F744" s="34"/>
      <c r="G744" s="34"/>
      <c r="H744" s="34"/>
      <c r="I744" s="34"/>
      <c r="J744" s="34"/>
      <c r="K744" s="34"/>
      <c r="L744" s="34"/>
      <c r="M744" s="34"/>
      <c r="N744" s="34"/>
      <c r="O744" s="34"/>
      <c r="P744" s="34"/>
    </row>
    <row r="745" spans="1:16" ht="13">
      <c r="A745" s="34"/>
      <c r="B745" s="34"/>
      <c r="C745" s="34"/>
      <c r="D745" s="34"/>
      <c r="E745" s="34"/>
      <c r="F745" s="34"/>
      <c r="G745" s="34"/>
      <c r="H745" s="34"/>
      <c r="I745" s="34"/>
      <c r="J745" s="34"/>
      <c r="K745" s="34"/>
      <c r="L745" s="34"/>
      <c r="M745" s="34"/>
      <c r="N745" s="34"/>
      <c r="O745" s="34"/>
      <c r="P745" s="34"/>
    </row>
    <row r="746" spans="1:16" ht="13">
      <c r="A746" s="34"/>
      <c r="B746" s="34"/>
      <c r="C746" s="34"/>
      <c r="D746" s="34"/>
      <c r="E746" s="34"/>
      <c r="F746" s="34"/>
      <c r="G746" s="34"/>
      <c r="H746" s="34"/>
      <c r="I746" s="34"/>
      <c r="J746" s="34"/>
      <c r="K746" s="34"/>
      <c r="L746" s="34"/>
      <c r="M746" s="34"/>
      <c r="N746" s="34"/>
      <c r="O746" s="34"/>
      <c r="P746" s="34"/>
    </row>
    <row r="747" spans="1:16" ht="13">
      <c r="A747" s="34"/>
      <c r="B747" s="34"/>
      <c r="C747" s="34"/>
      <c r="D747" s="34"/>
      <c r="E747" s="34"/>
      <c r="F747" s="34"/>
      <c r="G747" s="34"/>
      <c r="H747" s="34"/>
      <c r="I747" s="34"/>
      <c r="J747" s="34"/>
      <c r="K747" s="34"/>
      <c r="L747" s="34"/>
      <c r="M747" s="34"/>
      <c r="N747" s="34"/>
      <c r="O747" s="34"/>
      <c r="P747" s="34"/>
    </row>
    <row r="748" spans="1:16" ht="13">
      <c r="A748" s="34"/>
      <c r="B748" s="34"/>
      <c r="C748" s="34"/>
      <c r="D748" s="34"/>
      <c r="E748" s="34"/>
      <c r="F748" s="34"/>
      <c r="G748" s="34"/>
      <c r="H748" s="34"/>
      <c r="I748" s="34"/>
      <c r="J748" s="34"/>
      <c r="K748" s="34"/>
      <c r="L748" s="34"/>
      <c r="M748" s="34"/>
      <c r="N748" s="34"/>
      <c r="O748" s="34"/>
      <c r="P748" s="34"/>
    </row>
    <row r="749" spans="1:16" ht="13">
      <c r="A749" s="34"/>
      <c r="B749" s="34"/>
      <c r="C749" s="34"/>
      <c r="D749" s="34"/>
      <c r="E749" s="34"/>
      <c r="F749" s="34"/>
      <c r="G749" s="34"/>
      <c r="H749" s="34"/>
      <c r="I749" s="34"/>
      <c r="J749" s="34"/>
      <c r="K749" s="34"/>
      <c r="L749" s="34"/>
      <c r="M749" s="34"/>
      <c r="N749" s="34"/>
      <c r="O749" s="34"/>
      <c r="P749" s="34"/>
    </row>
    <row r="750" spans="1:16" ht="13">
      <c r="A750" s="34"/>
      <c r="B750" s="34"/>
      <c r="C750" s="34"/>
      <c r="D750" s="34"/>
      <c r="E750" s="34"/>
      <c r="F750" s="34"/>
      <c r="G750" s="34"/>
      <c r="H750" s="34"/>
      <c r="I750" s="34"/>
      <c r="J750" s="34"/>
      <c r="K750" s="34"/>
      <c r="L750" s="34"/>
      <c r="M750" s="34"/>
      <c r="N750" s="34"/>
      <c r="O750" s="34"/>
      <c r="P750" s="34"/>
    </row>
    <row r="751" spans="1:16" ht="13">
      <c r="A751" s="34"/>
      <c r="B751" s="34"/>
      <c r="C751" s="34"/>
      <c r="D751" s="34"/>
      <c r="E751" s="34"/>
      <c r="F751" s="34"/>
      <c r="G751" s="34"/>
      <c r="H751" s="34"/>
      <c r="I751" s="34"/>
      <c r="J751" s="34"/>
      <c r="K751" s="34"/>
      <c r="L751" s="34"/>
      <c r="M751" s="34"/>
      <c r="N751" s="34"/>
      <c r="O751" s="34"/>
      <c r="P751" s="34"/>
    </row>
    <row r="752" spans="1:16" ht="13">
      <c r="A752" s="34"/>
      <c r="B752" s="34"/>
      <c r="C752" s="34"/>
      <c r="D752" s="34"/>
      <c r="E752" s="34"/>
      <c r="F752" s="34"/>
      <c r="G752" s="34"/>
      <c r="H752" s="34"/>
      <c r="I752" s="34"/>
      <c r="J752" s="34"/>
      <c r="K752" s="34"/>
      <c r="L752" s="34"/>
      <c r="M752" s="34"/>
      <c r="N752" s="34"/>
      <c r="O752" s="34"/>
      <c r="P752" s="34"/>
    </row>
    <row r="753" spans="1:16" ht="13">
      <c r="A753" s="34"/>
      <c r="B753" s="34"/>
      <c r="C753" s="34"/>
      <c r="D753" s="34"/>
      <c r="E753" s="34"/>
      <c r="F753" s="34"/>
      <c r="G753" s="34"/>
      <c r="H753" s="34"/>
      <c r="I753" s="34"/>
      <c r="J753" s="34"/>
      <c r="K753" s="34"/>
      <c r="L753" s="34"/>
      <c r="M753" s="34"/>
      <c r="N753" s="34"/>
      <c r="O753" s="34"/>
      <c r="P753" s="34"/>
    </row>
    <row r="754" spans="1:16" ht="13">
      <c r="A754" s="34"/>
      <c r="B754" s="34"/>
      <c r="C754" s="34"/>
      <c r="D754" s="34"/>
      <c r="E754" s="34"/>
      <c r="F754" s="34"/>
      <c r="G754" s="34"/>
      <c r="H754" s="34"/>
      <c r="I754" s="34"/>
      <c r="J754" s="34"/>
      <c r="K754" s="34"/>
      <c r="L754" s="34"/>
      <c r="M754" s="34"/>
      <c r="N754" s="34"/>
      <c r="O754" s="34"/>
      <c r="P754" s="34"/>
    </row>
    <row r="755" spans="1:16" ht="13">
      <c r="A755" s="34"/>
      <c r="B755" s="34"/>
      <c r="C755" s="34"/>
      <c r="D755" s="34"/>
      <c r="E755" s="34"/>
      <c r="F755" s="34"/>
      <c r="G755" s="34"/>
      <c r="H755" s="34"/>
      <c r="I755" s="34"/>
      <c r="J755" s="34"/>
      <c r="K755" s="34"/>
      <c r="L755" s="34"/>
      <c r="M755" s="34"/>
      <c r="N755" s="34"/>
      <c r="O755" s="34"/>
      <c r="P755" s="34"/>
    </row>
    <row r="756" spans="1:16" ht="13">
      <c r="A756" s="34"/>
      <c r="B756" s="34"/>
      <c r="C756" s="34"/>
      <c r="D756" s="34"/>
      <c r="E756" s="34"/>
      <c r="F756" s="34"/>
      <c r="G756" s="34"/>
      <c r="H756" s="34"/>
      <c r="I756" s="34"/>
      <c r="J756" s="34"/>
      <c r="K756" s="34"/>
      <c r="L756" s="34"/>
      <c r="M756" s="34"/>
      <c r="N756" s="34"/>
      <c r="O756" s="34"/>
      <c r="P756" s="34"/>
    </row>
    <row r="757" spans="1:16" ht="13">
      <c r="A757" s="34"/>
      <c r="B757" s="34"/>
      <c r="C757" s="34"/>
      <c r="D757" s="34"/>
      <c r="E757" s="34"/>
      <c r="F757" s="34"/>
      <c r="G757" s="34"/>
      <c r="H757" s="34"/>
      <c r="I757" s="34"/>
      <c r="J757" s="34"/>
      <c r="K757" s="34"/>
      <c r="L757" s="34"/>
      <c r="M757" s="34"/>
      <c r="N757" s="34"/>
      <c r="O757" s="34"/>
      <c r="P757" s="34"/>
    </row>
    <row r="758" spans="1:16" ht="13">
      <c r="A758" s="34"/>
      <c r="B758" s="34"/>
      <c r="C758" s="34"/>
      <c r="D758" s="34"/>
      <c r="E758" s="34"/>
      <c r="F758" s="34"/>
      <c r="G758" s="34"/>
      <c r="H758" s="34"/>
      <c r="I758" s="34"/>
      <c r="J758" s="34"/>
      <c r="K758" s="34"/>
      <c r="L758" s="34"/>
      <c r="M758" s="34"/>
      <c r="N758" s="34"/>
      <c r="O758" s="34"/>
      <c r="P758" s="34"/>
    </row>
    <row r="759" spans="1:16" ht="13">
      <c r="A759" s="34"/>
      <c r="B759" s="34"/>
      <c r="C759" s="34"/>
      <c r="D759" s="34"/>
      <c r="E759" s="34"/>
      <c r="F759" s="34"/>
      <c r="G759" s="34"/>
      <c r="H759" s="34"/>
      <c r="I759" s="34"/>
      <c r="J759" s="34"/>
      <c r="K759" s="34"/>
      <c r="L759" s="34"/>
      <c r="M759" s="34"/>
      <c r="N759" s="34"/>
      <c r="O759" s="34"/>
      <c r="P759" s="34"/>
    </row>
    <row r="760" spans="1:16" ht="13">
      <c r="A760" s="34"/>
      <c r="B760" s="34"/>
      <c r="C760" s="34"/>
      <c r="D760" s="34"/>
      <c r="E760" s="34"/>
      <c r="F760" s="34"/>
      <c r="G760" s="34"/>
      <c r="H760" s="34"/>
      <c r="I760" s="34"/>
      <c r="J760" s="34"/>
      <c r="K760" s="34"/>
      <c r="L760" s="34"/>
      <c r="M760" s="34"/>
      <c r="N760" s="34"/>
      <c r="O760" s="34"/>
      <c r="P760" s="34"/>
    </row>
    <row r="761" spans="1:16" ht="13">
      <c r="A761" s="34"/>
      <c r="B761" s="34"/>
      <c r="C761" s="34"/>
      <c r="D761" s="34"/>
      <c r="E761" s="34"/>
      <c r="F761" s="34"/>
      <c r="G761" s="34"/>
      <c r="H761" s="34"/>
      <c r="I761" s="34"/>
      <c r="J761" s="34"/>
      <c r="K761" s="34"/>
      <c r="L761" s="34"/>
      <c r="M761" s="34"/>
      <c r="N761" s="34"/>
      <c r="O761" s="34"/>
      <c r="P761" s="34"/>
    </row>
    <row r="762" spans="1:16" ht="13">
      <c r="A762" s="34"/>
      <c r="B762" s="34"/>
      <c r="C762" s="34"/>
      <c r="D762" s="34"/>
      <c r="E762" s="34"/>
      <c r="F762" s="34"/>
      <c r="G762" s="34"/>
      <c r="H762" s="34"/>
      <c r="I762" s="34"/>
      <c r="J762" s="34"/>
      <c r="K762" s="34"/>
      <c r="L762" s="34"/>
      <c r="M762" s="34"/>
      <c r="N762" s="34"/>
      <c r="O762" s="34"/>
      <c r="P762" s="34"/>
    </row>
    <row r="763" spans="1:16" ht="13">
      <c r="A763" s="34"/>
      <c r="B763" s="34"/>
      <c r="C763" s="34"/>
      <c r="D763" s="34"/>
      <c r="E763" s="34"/>
      <c r="F763" s="34"/>
      <c r="G763" s="34"/>
      <c r="H763" s="34"/>
      <c r="I763" s="34"/>
      <c r="J763" s="34"/>
      <c r="K763" s="34"/>
      <c r="L763" s="34"/>
      <c r="M763" s="34"/>
      <c r="N763" s="34"/>
      <c r="O763" s="34"/>
      <c r="P763" s="34"/>
    </row>
    <row r="764" spans="1:16" ht="13">
      <c r="A764" s="34"/>
      <c r="B764" s="34"/>
      <c r="C764" s="34"/>
      <c r="D764" s="34"/>
      <c r="E764" s="34"/>
      <c r="F764" s="34"/>
      <c r="G764" s="34"/>
      <c r="H764" s="34"/>
      <c r="I764" s="34"/>
      <c r="J764" s="34"/>
      <c r="K764" s="34"/>
      <c r="L764" s="34"/>
      <c r="M764" s="34"/>
      <c r="N764" s="34"/>
      <c r="O764" s="34"/>
      <c r="P764" s="34"/>
    </row>
    <row r="765" spans="1:16" ht="13">
      <c r="A765" s="34"/>
      <c r="B765" s="34"/>
      <c r="C765" s="34"/>
      <c r="D765" s="34"/>
      <c r="E765" s="34"/>
      <c r="F765" s="34"/>
      <c r="G765" s="34"/>
      <c r="H765" s="34"/>
      <c r="I765" s="34"/>
      <c r="J765" s="34"/>
      <c r="K765" s="34"/>
      <c r="L765" s="34"/>
      <c r="M765" s="34"/>
      <c r="N765" s="34"/>
      <c r="O765" s="34"/>
      <c r="P765" s="34"/>
    </row>
    <row r="766" spans="1:16" ht="13">
      <c r="A766" s="34"/>
      <c r="B766" s="34"/>
      <c r="C766" s="34"/>
      <c r="D766" s="34"/>
      <c r="E766" s="34"/>
      <c r="F766" s="34"/>
      <c r="G766" s="34"/>
      <c r="H766" s="34"/>
      <c r="I766" s="34"/>
      <c r="J766" s="34"/>
      <c r="K766" s="34"/>
      <c r="L766" s="34"/>
      <c r="M766" s="34"/>
      <c r="N766" s="34"/>
      <c r="O766" s="34"/>
      <c r="P766" s="34"/>
    </row>
    <row r="767" spans="1:16" ht="13">
      <c r="A767" s="34"/>
      <c r="B767" s="34"/>
      <c r="C767" s="34"/>
      <c r="D767" s="34"/>
      <c r="E767" s="34"/>
      <c r="F767" s="34"/>
      <c r="G767" s="34"/>
      <c r="H767" s="34"/>
      <c r="I767" s="34"/>
      <c r="J767" s="34"/>
      <c r="K767" s="34"/>
      <c r="L767" s="34"/>
      <c r="M767" s="34"/>
      <c r="N767" s="34"/>
      <c r="O767" s="34"/>
      <c r="P767" s="34"/>
    </row>
    <row r="768" spans="1:16" ht="13">
      <c r="A768" s="34"/>
      <c r="B768" s="34"/>
      <c r="C768" s="34"/>
      <c r="D768" s="34"/>
      <c r="E768" s="34"/>
      <c r="F768" s="34"/>
      <c r="G768" s="34"/>
      <c r="H768" s="34"/>
      <c r="I768" s="34"/>
      <c r="J768" s="34"/>
      <c r="K768" s="34"/>
      <c r="L768" s="34"/>
      <c r="M768" s="34"/>
      <c r="N768" s="34"/>
      <c r="O768" s="34"/>
      <c r="P768" s="34"/>
    </row>
    <row r="769" spans="1:16" ht="13">
      <c r="A769" s="34"/>
      <c r="B769" s="34"/>
      <c r="C769" s="34"/>
      <c r="D769" s="34"/>
      <c r="E769" s="34"/>
      <c r="F769" s="34"/>
      <c r="G769" s="34"/>
      <c r="H769" s="34"/>
      <c r="I769" s="34"/>
      <c r="J769" s="34"/>
      <c r="K769" s="34"/>
      <c r="L769" s="34"/>
      <c r="M769" s="34"/>
      <c r="N769" s="34"/>
      <c r="O769" s="34"/>
      <c r="P769" s="34"/>
    </row>
    <row r="770" spans="1:16" ht="13">
      <c r="A770" s="34"/>
      <c r="B770" s="34"/>
      <c r="C770" s="34"/>
      <c r="D770" s="34"/>
      <c r="E770" s="34"/>
      <c r="F770" s="34"/>
      <c r="G770" s="34"/>
      <c r="H770" s="34"/>
      <c r="I770" s="34"/>
      <c r="J770" s="34"/>
      <c r="K770" s="34"/>
      <c r="L770" s="34"/>
      <c r="M770" s="34"/>
      <c r="N770" s="34"/>
      <c r="O770" s="34"/>
      <c r="P770" s="34"/>
    </row>
    <row r="771" spans="1:16" ht="13">
      <c r="A771" s="34"/>
      <c r="B771" s="34"/>
      <c r="C771" s="34"/>
      <c r="D771" s="34"/>
      <c r="E771" s="34"/>
      <c r="F771" s="34"/>
      <c r="G771" s="34"/>
      <c r="H771" s="34"/>
      <c r="I771" s="34"/>
      <c r="J771" s="34"/>
      <c r="K771" s="34"/>
      <c r="L771" s="34"/>
      <c r="M771" s="34"/>
      <c r="N771" s="34"/>
      <c r="O771" s="34"/>
      <c r="P771" s="34"/>
    </row>
    <row r="772" spans="1:16" ht="13">
      <c r="A772" s="34"/>
      <c r="B772" s="34"/>
      <c r="C772" s="34"/>
      <c r="D772" s="34"/>
      <c r="E772" s="34"/>
      <c r="F772" s="34"/>
      <c r="G772" s="34"/>
      <c r="H772" s="34"/>
      <c r="I772" s="34"/>
      <c r="J772" s="34"/>
      <c r="K772" s="34"/>
      <c r="L772" s="34"/>
      <c r="M772" s="34"/>
      <c r="N772" s="34"/>
      <c r="O772" s="34"/>
      <c r="P772" s="34"/>
    </row>
    <row r="773" spans="1:16" ht="13">
      <c r="A773" s="34"/>
      <c r="B773" s="34"/>
      <c r="C773" s="34"/>
      <c r="D773" s="34"/>
      <c r="E773" s="34"/>
      <c r="F773" s="34"/>
      <c r="G773" s="34"/>
      <c r="H773" s="34"/>
      <c r="I773" s="34"/>
      <c r="J773" s="34"/>
      <c r="K773" s="34"/>
      <c r="L773" s="34"/>
      <c r="M773" s="34"/>
      <c r="N773" s="34"/>
      <c r="O773" s="34"/>
      <c r="P773" s="34"/>
    </row>
    <row r="774" spans="1:16" ht="13">
      <c r="A774" s="34"/>
      <c r="B774" s="34"/>
      <c r="C774" s="34"/>
      <c r="D774" s="34"/>
      <c r="E774" s="34"/>
      <c r="F774" s="34"/>
      <c r="G774" s="34"/>
      <c r="H774" s="34"/>
      <c r="I774" s="34"/>
      <c r="J774" s="34"/>
      <c r="K774" s="34"/>
      <c r="L774" s="34"/>
      <c r="M774" s="34"/>
      <c r="N774" s="34"/>
      <c r="O774" s="34"/>
      <c r="P774" s="34"/>
    </row>
    <row r="775" spans="1:16" ht="13">
      <c r="A775" s="34"/>
      <c r="B775" s="34"/>
      <c r="C775" s="34"/>
      <c r="D775" s="34"/>
      <c r="E775" s="34"/>
      <c r="F775" s="34"/>
      <c r="G775" s="34"/>
      <c r="H775" s="34"/>
      <c r="I775" s="34"/>
      <c r="J775" s="34"/>
      <c r="K775" s="34"/>
      <c r="L775" s="34"/>
      <c r="M775" s="34"/>
      <c r="N775" s="34"/>
      <c r="O775" s="34"/>
      <c r="P775" s="34"/>
    </row>
    <row r="776" spans="1:16" ht="13">
      <c r="A776" s="34"/>
      <c r="B776" s="34"/>
      <c r="C776" s="34"/>
      <c r="D776" s="34"/>
      <c r="E776" s="34"/>
      <c r="F776" s="34"/>
      <c r="G776" s="34"/>
      <c r="H776" s="34"/>
      <c r="I776" s="34"/>
      <c r="J776" s="34"/>
      <c r="K776" s="34"/>
      <c r="L776" s="34"/>
      <c r="M776" s="34"/>
      <c r="N776" s="34"/>
      <c r="O776" s="34"/>
      <c r="P776" s="34"/>
    </row>
    <row r="777" spans="1:16" ht="13">
      <c r="A777" s="34"/>
      <c r="B777" s="34"/>
      <c r="C777" s="34"/>
      <c r="D777" s="34"/>
      <c r="E777" s="34"/>
      <c r="F777" s="34"/>
      <c r="G777" s="34"/>
      <c r="H777" s="34"/>
      <c r="I777" s="34"/>
      <c r="J777" s="34"/>
      <c r="K777" s="34"/>
      <c r="L777" s="34"/>
      <c r="M777" s="34"/>
      <c r="N777" s="34"/>
      <c r="O777" s="34"/>
      <c r="P777" s="34"/>
    </row>
    <row r="778" spans="1:16" ht="13">
      <c r="A778" s="34"/>
      <c r="B778" s="34"/>
      <c r="C778" s="34"/>
      <c r="D778" s="34"/>
      <c r="E778" s="34"/>
      <c r="F778" s="34"/>
      <c r="G778" s="34"/>
      <c r="H778" s="34"/>
      <c r="I778" s="34"/>
      <c r="J778" s="34"/>
      <c r="K778" s="34"/>
      <c r="L778" s="34"/>
      <c r="M778" s="34"/>
      <c r="N778" s="34"/>
      <c r="O778" s="34"/>
      <c r="P778" s="34"/>
    </row>
    <row r="779" spans="1:16" ht="13">
      <c r="A779" s="34"/>
      <c r="B779" s="34"/>
      <c r="C779" s="34"/>
      <c r="D779" s="34"/>
      <c r="E779" s="34"/>
      <c r="F779" s="34"/>
      <c r="G779" s="34"/>
      <c r="H779" s="34"/>
      <c r="I779" s="34"/>
      <c r="J779" s="34"/>
      <c r="K779" s="34"/>
      <c r="L779" s="34"/>
      <c r="M779" s="34"/>
      <c r="N779" s="34"/>
      <c r="O779" s="34"/>
      <c r="P779" s="34"/>
    </row>
    <row r="780" spans="1:16" ht="13">
      <c r="A780" s="34"/>
      <c r="B780" s="34"/>
      <c r="C780" s="34"/>
      <c r="D780" s="34"/>
      <c r="E780" s="34"/>
      <c r="F780" s="34"/>
      <c r="G780" s="34"/>
      <c r="H780" s="34"/>
      <c r="I780" s="34"/>
      <c r="J780" s="34"/>
      <c r="K780" s="34"/>
      <c r="L780" s="34"/>
      <c r="M780" s="34"/>
      <c r="N780" s="34"/>
      <c r="O780" s="34"/>
      <c r="P780" s="34"/>
    </row>
    <row r="781" spans="1:16" ht="13">
      <c r="A781" s="34"/>
      <c r="B781" s="34"/>
      <c r="C781" s="34"/>
      <c r="D781" s="34"/>
      <c r="E781" s="34"/>
      <c r="F781" s="34"/>
      <c r="G781" s="34"/>
      <c r="H781" s="34"/>
      <c r="I781" s="34"/>
      <c r="J781" s="34"/>
      <c r="K781" s="34"/>
      <c r="L781" s="34"/>
      <c r="M781" s="34"/>
      <c r="N781" s="34"/>
      <c r="O781" s="34"/>
      <c r="P781" s="34"/>
    </row>
    <row r="782" spans="1:16" ht="13">
      <c r="A782" s="34"/>
      <c r="B782" s="34"/>
      <c r="C782" s="34"/>
      <c r="D782" s="34"/>
      <c r="E782" s="34"/>
      <c r="F782" s="34"/>
      <c r="G782" s="34"/>
      <c r="H782" s="34"/>
      <c r="I782" s="34"/>
      <c r="J782" s="34"/>
      <c r="K782" s="34"/>
      <c r="L782" s="34"/>
      <c r="M782" s="34"/>
      <c r="N782" s="34"/>
      <c r="O782" s="34"/>
      <c r="P782" s="34"/>
    </row>
    <row r="783" spans="1:16" ht="13">
      <c r="A783" s="34"/>
      <c r="B783" s="34"/>
      <c r="C783" s="34"/>
      <c r="D783" s="34"/>
      <c r="E783" s="34"/>
      <c r="F783" s="34"/>
      <c r="G783" s="34"/>
      <c r="H783" s="34"/>
      <c r="I783" s="34"/>
      <c r="J783" s="34"/>
      <c r="K783" s="34"/>
      <c r="L783" s="34"/>
      <c r="M783" s="34"/>
      <c r="N783" s="34"/>
      <c r="O783" s="34"/>
      <c r="P783" s="34"/>
    </row>
    <row r="784" spans="1:16" ht="13">
      <c r="A784" s="34"/>
      <c r="B784" s="34"/>
      <c r="C784" s="34"/>
      <c r="D784" s="34"/>
      <c r="E784" s="34"/>
      <c r="F784" s="34"/>
      <c r="G784" s="34"/>
      <c r="H784" s="34"/>
      <c r="I784" s="34"/>
      <c r="J784" s="34"/>
      <c r="K784" s="34"/>
      <c r="L784" s="34"/>
      <c r="M784" s="34"/>
      <c r="N784" s="34"/>
      <c r="O784" s="34"/>
      <c r="P784" s="34"/>
    </row>
    <row r="785" spans="1:16" ht="13">
      <c r="A785" s="34"/>
      <c r="B785" s="34"/>
      <c r="C785" s="34"/>
      <c r="D785" s="34"/>
      <c r="E785" s="34"/>
      <c r="F785" s="34"/>
      <c r="G785" s="34"/>
      <c r="H785" s="34"/>
      <c r="I785" s="34"/>
      <c r="J785" s="34"/>
      <c r="K785" s="34"/>
      <c r="L785" s="34"/>
      <c r="M785" s="34"/>
      <c r="N785" s="34"/>
      <c r="O785" s="34"/>
      <c r="P785" s="34"/>
    </row>
    <row r="786" spans="1:16" ht="13">
      <c r="A786" s="34"/>
      <c r="B786" s="34"/>
      <c r="C786" s="34"/>
      <c r="D786" s="34"/>
      <c r="E786" s="34"/>
      <c r="F786" s="34"/>
      <c r="G786" s="34"/>
      <c r="H786" s="34"/>
      <c r="I786" s="34"/>
      <c r="J786" s="34"/>
      <c r="K786" s="34"/>
      <c r="L786" s="34"/>
      <c r="M786" s="34"/>
      <c r="N786" s="34"/>
      <c r="O786" s="34"/>
      <c r="P786" s="34"/>
    </row>
    <row r="787" spans="1:16" ht="13">
      <c r="A787" s="34"/>
      <c r="B787" s="34"/>
      <c r="C787" s="34"/>
      <c r="D787" s="34"/>
      <c r="E787" s="34"/>
      <c r="F787" s="34"/>
      <c r="G787" s="34"/>
      <c r="H787" s="34"/>
      <c r="I787" s="34"/>
      <c r="J787" s="34"/>
      <c r="K787" s="34"/>
      <c r="L787" s="34"/>
      <c r="M787" s="34"/>
      <c r="N787" s="34"/>
      <c r="O787" s="34"/>
      <c r="P787" s="34"/>
    </row>
    <row r="788" spans="1:16" ht="13">
      <c r="A788" s="34"/>
      <c r="B788" s="34"/>
      <c r="C788" s="34"/>
      <c r="D788" s="34"/>
      <c r="E788" s="34"/>
      <c r="F788" s="34"/>
      <c r="G788" s="34"/>
      <c r="H788" s="34"/>
      <c r="I788" s="34"/>
      <c r="J788" s="34"/>
      <c r="K788" s="34"/>
      <c r="L788" s="34"/>
      <c r="M788" s="34"/>
      <c r="N788" s="34"/>
      <c r="O788" s="34"/>
      <c r="P788" s="34"/>
    </row>
    <row r="789" spans="1:16" ht="13">
      <c r="A789" s="34"/>
      <c r="B789" s="34"/>
      <c r="C789" s="34"/>
      <c r="D789" s="34"/>
      <c r="E789" s="34"/>
      <c r="F789" s="34"/>
      <c r="G789" s="34"/>
      <c r="H789" s="34"/>
      <c r="I789" s="34"/>
      <c r="J789" s="34"/>
      <c r="K789" s="34"/>
      <c r="L789" s="34"/>
      <c r="M789" s="34"/>
      <c r="N789" s="34"/>
      <c r="O789" s="34"/>
      <c r="P789" s="34"/>
    </row>
    <row r="790" spans="1:16" ht="13">
      <c r="A790" s="34"/>
      <c r="B790" s="34"/>
      <c r="C790" s="34"/>
      <c r="D790" s="34"/>
      <c r="E790" s="34"/>
      <c r="F790" s="34"/>
      <c r="G790" s="34"/>
      <c r="H790" s="34"/>
      <c r="I790" s="34"/>
      <c r="J790" s="34"/>
      <c r="K790" s="34"/>
      <c r="L790" s="34"/>
      <c r="M790" s="34"/>
      <c r="N790" s="34"/>
      <c r="O790" s="34"/>
      <c r="P790" s="34"/>
    </row>
    <row r="791" spans="1:16" ht="13">
      <c r="A791" s="34"/>
      <c r="B791" s="34"/>
      <c r="C791" s="34"/>
      <c r="D791" s="34"/>
      <c r="E791" s="34"/>
      <c r="F791" s="34"/>
      <c r="G791" s="34"/>
      <c r="H791" s="34"/>
      <c r="I791" s="34"/>
      <c r="J791" s="34"/>
      <c r="K791" s="34"/>
      <c r="L791" s="34"/>
      <c r="M791" s="34"/>
      <c r="N791" s="34"/>
      <c r="O791" s="34"/>
      <c r="P791" s="34"/>
    </row>
    <row r="792" spans="1:16" ht="13">
      <c r="A792" s="34"/>
      <c r="B792" s="34"/>
      <c r="C792" s="34"/>
      <c r="D792" s="34"/>
      <c r="E792" s="34"/>
      <c r="F792" s="34"/>
      <c r="G792" s="34"/>
      <c r="H792" s="34"/>
      <c r="I792" s="34"/>
      <c r="J792" s="34"/>
      <c r="K792" s="34"/>
      <c r="L792" s="34"/>
      <c r="M792" s="34"/>
      <c r="N792" s="34"/>
      <c r="O792" s="34"/>
      <c r="P792" s="34"/>
    </row>
    <row r="793" spans="1:16" ht="13">
      <c r="A793" s="34"/>
      <c r="B793" s="34"/>
      <c r="C793" s="34"/>
      <c r="D793" s="34"/>
      <c r="E793" s="34"/>
      <c r="F793" s="34"/>
      <c r="G793" s="34"/>
      <c r="H793" s="34"/>
      <c r="I793" s="34"/>
      <c r="J793" s="34"/>
      <c r="K793" s="34"/>
      <c r="L793" s="34"/>
      <c r="M793" s="34"/>
      <c r="N793" s="34"/>
      <c r="O793" s="34"/>
      <c r="P793" s="34"/>
    </row>
    <row r="794" spans="1:16" ht="13">
      <c r="A794" s="34"/>
      <c r="B794" s="34"/>
      <c r="C794" s="34"/>
      <c r="D794" s="34"/>
      <c r="E794" s="34"/>
      <c r="F794" s="34"/>
      <c r="G794" s="34"/>
      <c r="H794" s="34"/>
      <c r="I794" s="34"/>
      <c r="J794" s="34"/>
      <c r="K794" s="34"/>
      <c r="L794" s="34"/>
      <c r="M794" s="34"/>
      <c r="N794" s="34"/>
      <c r="O794" s="34"/>
      <c r="P794" s="34"/>
    </row>
    <row r="795" spans="1:16" ht="13">
      <c r="A795" s="34"/>
      <c r="B795" s="34"/>
      <c r="C795" s="34"/>
      <c r="D795" s="34"/>
      <c r="E795" s="34"/>
      <c r="F795" s="34"/>
      <c r="G795" s="34"/>
      <c r="H795" s="34"/>
      <c r="I795" s="34"/>
      <c r="J795" s="34"/>
      <c r="K795" s="34"/>
      <c r="L795" s="34"/>
      <c r="M795" s="34"/>
      <c r="N795" s="34"/>
      <c r="O795" s="34"/>
      <c r="P795" s="34"/>
    </row>
    <row r="796" spans="1:16" ht="13">
      <c r="A796" s="34"/>
      <c r="B796" s="34"/>
      <c r="C796" s="34"/>
      <c r="D796" s="34"/>
      <c r="E796" s="34"/>
      <c r="F796" s="34"/>
      <c r="G796" s="34"/>
      <c r="H796" s="34"/>
      <c r="I796" s="34"/>
      <c r="J796" s="34"/>
      <c r="K796" s="34"/>
      <c r="L796" s="34"/>
      <c r="M796" s="34"/>
      <c r="N796" s="34"/>
      <c r="O796" s="34"/>
      <c r="P796" s="34"/>
    </row>
    <row r="797" spans="1:16" ht="13">
      <c r="A797" s="34"/>
      <c r="B797" s="34"/>
      <c r="C797" s="34"/>
      <c r="D797" s="34"/>
      <c r="E797" s="34"/>
      <c r="F797" s="34"/>
      <c r="G797" s="34"/>
      <c r="H797" s="34"/>
      <c r="I797" s="34"/>
      <c r="J797" s="34"/>
      <c r="K797" s="34"/>
      <c r="L797" s="34"/>
      <c r="M797" s="34"/>
      <c r="N797" s="34"/>
      <c r="O797" s="34"/>
      <c r="P797" s="34"/>
    </row>
    <row r="798" spans="1:16" ht="13">
      <c r="A798" s="34"/>
      <c r="B798" s="34"/>
      <c r="C798" s="34"/>
      <c r="D798" s="34"/>
      <c r="E798" s="34"/>
      <c r="F798" s="34"/>
      <c r="G798" s="34"/>
      <c r="H798" s="34"/>
      <c r="I798" s="34"/>
      <c r="J798" s="34"/>
      <c r="K798" s="34"/>
      <c r="L798" s="34"/>
      <c r="M798" s="34"/>
      <c r="N798" s="34"/>
      <c r="O798" s="34"/>
      <c r="P798" s="34"/>
    </row>
    <row r="799" spans="1:16" ht="13">
      <c r="A799" s="34"/>
      <c r="B799" s="34"/>
      <c r="C799" s="34"/>
      <c r="D799" s="34"/>
      <c r="E799" s="34"/>
      <c r="F799" s="34"/>
      <c r="G799" s="34"/>
      <c r="H799" s="34"/>
      <c r="I799" s="34"/>
      <c r="J799" s="34"/>
      <c r="K799" s="34"/>
      <c r="L799" s="34"/>
      <c r="M799" s="34"/>
      <c r="N799" s="34"/>
      <c r="O799" s="34"/>
      <c r="P799" s="34"/>
    </row>
    <row r="800" spans="1:16" ht="13">
      <c r="A800" s="34"/>
      <c r="B800" s="34"/>
      <c r="C800" s="34"/>
      <c r="D800" s="34"/>
      <c r="E800" s="34"/>
      <c r="F800" s="34"/>
      <c r="G800" s="34"/>
      <c r="H800" s="34"/>
      <c r="I800" s="34"/>
      <c r="J800" s="34"/>
      <c r="K800" s="34"/>
      <c r="L800" s="34"/>
      <c r="M800" s="34"/>
      <c r="N800" s="34"/>
      <c r="O800" s="34"/>
      <c r="P800" s="34"/>
    </row>
    <row r="801" spans="1:16" ht="13">
      <c r="A801" s="34"/>
      <c r="B801" s="34"/>
      <c r="C801" s="34"/>
      <c r="D801" s="34"/>
      <c r="E801" s="34"/>
      <c r="F801" s="34"/>
      <c r="G801" s="34"/>
      <c r="H801" s="34"/>
      <c r="I801" s="34"/>
      <c r="J801" s="34"/>
      <c r="K801" s="34"/>
      <c r="L801" s="34"/>
      <c r="M801" s="34"/>
      <c r="N801" s="34"/>
      <c r="O801" s="34"/>
      <c r="P801" s="34"/>
    </row>
    <row r="802" spans="1:16" ht="13">
      <c r="A802" s="34"/>
      <c r="B802" s="34"/>
      <c r="C802" s="34"/>
      <c r="D802" s="34"/>
      <c r="E802" s="34"/>
      <c r="F802" s="34"/>
      <c r="G802" s="34"/>
      <c r="H802" s="34"/>
      <c r="I802" s="34"/>
      <c r="J802" s="34"/>
      <c r="K802" s="34"/>
      <c r="L802" s="34"/>
      <c r="M802" s="34"/>
      <c r="N802" s="34"/>
      <c r="O802" s="34"/>
      <c r="P802" s="34"/>
    </row>
    <row r="803" spans="1:16" ht="13">
      <c r="A803" s="34"/>
      <c r="B803" s="34"/>
      <c r="C803" s="34"/>
      <c r="D803" s="34"/>
      <c r="E803" s="34"/>
      <c r="F803" s="34"/>
      <c r="G803" s="34"/>
      <c r="H803" s="34"/>
      <c r="I803" s="34"/>
      <c r="J803" s="34"/>
      <c r="K803" s="34"/>
      <c r="L803" s="34"/>
      <c r="M803" s="34"/>
      <c r="N803" s="34"/>
      <c r="O803" s="34"/>
      <c r="P803" s="34"/>
    </row>
    <row r="804" spans="1:16" ht="13">
      <c r="A804" s="34"/>
      <c r="B804" s="34"/>
      <c r="C804" s="34"/>
      <c r="D804" s="34"/>
      <c r="E804" s="34"/>
      <c r="F804" s="34"/>
      <c r="G804" s="34"/>
      <c r="H804" s="34"/>
      <c r="I804" s="34"/>
      <c r="J804" s="34"/>
      <c r="K804" s="34"/>
      <c r="L804" s="34"/>
      <c r="M804" s="34"/>
      <c r="N804" s="34"/>
      <c r="O804" s="34"/>
      <c r="P804" s="34"/>
    </row>
    <row r="805" spans="1:16" ht="13">
      <c r="A805" s="34"/>
      <c r="B805" s="34"/>
      <c r="C805" s="34"/>
      <c r="D805" s="34"/>
      <c r="E805" s="34"/>
      <c r="F805" s="34"/>
      <c r="G805" s="34"/>
      <c r="H805" s="34"/>
      <c r="I805" s="34"/>
      <c r="J805" s="34"/>
      <c r="K805" s="34"/>
      <c r="L805" s="34"/>
      <c r="M805" s="34"/>
      <c r="N805" s="34"/>
      <c r="O805" s="34"/>
      <c r="P805" s="34"/>
    </row>
    <row r="806" spans="1:16" ht="13">
      <c r="A806" s="34"/>
      <c r="B806" s="34"/>
      <c r="C806" s="34"/>
      <c r="D806" s="34"/>
      <c r="E806" s="34"/>
      <c r="F806" s="34"/>
      <c r="G806" s="34"/>
      <c r="H806" s="34"/>
      <c r="I806" s="34"/>
      <c r="J806" s="34"/>
      <c r="K806" s="34"/>
      <c r="L806" s="34"/>
      <c r="M806" s="34"/>
      <c r="N806" s="34"/>
      <c r="O806" s="34"/>
      <c r="P806" s="34"/>
    </row>
    <row r="807" spans="1:16" ht="13">
      <c r="A807" s="34"/>
      <c r="B807" s="34"/>
      <c r="C807" s="34"/>
      <c r="D807" s="34"/>
      <c r="E807" s="34"/>
      <c r="F807" s="34"/>
      <c r="G807" s="34"/>
      <c r="H807" s="34"/>
      <c r="I807" s="34"/>
      <c r="J807" s="34"/>
      <c r="K807" s="34"/>
      <c r="L807" s="34"/>
      <c r="M807" s="34"/>
      <c r="N807" s="34"/>
      <c r="O807" s="34"/>
      <c r="P807" s="34"/>
    </row>
    <row r="808" spans="1:16" ht="13">
      <c r="A808" s="34"/>
      <c r="B808" s="34"/>
      <c r="C808" s="34"/>
      <c r="D808" s="34"/>
      <c r="E808" s="34"/>
      <c r="F808" s="34"/>
      <c r="G808" s="34"/>
      <c r="H808" s="34"/>
      <c r="I808" s="34"/>
      <c r="J808" s="34"/>
      <c r="K808" s="34"/>
      <c r="L808" s="34"/>
      <c r="M808" s="34"/>
      <c r="N808" s="34"/>
      <c r="O808" s="34"/>
      <c r="P808" s="34"/>
    </row>
    <row r="809" spans="1:16" ht="13">
      <c r="A809" s="34"/>
      <c r="B809" s="34"/>
      <c r="C809" s="34"/>
      <c r="D809" s="34"/>
      <c r="E809" s="34"/>
      <c r="F809" s="34"/>
      <c r="G809" s="34"/>
      <c r="H809" s="34"/>
      <c r="I809" s="34"/>
      <c r="J809" s="34"/>
      <c r="K809" s="34"/>
      <c r="L809" s="34"/>
      <c r="M809" s="34"/>
      <c r="N809" s="34"/>
      <c r="O809" s="34"/>
      <c r="P809" s="34"/>
    </row>
    <row r="810" spans="1:16" ht="13">
      <c r="A810" s="34"/>
      <c r="B810" s="34"/>
      <c r="C810" s="34"/>
      <c r="D810" s="34"/>
      <c r="E810" s="34"/>
      <c r="F810" s="34"/>
      <c r="G810" s="34"/>
      <c r="H810" s="34"/>
      <c r="I810" s="34"/>
      <c r="J810" s="34"/>
      <c r="K810" s="34"/>
      <c r="L810" s="34"/>
      <c r="M810" s="34"/>
      <c r="N810" s="34"/>
      <c r="O810" s="34"/>
      <c r="P810" s="34"/>
    </row>
    <row r="811" spans="1:16" ht="13">
      <c r="A811" s="34"/>
      <c r="B811" s="34"/>
      <c r="C811" s="34"/>
      <c r="D811" s="34"/>
      <c r="E811" s="34"/>
      <c r="F811" s="34"/>
      <c r="G811" s="34"/>
      <c r="H811" s="34"/>
      <c r="I811" s="34"/>
      <c r="J811" s="34"/>
      <c r="K811" s="34"/>
      <c r="L811" s="34"/>
      <c r="M811" s="34"/>
      <c r="N811" s="34"/>
      <c r="O811" s="34"/>
      <c r="P811" s="34"/>
    </row>
    <row r="812" spans="1:16" ht="13">
      <c r="A812" s="34"/>
      <c r="B812" s="34"/>
      <c r="C812" s="34"/>
      <c r="D812" s="34"/>
      <c r="E812" s="34"/>
      <c r="F812" s="34"/>
      <c r="G812" s="34"/>
      <c r="H812" s="34"/>
      <c r="I812" s="34"/>
      <c r="J812" s="34"/>
      <c r="K812" s="34"/>
      <c r="L812" s="34"/>
      <c r="M812" s="34"/>
      <c r="N812" s="34"/>
      <c r="O812" s="34"/>
      <c r="P812" s="34"/>
    </row>
    <row r="813" spans="1:16" ht="13">
      <c r="A813" s="34"/>
      <c r="B813" s="34"/>
      <c r="C813" s="34"/>
      <c r="D813" s="34"/>
      <c r="E813" s="34"/>
      <c r="F813" s="34"/>
      <c r="G813" s="34"/>
      <c r="H813" s="34"/>
      <c r="I813" s="34"/>
      <c r="J813" s="34"/>
      <c r="K813" s="34"/>
      <c r="L813" s="34"/>
      <c r="M813" s="34"/>
      <c r="N813" s="34"/>
      <c r="O813" s="34"/>
      <c r="P813" s="34"/>
    </row>
    <row r="814" spans="1:16" ht="13">
      <c r="A814" s="34"/>
      <c r="B814" s="34"/>
      <c r="C814" s="34"/>
      <c r="D814" s="34"/>
      <c r="E814" s="34"/>
      <c r="F814" s="34"/>
      <c r="G814" s="34"/>
      <c r="H814" s="34"/>
      <c r="I814" s="34"/>
      <c r="J814" s="34"/>
      <c r="K814" s="34"/>
      <c r="L814" s="34"/>
      <c r="M814" s="34"/>
      <c r="N814" s="34"/>
      <c r="O814" s="34"/>
      <c r="P814" s="34"/>
    </row>
    <row r="815" spans="1:16" ht="13">
      <c r="A815" s="34"/>
      <c r="B815" s="34"/>
      <c r="C815" s="34"/>
      <c r="D815" s="34"/>
      <c r="E815" s="34"/>
      <c r="F815" s="34"/>
      <c r="G815" s="34"/>
      <c r="H815" s="34"/>
      <c r="I815" s="34"/>
      <c r="J815" s="34"/>
      <c r="K815" s="34"/>
      <c r="L815" s="34"/>
      <c r="M815" s="34"/>
      <c r="N815" s="34"/>
      <c r="O815" s="34"/>
      <c r="P815" s="34"/>
    </row>
    <row r="816" spans="1:16" ht="13">
      <c r="A816" s="34"/>
      <c r="B816" s="34"/>
      <c r="C816" s="34"/>
      <c r="D816" s="34"/>
      <c r="E816" s="34"/>
      <c r="F816" s="34"/>
      <c r="G816" s="34"/>
      <c r="H816" s="34"/>
      <c r="I816" s="34"/>
      <c r="J816" s="34"/>
      <c r="K816" s="34"/>
      <c r="L816" s="34"/>
      <c r="M816" s="34"/>
      <c r="N816" s="34"/>
      <c r="O816" s="34"/>
      <c r="P816" s="34"/>
    </row>
    <row r="817" spans="1:16" ht="13">
      <c r="A817" s="34"/>
      <c r="B817" s="34"/>
      <c r="C817" s="34"/>
      <c r="D817" s="34"/>
      <c r="E817" s="34"/>
      <c r="F817" s="34"/>
      <c r="G817" s="34"/>
      <c r="H817" s="34"/>
      <c r="I817" s="34"/>
      <c r="J817" s="34"/>
      <c r="K817" s="34"/>
      <c r="L817" s="34"/>
      <c r="M817" s="34"/>
      <c r="N817" s="34"/>
      <c r="O817" s="34"/>
      <c r="P817" s="34"/>
    </row>
    <row r="818" spans="1:16" ht="13">
      <c r="A818" s="34"/>
      <c r="B818" s="34"/>
      <c r="C818" s="34"/>
      <c r="D818" s="34"/>
      <c r="E818" s="34"/>
      <c r="F818" s="34"/>
      <c r="G818" s="34"/>
      <c r="H818" s="34"/>
      <c r="I818" s="34"/>
      <c r="J818" s="34"/>
      <c r="K818" s="34"/>
      <c r="L818" s="34"/>
      <c r="M818" s="34"/>
      <c r="N818" s="34"/>
      <c r="O818" s="34"/>
      <c r="P818" s="34"/>
    </row>
    <row r="819" spans="1:16" ht="13">
      <c r="A819" s="34"/>
      <c r="B819" s="34"/>
      <c r="C819" s="34"/>
      <c r="D819" s="34"/>
      <c r="E819" s="34"/>
      <c r="F819" s="34"/>
      <c r="G819" s="34"/>
      <c r="H819" s="34"/>
      <c r="I819" s="34"/>
      <c r="J819" s="34"/>
      <c r="K819" s="34"/>
      <c r="L819" s="34"/>
      <c r="M819" s="34"/>
      <c r="N819" s="34"/>
      <c r="O819" s="34"/>
      <c r="P819" s="34"/>
    </row>
    <row r="820" spans="1:16" ht="13">
      <c r="A820" s="34"/>
      <c r="B820" s="34"/>
      <c r="C820" s="34"/>
      <c r="D820" s="34"/>
      <c r="E820" s="34"/>
      <c r="F820" s="34"/>
      <c r="G820" s="34"/>
      <c r="H820" s="34"/>
      <c r="I820" s="34"/>
      <c r="J820" s="34"/>
      <c r="K820" s="34"/>
      <c r="L820" s="34"/>
      <c r="M820" s="34"/>
      <c r="N820" s="34"/>
      <c r="O820" s="34"/>
      <c r="P820" s="34"/>
    </row>
    <row r="821" spans="1:16" ht="13">
      <c r="A821" s="34"/>
      <c r="B821" s="34"/>
      <c r="C821" s="34"/>
      <c r="D821" s="34"/>
      <c r="E821" s="34"/>
      <c r="F821" s="34"/>
      <c r="G821" s="34"/>
      <c r="H821" s="34"/>
      <c r="I821" s="34"/>
      <c r="J821" s="34"/>
      <c r="K821" s="34"/>
      <c r="L821" s="34"/>
      <c r="M821" s="34"/>
      <c r="N821" s="34"/>
      <c r="O821" s="34"/>
      <c r="P821" s="34"/>
    </row>
    <row r="822" spans="1:16" ht="13">
      <c r="A822" s="34"/>
      <c r="B822" s="34"/>
      <c r="C822" s="34"/>
      <c r="D822" s="34"/>
      <c r="E822" s="34"/>
      <c r="F822" s="34"/>
      <c r="G822" s="34"/>
      <c r="H822" s="34"/>
      <c r="I822" s="34"/>
      <c r="J822" s="34"/>
      <c r="K822" s="34"/>
      <c r="L822" s="34"/>
      <c r="M822" s="34"/>
      <c r="N822" s="34"/>
      <c r="O822" s="34"/>
      <c r="P822" s="34"/>
    </row>
    <row r="823" spans="1:16" ht="13">
      <c r="A823" s="34"/>
      <c r="B823" s="34"/>
      <c r="C823" s="34"/>
      <c r="D823" s="34"/>
      <c r="E823" s="34"/>
      <c r="F823" s="34"/>
      <c r="G823" s="34"/>
      <c r="H823" s="34"/>
      <c r="I823" s="34"/>
      <c r="J823" s="34"/>
      <c r="K823" s="34"/>
      <c r="L823" s="34"/>
      <c r="M823" s="34"/>
      <c r="N823" s="34"/>
      <c r="O823" s="34"/>
      <c r="P823" s="34"/>
    </row>
    <row r="824" spans="1:16" ht="13">
      <c r="A824" s="34"/>
      <c r="B824" s="34"/>
      <c r="C824" s="34"/>
      <c r="D824" s="34"/>
      <c r="E824" s="34"/>
      <c r="F824" s="34"/>
      <c r="G824" s="34"/>
      <c r="H824" s="34"/>
      <c r="I824" s="34"/>
      <c r="J824" s="34"/>
      <c r="K824" s="34"/>
      <c r="L824" s="34"/>
      <c r="M824" s="34"/>
      <c r="N824" s="34"/>
      <c r="O824" s="34"/>
      <c r="P824" s="34"/>
    </row>
    <row r="825" spans="1:16" ht="13">
      <c r="A825" s="34"/>
      <c r="B825" s="34"/>
      <c r="C825" s="34"/>
      <c r="D825" s="34"/>
      <c r="E825" s="34"/>
      <c r="F825" s="34"/>
      <c r="G825" s="34"/>
      <c r="H825" s="34"/>
      <c r="I825" s="34"/>
      <c r="J825" s="34"/>
      <c r="K825" s="34"/>
      <c r="L825" s="34"/>
      <c r="M825" s="34"/>
      <c r="N825" s="34"/>
      <c r="O825" s="34"/>
      <c r="P825" s="34"/>
    </row>
    <row r="826" spans="1:16" ht="13">
      <c r="A826" s="34"/>
      <c r="B826" s="34"/>
      <c r="C826" s="34"/>
      <c r="D826" s="34"/>
      <c r="E826" s="34"/>
      <c r="F826" s="34"/>
      <c r="G826" s="34"/>
      <c r="H826" s="34"/>
      <c r="I826" s="34"/>
      <c r="J826" s="34"/>
      <c r="K826" s="34"/>
      <c r="L826" s="34"/>
      <c r="M826" s="34"/>
      <c r="N826" s="34"/>
      <c r="O826" s="34"/>
      <c r="P826" s="34"/>
    </row>
    <row r="827" spans="1:16" ht="13">
      <c r="A827" s="34"/>
      <c r="B827" s="34"/>
      <c r="C827" s="34"/>
      <c r="D827" s="34"/>
      <c r="E827" s="34"/>
      <c r="F827" s="34"/>
      <c r="G827" s="34"/>
      <c r="H827" s="34"/>
      <c r="I827" s="34"/>
      <c r="J827" s="34"/>
      <c r="K827" s="34"/>
      <c r="L827" s="34"/>
      <c r="M827" s="34"/>
      <c r="N827" s="34"/>
      <c r="O827" s="34"/>
      <c r="P827" s="34"/>
    </row>
    <row r="828" spans="1:16" ht="13">
      <c r="A828" s="34"/>
      <c r="B828" s="34"/>
      <c r="C828" s="34"/>
      <c r="D828" s="34"/>
      <c r="E828" s="34"/>
      <c r="F828" s="34"/>
      <c r="G828" s="34"/>
      <c r="H828" s="34"/>
      <c r="I828" s="34"/>
      <c r="J828" s="34"/>
      <c r="K828" s="34"/>
      <c r="L828" s="34"/>
      <c r="M828" s="34"/>
      <c r="N828" s="34"/>
      <c r="O828" s="34"/>
      <c r="P828" s="34"/>
    </row>
    <row r="829" spans="1:16" ht="13">
      <c r="A829" s="34"/>
      <c r="B829" s="34"/>
      <c r="C829" s="34"/>
      <c r="D829" s="34"/>
      <c r="E829" s="34"/>
      <c r="F829" s="34"/>
      <c r="G829" s="34"/>
      <c r="H829" s="34"/>
      <c r="I829" s="34"/>
      <c r="J829" s="34"/>
      <c r="K829" s="34"/>
      <c r="L829" s="34"/>
      <c r="M829" s="34"/>
      <c r="N829" s="34"/>
      <c r="O829" s="34"/>
      <c r="P829" s="34"/>
    </row>
    <row r="830" spans="1:16" ht="13">
      <c r="A830" s="34"/>
      <c r="B830" s="34"/>
      <c r="C830" s="34"/>
      <c r="D830" s="34"/>
      <c r="E830" s="34"/>
      <c r="F830" s="34"/>
      <c r="G830" s="34"/>
      <c r="H830" s="34"/>
      <c r="I830" s="34"/>
      <c r="J830" s="34"/>
      <c r="K830" s="34"/>
      <c r="L830" s="34"/>
      <c r="M830" s="34"/>
      <c r="N830" s="34"/>
      <c r="O830" s="34"/>
      <c r="P830" s="34"/>
    </row>
    <row r="831" spans="1:16" ht="13">
      <c r="A831" s="34"/>
      <c r="B831" s="34"/>
      <c r="C831" s="34"/>
      <c r="D831" s="34"/>
      <c r="E831" s="34"/>
      <c r="F831" s="34"/>
      <c r="G831" s="34"/>
      <c r="H831" s="34"/>
      <c r="I831" s="34"/>
      <c r="J831" s="34"/>
      <c r="K831" s="34"/>
      <c r="L831" s="34"/>
      <c r="M831" s="34"/>
      <c r="N831" s="34"/>
      <c r="O831" s="34"/>
      <c r="P831" s="34"/>
    </row>
    <row r="832" spans="1:16" ht="13">
      <c r="A832" s="34"/>
      <c r="B832" s="34"/>
      <c r="C832" s="34"/>
      <c r="D832" s="34"/>
      <c r="E832" s="34"/>
      <c r="F832" s="34"/>
      <c r="G832" s="34"/>
      <c r="H832" s="34"/>
      <c r="I832" s="34"/>
      <c r="J832" s="34"/>
      <c r="K832" s="34"/>
      <c r="L832" s="34"/>
      <c r="M832" s="34"/>
      <c r="N832" s="34"/>
      <c r="O832" s="34"/>
      <c r="P832" s="34"/>
    </row>
    <row r="833" spans="1:16" ht="13">
      <c r="A833" s="34"/>
      <c r="B833" s="34"/>
      <c r="C833" s="34"/>
      <c r="D833" s="34"/>
      <c r="E833" s="34"/>
      <c r="F833" s="34"/>
      <c r="G833" s="34"/>
      <c r="H833" s="34"/>
      <c r="I833" s="34"/>
      <c r="J833" s="34"/>
      <c r="K833" s="34"/>
      <c r="L833" s="34"/>
      <c r="M833" s="34"/>
      <c r="N833" s="34"/>
      <c r="O833" s="34"/>
      <c r="P833" s="34"/>
    </row>
    <row r="834" spans="1:16" ht="13">
      <c r="A834" s="34"/>
      <c r="B834" s="34"/>
      <c r="C834" s="34"/>
      <c r="D834" s="34"/>
      <c r="E834" s="34"/>
      <c r="F834" s="34"/>
      <c r="G834" s="34"/>
      <c r="H834" s="34"/>
      <c r="I834" s="34"/>
      <c r="J834" s="34"/>
      <c r="K834" s="34"/>
      <c r="L834" s="34"/>
      <c r="M834" s="34"/>
      <c r="N834" s="34"/>
      <c r="O834" s="34"/>
      <c r="P834" s="34"/>
    </row>
    <row r="835" spans="1:16" ht="13">
      <c r="A835" s="34"/>
      <c r="B835" s="34"/>
      <c r="C835" s="34"/>
      <c r="D835" s="34"/>
      <c r="E835" s="34"/>
      <c r="F835" s="34"/>
      <c r="G835" s="34"/>
      <c r="H835" s="34"/>
      <c r="I835" s="34"/>
      <c r="J835" s="34"/>
      <c r="K835" s="34"/>
      <c r="L835" s="34"/>
      <c r="M835" s="34"/>
      <c r="N835" s="34"/>
      <c r="O835" s="34"/>
      <c r="P835" s="34"/>
    </row>
    <row r="836" spans="1:16" ht="13">
      <c r="A836" s="34"/>
      <c r="B836" s="34"/>
      <c r="C836" s="34"/>
      <c r="D836" s="34"/>
      <c r="E836" s="34"/>
      <c r="F836" s="34"/>
      <c r="G836" s="34"/>
      <c r="H836" s="34"/>
      <c r="I836" s="34"/>
      <c r="J836" s="34"/>
      <c r="K836" s="34"/>
      <c r="L836" s="34"/>
      <c r="M836" s="34"/>
      <c r="N836" s="34"/>
      <c r="O836" s="34"/>
      <c r="P836" s="34"/>
    </row>
    <row r="837" spans="1:16" ht="13">
      <c r="A837" s="34"/>
      <c r="B837" s="34"/>
      <c r="C837" s="34"/>
      <c r="D837" s="34"/>
      <c r="E837" s="34"/>
      <c r="F837" s="34"/>
      <c r="G837" s="34"/>
      <c r="H837" s="34"/>
      <c r="I837" s="34"/>
      <c r="J837" s="34"/>
      <c r="K837" s="34"/>
      <c r="L837" s="34"/>
      <c r="M837" s="34"/>
      <c r="N837" s="34"/>
      <c r="O837" s="34"/>
      <c r="P837" s="34"/>
    </row>
    <row r="838" spans="1:16" ht="13">
      <c r="A838" s="34"/>
      <c r="B838" s="34"/>
      <c r="C838" s="34"/>
      <c r="D838" s="34"/>
      <c r="E838" s="34"/>
      <c r="F838" s="34"/>
      <c r="G838" s="34"/>
      <c r="H838" s="34"/>
      <c r="I838" s="34"/>
      <c r="J838" s="34"/>
      <c r="K838" s="34"/>
      <c r="L838" s="34"/>
      <c r="M838" s="34"/>
      <c r="N838" s="34"/>
      <c r="O838" s="34"/>
      <c r="P838" s="34"/>
    </row>
    <row r="839" spans="1:16" ht="13">
      <c r="A839" s="34"/>
      <c r="B839" s="34"/>
      <c r="C839" s="34"/>
      <c r="D839" s="34"/>
      <c r="E839" s="34"/>
      <c r="F839" s="34"/>
      <c r="G839" s="34"/>
      <c r="H839" s="34"/>
      <c r="I839" s="34"/>
      <c r="J839" s="34"/>
      <c r="K839" s="34"/>
      <c r="L839" s="34"/>
      <c r="M839" s="34"/>
      <c r="N839" s="34"/>
      <c r="O839" s="34"/>
      <c r="P839" s="34"/>
    </row>
    <row r="840" spans="1:16" ht="13">
      <c r="A840" s="34"/>
      <c r="B840" s="34"/>
      <c r="C840" s="34"/>
      <c r="D840" s="34"/>
      <c r="E840" s="34"/>
      <c r="F840" s="34"/>
      <c r="G840" s="34"/>
      <c r="H840" s="34"/>
      <c r="I840" s="34"/>
      <c r="J840" s="34"/>
      <c r="K840" s="34"/>
      <c r="L840" s="34"/>
      <c r="M840" s="34"/>
      <c r="N840" s="34"/>
      <c r="O840" s="34"/>
      <c r="P840" s="34"/>
    </row>
    <row r="841" spans="1:16" ht="13">
      <c r="A841" s="34"/>
      <c r="B841" s="34"/>
      <c r="C841" s="34"/>
      <c r="D841" s="34"/>
      <c r="E841" s="34"/>
      <c r="F841" s="34"/>
      <c r="G841" s="34"/>
      <c r="H841" s="34"/>
      <c r="I841" s="34"/>
      <c r="J841" s="34"/>
      <c r="K841" s="34"/>
      <c r="L841" s="34"/>
      <c r="M841" s="34"/>
      <c r="N841" s="34"/>
      <c r="O841" s="34"/>
      <c r="P841" s="34"/>
    </row>
    <row r="842" spans="1:16" ht="13">
      <c r="A842" s="34"/>
      <c r="B842" s="34"/>
      <c r="C842" s="34"/>
      <c r="D842" s="34"/>
      <c r="E842" s="34"/>
      <c r="F842" s="34"/>
      <c r="G842" s="34"/>
      <c r="H842" s="34"/>
      <c r="I842" s="34"/>
      <c r="J842" s="34"/>
      <c r="K842" s="34"/>
      <c r="L842" s="34"/>
      <c r="M842" s="34"/>
      <c r="N842" s="34"/>
      <c r="O842" s="34"/>
      <c r="P842" s="34"/>
    </row>
    <row r="843" spans="1:16" ht="13">
      <c r="A843" s="34"/>
      <c r="B843" s="34"/>
      <c r="C843" s="34"/>
      <c r="D843" s="34"/>
      <c r="E843" s="34"/>
      <c r="F843" s="34"/>
      <c r="G843" s="34"/>
      <c r="H843" s="34"/>
      <c r="I843" s="34"/>
      <c r="J843" s="34"/>
      <c r="K843" s="34"/>
      <c r="L843" s="34"/>
      <c r="M843" s="34"/>
      <c r="N843" s="34"/>
      <c r="O843" s="34"/>
      <c r="P843" s="34"/>
    </row>
    <row r="844" spans="1:16" ht="13">
      <c r="A844" s="34"/>
      <c r="B844" s="34"/>
      <c r="C844" s="34"/>
      <c r="D844" s="34"/>
      <c r="E844" s="34"/>
      <c r="F844" s="34"/>
      <c r="G844" s="34"/>
      <c r="H844" s="34"/>
      <c r="I844" s="34"/>
      <c r="J844" s="34"/>
      <c r="K844" s="34"/>
      <c r="L844" s="34"/>
      <c r="M844" s="34"/>
      <c r="N844" s="34"/>
      <c r="O844" s="34"/>
      <c r="P844" s="34"/>
    </row>
    <row r="845" spans="1:16" ht="13">
      <c r="A845" s="34"/>
      <c r="B845" s="34"/>
      <c r="C845" s="34"/>
      <c r="D845" s="34"/>
      <c r="E845" s="34"/>
      <c r="F845" s="34"/>
      <c r="G845" s="34"/>
      <c r="H845" s="34"/>
      <c r="I845" s="34"/>
      <c r="J845" s="34"/>
      <c r="K845" s="34"/>
      <c r="L845" s="34"/>
      <c r="M845" s="34"/>
      <c r="N845" s="34"/>
      <c r="O845" s="34"/>
      <c r="P845" s="34"/>
    </row>
    <row r="846" spans="1:16" ht="13">
      <c r="A846" s="34"/>
      <c r="B846" s="34"/>
      <c r="C846" s="34"/>
      <c r="D846" s="34"/>
      <c r="E846" s="34"/>
      <c r="F846" s="34"/>
      <c r="G846" s="34"/>
      <c r="H846" s="34"/>
      <c r="I846" s="34"/>
      <c r="J846" s="34"/>
      <c r="K846" s="34"/>
      <c r="L846" s="34"/>
      <c r="M846" s="34"/>
      <c r="N846" s="34"/>
      <c r="O846" s="34"/>
      <c r="P846" s="34"/>
    </row>
    <row r="847" spans="1:16" ht="13">
      <c r="A847" s="34"/>
      <c r="B847" s="34"/>
      <c r="C847" s="34"/>
      <c r="D847" s="34"/>
      <c r="E847" s="34"/>
      <c r="F847" s="34"/>
      <c r="G847" s="34"/>
      <c r="H847" s="34"/>
      <c r="I847" s="34"/>
      <c r="J847" s="34"/>
      <c r="K847" s="34"/>
      <c r="L847" s="34"/>
      <c r="M847" s="34"/>
      <c r="N847" s="34"/>
      <c r="O847" s="34"/>
      <c r="P847" s="34"/>
    </row>
    <row r="848" spans="1:16" ht="13">
      <c r="A848" s="34"/>
      <c r="B848" s="34"/>
      <c r="C848" s="34"/>
      <c r="D848" s="34"/>
      <c r="E848" s="34"/>
      <c r="F848" s="34"/>
      <c r="G848" s="34"/>
      <c r="H848" s="34"/>
      <c r="I848" s="34"/>
      <c r="J848" s="34"/>
      <c r="K848" s="34"/>
      <c r="L848" s="34"/>
      <c r="M848" s="34"/>
      <c r="N848" s="34"/>
      <c r="O848" s="34"/>
      <c r="P848" s="34"/>
    </row>
    <row r="849" spans="1:16" ht="13">
      <c r="A849" s="34"/>
      <c r="B849" s="34"/>
      <c r="C849" s="34"/>
      <c r="D849" s="34"/>
      <c r="E849" s="34"/>
      <c r="F849" s="34"/>
      <c r="G849" s="34"/>
      <c r="H849" s="34"/>
      <c r="I849" s="34"/>
      <c r="J849" s="34"/>
      <c r="K849" s="34"/>
      <c r="L849" s="34"/>
      <c r="M849" s="34"/>
      <c r="N849" s="34"/>
      <c r="O849" s="34"/>
      <c r="P849" s="34"/>
    </row>
    <row r="850" spans="1:16" ht="13">
      <c r="A850" s="34"/>
      <c r="B850" s="34"/>
      <c r="C850" s="34"/>
      <c r="D850" s="34"/>
      <c r="E850" s="34"/>
      <c r="F850" s="34"/>
      <c r="G850" s="34"/>
      <c r="H850" s="34"/>
      <c r="I850" s="34"/>
      <c r="J850" s="34"/>
      <c r="K850" s="34"/>
      <c r="L850" s="34"/>
      <c r="M850" s="34"/>
      <c r="N850" s="34"/>
      <c r="O850" s="34"/>
      <c r="P850" s="34"/>
    </row>
    <row r="851" spans="1:16" ht="13">
      <c r="A851" s="34"/>
      <c r="B851" s="34"/>
      <c r="C851" s="34"/>
      <c r="D851" s="34"/>
      <c r="E851" s="34"/>
      <c r="F851" s="34"/>
      <c r="G851" s="34"/>
      <c r="H851" s="34"/>
      <c r="I851" s="34"/>
      <c r="J851" s="34"/>
      <c r="K851" s="34"/>
      <c r="L851" s="34"/>
      <c r="M851" s="34"/>
      <c r="N851" s="34"/>
      <c r="O851" s="34"/>
      <c r="P851" s="34"/>
    </row>
    <row r="852" spans="1:16" ht="13">
      <c r="A852" s="34"/>
      <c r="B852" s="34"/>
      <c r="C852" s="34"/>
      <c r="D852" s="34"/>
      <c r="E852" s="34"/>
      <c r="F852" s="34"/>
      <c r="G852" s="34"/>
      <c r="H852" s="34"/>
      <c r="I852" s="34"/>
      <c r="J852" s="34"/>
      <c r="K852" s="34"/>
      <c r="L852" s="34"/>
      <c r="M852" s="34"/>
      <c r="N852" s="34"/>
      <c r="O852" s="34"/>
      <c r="P852" s="34"/>
    </row>
    <row r="853" spans="1:16" ht="13">
      <c r="A853" s="34"/>
      <c r="B853" s="34"/>
      <c r="C853" s="34"/>
      <c r="D853" s="34"/>
      <c r="E853" s="34"/>
      <c r="F853" s="34"/>
      <c r="G853" s="34"/>
      <c r="H853" s="34"/>
      <c r="I853" s="34"/>
      <c r="J853" s="34"/>
      <c r="K853" s="34"/>
      <c r="L853" s="34"/>
      <c r="M853" s="34"/>
      <c r="N853" s="34"/>
      <c r="O853" s="34"/>
      <c r="P853" s="34"/>
    </row>
    <row r="854" spans="1:16" ht="13">
      <c r="A854" s="34"/>
      <c r="B854" s="34"/>
      <c r="C854" s="34"/>
      <c r="D854" s="34"/>
      <c r="E854" s="34"/>
      <c r="F854" s="34"/>
      <c r="G854" s="34"/>
      <c r="H854" s="34"/>
      <c r="I854" s="34"/>
      <c r="J854" s="34"/>
      <c r="K854" s="34"/>
      <c r="L854" s="34"/>
      <c r="M854" s="34"/>
      <c r="N854" s="34"/>
      <c r="O854" s="34"/>
      <c r="P854" s="34"/>
    </row>
    <row r="855" spans="1:16" ht="13">
      <c r="A855" s="34"/>
      <c r="B855" s="34"/>
      <c r="C855" s="34"/>
      <c r="D855" s="34"/>
      <c r="E855" s="34"/>
      <c r="F855" s="34"/>
      <c r="G855" s="34"/>
      <c r="H855" s="34"/>
      <c r="I855" s="34"/>
      <c r="J855" s="34"/>
      <c r="K855" s="34"/>
      <c r="L855" s="34"/>
      <c r="M855" s="34"/>
      <c r="N855" s="34"/>
      <c r="O855" s="34"/>
      <c r="P855" s="34"/>
    </row>
    <row r="856" spans="1:16" ht="13">
      <c r="A856" s="34"/>
      <c r="B856" s="34"/>
      <c r="C856" s="34"/>
      <c r="D856" s="34"/>
      <c r="E856" s="34"/>
      <c r="F856" s="34"/>
      <c r="G856" s="34"/>
      <c r="H856" s="34"/>
      <c r="I856" s="34"/>
      <c r="J856" s="34"/>
      <c r="K856" s="34"/>
      <c r="L856" s="34"/>
      <c r="M856" s="34"/>
      <c r="N856" s="34"/>
      <c r="O856" s="34"/>
      <c r="P856" s="34"/>
    </row>
    <row r="857" spans="1:16" ht="13">
      <c r="A857" s="34"/>
      <c r="B857" s="34"/>
      <c r="C857" s="34"/>
      <c r="D857" s="34"/>
      <c r="E857" s="34"/>
      <c r="F857" s="34"/>
      <c r="G857" s="34"/>
      <c r="H857" s="34"/>
      <c r="I857" s="34"/>
      <c r="J857" s="34"/>
      <c r="K857" s="34"/>
      <c r="L857" s="34"/>
      <c r="M857" s="34"/>
      <c r="N857" s="34"/>
      <c r="O857" s="34"/>
      <c r="P857" s="34"/>
    </row>
    <row r="858" spans="1:16" ht="13">
      <c r="A858" s="34"/>
      <c r="B858" s="34"/>
      <c r="C858" s="34"/>
      <c r="D858" s="34"/>
      <c r="E858" s="34"/>
      <c r="F858" s="34"/>
      <c r="G858" s="34"/>
      <c r="H858" s="34"/>
      <c r="I858" s="34"/>
      <c r="J858" s="34"/>
      <c r="K858" s="34"/>
      <c r="L858" s="34"/>
      <c r="M858" s="34"/>
      <c r="N858" s="34"/>
      <c r="O858" s="34"/>
      <c r="P858" s="34"/>
    </row>
    <row r="859" spans="1:16" ht="13">
      <c r="A859" s="34"/>
      <c r="B859" s="34"/>
      <c r="C859" s="34"/>
      <c r="D859" s="34"/>
      <c r="E859" s="34"/>
      <c r="F859" s="34"/>
      <c r="G859" s="34"/>
      <c r="H859" s="34"/>
      <c r="I859" s="34"/>
      <c r="J859" s="34"/>
      <c r="K859" s="34"/>
      <c r="L859" s="34"/>
      <c r="M859" s="34"/>
      <c r="N859" s="34"/>
      <c r="O859" s="34"/>
      <c r="P859" s="34"/>
    </row>
    <row r="860" spans="1:16" ht="13">
      <c r="A860" s="34"/>
      <c r="B860" s="34"/>
      <c r="C860" s="34"/>
      <c r="D860" s="34"/>
      <c r="E860" s="34"/>
      <c r="F860" s="34"/>
      <c r="G860" s="34"/>
      <c r="H860" s="34"/>
      <c r="I860" s="34"/>
      <c r="J860" s="34"/>
      <c r="K860" s="34"/>
      <c r="L860" s="34"/>
      <c r="M860" s="34"/>
      <c r="N860" s="34"/>
      <c r="O860" s="34"/>
      <c r="P860" s="34"/>
    </row>
    <row r="861" spans="1:16" ht="13">
      <c r="A861" s="34"/>
      <c r="B861" s="34"/>
      <c r="C861" s="34"/>
      <c r="D861" s="34"/>
      <c r="E861" s="34"/>
      <c r="F861" s="34"/>
      <c r="G861" s="34"/>
      <c r="H861" s="34"/>
      <c r="I861" s="34"/>
      <c r="J861" s="34"/>
      <c r="K861" s="34"/>
      <c r="L861" s="34"/>
      <c r="M861" s="34"/>
      <c r="N861" s="34"/>
      <c r="O861" s="34"/>
      <c r="P861" s="34"/>
    </row>
    <row r="862" spans="1:16" ht="13">
      <c r="A862" s="34"/>
      <c r="B862" s="34"/>
      <c r="C862" s="34"/>
      <c r="D862" s="34"/>
      <c r="E862" s="34"/>
      <c r="F862" s="34"/>
      <c r="G862" s="34"/>
      <c r="H862" s="34"/>
      <c r="I862" s="34"/>
      <c r="J862" s="34"/>
      <c r="K862" s="34"/>
      <c r="L862" s="34"/>
      <c r="M862" s="34"/>
      <c r="N862" s="34"/>
      <c r="O862" s="34"/>
      <c r="P862" s="34"/>
    </row>
    <row r="863" spans="1:16" ht="13">
      <c r="A863" s="34"/>
      <c r="B863" s="34"/>
      <c r="C863" s="34"/>
      <c r="D863" s="34"/>
      <c r="E863" s="34"/>
      <c r="F863" s="34"/>
      <c r="G863" s="34"/>
      <c r="H863" s="34"/>
      <c r="I863" s="34"/>
      <c r="J863" s="34"/>
      <c r="K863" s="34"/>
      <c r="L863" s="34"/>
      <c r="M863" s="34"/>
      <c r="N863" s="34"/>
      <c r="O863" s="34"/>
      <c r="P863" s="34"/>
    </row>
    <row r="864" spans="1:16" ht="13">
      <c r="A864" s="34"/>
      <c r="B864" s="34"/>
      <c r="C864" s="34"/>
      <c r="D864" s="34"/>
      <c r="E864" s="34"/>
      <c r="F864" s="34"/>
      <c r="G864" s="34"/>
      <c r="H864" s="34"/>
      <c r="I864" s="34"/>
      <c r="J864" s="34"/>
      <c r="K864" s="34"/>
      <c r="L864" s="34"/>
      <c r="M864" s="34"/>
      <c r="N864" s="34"/>
      <c r="O864" s="34"/>
      <c r="P864" s="34"/>
    </row>
    <row r="865" spans="1:16" ht="13">
      <c r="A865" s="34"/>
      <c r="B865" s="34"/>
      <c r="C865" s="34"/>
      <c r="D865" s="34"/>
      <c r="E865" s="34"/>
      <c r="F865" s="34"/>
      <c r="G865" s="34"/>
      <c r="H865" s="34"/>
      <c r="I865" s="34"/>
      <c r="J865" s="34"/>
      <c r="K865" s="34"/>
      <c r="L865" s="34"/>
      <c r="M865" s="34"/>
      <c r="N865" s="34"/>
      <c r="O865" s="34"/>
      <c r="P865" s="34"/>
    </row>
    <row r="866" spans="1:16" ht="13">
      <c r="A866" s="34"/>
      <c r="B866" s="34"/>
      <c r="C866" s="34"/>
      <c r="D866" s="34"/>
      <c r="E866" s="34"/>
      <c r="F866" s="34"/>
      <c r="G866" s="34"/>
      <c r="H866" s="34"/>
      <c r="I866" s="34"/>
      <c r="J866" s="34"/>
      <c r="K866" s="34"/>
      <c r="L866" s="34"/>
      <c r="M866" s="34"/>
      <c r="N866" s="34"/>
      <c r="O866" s="34"/>
      <c r="P866" s="34"/>
    </row>
    <row r="867" spans="1:16" ht="13">
      <c r="A867" s="34"/>
      <c r="B867" s="34"/>
      <c r="C867" s="34"/>
      <c r="D867" s="34"/>
      <c r="E867" s="34"/>
      <c r="F867" s="34"/>
      <c r="G867" s="34"/>
      <c r="H867" s="34"/>
      <c r="I867" s="34"/>
      <c r="J867" s="34"/>
      <c r="K867" s="34"/>
      <c r="L867" s="34"/>
      <c r="M867" s="34"/>
      <c r="N867" s="34"/>
      <c r="O867" s="34"/>
      <c r="P867" s="34"/>
    </row>
    <row r="868" spans="1:16" ht="13">
      <c r="A868" s="34"/>
      <c r="B868" s="34"/>
      <c r="C868" s="34"/>
      <c r="D868" s="34"/>
      <c r="E868" s="34"/>
      <c r="F868" s="34"/>
      <c r="G868" s="34"/>
      <c r="H868" s="34"/>
      <c r="I868" s="34"/>
      <c r="J868" s="34"/>
      <c r="K868" s="34"/>
      <c r="L868" s="34"/>
      <c r="M868" s="34"/>
      <c r="N868" s="34"/>
      <c r="O868" s="34"/>
      <c r="P868" s="34"/>
    </row>
    <row r="869" spans="1:16" ht="13">
      <c r="A869" s="34"/>
      <c r="B869" s="34"/>
      <c r="C869" s="34"/>
      <c r="D869" s="34"/>
      <c r="E869" s="34"/>
      <c r="F869" s="34"/>
      <c r="G869" s="34"/>
      <c r="H869" s="34"/>
      <c r="I869" s="34"/>
      <c r="J869" s="34"/>
      <c r="K869" s="34"/>
      <c r="L869" s="34"/>
      <c r="M869" s="34"/>
      <c r="N869" s="34"/>
      <c r="O869" s="34"/>
      <c r="P869" s="34"/>
    </row>
    <row r="870" spans="1:16" ht="13">
      <c r="A870" s="34"/>
      <c r="B870" s="34"/>
      <c r="C870" s="34"/>
      <c r="D870" s="34"/>
      <c r="E870" s="34"/>
      <c r="F870" s="34"/>
      <c r="G870" s="34"/>
      <c r="H870" s="34"/>
      <c r="I870" s="34"/>
      <c r="J870" s="34"/>
      <c r="K870" s="34"/>
      <c r="L870" s="34"/>
      <c r="M870" s="34"/>
      <c r="N870" s="34"/>
      <c r="O870" s="34"/>
      <c r="P870" s="34"/>
    </row>
    <row r="871" spans="1:16" ht="13">
      <c r="A871" s="34"/>
      <c r="B871" s="34"/>
      <c r="C871" s="34"/>
      <c r="D871" s="34"/>
      <c r="E871" s="34"/>
      <c r="F871" s="34"/>
      <c r="G871" s="34"/>
      <c r="H871" s="34"/>
      <c r="I871" s="34"/>
      <c r="J871" s="34"/>
      <c r="K871" s="34"/>
      <c r="L871" s="34"/>
      <c r="M871" s="34"/>
      <c r="N871" s="34"/>
      <c r="O871" s="34"/>
      <c r="P871" s="34"/>
    </row>
    <row r="872" spans="1:16" ht="13">
      <c r="A872" s="34"/>
      <c r="B872" s="34"/>
      <c r="C872" s="34"/>
      <c r="D872" s="34"/>
      <c r="E872" s="34"/>
      <c r="F872" s="34"/>
      <c r="G872" s="34"/>
      <c r="H872" s="34"/>
      <c r="I872" s="34"/>
      <c r="J872" s="34"/>
      <c r="K872" s="34"/>
      <c r="L872" s="34"/>
      <c r="M872" s="34"/>
      <c r="N872" s="34"/>
      <c r="O872" s="34"/>
      <c r="P872" s="34"/>
    </row>
    <row r="873" spans="1:16" ht="13">
      <c r="A873" s="34"/>
      <c r="B873" s="34"/>
      <c r="C873" s="34"/>
      <c r="D873" s="34"/>
      <c r="E873" s="34"/>
      <c r="F873" s="34"/>
      <c r="G873" s="34"/>
      <c r="H873" s="34"/>
      <c r="I873" s="34"/>
      <c r="J873" s="34"/>
      <c r="K873" s="34"/>
      <c r="L873" s="34"/>
      <c r="M873" s="34"/>
      <c r="N873" s="34"/>
      <c r="O873" s="34"/>
      <c r="P873" s="34"/>
    </row>
    <row r="874" spans="1:16" ht="13">
      <c r="A874" s="34"/>
      <c r="B874" s="34"/>
      <c r="C874" s="34"/>
      <c r="D874" s="34"/>
      <c r="E874" s="34"/>
      <c r="F874" s="34"/>
      <c r="G874" s="34"/>
      <c r="H874" s="34"/>
      <c r="I874" s="34"/>
      <c r="J874" s="34"/>
      <c r="K874" s="34"/>
      <c r="L874" s="34"/>
      <c r="M874" s="34"/>
      <c r="N874" s="34"/>
      <c r="O874" s="34"/>
      <c r="P874" s="34"/>
    </row>
    <row r="875" spans="1:16" ht="13">
      <c r="A875" s="34"/>
      <c r="B875" s="34"/>
      <c r="C875" s="34"/>
      <c r="D875" s="34"/>
      <c r="E875" s="34"/>
      <c r="F875" s="34"/>
      <c r="G875" s="34"/>
      <c r="H875" s="34"/>
      <c r="I875" s="34"/>
      <c r="J875" s="34"/>
      <c r="K875" s="34"/>
      <c r="L875" s="34"/>
      <c r="M875" s="34"/>
      <c r="N875" s="34"/>
      <c r="O875" s="34"/>
      <c r="P875" s="34"/>
    </row>
    <row r="876" spans="1:16" ht="13">
      <c r="A876" s="34"/>
      <c r="B876" s="34"/>
      <c r="C876" s="34"/>
      <c r="D876" s="34"/>
      <c r="E876" s="34"/>
      <c r="F876" s="34"/>
      <c r="G876" s="34"/>
      <c r="H876" s="34"/>
      <c r="I876" s="34"/>
      <c r="J876" s="34"/>
      <c r="K876" s="34"/>
      <c r="L876" s="34"/>
      <c r="M876" s="34"/>
      <c r="N876" s="34"/>
      <c r="O876" s="34"/>
      <c r="P876" s="34"/>
    </row>
    <row r="877" spans="1:16" ht="13">
      <c r="A877" s="34"/>
      <c r="B877" s="34"/>
      <c r="C877" s="34"/>
      <c r="D877" s="34"/>
      <c r="E877" s="34"/>
      <c r="F877" s="34"/>
      <c r="G877" s="34"/>
      <c r="H877" s="34"/>
      <c r="I877" s="34"/>
      <c r="J877" s="34"/>
      <c r="K877" s="34"/>
      <c r="L877" s="34"/>
      <c r="M877" s="34"/>
      <c r="N877" s="34"/>
      <c r="O877" s="34"/>
      <c r="P877" s="34"/>
    </row>
    <row r="878" spans="1:16" ht="13">
      <c r="A878" s="34"/>
      <c r="B878" s="34"/>
      <c r="C878" s="34"/>
      <c r="D878" s="34"/>
      <c r="E878" s="34"/>
      <c r="F878" s="34"/>
      <c r="G878" s="34"/>
      <c r="H878" s="34"/>
      <c r="I878" s="34"/>
      <c r="J878" s="34"/>
      <c r="K878" s="34"/>
      <c r="L878" s="34"/>
      <c r="M878" s="34"/>
      <c r="N878" s="34"/>
      <c r="O878" s="34"/>
      <c r="P878" s="34"/>
    </row>
    <row r="879" spans="1:16" ht="13">
      <c r="A879" s="34"/>
      <c r="B879" s="34"/>
      <c r="C879" s="34"/>
      <c r="D879" s="34"/>
      <c r="E879" s="34"/>
      <c r="F879" s="34"/>
      <c r="G879" s="34"/>
      <c r="H879" s="34"/>
      <c r="I879" s="34"/>
      <c r="J879" s="34"/>
      <c r="K879" s="34"/>
      <c r="L879" s="34"/>
      <c r="M879" s="34"/>
      <c r="N879" s="34"/>
      <c r="O879" s="34"/>
      <c r="P879" s="34"/>
    </row>
    <row r="880" spans="1:16" ht="13">
      <c r="A880" s="34"/>
      <c r="B880" s="34"/>
      <c r="C880" s="34"/>
      <c r="D880" s="34"/>
      <c r="E880" s="34"/>
      <c r="F880" s="34"/>
      <c r="G880" s="34"/>
      <c r="H880" s="34"/>
      <c r="I880" s="34"/>
      <c r="J880" s="34"/>
      <c r="K880" s="34"/>
      <c r="L880" s="34"/>
      <c r="M880" s="34"/>
      <c r="N880" s="34"/>
      <c r="O880" s="34"/>
      <c r="P880" s="34"/>
    </row>
    <row r="881" spans="1:16" ht="13">
      <c r="A881" s="34"/>
      <c r="B881" s="34"/>
      <c r="C881" s="34"/>
      <c r="D881" s="34"/>
      <c r="E881" s="34"/>
      <c r="F881" s="34"/>
      <c r="G881" s="34"/>
      <c r="H881" s="34"/>
      <c r="I881" s="34"/>
      <c r="J881" s="34"/>
      <c r="K881" s="34"/>
      <c r="L881" s="34"/>
      <c r="M881" s="34"/>
      <c r="N881" s="34"/>
      <c r="O881" s="34"/>
      <c r="P881" s="34"/>
    </row>
    <row r="882" spans="1:16" ht="13">
      <c r="A882" s="34"/>
      <c r="B882" s="34"/>
      <c r="C882" s="34"/>
      <c r="D882" s="34"/>
      <c r="E882" s="34"/>
      <c r="F882" s="34"/>
      <c r="G882" s="34"/>
      <c r="H882" s="34"/>
      <c r="I882" s="34"/>
      <c r="J882" s="34"/>
      <c r="K882" s="34"/>
      <c r="L882" s="34"/>
      <c r="M882" s="34"/>
      <c r="N882" s="34"/>
      <c r="O882" s="34"/>
      <c r="P882" s="34"/>
    </row>
    <row r="883" spans="1:16" ht="13">
      <c r="A883" s="34"/>
      <c r="B883" s="34"/>
      <c r="C883" s="34"/>
      <c r="D883" s="34"/>
      <c r="E883" s="34"/>
      <c r="F883" s="34"/>
      <c r="G883" s="34"/>
      <c r="H883" s="34"/>
      <c r="I883" s="34"/>
      <c r="J883" s="34"/>
      <c r="K883" s="34"/>
      <c r="L883" s="34"/>
      <c r="M883" s="34"/>
      <c r="N883" s="34"/>
      <c r="O883" s="34"/>
      <c r="P883" s="34"/>
    </row>
    <row r="884" spans="1:16" ht="13">
      <c r="A884" s="34"/>
      <c r="B884" s="34"/>
      <c r="C884" s="34"/>
      <c r="D884" s="34"/>
      <c r="E884" s="34"/>
      <c r="F884" s="34"/>
      <c r="G884" s="34"/>
      <c r="H884" s="34"/>
      <c r="I884" s="34"/>
      <c r="J884" s="34"/>
      <c r="K884" s="34"/>
      <c r="L884" s="34"/>
      <c r="M884" s="34"/>
      <c r="N884" s="34"/>
      <c r="O884" s="34"/>
      <c r="P884" s="34"/>
    </row>
    <row r="885" spans="1:16" ht="13">
      <c r="A885" s="34"/>
      <c r="B885" s="34"/>
      <c r="C885" s="34"/>
      <c r="D885" s="34"/>
      <c r="E885" s="34"/>
      <c r="F885" s="34"/>
      <c r="G885" s="34"/>
      <c r="H885" s="34"/>
      <c r="I885" s="34"/>
      <c r="J885" s="34"/>
      <c r="K885" s="34"/>
      <c r="L885" s="34"/>
      <c r="M885" s="34"/>
      <c r="N885" s="34"/>
      <c r="O885" s="34"/>
      <c r="P885" s="34"/>
    </row>
    <row r="886" spans="1:16" ht="13">
      <c r="A886" s="34"/>
      <c r="B886" s="34"/>
      <c r="C886" s="34"/>
      <c r="D886" s="34"/>
      <c r="E886" s="34"/>
      <c r="F886" s="34"/>
      <c r="G886" s="34"/>
      <c r="H886" s="34"/>
      <c r="I886" s="34"/>
      <c r="J886" s="34"/>
      <c r="K886" s="34"/>
      <c r="L886" s="34"/>
      <c r="M886" s="34"/>
      <c r="N886" s="34"/>
      <c r="O886" s="34"/>
      <c r="P886" s="34"/>
    </row>
    <row r="887" spans="1:16" ht="13">
      <c r="A887" s="34"/>
      <c r="B887" s="34"/>
      <c r="C887" s="34"/>
      <c r="D887" s="34"/>
      <c r="E887" s="34"/>
      <c r="F887" s="34"/>
      <c r="G887" s="34"/>
      <c r="H887" s="34"/>
      <c r="I887" s="34"/>
      <c r="J887" s="34"/>
      <c r="K887" s="34"/>
      <c r="L887" s="34"/>
      <c r="M887" s="34"/>
      <c r="N887" s="34"/>
      <c r="O887" s="34"/>
      <c r="P887" s="34"/>
    </row>
    <row r="888" spans="1:16" ht="13">
      <c r="A888" s="34"/>
      <c r="B888" s="34"/>
      <c r="C888" s="34"/>
      <c r="D888" s="34"/>
      <c r="E888" s="34"/>
      <c r="F888" s="34"/>
      <c r="G888" s="34"/>
      <c r="H888" s="34"/>
      <c r="I888" s="34"/>
      <c r="J888" s="34"/>
      <c r="K888" s="34"/>
      <c r="L888" s="34"/>
      <c r="M888" s="34"/>
      <c r="N888" s="34"/>
      <c r="O888" s="34"/>
      <c r="P888" s="34"/>
    </row>
    <row r="889" spans="1:16" ht="13">
      <c r="A889" s="34"/>
      <c r="B889" s="34"/>
      <c r="C889" s="34"/>
      <c r="D889" s="34"/>
      <c r="E889" s="34"/>
      <c r="F889" s="34"/>
      <c r="G889" s="34"/>
      <c r="H889" s="34"/>
      <c r="I889" s="34"/>
      <c r="J889" s="34"/>
      <c r="K889" s="34"/>
      <c r="L889" s="34"/>
      <c r="M889" s="34"/>
      <c r="N889" s="34"/>
      <c r="O889" s="34"/>
      <c r="P889" s="34"/>
    </row>
    <row r="890" spans="1:16" ht="13">
      <c r="A890" s="34"/>
      <c r="B890" s="34"/>
      <c r="C890" s="34"/>
      <c r="D890" s="34"/>
      <c r="E890" s="34"/>
      <c r="F890" s="34"/>
      <c r="G890" s="34"/>
      <c r="H890" s="34"/>
      <c r="I890" s="34"/>
      <c r="J890" s="34"/>
      <c r="K890" s="34"/>
      <c r="L890" s="34"/>
      <c r="M890" s="34"/>
      <c r="N890" s="34"/>
      <c r="O890" s="34"/>
      <c r="P890" s="34"/>
    </row>
    <row r="891" spans="1:16" ht="13">
      <c r="A891" s="34"/>
      <c r="B891" s="34"/>
      <c r="C891" s="34"/>
      <c r="D891" s="34"/>
      <c r="E891" s="34"/>
      <c r="F891" s="34"/>
      <c r="G891" s="34"/>
      <c r="H891" s="34"/>
      <c r="I891" s="34"/>
      <c r="J891" s="34"/>
      <c r="K891" s="34"/>
      <c r="L891" s="34"/>
      <c r="M891" s="34"/>
      <c r="N891" s="34"/>
      <c r="O891" s="34"/>
      <c r="P891" s="34"/>
    </row>
    <row r="892" spans="1:16" ht="13">
      <c r="A892" s="34"/>
      <c r="B892" s="34"/>
      <c r="C892" s="34"/>
      <c r="D892" s="34"/>
      <c r="E892" s="34"/>
      <c r="F892" s="34"/>
      <c r="G892" s="34"/>
      <c r="H892" s="34"/>
      <c r="I892" s="34"/>
      <c r="J892" s="34"/>
      <c r="K892" s="34"/>
      <c r="L892" s="34"/>
      <c r="M892" s="34"/>
      <c r="N892" s="34"/>
      <c r="O892" s="34"/>
      <c r="P892" s="34"/>
    </row>
    <row r="893" spans="1:16" ht="13">
      <c r="A893" s="34"/>
      <c r="B893" s="34"/>
      <c r="C893" s="34"/>
      <c r="D893" s="34"/>
      <c r="E893" s="34"/>
      <c r="F893" s="34"/>
      <c r="G893" s="34"/>
      <c r="H893" s="34"/>
      <c r="I893" s="34"/>
      <c r="J893" s="34"/>
      <c r="K893" s="34"/>
      <c r="L893" s="34"/>
      <c r="M893" s="34"/>
      <c r="N893" s="34"/>
      <c r="O893" s="34"/>
      <c r="P893" s="34"/>
    </row>
    <row r="894" spans="1:16" ht="13">
      <c r="A894" s="34"/>
      <c r="B894" s="34"/>
      <c r="C894" s="34"/>
      <c r="D894" s="34"/>
      <c r="E894" s="34"/>
      <c r="F894" s="34"/>
      <c r="G894" s="34"/>
      <c r="H894" s="34"/>
      <c r="I894" s="34"/>
      <c r="J894" s="34"/>
      <c r="K894" s="34"/>
      <c r="L894" s="34"/>
      <c r="M894" s="34"/>
      <c r="N894" s="34"/>
      <c r="O894" s="34"/>
      <c r="P894" s="34"/>
    </row>
    <row r="895" spans="1:16" ht="13">
      <c r="A895" s="34"/>
      <c r="B895" s="34"/>
      <c r="C895" s="34"/>
      <c r="D895" s="34"/>
      <c r="E895" s="34"/>
      <c r="F895" s="34"/>
      <c r="G895" s="34"/>
      <c r="H895" s="34"/>
      <c r="I895" s="34"/>
      <c r="J895" s="34"/>
      <c r="K895" s="34"/>
      <c r="L895" s="34"/>
      <c r="M895" s="34"/>
      <c r="N895" s="34"/>
      <c r="O895" s="34"/>
      <c r="P895" s="34"/>
    </row>
    <row r="896" spans="1:16" ht="13">
      <c r="A896" s="34"/>
      <c r="B896" s="34"/>
      <c r="C896" s="34"/>
      <c r="D896" s="34"/>
      <c r="E896" s="34"/>
      <c r="F896" s="34"/>
      <c r="G896" s="34"/>
      <c r="H896" s="34"/>
      <c r="I896" s="34"/>
      <c r="J896" s="34"/>
      <c r="K896" s="34"/>
      <c r="L896" s="34"/>
      <c r="M896" s="34"/>
      <c r="N896" s="34"/>
      <c r="O896" s="34"/>
      <c r="P896" s="34"/>
    </row>
    <row r="897" spans="1:16" ht="13">
      <c r="A897" s="34"/>
      <c r="B897" s="34"/>
      <c r="C897" s="34"/>
      <c r="D897" s="34"/>
      <c r="E897" s="34"/>
      <c r="F897" s="34"/>
      <c r="G897" s="34"/>
      <c r="H897" s="34"/>
      <c r="I897" s="34"/>
      <c r="J897" s="34"/>
      <c r="K897" s="34"/>
      <c r="L897" s="34"/>
      <c r="M897" s="34"/>
      <c r="N897" s="34"/>
      <c r="O897" s="34"/>
      <c r="P897" s="34"/>
    </row>
    <row r="898" spans="1:16" ht="13">
      <c r="A898" s="34"/>
      <c r="B898" s="34"/>
      <c r="C898" s="34"/>
      <c r="D898" s="34"/>
      <c r="E898" s="34"/>
      <c r="F898" s="34"/>
      <c r="G898" s="34"/>
      <c r="H898" s="34"/>
      <c r="I898" s="34"/>
      <c r="J898" s="34"/>
      <c r="K898" s="34"/>
      <c r="L898" s="34"/>
      <c r="M898" s="34"/>
      <c r="N898" s="34"/>
      <c r="O898" s="34"/>
      <c r="P898" s="34"/>
    </row>
    <row r="899" spans="1:16" ht="13">
      <c r="A899" s="34"/>
      <c r="B899" s="34"/>
      <c r="C899" s="34"/>
      <c r="D899" s="34"/>
      <c r="E899" s="34"/>
      <c r="F899" s="34"/>
      <c r="G899" s="34"/>
      <c r="H899" s="34"/>
      <c r="I899" s="34"/>
      <c r="J899" s="34"/>
      <c r="K899" s="34"/>
      <c r="L899" s="34"/>
      <c r="M899" s="34"/>
      <c r="N899" s="34"/>
      <c r="O899" s="34"/>
      <c r="P899" s="34"/>
    </row>
    <row r="900" spans="1:16" ht="13">
      <c r="A900" s="34"/>
      <c r="B900" s="34"/>
      <c r="C900" s="34"/>
      <c r="D900" s="34"/>
      <c r="E900" s="34"/>
      <c r="F900" s="34"/>
      <c r="G900" s="34"/>
      <c r="H900" s="34"/>
      <c r="I900" s="34"/>
      <c r="J900" s="34"/>
      <c r="K900" s="34"/>
      <c r="L900" s="34"/>
      <c r="M900" s="34"/>
      <c r="N900" s="34"/>
      <c r="O900" s="34"/>
      <c r="P900" s="34"/>
    </row>
    <row r="901" spans="1:16" ht="13">
      <c r="A901" s="34"/>
      <c r="B901" s="34"/>
      <c r="C901" s="34"/>
      <c r="D901" s="34"/>
      <c r="E901" s="34"/>
      <c r="F901" s="34"/>
      <c r="G901" s="34"/>
      <c r="H901" s="34"/>
      <c r="I901" s="34"/>
      <c r="J901" s="34"/>
      <c r="K901" s="34"/>
      <c r="L901" s="34"/>
      <c r="M901" s="34"/>
      <c r="N901" s="34"/>
      <c r="O901" s="34"/>
      <c r="P901" s="34"/>
    </row>
    <row r="902" spans="1:16" ht="13">
      <c r="A902" s="34"/>
      <c r="B902" s="34"/>
      <c r="C902" s="34"/>
      <c r="D902" s="34"/>
      <c r="E902" s="34"/>
      <c r="F902" s="34"/>
      <c r="G902" s="34"/>
      <c r="H902" s="34"/>
      <c r="I902" s="34"/>
      <c r="J902" s="34"/>
      <c r="K902" s="34"/>
      <c r="L902" s="34"/>
      <c r="M902" s="34"/>
      <c r="N902" s="34"/>
      <c r="O902" s="34"/>
      <c r="P902" s="34"/>
    </row>
    <row r="903" spans="1:16" ht="13">
      <c r="A903" s="34"/>
      <c r="B903" s="34"/>
      <c r="C903" s="34"/>
      <c r="D903" s="34"/>
      <c r="E903" s="34"/>
      <c r="F903" s="34"/>
      <c r="G903" s="34"/>
      <c r="H903" s="34"/>
      <c r="I903" s="34"/>
      <c r="J903" s="34"/>
      <c r="K903" s="34"/>
      <c r="L903" s="34"/>
      <c r="M903" s="34"/>
      <c r="N903" s="34"/>
      <c r="O903" s="34"/>
      <c r="P903" s="34"/>
    </row>
    <row r="904" spans="1:16" ht="13">
      <c r="A904" s="34"/>
      <c r="B904" s="34"/>
      <c r="C904" s="34"/>
      <c r="D904" s="34"/>
      <c r="E904" s="34"/>
      <c r="F904" s="34"/>
      <c r="G904" s="34"/>
      <c r="H904" s="34"/>
      <c r="I904" s="34"/>
      <c r="J904" s="34"/>
      <c r="K904" s="34"/>
      <c r="L904" s="34"/>
      <c r="M904" s="34"/>
      <c r="N904" s="34"/>
      <c r="O904" s="34"/>
      <c r="P904" s="34"/>
    </row>
    <row r="905" spans="1:16" ht="13">
      <c r="A905" s="34"/>
      <c r="B905" s="34"/>
      <c r="C905" s="34"/>
      <c r="D905" s="34"/>
      <c r="E905" s="34"/>
      <c r="F905" s="34"/>
      <c r="G905" s="34"/>
      <c r="H905" s="34"/>
      <c r="I905" s="34"/>
      <c r="J905" s="34"/>
      <c r="K905" s="34"/>
      <c r="L905" s="34"/>
      <c r="M905" s="34"/>
      <c r="N905" s="34"/>
      <c r="O905" s="34"/>
      <c r="P905" s="34"/>
    </row>
    <row r="906" spans="1:16" ht="13">
      <c r="A906" s="34"/>
      <c r="B906" s="34"/>
      <c r="C906" s="34"/>
      <c r="D906" s="34"/>
      <c r="E906" s="34"/>
      <c r="F906" s="34"/>
      <c r="G906" s="34"/>
      <c r="H906" s="34"/>
      <c r="I906" s="34"/>
      <c r="J906" s="34"/>
      <c r="K906" s="34"/>
      <c r="L906" s="34"/>
      <c r="M906" s="34"/>
      <c r="N906" s="34"/>
      <c r="O906" s="34"/>
      <c r="P906" s="34"/>
    </row>
    <row r="907" spans="1:16" ht="13">
      <c r="A907" s="34"/>
      <c r="B907" s="34"/>
      <c r="C907" s="34"/>
      <c r="D907" s="34"/>
      <c r="E907" s="34"/>
      <c r="F907" s="34"/>
      <c r="G907" s="34"/>
      <c r="H907" s="34"/>
      <c r="I907" s="34"/>
      <c r="J907" s="34"/>
      <c r="K907" s="34"/>
      <c r="L907" s="34"/>
      <c r="M907" s="34"/>
      <c r="N907" s="34"/>
      <c r="O907" s="34"/>
      <c r="P907" s="34"/>
    </row>
    <row r="908" spans="1:16" ht="13">
      <c r="A908" s="34"/>
      <c r="B908" s="34"/>
      <c r="C908" s="34"/>
      <c r="D908" s="34"/>
      <c r="E908" s="34"/>
      <c r="F908" s="34"/>
      <c r="G908" s="34"/>
      <c r="H908" s="34"/>
      <c r="I908" s="34"/>
      <c r="J908" s="34"/>
      <c r="K908" s="34"/>
      <c r="L908" s="34"/>
      <c r="M908" s="34"/>
      <c r="N908" s="34"/>
      <c r="O908" s="34"/>
      <c r="P908" s="34"/>
    </row>
    <row r="909" spans="1:16" ht="13">
      <c r="A909" s="34"/>
      <c r="B909" s="34"/>
      <c r="C909" s="34"/>
      <c r="D909" s="34"/>
      <c r="E909" s="34"/>
      <c r="F909" s="34"/>
      <c r="G909" s="34"/>
      <c r="H909" s="34"/>
      <c r="I909" s="34"/>
      <c r="J909" s="34"/>
      <c r="K909" s="34"/>
      <c r="L909" s="34"/>
      <c r="M909" s="34"/>
      <c r="N909" s="34"/>
      <c r="O909" s="34"/>
      <c r="P909" s="34"/>
    </row>
    <row r="910" spans="1:16" ht="13">
      <c r="A910" s="34"/>
      <c r="B910" s="34"/>
      <c r="C910" s="34"/>
      <c r="D910" s="34"/>
      <c r="E910" s="34"/>
      <c r="F910" s="34"/>
      <c r="G910" s="34"/>
      <c r="H910" s="34"/>
      <c r="I910" s="34"/>
      <c r="J910" s="34"/>
      <c r="K910" s="34"/>
      <c r="L910" s="34"/>
      <c r="M910" s="34"/>
      <c r="N910" s="34"/>
      <c r="O910" s="34"/>
      <c r="P910" s="34"/>
    </row>
    <row r="911" spans="1:16" ht="13">
      <c r="A911" s="34"/>
      <c r="B911" s="34"/>
      <c r="C911" s="34"/>
      <c r="D911" s="34"/>
      <c r="E911" s="34"/>
      <c r="F911" s="34"/>
      <c r="G911" s="34"/>
      <c r="H911" s="34"/>
      <c r="I911" s="34"/>
      <c r="J911" s="34"/>
      <c r="K911" s="34"/>
      <c r="L911" s="34"/>
      <c r="M911" s="34"/>
      <c r="N911" s="34"/>
      <c r="O911" s="34"/>
      <c r="P911" s="34"/>
    </row>
    <row r="912" spans="1:16" ht="13">
      <c r="A912" s="34"/>
      <c r="B912" s="34"/>
      <c r="C912" s="34"/>
      <c r="D912" s="34"/>
      <c r="E912" s="34"/>
      <c r="F912" s="34"/>
      <c r="G912" s="34"/>
      <c r="H912" s="34"/>
      <c r="I912" s="34"/>
      <c r="J912" s="34"/>
      <c r="K912" s="34"/>
      <c r="L912" s="34"/>
      <c r="M912" s="34"/>
      <c r="N912" s="34"/>
      <c r="O912" s="34"/>
      <c r="P912" s="34"/>
    </row>
    <row r="913" spans="1:16" ht="13">
      <c r="A913" s="34"/>
      <c r="B913" s="34"/>
      <c r="C913" s="34"/>
      <c r="D913" s="34"/>
      <c r="E913" s="34"/>
      <c r="F913" s="34"/>
      <c r="G913" s="34"/>
      <c r="H913" s="34"/>
      <c r="I913" s="34"/>
      <c r="J913" s="34"/>
      <c r="K913" s="34"/>
      <c r="L913" s="34"/>
      <c r="M913" s="34"/>
      <c r="N913" s="34"/>
      <c r="O913" s="34"/>
      <c r="P913" s="34"/>
    </row>
    <row r="914" spans="1:16" ht="13">
      <c r="A914" s="34"/>
      <c r="B914" s="34"/>
      <c r="C914" s="34"/>
      <c r="D914" s="34"/>
      <c r="E914" s="34"/>
      <c r="F914" s="34"/>
      <c r="G914" s="34"/>
      <c r="H914" s="34"/>
      <c r="I914" s="34"/>
      <c r="J914" s="34"/>
      <c r="K914" s="34"/>
      <c r="L914" s="34"/>
      <c r="M914" s="34"/>
      <c r="N914" s="34"/>
      <c r="O914" s="34"/>
      <c r="P914" s="34"/>
    </row>
    <row r="915" spans="1:16" ht="13">
      <c r="A915" s="34"/>
      <c r="B915" s="34"/>
      <c r="C915" s="34"/>
      <c r="D915" s="34"/>
      <c r="E915" s="34"/>
      <c r="F915" s="34"/>
      <c r="G915" s="34"/>
      <c r="H915" s="34"/>
      <c r="I915" s="34"/>
      <c r="J915" s="34"/>
      <c r="K915" s="34"/>
      <c r="L915" s="34"/>
      <c r="M915" s="34"/>
      <c r="N915" s="34"/>
      <c r="O915" s="34"/>
      <c r="P915" s="34"/>
    </row>
    <row r="916" spans="1:16" ht="13">
      <c r="A916" s="34"/>
      <c r="B916" s="34"/>
      <c r="C916" s="34"/>
      <c r="D916" s="34"/>
      <c r="E916" s="34"/>
      <c r="F916" s="34"/>
      <c r="G916" s="34"/>
      <c r="H916" s="34"/>
      <c r="I916" s="34"/>
      <c r="J916" s="34"/>
      <c r="K916" s="34"/>
      <c r="L916" s="34"/>
      <c r="M916" s="34"/>
      <c r="N916" s="34"/>
      <c r="O916" s="34"/>
      <c r="P916" s="34"/>
    </row>
    <row r="917" spans="1:16" ht="13">
      <c r="A917" s="34"/>
      <c r="B917" s="34"/>
      <c r="C917" s="34"/>
      <c r="D917" s="34"/>
      <c r="E917" s="34"/>
      <c r="F917" s="34"/>
      <c r="G917" s="34"/>
      <c r="H917" s="34"/>
      <c r="I917" s="34"/>
      <c r="J917" s="34"/>
      <c r="K917" s="34"/>
      <c r="L917" s="34"/>
      <c r="M917" s="34"/>
      <c r="N917" s="34"/>
      <c r="O917" s="34"/>
      <c r="P917" s="34"/>
    </row>
    <row r="918" spans="1:16" ht="13">
      <c r="A918" s="34"/>
      <c r="B918" s="34"/>
      <c r="C918" s="34"/>
      <c r="D918" s="34"/>
      <c r="E918" s="34"/>
      <c r="F918" s="34"/>
      <c r="G918" s="34"/>
      <c r="H918" s="34"/>
      <c r="I918" s="34"/>
      <c r="J918" s="34"/>
      <c r="K918" s="34"/>
      <c r="L918" s="34"/>
      <c r="M918" s="34"/>
      <c r="N918" s="34"/>
      <c r="O918" s="34"/>
      <c r="P918" s="34"/>
    </row>
    <row r="919" spans="1:16" ht="13">
      <c r="A919" s="34"/>
      <c r="B919" s="34"/>
      <c r="C919" s="34"/>
      <c r="D919" s="34"/>
      <c r="E919" s="34"/>
      <c r="F919" s="34"/>
      <c r="G919" s="34"/>
      <c r="H919" s="34"/>
      <c r="I919" s="34"/>
      <c r="J919" s="34"/>
      <c r="K919" s="34"/>
      <c r="L919" s="34"/>
      <c r="M919" s="34"/>
      <c r="N919" s="34"/>
      <c r="O919" s="34"/>
      <c r="P919" s="34"/>
    </row>
    <row r="920" spans="1:16" ht="13">
      <c r="A920" s="34"/>
      <c r="B920" s="34"/>
      <c r="C920" s="34"/>
      <c r="D920" s="34"/>
      <c r="E920" s="34"/>
      <c r="F920" s="34"/>
      <c r="G920" s="34"/>
      <c r="H920" s="34"/>
      <c r="I920" s="34"/>
      <c r="J920" s="34"/>
      <c r="K920" s="34"/>
      <c r="L920" s="34"/>
      <c r="M920" s="34"/>
      <c r="N920" s="34"/>
      <c r="O920" s="34"/>
      <c r="P920" s="34"/>
    </row>
    <row r="921" spans="1:16" ht="13">
      <c r="A921" s="34"/>
      <c r="B921" s="34"/>
      <c r="C921" s="34"/>
      <c r="D921" s="34"/>
      <c r="E921" s="34"/>
      <c r="F921" s="34"/>
      <c r="G921" s="34"/>
      <c r="H921" s="34"/>
      <c r="I921" s="34"/>
      <c r="J921" s="34"/>
      <c r="K921" s="34"/>
      <c r="L921" s="34"/>
      <c r="M921" s="34"/>
      <c r="N921" s="34"/>
      <c r="O921" s="34"/>
      <c r="P921" s="34"/>
    </row>
    <row r="922" spans="1:16" ht="13">
      <c r="A922" s="34"/>
      <c r="B922" s="34"/>
      <c r="C922" s="34"/>
      <c r="D922" s="34"/>
      <c r="E922" s="34"/>
      <c r="F922" s="34"/>
      <c r="G922" s="34"/>
      <c r="H922" s="34"/>
      <c r="I922" s="34"/>
      <c r="J922" s="34"/>
      <c r="K922" s="34"/>
      <c r="L922" s="34"/>
      <c r="M922" s="34"/>
      <c r="N922" s="34"/>
      <c r="O922" s="34"/>
      <c r="P922" s="34"/>
    </row>
    <row r="923" spans="1:16" ht="13">
      <c r="A923" s="34"/>
      <c r="B923" s="34"/>
      <c r="C923" s="34"/>
      <c r="D923" s="34"/>
      <c r="E923" s="34"/>
      <c r="F923" s="34"/>
      <c r="G923" s="34"/>
      <c r="H923" s="34"/>
      <c r="I923" s="34"/>
      <c r="J923" s="34"/>
      <c r="K923" s="34"/>
      <c r="L923" s="34"/>
      <c r="M923" s="34"/>
      <c r="N923" s="34"/>
      <c r="O923" s="34"/>
      <c r="P923" s="34"/>
    </row>
    <row r="924" spans="1:16" ht="13">
      <c r="A924" s="34"/>
      <c r="B924" s="34"/>
      <c r="C924" s="34"/>
      <c r="D924" s="34"/>
      <c r="E924" s="34"/>
      <c r="F924" s="34"/>
      <c r="G924" s="34"/>
      <c r="H924" s="34"/>
      <c r="I924" s="34"/>
      <c r="J924" s="34"/>
      <c r="K924" s="34"/>
      <c r="L924" s="34"/>
      <c r="M924" s="34"/>
      <c r="N924" s="34"/>
      <c r="O924" s="34"/>
      <c r="P924" s="34"/>
    </row>
    <row r="925" spans="1:16" ht="13">
      <c r="A925" s="34"/>
      <c r="B925" s="34"/>
      <c r="C925" s="34"/>
      <c r="D925" s="34"/>
      <c r="E925" s="34"/>
      <c r="F925" s="34"/>
      <c r="G925" s="34"/>
      <c r="H925" s="34"/>
      <c r="I925" s="34"/>
      <c r="J925" s="34"/>
      <c r="K925" s="34"/>
      <c r="L925" s="34"/>
      <c r="M925" s="34"/>
      <c r="N925" s="34"/>
      <c r="O925" s="34"/>
      <c r="P925" s="34"/>
    </row>
    <row r="926" spans="1:16" ht="13">
      <c r="A926" s="34"/>
      <c r="B926" s="34"/>
      <c r="C926" s="34"/>
      <c r="D926" s="34"/>
      <c r="E926" s="34"/>
      <c r="F926" s="34"/>
      <c r="G926" s="34"/>
      <c r="H926" s="34"/>
      <c r="I926" s="34"/>
      <c r="J926" s="34"/>
      <c r="K926" s="34"/>
      <c r="L926" s="34"/>
      <c r="M926" s="34"/>
      <c r="N926" s="34"/>
      <c r="O926" s="34"/>
      <c r="P926" s="34"/>
    </row>
    <row r="927" spans="1:16" ht="13">
      <c r="A927" s="34"/>
      <c r="B927" s="34"/>
      <c r="C927" s="34"/>
      <c r="D927" s="34"/>
      <c r="E927" s="34"/>
      <c r="F927" s="34"/>
      <c r="G927" s="34"/>
      <c r="H927" s="34"/>
      <c r="I927" s="34"/>
      <c r="J927" s="34"/>
      <c r="K927" s="34"/>
      <c r="L927" s="34"/>
      <c r="M927" s="34"/>
      <c r="N927" s="34"/>
      <c r="O927" s="34"/>
      <c r="P927" s="34"/>
    </row>
    <row r="928" spans="1:16" ht="13">
      <c r="A928" s="34"/>
      <c r="B928" s="34"/>
      <c r="C928" s="34"/>
      <c r="D928" s="34"/>
      <c r="E928" s="34"/>
      <c r="F928" s="34"/>
      <c r="G928" s="34"/>
      <c r="H928" s="34"/>
      <c r="I928" s="34"/>
      <c r="J928" s="34"/>
      <c r="K928" s="34"/>
      <c r="L928" s="34"/>
      <c r="M928" s="34"/>
      <c r="N928" s="34"/>
      <c r="O928" s="34"/>
      <c r="P928" s="34"/>
    </row>
    <row r="929" spans="1:16" ht="13">
      <c r="A929" s="34"/>
      <c r="B929" s="34"/>
      <c r="C929" s="34"/>
      <c r="D929" s="34"/>
      <c r="E929" s="34"/>
      <c r="F929" s="34"/>
      <c r="G929" s="34"/>
      <c r="H929" s="34"/>
      <c r="I929" s="34"/>
      <c r="J929" s="34"/>
      <c r="K929" s="34"/>
      <c r="L929" s="34"/>
      <c r="M929" s="34"/>
      <c r="N929" s="34"/>
      <c r="O929" s="34"/>
      <c r="P929" s="34"/>
    </row>
    <row r="930" spans="1:16" ht="13">
      <c r="A930" s="34"/>
      <c r="B930" s="34"/>
      <c r="C930" s="34"/>
      <c r="D930" s="34"/>
      <c r="E930" s="34"/>
      <c r="F930" s="34"/>
      <c r="G930" s="34"/>
      <c r="H930" s="34"/>
      <c r="I930" s="34"/>
      <c r="J930" s="34"/>
      <c r="K930" s="34"/>
      <c r="L930" s="34"/>
      <c r="M930" s="34"/>
      <c r="N930" s="34"/>
      <c r="O930" s="34"/>
      <c r="P930" s="34"/>
    </row>
    <row r="931" spans="1:16" ht="13">
      <c r="A931" s="34"/>
      <c r="B931" s="34"/>
      <c r="C931" s="34"/>
      <c r="D931" s="34"/>
      <c r="E931" s="34"/>
      <c r="F931" s="34"/>
      <c r="G931" s="34"/>
      <c r="H931" s="34"/>
      <c r="I931" s="34"/>
      <c r="J931" s="34"/>
      <c r="K931" s="34"/>
      <c r="L931" s="34"/>
      <c r="M931" s="34"/>
      <c r="N931" s="34"/>
      <c r="O931" s="34"/>
      <c r="P931" s="34"/>
    </row>
    <row r="932" spans="1:16" ht="13">
      <c r="A932" s="34"/>
      <c r="B932" s="34"/>
      <c r="C932" s="34"/>
      <c r="D932" s="34"/>
      <c r="E932" s="34"/>
      <c r="F932" s="34"/>
      <c r="G932" s="34"/>
      <c r="H932" s="34"/>
      <c r="I932" s="34"/>
      <c r="J932" s="34"/>
      <c r="K932" s="34"/>
      <c r="L932" s="34"/>
      <c r="M932" s="34"/>
      <c r="N932" s="34"/>
      <c r="O932" s="34"/>
      <c r="P932" s="34"/>
    </row>
    <row r="933" spans="1:16" ht="13">
      <c r="A933" s="34"/>
      <c r="B933" s="34"/>
      <c r="C933" s="34"/>
      <c r="D933" s="34"/>
      <c r="E933" s="34"/>
      <c r="F933" s="34"/>
      <c r="G933" s="34"/>
      <c r="H933" s="34"/>
      <c r="I933" s="34"/>
      <c r="J933" s="34"/>
      <c r="K933" s="34"/>
      <c r="L933" s="34"/>
      <c r="M933" s="34"/>
      <c r="N933" s="34"/>
      <c r="O933" s="34"/>
      <c r="P933" s="34"/>
    </row>
    <row r="934" spans="1:16" ht="13">
      <c r="A934" s="34"/>
      <c r="B934" s="34"/>
      <c r="C934" s="34"/>
      <c r="D934" s="34"/>
      <c r="E934" s="34"/>
      <c r="F934" s="34"/>
      <c r="G934" s="34"/>
      <c r="H934" s="34"/>
      <c r="I934" s="34"/>
      <c r="J934" s="34"/>
      <c r="K934" s="34"/>
      <c r="L934" s="34"/>
      <c r="M934" s="34"/>
      <c r="N934" s="34"/>
      <c r="O934" s="34"/>
      <c r="P934" s="34"/>
    </row>
    <row r="935" spans="1:16" ht="13">
      <c r="A935" s="34"/>
      <c r="B935" s="34"/>
      <c r="C935" s="34"/>
      <c r="D935" s="34"/>
      <c r="E935" s="34"/>
      <c r="F935" s="34"/>
      <c r="G935" s="34"/>
      <c r="H935" s="34"/>
      <c r="I935" s="34"/>
      <c r="J935" s="34"/>
      <c r="K935" s="34"/>
      <c r="L935" s="34"/>
      <c r="M935" s="34"/>
      <c r="N935" s="34"/>
      <c r="O935" s="34"/>
      <c r="P935" s="34"/>
    </row>
    <row r="936" spans="1:16" ht="13">
      <c r="A936" s="34"/>
      <c r="B936" s="34"/>
      <c r="C936" s="34"/>
      <c r="D936" s="34"/>
      <c r="E936" s="34"/>
      <c r="F936" s="34"/>
      <c r="G936" s="34"/>
      <c r="H936" s="34"/>
      <c r="I936" s="34"/>
      <c r="J936" s="34"/>
      <c r="K936" s="34"/>
      <c r="L936" s="34"/>
      <c r="M936" s="34"/>
      <c r="N936" s="34"/>
      <c r="O936" s="34"/>
      <c r="P936" s="34"/>
    </row>
    <row r="937" spans="1:16" ht="13">
      <c r="A937" s="34"/>
      <c r="B937" s="34"/>
      <c r="C937" s="34"/>
      <c r="D937" s="34"/>
      <c r="E937" s="34"/>
      <c r="F937" s="34"/>
      <c r="G937" s="34"/>
      <c r="H937" s="34"/>
      <c r="I937" s="34"/>
      <c r="J937" s="34"/>
      <c r="K937" s="34"/>
      <c r="L937" s="34"/>
      <c r="M937" s="34"/>
      <c r="N937" s="34"/>
      <c r="O937" s="34"/>
      <c r="P937" s="34"/>
    </row>
    <row r="938" spans="1:16" ht="13">
      <c r="A938" s="34"/>
      <c r="B938" s="34"/>
      <c r="C938" s="34"/>
      <c r="D938" s="34"/>
      <c r="E938" s="34"/>
      <c r="F938" s="34"/>
      <c r="G938" s="34"/>
      <c r="H938" s="34"/>
      <c r="I938" s="34"/>
      <c r="J938" s="34"/>
      <c r="K938" s="34"/>
      <c r="L938" s="34"/>
      <c r="M938" s="34"/>
      <c r="N938" s="34"/>
      <c r="O938" s="34"/>
      <c r="P938" s="34"/>
    </row>
    <row r="939" spans="1:16" ht="13">
      <c r="A939" s="34"/>
      <c r="B939" s="34"/>
      <c r="C939" s="34"/>
      <c r="D939" s="34"/>
      <c r="E939" s="34"/>
      <c r="F939" s="34"/>
      <c r="G939" s="34"/>
      <c r="H939" s="34"/>
      <c r="I939" s="34"/>
      <c r="J939" s="34"/>
      <c r="K939" s="34"/>
      <c r="L939" s="34"/>
      <c r="M939" s="34"/>
      <c r="N939" s="34"/>
      <c r="O939" s="34"/>
      <c r="P939" s="34"/>
    </row>
    <row r="940" spans="1:16" ht="13">
      <c r="A940" s="34"/>
      <c r="B940" s="34"/>
      <c r="C940" s="34"/>
      <c r="D940" s="34"/>
      <c r="E940" s="34"/>
      <c r="F940" s="34"/>
      <c r="G940" s="34"/>
      <c r="H940" s="34"/>
      <c r="I940" s="34"/>
      <c r="J940" s="34"/>
      <c r="K940" s="34"/>
      <c r="L940" s="34"/>
      <c r="M940" s="34"/>
      <c r="N940" s="34"/>
      <c r="O940" s="34"/>
      <c r="P940" s="34"/>
    </row>
    <row r="941" spans="1:16" ht="13">
      <c r="A941" s="34"/>
      <c r="B941" s="34"/>
      <c r="C941" s="34"/>
      <c r="D941" s="34"/>
      <c r="E941" s="34"/>
      <c r="F941" s="34"/>
      <c r="G941" s="34"/>
      <c r="H941" s="34"/>
      <c r="I941" s="34"/>
      <c r="J941" s="34"/>
      <c r="K941" s="34"/>
      <c r="L941" s="34"/>
      <c r="M941" s="34"/>
      <c r="N941" s="34"/>
      <c r="O941" s="34"/>
      <c r="P941" s="34"/>
    </row>
    <row r="942" spans="1:16" ht="13">
      <c r="A942" s="34"/>
      <c r="B942" s="34"/>
      <c r="C942" s="34"/>
      <c r="D942" s="34"/>
      <c r="E942" s="34"/>
      <c r="F942" s="34"/>
      <c r="G942" s="34"/>
      <c r="H942" s="34"/>
      <c r="I942" s="34"/>
      <c r="J942" s="34"/>
      <c r="K942" s="34"/>
      <c r="L942" s="34"/>
      <c r="M942" s="34"/>
      <c r="N942" s="34"/>
      <c r="O942" s="34"/>
      <c r="P942" s="34"/>
    </row>
    <row r="943" spans="1:16" ht="13">
      <c r="A943" s="34"/>
      <c r="B943" s="34"/>
      <c r="C943" s="34"/>
      <c r="D943" s="34"/>
      <c r="E943" s="34"/>
      <c r="F943" s="34"/>
      <c r="G943" s="34"/>
      <c r="H943" s="34"/>
      <c r="I943" s="34"/>
      <c r="J943" s="34"/>
      <c r="K943" s="34"/>
      <c r="L943" s="34"/>
      <c r="M943" s="34"/>
      <c r="N943" s="34"/>
      <c r="O943" s="34"/>
      <c r="P943" s="34"/>
    </row>
    <row r="944" spans="1:16" ht="13">
      <c r="A944" s="34"/>
      <c r="B944" s="34"/>
      <c r="C944" s="34"/>
      <c r="D944" s="34"/>
      <c r="E944" s="34"/>
      <c r="F944" s="34"/>
      <c r="G944" s="34"/>
      <c r="H944" s="34"/>
      <c r="I944" s="34"/>
      <c r="J944" s="34"/>
      <c r="K944" s="34"/>
      <c r="L944" s="34"/>
      <c r="M944" s="34"/>
      <c r="N944" s="34"/>
      <c r="O944" s="34"/>
      <c r="P944" s="34"/>
    </row>
    <row r="945" spans="1:16" ht="13">
      <c r="A945" s="34"/>
      <c r="B945" s="34"/>
      <c r="C945" s="34"/>
      <c r="D945" s="34"/>
      <c r="E945" s="34"/>
      <c r="F945" s="34"/>
      <c r="G945" s="34"/>
      <c r="H945" s="34"/>
      <c r="I945" s="34"/>
      <c r="J945" s="34"/>
      <c r="K945" s="34"/>
      <c r="L945" s="34"/>
      <c r="M945" s="34"/>
      <c r="N945" s="34"/>
      <c r="O945" s="34"/>
      <c r="P945" s="34"/>
    </row>
    <row r="946" spans="1:16" ht="13">
      <c r="A946" s="34"/>
      <c r="B946" s="34"/>
      <c r="C946" s="34"/>
      <c r="D946" s="34"/>
      <c r="E946" s="34"/>
      <c r="F946" s="34"/>
      <c r="G946" s="34"/>
      <c r="H946" s="34"/>
      <c r="I946" s="34"/>
      <c r="J946" s="34"/>
      <c r="K946" s="34"/>
      <c r="L946" s="34"/>
      <c r="M946" s="34"/>
      <c r="N946" s="34"/>
      <c r="O946" s="34"/>
      <c r="P946" s="34"/>
    </row>
    <row r="947" spans="1:16" ht="13">
      <c r="A947" s="34"/>
      <c r="B947" s="34"/>
      <c r="C947" s="34"/>
      <c r="D947" s="34"/>
      <c r="E947" s="34"/>
      <c r="F947" s="34"/>
      <c r="G947" s="34"/>
      <c r="H947" s="34"/>
      <c r="I947" s="34"/>
      <c r="J947" s="34"/>
      <c r="K947" s="34"/>
      <c r="L947" s="34"/>
      <c r="M947" s="34"/>
      <c r="N947" s="34"/>
      <c r="O947" s="34"/>
      <c r="P947" s="34"/>
    </row>
    <row r="948" spans="1:16" ht="13">
      <c r="A948" s="34"/>
      <c r="B948" s="34"/>
      <c r="C948" s="34"/>
      <c r="D948" s="34"/>
      <c r="E948" s="34"/>
      <c r="F948" s="34"/>
      <c r="G948" s="34"/>
      <c r="H948" s="34"/>
      <c r="I948" s="34"/>
      <c r="J948" s="34"/>
      <c r="K948" s="34"/>
      <c r="L948" s="34"/>
      <c r="M948" s="34"/>
      <c r="N948" s="34"/>
      <c r="O948" s="34"/>
      <c r="P948" s="34"/>
    </row>
    <row r="949" spans="1:16" ht="13">
      <c r="A949" s="34"/>
      <c r="B949" s="34"/>
      <c r="C949" s="34"/>
      <c r="D949" s="34"/>
      <c r="E949" s="34"/>
      <c r="F949" s="34"/>
      <c r="G949" s="34"/>
      <c r="H949" s="34"/>
      <c r="I949" s="34"/>
      <c r="J949" s="34"/>
      <c r="K949" s="34"/>
      <c r="L949" s="34"/>
      <c r="M949" s="34"/>
      <c r="N949" s="34"/>
      <c r="O949" s="34"/>
      <c r="P949" s="34"/>
    </row>
    <row r="950" spans="1:16" ht="13">
      <c r="A950" s="34"/>
      <c r="B950" s="34"/>
      <c r="C950" s="34"/>
      <c r="D950" s="34"/>
      <c r="E950" s="34"/>
      <c r="F950" s="34"/>
      <c r="G950" s="34"/>
      <c r="H950" s="34"/>
      <c r="I950" s="34"/>
      <c r="J950" s="34"/>
      <c r="K950" s="34"/>
      <c r="L950" s="34"/>
      <c r="M950" s="34"/>
      <c r="N950" s="34"/>
      <c r="O950" s="34"/>
      <c r="P950" s="34"/>
    </row>
    <row r="951" spans="1:16" ht="13">
      <c r="A951" s="34"/>
      <c r="B951" s="34"/>
      <c r="C951" s="34"/>
      <c r="D951" s="34"/>
      <c r="E951" s="34"/>
      <c r="F951" s="34"/>
      <c r="G951" s="34"/>
      <c r="H951" s="34"/>
      <c r="I951" s="34"/>
      <c r="J951" s="34"/>
      <c r="K951" s="34"/>
      <c r="L951" s="34"/>
      <c r="M951" s="34"/>
      <c r="N951" s="34"/>
      <c r="O951" s="34"/>
      <c r="P951" s="34"/>
    </row>
    <row r="952" spans="1:16" ht="13">
      <c r="A952" s="34"/>
      <c r="B952" s="34"/>
      <c r="C952" s="34"/>
      <c r="D952" s="34"/>
      <c r="E952" s="34"/>
      <c r="F952" s="34"/>
      <c r="G952" s="34"/>
      <c r="H952" s="34"/>
      <c r="I952" s="34"/>
      <c r="J952" s="34"/>
      <c r="K952" s="34"/>
      <c r="L952" s="34"/>
      <c r="M952" s="34"/>
      <c r="N952" s="34"/>
      <c r="O952" s="34"/>
      <c r="P952" s="34"/>
    </row>
    <row r="953" spans="1:16" ht="13">
      <c r="A953" s="34"/>
      <c r="B953" s="34"/>
      <c r="C953" s="34"/>
      <c r="D953" s="34"/>
      <c r="E953" s="34"/>
      <c r="F953" s="34"/>
      <c r="G953" s="34"/>
      <c r="H953" s="34"/>
      <c r="I953" s="34"/>
      <c r="J953" s="34"/>
      <c r="K953" s="34"/>
      <c r="L953" s="34"/>
      <c r="M953" s="34"/>
      <c r="N953" s="34"/>
      <c r="O953" s="34"/>
      <c r="P953" s="34"/>
    </row>
    <row r="954" spans="1:16" ht="13">
      <c r="A954" s="34"/>
      <c r="B954" s="34"/>
      <c r="C954" s="34"/>
      <c r="D954" s="34"/>
      <c r="E954" s="34"/>
      <c r="F954" s="34"/>
      <c r="G954" s="34"/>
      <c r="H954" s="34"/>
      <c r="I954" s="34"/>
      <c r="J954" s="34"/>
      <c r="K954" s="34"/>
      <c r="L954" s="34"/>
      <c r="M954" s="34"/>
      <c r="N954" s="34"/>
      <c r="O954" s="34"/>
      <c r="P954" s="34"/>
    </row>
    <row r="955" spans="1:16" ht="13">
      <c r="A955" s="34"/>
      <c r="B955" s="34"/>
      <c r="C955" s="34"/>
      <c r="D955" s="34"/>
      <c r="E955" s="34"/>
      <c r="F955" s="34"/>
      <c r="G955" s="34"/>
      <c r="H955" s="34"/>
      <c r="I955" s="34"/>
      <c r="J955" s="34"/>
      <c r="K955" s="34"/>
      <c r="L955" s="34"/>
      <c r="M955" s="34"/>
      <c r="N955" s="34"/>
      <c r="O955" s="34"/>
      <c r="P955" s="34"/>
    </row>
    <row r="956" spans="1:16" ht="13">
      <c r="A956" s="34"/>
      <c r="B956" s="34"/>
      <c r="C956" s="34"/>
      <c r="D956" s="34"/>
      <c r="E956" s="34"/>
      <c r="F956" s="34"/>
      <c r="G956" s="34"/>
      <c r="H956" s="34"/>
      <c r="I956" s="34"/>
      <c r="J956" s="34"/>
      <c r="K956" s="34"/>
      <c r="L956" s="34"/>
      <c r="M956" s="34"/>
      <c r="N956" s="34"/>
      <c r="O956" s="34"/>
      <c r="P956" s="34"/>
    </row>
    <row r="957" spans="1:16" ht="13">
      <c r="A957" s="34"/>
      <c r="B957" s="34"/>
      <c r="C957" s="34"/>
      <c r="D957" s="34"/>
      <c r="E957" s="34"/>
      <c r="F957" s="34"/>
      <c r="G957" s="34"/>
      <c r="H957" s="34"/>
      <c r="I957" s="34"/>
      <c r="J957" s="34"/>
      <c r="K957" s="34"/>
      <c r="L957" s="34"/>
      <c r="M957" s="34"/>
      <c r="N957" s="34"/>
      <c r="O957" s="34"/>
      <c r="P957" s="34"/>
    </row>
    <row r="958" spans="1:16" ht="13">
      <c r="A958" s="34"/>
      <c r="B958" s="34"/>
      <c r="C958" s="34"/>
      <c r="D958" s="34"/>
      <c r="E958" s="34"/>
      <c r="F958" s="34"/>
      <c r="G958" s="34"/>
      <c r="H958" s="34"/>
      <c r="I958" s="34"/>
      <c r="J958" s="34"/>
      <c r="K958" s="34"/>
      <c r="L958" s="34"/>
      <c r="M958" s="34"/>
      <c r="N958" s="34"/>
      <c r="O958" s="34"/>
      <c r="P958" s="34"/>
    </row>
    <row r="959" spans="1:16" ht="13">
      <c r="A959" s="34"/>
      <c r="B959" s="34"/>
      <c r="C959" s="34"/>
      <c r="D959" s="34"/>
      <c r="E959" s="34"/>
      <c r="F959" s="34"/>
      <c r="G959" s="34"/>
      <c r="H959" s="34"/>
      <c r="I959" s="34"/>
      <c r="J959" s="34"/>
      <c r="K959" s="34"/>
      <c r="L959" s="34"/>
      <c r="M959" s="34"/>
      <c r="N959" s="34"/>
      <c r="O959" s="34"/>
      <c r="P959" s="34"/>
    </row>
    <row r="960" spans="1:16" ht="13">
      <c r="A960" s="34"/>
      <c r="B960" s="34"/>
      <c r="C960" s="34"/>
      <c r="D960" s="34"/>
      <c r="E960" s="34"/>
      <c r="F960" s="34"/>
      <c r="G960" s="34"/>
      <c r="H960" s="34"/>
      <c r="I960" s="34"/>
      <c r="J960" s="34"/>
      <c r="K960" s="34"/>
      <c r="L960" s="34"/>
      <c r="M960" s="34"/>
      <c r="N960" s="34"/>
      <c r="O960" s="34"/>
      <c r="P960" s="34"/>
    </row>
    <row r="961" spans="1:16" ht="13">
      <c r="A961" s="34"/>
      <c r="B961" s="34"/>
      <c r="C961" s="34"/>
      <c r="D961" s="34"/>
      <c r="E961" s="34"/>
      <c r="F961" s="34"/>
      <c r="G961" s="34"/>
      <c r="H961" s="34"/>
      <c r="I961" s="34"/>
      <c r="J961" s="34"/>
      <c r="K961" s="34"/>
      <c r="L961" s="34"/>
      <c r="M961" s="34"/>
      <c r="N961" s="34"/>
      <c r="O961" s="34"/>
      <c r="P961" s="34"/>
    </row>
    <row r="962" spans="1:16" ht="13">
      <c r="A962" s="34"/>
      <c r="B962" s="34"/>
      <c r="C962" s="34"/>
      <c r="D962" s="34"/>
      <c r="E962" s="34"/>
      <c r="F962" s="34"/>
      <c r="G962" s="34"/>
      <c r="H962" s="34"/>
      <c r="I962" s="34"/>
      <c r="J962" s="34"/>
      <c r="K962" s="34"/>
      <c r="L962" s="34"/>
      <c r="M962" s="34"/>
      <c r="N962" s="34"/>
      <c r="O962" s="34"/>
      <c r="P962" s="34"/>
    </row>
    <row r="963" spans="1:16" ht="13">
      <c r="A963" s="34"/>
      <c r="B963" s="34"/>
      <c r="C963" s="34"/>
      <c r="D963" s="34"/>
      <c r="E963" s="34"/>
      <c r="F963" s="34"/>
      <c r="G963" s="34"/>
      <c r="H963" s="34"/>
      <c r="I963" s="34"/>
      <c r="J963" s="34"/>
      <c r="K963" s="34"/>
      <c r="L963" s="34"/>
      <c r="M963" s="34"/>
      <c r="N963" s="34"/>
      <c r="O963" s="34"/>
      <c r="P963" s="34"/>
    </row>
    <row r="964" spans="1:16" ht="13">
      <c r="A964" s="34"/>
      <c r="B964" s="34"/>
      <c r="C964" s="34"/>
      <c r="D964" s="34"/>
      <c r="E964" s="34"/>
      <c r="F964" s="34"/>
      <c r="G964" s="34"/>
      <c r="H964" s="34"/>
      <c r="I964" s="34"/>
      <c r="J964" s="34"/>
      <c r="K964" s="34"/>
      <c r="L964" s="34"/>
      <c r="M964" s="34"/>
      <c r="N964" s="34"/>
      <c r="O964" s="34"/>
      <c r="P964" s="34"/>
    </row>
    <row r="965" spans="1:16" ht="13">
      <c r="A965" s="34"/>
      <c r="B965" s="34"/>
      <c r="C965" s="34"/>
      <c r="D965" s="34"/>
      <c r="E965" s="34"/>
      <c r="F965" s="34"/>
      <c r="G965" s="34"/>
      <c r="H965" s="34"/>
      <c r="I965" s="34"/>
      <c r="J965" s="34"/>
      <c r="K965" s="34"/>
      <c r="L965" s="34"/>
      <c r="M965" s="34"/>
      <c r="N965" s="34"/>
      <c r="O965" s="34"/>
      <c r="P965" s="34"/>
    </row>
    <row r="966" spans="1:16" ht="13">
      <c r="A966" s="34"/>
      <c r="B966" s="34"/>
      <c r="C966" s="34"/>
      <c r="D966" s="34"/>
      <c r="E966" s="34"/>
      <c r="F966" s="34"/>
      <c r="G966" s="34"/>
      <c r="H966" s="34"/>
      <c r="I966" s="34"/>
      <c r="J966" s="34"/>
      <c r="K966" s="34"/>
      <c r="L966" s="34"/>
      <c r="M966" s="34"/>
      <c r="N966" s="34"/>
      <c r="O966" s="34"/>
      <c r="P966" s="34"/>
    </row>
    <row r="967" spans="1:16" ht="13">
      <c r="A967" s="34"/>
      <c r="B967" s="34"/>
      <c r="C967" s="34"/>
      <c r="D967" s="34"/>
      <c r="E967" s="34"/>
      <c r="F967" s="34"/>
      <c r="G967" s="34"/>
      <c r="H967" s="34"/>
      <c r="I967" s="34"/>
      <c r="J967" s="34"/>
      <c r="K967" s="34"/>
      <c r="L967" s="34"/>
      <c r="M967" s="34"/>
      <c r="N967" s="34"/>
      <c r="O967" s="34"/>
      <c r="P967" s="34"/>
    </row>
    <row r="968" spans="1:16" ht="13">
      <c r="A968" s="34"/>
      <c r="B968" s="34"/>
      <c r="C968" s="34"/>
      <c r="D968" s="34"/>
      <c r="E968" s="34"/>
      <c r="F968" s="34"/>
      <c r="G968" s="34"/>
      <c r="H968" s="34"/>
      <c r="I968" s="34"/>
      <c r="J968" s="34"/>
      <c r="K968" s="34"/>
      <c r="L968" s="34"/>
      <c r="M968" s="34"/>
      <c r="N968" s="34"/>
      <c r="O968" s="34"/>
      <c r="P968" s="34"/>
    </row>
    <row r="969" spans="1:16" ht="13">
      <c r="A969" s="34"/>
      <c r="B969" s="34"/>
      <c r="C969" s="34"/>
      <c r="D969" s="34"/>
      <c r="E969" s="34"/>
      <c r="F969" s="34"/>
      <c r="G969" s="34"/>
      <c r="H969" s="34"/>
      <c r="I969" s="34"/>
      <c r="J969" s="34"/>
      <c r="K969" s="34"/>
      <c r="L969" s="34"/>
      <c r="M969" s="34"/>
      <c r="N969" s="34"/>
      <c r="O969" s="34"/>
      <c r="P969" s="34"/>
    </row>
    <row r="970" spans="1:16" ht="13">
      <c r="A970" s="34"/>
      <c r="B970" s="34"/>
      <c r="C970" s="34"/>
      <c r="D970" s="34"/>
      <c r="E970" s="34"/>
      <c r="F970" s="34"/>
      <c r="G970" s="34"/>
      <c r="H970" s="34"/>
      <c r="I970" s="34"/>
      <c r="J970" s="34"/>
      <c r="K970" s="34"/>
      <c r="L970" s="34"/>
      <c r="M970" s="34"/>
      <c r="N970" s="34"/>
      <c r="O970" s="34"/>
      <c r="P970" s="34"/>
    </row>
    <row r="971" spans="1:16" ht="13">
      <c r="A971" s="34"/>
      <c r="B971" s="34"/>
      <c r="C971" s="34"/>
      <c r="D971" s="34"/>
      <c r="E971" s="34"/>
      <c r="F971" s="34"/>
      <c r="G971" s="34"/>
      <c r="H971" s="34"/>
      <c r="I971" s="34"/>
      <c r="J971" s="34"/>
      <c r="K971" s="34"/>
      <c r="L971" s="34"/>
      <c r="M971" s="34"/>
      <c r="N971" s="34"/>
      <c r="O971" s="34"/>
      <c r="P971" s="34"/>
    </row>
    <row r="972" spans="1:16" ht="13">
      <c r="A972" s="34"/>
      <c r="B972" s="34"/>
      <c r="C972" s="34"/>
      <c r="D972" s="34"/>
      <c r="E972" s="34"/>
      <c r="F972" s="34"/>
      <c r="G972" s="34"/>
      <c r="H972" s="34"/>
      <c r="I972" s="34"/>
      <c r="J972" s="34"/>
      <c r="K972" s="34"/>
      <c r="L972" s="34"/>
      <c r="M972" s="34"/>
      <c r="N972" s="34"/>
      <c r="O972" s="34"/>
      <c r="P972" s="34"/>
    </row>
    <row r="973" spans="1:16" ht="13">
      <c r="A973" s="34"/>
      <c r="B973" s="34"/>
      <c r="C973" s="34"/>
      <c r="D973" s="34"/>
      <c r="E973" s="34"/>
      <c r="F973" s="34"/>
      <c r="G973" s="34"/>
      <c r="H973" s="34"/>
      <c r="I973" s="34"/>
      <c r="J973" s="34"/>
      <c r="K973" s="34"/>
      <c r="L973" s="34"/>
      <c r="M973" s="34"/>
      <c r="N973" s="34"/>
      <c r="O973" s="34"/>
      <c r="P973" s="34"/>
    </row>
    <row r="974" spans="1:16" ht="13">
      <c r="A974" s="34"/>
      <c r="B974" s="34"/>
      <c r="C974" s="34"/>
      <c r="D974" s="34"/>
      <c r="E974" s="34"/>
      <c r="F974" s="34"/>
      <c r="G974" s="34"/>
      <c r="H974" s="34"/>
      <c r="I974" s="34"/>
      <c r="J974" s="34"/>
      <c r="K974" s="34"/>
      <c r="L974" s="34"/>
      <c r="M974" s="34"/>
      <c r="N974" s="34"/>
      <c r="O974" s="34"/>
      <c r="P974" s="34"/>
    </row>
    <row r="975" spans="1:16" ht="13">
      <c r="A975" s="34"/>
      <c r="B975" s="34"/>
      <c r="C975" s="34"/>
      <c r="D975" s="34"/>
      <c r="E975" s="34"/>
      <c r="F975" s="34"/>
      <c r="G975" s="34"/>
      <c r="H975" s="34"/>
      <c r="I975" s="34"/>
      <c r="J975" s="34"/>
      <c r="K975" s="34"/>
      <c r="L975" s="34"/>
      <c r="M975" s="34"/>
      <c r="N975" s="34"/>
      <c r="O975" s="34"/>
      <c r="P975" s="34"/>
    </row>
    <row r="976" spans="1:16" ht="13">
      <c r="A976" s="34"/>
      <c r="B976" s="34"/>
      <c r="C976" s="34"/>
      <c r="D976" s="34"/>
      <c r="E976" s="34"/>
      <c r="F976" s="34"/>
      <c r="G976" s="34"/>
      <c r="H976" s="34"/>
      <c r="I976" s="34"/>
      <c r="J976" s="34"/>
      <c r="K976" s="34"/>
      <c r="L976" s="34"/>
      <c r="M976" s="34"/>
      <c r="N976" s="34"/>
      <c r="O976" s="34"/>
      <c r="P976" s="34"/>
    </row>
    <row r="977" spans="1:16" ht="13">
      <c r="A977" s="34"/>
      <c r="B977" s="34"/>
      <c r="C977" s="34"/>
      <c r="D977" s="34"/>
      <c r="E977" s="34"/>
      <c r="F977" s="34"/>
      <c r="G977" s="34"/>
      <c r="H977" s="34"/>
      <c r="I977" s="34"/>
      <c r="J977" s="34"/>
      <c r="K977" s="34"/>
      <c r="L977" s="34"/>
      <c r="M977" s="34"/>
      <c r="N977" s="34"/>
      <c r="O977" s="34"/>
      <c r="P977" s="34"/>
    </row>
    <row r="978" spans="1:16" ht="13">
      <c r="A978" s="34"/>
      <c r="B978" s="34"/>
      <c r="C978" s="34"/>
      <c r="D978" s="34"/>
      <c r="E978" s="34"/>
      <c r="F978" s="34"/>
      <c r="G978" s="34"/>
      <c r="H978" s="34"/>
      <c r="I978" s="34"/>
      <c r="J978" s="34"/>
      <c r="K978" s="34"/>
      <c r="L978" s="34"/>
      <c r="M978" s="34"/>
      <c r="N978" s="34"/>
      <c r="O978" s="34"/>
      <c r="P978" s="34"/>
    </row>
    <row r="979" spans="1:16" ht="13">
      <c r="A979" s="34"/>
      <c r="B979" s="34"/>
      <c r="C979" s="34"/>
      <c r="D979" s="34"/>
      <c r="E979" s="34"/>
      <c r="F979" s="34"/>
      <c r="G979" s="34"/>
      <c r="H979" s="34"/>
      <c r="I979" s="34"/>
      <c r="J979" s="34"/>
      <c r="K979" s="34"/>
      <c r="L979" s="34"/>
      <c r="M979" s="34"/>
      <c r="N979" s="34"/>
      <c r="O979" s="34"/>
      <c r="P979" s="34"/>
    </row>
    <row r="980" spans="1:16" ht="13">
      <c r="A980" s="34"/>
      <c r="B980" s="34"/>
      <c r="C980" s="34"/>
      <c r="D980" s="34"/>
      <c r="E980" s="34"/>
      <c r="F980" s="34"/>
      <c r="G980" s="34"/>
      <c r="H980" s="34"/>
      <c r="I980" s="34"/>
      <c r="J980" s="34"/>
      <c r="K980" s="34"/>
      <c r="L980" s="34"/>
      <c r="M980" s="34"/>
      <c r="N980" s="34"/>
      <c r="O980" s="34"/>
      <c r="P980" s="34"/>
    </row>
    <row r="981" spans="1:16" ht="13">
      <c r="A981" s="34"/>
      <c r="B981" s="34"/>
      <c r="C981" s="34"/>
      <c r="D981" s="34"/>
      <c r="E981" s="34"/>
      <c r="F981" s="34"/>
      <c r="G981" s="34"/>
      <c r="H981" s="34"/>
      <c r="I981" s="34"/>
      <c r="J981" s="34"/>
      <c r="K981" s="34"/>
      <c r="L981" s="34"/>
      <c r="M981" s="34"/>
      <c r="N981" s="34"/>
      <c r="O981" s="34"/>
      <c r="P981" s="34"/>
    </row>
    <row r="982" spans="1:16" ht="13">
      <c r="A982" s="34"/>
      <c r="B982" s="34"/>
      <c r="C982" s="34"/>
      <c r="D982" s="34"/>
      <c r="E982" s="34"/>
      <c r="F982" s="34"/>
      <c r="G982" s="34"/>
      <c r="H982" s="34"/>
      <c r="I982" s="34"/>
      <c r="J982" s="34"/>
      <c r="K982" s="34"/>
      <c r="L982" s="34"/>
      <c r="M982" s="34"/>
      <c r="N982" s="34"/>
      <c r="O982" s="34"/>
      <c r="P982" s="34"/>
    </row>
    <row r="983" spans="1:16" ht="13">
      <c r="A983" s="34"/>
      <c r="B983" s="34"/>
      <c r="C983" s="34"/>
      <c r="D983" s="34"/>
      <c r="E983" s="34"/>
      <c r="F983" s="34"/>
      <c r="G983" s="34"/>
      <c r="H983" s="34"/>
      <c r="I983" s="34"/>
      <c r="J983" s="34"/>
      <c r="K983" s="34"/>
      <c r="L983" s="34"/>
      <c r="M983" s="34"/>
      <c r="N983" s="34"/>
      <c r="O983" s="34"/>
      <c r="P983" s="34"/>
    </row>
    <row r="984" spans="1:16" ht="13">
      <c r="A984" s="34"/>
      <c r="B984" s="34"/>
      <c r="C984" s="34"/>
      <c r="D984" s="34"/>
      <c r="E984" s="34"/>
      <c r="F984" s="34"/>
      <c r="G984" s="34"/>
      <c r="H984" s="34"/>
      <c r="I984" s="34"/>
      <c r="J984" s="34"/>
      <c r="K984" s="34"/>
      <c r="L984" s="34"/>
      <c r="M984" s="34"/>
      <c r="N984" s="34"/>
      <c r="O984" s="34"/>
      <c r="P984" s="34"/>
    </row>
    <row r="985" spans="1:16" ht="13">
      <c r="A985" s="34"/>
      <c r="B985" s="34"/>
      <c r="C985" s="34"/>
      <c r="D985" s="34"/>
      <c r="E985" s="34"/>
      <c r="F985" s="34"/>
      <c r="G985" s="34"/>
      <c r="H985" s="34"/>
      <c r="I985" s="34"/>
      <c r="J985" s="34"/>
      <c r="K985" s="34"/>
      <c r="L985" s="34"/>
      <c r="M985" s="34"/>
      <c r="N985" s="34"/>
      <c r="O985" s="34"/>
      <c r="P985" s="34"/>
    </row>
    <row r="986" spans="1:16" ht="13">
      <c r="A986" s="34"/>
      <c r="B986" s="34"/>
      <c r="C986" s="34"/>
      <c r="D986" s="34"/>
      <c r="E986" s="34"/>
      <c r="F986" s="34"/>
      <c r="G986" s="34"/>
      <c r="H986" s="34"/>
      <c r="I986" s="34"/>
      <c r="J986" s="34"/>
      <c r="K986" s="34"/>
      <c r="L986" s="34"/>
      <c r="M986" s="34"/>
      <c r="N986" s="34"/>
      <c r="O986" s="34"/>
      <c r="P986" s="34"/>
    </row>
    <row r="987" spans="1:16" ht="13">
      <c r="A987" s="34"/>
      <c r="B987" s="34"/>
      <c r="C987" s="34"/>
      <c r="D987" s="34"/>
      <c r="E987" s="34"/>
      <c r="F987" s="34"/>
      <c r="G987" s="34"/>
      <c r="H987" s="34"/>
      <c r="I987" s="34"/>
      <c r="J987" s="34"/>
      <c r="K987" s="34"/>
      <c r="L987" s="34"/>
      <c r="M987" s="34"/>
      <c r="N987" s="34"/>
      <c r="O987" s="34"/>
      <c r="P987" s="34"/>
    </row>
    <row r="988" spans="1:16" ht="13">
      <c r="A988" s="34"/>
      <c r="B988" s="34"/>
      <c r="C988" s="34"/>
      <c r="D988" s="34"/>
      <c r="E988" s="34"/>
      <c r="F988" s="34"/>
      <c r="G988" s="34"/>
      <c r="H988" s="34"/>
      <c r="I988" s="34"/>
      <c r="J988" s="34"/>
      <c r="K988" s="34"/>
      <c r="L988" s="34"/>
      <c r="M988" s="34"/>
      <c r="N988" s="34"/>
      <c r="O988" s="34"/>
      <c r="P988" s="34"/>
    </row>
    <row r="989" spans="1:16" ht="13">
      <c r="A989" s="34"/>
      <c r="B989" s="34"/>
      <c r="C989" s="34"/>
      <c r="D989" s="34"/>
      <c r="E989" s="34"/>
      <c r="F989" s="34"/>
      <c r="G989" s="34"/>
      <c r="H989" s="34"/>
      <c r="I989" s="34"/>
      <c r="J989" s="34"/>
      <c r="K989" s="34"/>
      <c r="L989" s="34"/>
      <c r="M989" s="34"/>
      <c r="N989" s="34"/>
      <c r="O989" s="34"/>
      <c r="P989" s="34"/>
    </row>
  </sheetData>
  <mergeCells count="1">
    <mergeCell ref="E35:E44"/>
  </mergeCells>
  <phoneticPr fontId="85" type="noConversion"/>
  <hyperlinks>
    <hyperlink ref="B9" r:id="rId1" xr:uid="{00000000-0004-0000-11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A1026"/>
  <sheetViews>
    <sheetView workbookViewId="0">
      <pane ySplit="1" topLeftCell="A2" activePane="bottomLeft" state="frozen"/>
      <selection pane="bottomLeft" activeCell="B3" sqref="B3"/>
    </sheetView>
  </sheetViews>
  <sheetFormatPr defaultColWidth="14.3984375" defaultRowHeight="15.75" customHeight="1"/>
  <cols>
    <col min="1" max="1" width="16.296875" customWidth="1"/>
    <col min="2" max="2" width="30.8984375" customWidth="1"/>
    <col min="5" max="5" width="24.09765625" customWidth="1"/>
    <col min="6" max="6" width="24.59765625" customWidth="1"/>
    <col min="7" max="8" width="19" customWidth="1"/>
    <col min="9" max="9" width="25" customWidth="1"/>
    <col min="10" max="10" width="78.59765625" customWidth="1"/>
    <col min="11" max="11" width="88.09765625" customWidth="1"/>
  </cols>
  <sheetData>
    <row r="1" spans="1:27" ht="31">
      <c r="A1" s="129" t="s">
        <v>2340</v>
      </c>
      <c r="B1" s="130" t="s">
        <v>2341</v>
      </c>
      <c r="C1" s="131" t="s">
        <v>30</v>
      </c>
      <c r="D1" s="130" t="s">
        <v>2342</v>
      </c>
      <c r="E1" s="130" t="s">
        <v>2343</v>
      </c>
      <c r="F1" s="130" t="s">
        <v>2344</v>
      </c>
      <c r="G1" s="130" t="s">
        <v>29</v>
      </c>
      <c r="H1" s="130" t="s">
        <v>31</v>
      </c>
      <c r="I1" s="130" t="s">
        <v>2345</v>
      </c>
      <c r="J1" s="130" t="s">
        <v>32</v>
      </c>
      <c r="K1" s="130" t="s">
        <v>33</v>
      </c>
      <c r="L1" s="132"/>
      <c r="M1" s="132"/>
      <c r="N1" s="133"/>
      <c r="O1" s="133"/>
      <c r="P1" s="133"/>
      <c r="Q1" s="132"/>
      <c r="R1" s="132"/>
      <c r="S1" s="132"/>
      <c r="T1" s="132"/>
      <c r="U1" s="132"/>
      <c r="V1" s="132"/>
      <c r="W1" s="132"/>
      <c r="X1" s="132"/>
      <c r="Y1" s="132"/>
      <c r="Z1" s="132"/>
      <c r="AA1" s="132"/>
    </row>
    <row r="2" spans="1:27" ht="15.75" customHeight="1">
      <c r="A2" s="134" t="s">
        <v>2369</v>
      </c>
      <c r="B2" s="134" t="s">
        <v>1139</v>
      </c>
      <c r="C2" s="27" t="s">
        <v>71</v>
      </c>
      <c r="D2" s="137"/>
      <c r="E2" s="22"/>
      <c r="F2" s="25"/>
      <c r="G2" s="22" t="s">
        <v>478</v>
      </c>
      <c r="H2" s="22" t="s">
        <v>73</v>
      </c>
      <c r="I2" s="22"/>
      <c r="J2" s="22" t="s">
        <v>2380</v>
      </c>
    </row>
    <row r="3" spans="1:27" ht="15.75" customHeight="1">
      <c r="A3" s="134" t="s">
        <v>2369</v>
      </c>
      <c r="B3" s="134" t="s">
        <v>1147</v>
      </c>
      <c r="C3" s="27" t="s">
        <v>71</v>
      </c>
      <c r="D3" s="137"/>
      <c r="E3" s="22"/>
      <c r="F3" s="25"/>
      <c r="G3" s="22" t="s">
        <v>478</v>
      </c>
      <c r="H3" s="22" t="s">
        <v>73</v>
      </c>
      <c r="I3" s="22"/>
      <c r="J3" s="22"/>
    </row>
    <row r="4" spans="1:27" ht="15.75" customHeight="1">
      <c r="A4" s="134" t="s">
        <v>2391</v>
      </c>
      <c r="B4" s="134" t="s">
        <v>379</v>
      </c>
      <c r="C4" s="27" t="s">
        <v>71</v>
      </c>
      <c r="D4" s="137">
        <v>44559</v>
      </c>
      <c r="E4" s="22"/>
      <c r="F4" s="25"/>
      <c r="G4" s="22" t="s">
        <v>478</v>
      </c>
      <c r="H4" s="22" t="s">
        <v>859</v>
      </c>
      <c r="I4" s="22"/>
      <c r="J4" s="22" t="s">
        <v>2392</v>
      </c>
    </row>
    <row r="5" spans="1:27" ht="15.75" customHeight="1">
      <c r="A5" s="134" t="s">
        <v>2391</v>
      </c>
      <c r="B5" s="134" t="s">
        <v>1126</v>
      </c>
      <c r="C5" s="27" t="s">
        <v>71</v>
      </c>
      <c r="D5" s="137">
        <v>44559</v>
      </c>
      <c r="E5" s="22"/>
      <c r="F5" s="25"/>
      <c r="G5" s="22" t="s">
        <v>478</v>
      </c>
      <c r="H5" s="22" t="s">
        <v>859</v>
      </c>
      <c r="I5" s="22"/>
      <c r="J5" s="22" t="s">
        <v>2393</v>
      </c>
    </row>
    <row r="6" spans="1:27" ht="15.75" customHeight="1">
      <c r="A6" s="134" t="s">
        <v>2391</v>
      </c>
      <c r="B6" s="134" t="s">
        <v>1132</v>
      </c>
      <c r="C6" s="27" t="s">
        <v>71</v>
      </c>
      <c r="D6" s="137">
        <v>44559</v>
      </c>
      <c r="E6" s="22"/>
      <c r="F6" s="25"/>
      <c r="G6" s="22" t="s">
        <v>478</v>
      </c>
      <c r="H6" s="22" t="s">
        <v>859</v>
      </c>
      <c r="I6" s="22"/>
      <c r="J6" s="22" t="s">
        <v>2394</v>
      </c>
    </row>
    <row r="7" spans="1:27" ht="15.75" customHeight="1">
      <c r="A7" s="134" t="s">
        <v>2408</v>
      </c>
      <c r="B7" s="134" t="s">
        <v>353</v>
      </c>
      <c r="C7" s="27" t="s">
        <v>71</v>
      </c>
      <c r="D7" s="148" t="s">
        <v>2414</v>
      </c>
      <c r="E7" s="25"/>
      <c r="F7" s="25"/>
      <c r="G7" s="22" t="s">
        <v>478</v>
      </c>
      <c r="H7" s="22" t="s">
        <v>350</v>
      </c>
      <c r="I7" s="25"/>
      <c r="J7" s="22" t="s">
        <v>2415</v>
      </c>
    </row>
    <row r="8" spans="1:27" ht="15.75" customHeight="1">
      <c r="A8" s="134" t="s">
        <v>2408</v>
      </c>
      <c r="B8" s="134" t="s">
        <v>360</v>
      </c>
      <c r="C8" s="27" t="s">
        <v>71</v>
      </c>
      <c r="D8" s="148" t="s">
        <v>2416</v>
      </c>
      <c r="E8" s="25"/>
      <c r="F8" s="25"/>
      <c r="G8" s="22" t="s">
        <v>478</v>
      </c>
      <c r="H8" s="22" t="s">
        <v>350</v>
      </c>
      <c r="I8" s="25"/>
      <c r="J8" s="22" t="s">
        <v>2417</v>
      </c>
    </row>
    <row r="9" spans="1:27" ht="15.75" customHeight="1">
      <c r="A9" s="134" t="s">
        <v>2408</v>
      </c>
      <c r="B9" s="134" t="s">
        <v>367</v>
      </c>
      <c r="C9" s="27" t="s">
        <v>71</v>
      </c>
      <c r="D9" s="148"/>
      <c r="E9" s="25"/>
      <c r="F9" s="25"/>
      <c r="G9" s="22" t="s">
        <v>478</v>
      </c>
      <c r="H9" s="22" t="s">
        <v>73</v>
      </c>
      <c r="I9" s="25"/>
      <c r="J9" s="22" t="s">
        <v>2418</v>
      </c>
    </row>
    <row r="10" spans="1:27" ht="15.75" customHeight="1">
      <c r="A10" s="134" t="s">
        <v>2408</v>
      </c>
      <c r="B10" s="134" t="s">
        <v>372</v>
      </c>
      <c r="C10" s="27" t="s">
        <v>71</v>
      </c>
      <c r="D10" s="148"/>
      <c r="E10" s="25"/>
      <c r="F10" s="25"/>
      <c r="G10" s="22" t="s">
        <v>478</v>
      </c>
      <c r="H10" s="22" t="s">
        <v>73</v>
      </c>
      <c r="I10" s="25"/>
      <c r="J10" s="22" t="s">
        <v>2419</v>
      </c>
    </row>
    <row r="11" spans="1:27" ht="15.75" customHeight="1">
      <c r="A11" s="134" t="s">
        <v>2441</v>
      </c>
      <c r="B11" s="134" t="s">
        <v>321</v>
      </c>
      <c r="C11" s="27" t="s">
        <v>71</v>
      </c>
      <c r="D11" s="137">
        <v>44539</v>
      </c>
      <c r="E11" s="25"/>
      <c r="F11" s="25"/>
      <c r="G11" s="22" t="s">
        <v>478</v>
      </c>
      <c r="H11" s="22" t="s">
        <v>859</v>
      </c>
      <c r="I11" s="25"/>
      <c r="J11" s="22" t="s">
        <v>2442</v>
      </c>
    </row>
    <row r="12" spans="1:27" ht="15.75" customHeight="1">
      <c r="A12" s="134" t="s">
        <v>2441</v>
      </c>
      <c r="B12" s="134" t="s">
        <v>329</v>
      </c>
      <c r="C12" s="27" t="s">
        <v>71</v>
      </c>
      <c r="D12" s="137">
        <v>44540</v>
      </c>
      <c r="E12" s="25"/>
      <c r="F12" s="25"/>
      <c r="G12" s="22" t="s">
        <v>478</v>
      </c>
      <c r="H12" s="22" t="s">
        <v>859</v>
      </c>
      <c r="I12" s="25"/>
      <c r="J12" s="22" t="s">
        <v>2443</v>
      </c>
    </row>
    <row r="13" spans="1:27" ht="15.75" customHeight="1">
      <c r="A13" s="134" t="s">
        <v>2441</v>
      </c>
      <c r="B13" s="134" t="s">
        <v>335</v>
      </c>
      <c r="C13" s="27" t="s">
        <v>71</v>
      </c>
      <c r="D13" s="137">
        <v>44541</v>
      </c>
      <c r="E13" s="25"/>
      <c r="F13" s="25"/>
      <c r="G13" s="22" t="s">
        <v>478</v>
      </c>
      <c r="H13" s="22" t="s">
        <v>859</v>
      </c>
      <c r="I13" s="25"/>
      <c r="J13" s="22" t="s">
        <v>2444</v>
      </c>
    </row>
    <row r="14" spans="1:27" ht="15.75" customHeight="1">
      <c r="A14" s="134" t="s">
        <v>2441</v>
      </c>
      <c r="B14" s="134" t="s">
        <v>339</v>
      </c>
      <c r="C14" s="27" t="s">
        <v>71</v>
      </c>
      <c r="D14" s="137">
        <v>44542</v>
      </c>
      <c r="E14" s="25"/>
      <c r="F14" s="25"/>
      <c r="G14" s="22" t="s">
        <v>478</v>
      </c>
      <c r="H14" s="22" t="s">
        <v>859</v>
      </c>
      <c r="I14" s="25"/>
      <c r="J14" s="22" t="s">
        <v>2445</v>
      </c>
    </row>
    <row r="15" spans="1:27" ht="15.75" customHeight="1">
      <c r="A15" s="134" t="s">
        <v>2441</v>
      </c>
      <c r="B15" s="134" t="s">
        <v>345</v>
      </c>
      <c r="C15" s="27" t="s">
        <v>71</v>
      </c>
      <c r="D15" s="137">
        <v>44543</v>
      </c>
      <c r="E15" s="25"/>
      <c r="F15" s="25"/>
      <c r="G15" s="22" t="s">
        <v>478</v>
      </c>
      <c r="H15" s="22" t="s">
        <v>859</v>
      </c>
      <c r="I15" s="25"/>
      <c r="J15" s="22" t="s">
        <v>2446</v>
      </c>
    </row>
    <row r="16" spans="1:27" ht="15.75" customHeight="1">
      <c r="A16" s="134" t="s">
        <v>2465</v>
      </c>
      <c r="B16" s="134" t="s">
        <v>1083</v>
      </c>
      <c r="C16" s="27" t="s">
        <v>71</v>
      </c>
      <c r="D16" s="154">
        <v>44538</v>
      </c>
      <c r="E16" s="25"/>
      <c r="F16" s="25"/>
      <c r="G16" s="22" t="s">
        <v>478</v>
      </c>
      <c r="H16" s="22" t="s">
        <v>741</v>
      </c>
      <c r="I16" s="25"/>
    </row>
    <row r="17" spans="1:16" ht="15.75" customHeight="1">
      <c r="A17" s="134" t="s">
        <v>2465</v>
      </c>
      <c r="B17" s="134" t="s">
        <v>1091</v>
      </c>
      <c r="C17" s="27" t="s">
        <v>71</v>
      </c>
      <c r="D17" s="154">
        <v>44539</v>
      </c>
      <c r="E17" s="25"/>
      <c r="F17" s="25"/>
      <c r="G17" s="22" t="s">
        <v>478</v>
      </c>
      <c r="H17" s="22" t="s">
        <v>741</v>
      </c>
      <c r="I17" s="25"/>
    </row>
    <row r="18" spans="1:16" ht="15.75" customHeight="1">
      <c r="A18" s="134" t="s">
        <v>2465</v>
      </c>
      <c r="B18" s="135" t="s">
        <v>1829</v>
      </c>
      <c r="C18" s="27" t="s">
        <v>71</v>
      </c>
      <c r="D18" s="154">
        <v>44538</v>
      </c>
      <c r="E18" s="25"/>
      <c r="F18" s="25"/>
      <c r="G18" s="22" t="s">
        <v>478</v>
      </c>
      <c r="H18" s="22" t="s">
        <v>741</v>
      </c>
      <c r="I18" s="25"/>
    </row>
    <row r="19" spans="1:16" ht="15.75" customHeight="1">
      <c r="A19" s="134" t="s">
        <v>2465</v>
      </c>
      <c r="B19" s="134" t="s">
        <v>1105</v>
      </c>
      <c r="C19" s="27" t="s">
        <v>71</v>
      </c>
      <c r="D19" s="154">
        <v>44537</v>
      </c>
      <c r="E19" s="25"/>
      <c r="F19" s="25"/>
      <c r="G19" s="22" t="s">
        <v>478</v>
      </c>
      <c r="H19" s="22" t="s">
        <v>72</v>
      </c>
      <c r="I19" s="25"/>
    </row>
    <row r="20" spans="1:16" ht="15.75" customHeight="1">
      <c r="A20" s="134" t="s">
        <v>2465</v>
      </c>
      <c r="B20" s="134" t="s">
        <v>1113</v>
      </c>
      <c r="C20" s="27" t="s">
        <v>71</v>
      </c>
      <c r="D20" s="154">
        <v>44538</v>
      </c>
      <c r="E20" s="25"/>
      <c r="F20" s="25"/>
      <c r="G20" s="22" t="s">
        <v>478</v>
      </c>
      <c r="H20" s="22" t="s">
        <v>72</v>
      </c>
      <c r="I20" s="25"/>
    </row>
    <row r="21" spans="1:16" ht="15.75" customHeight="1">
      <c r="A21" s="134" t="s">
        <v>2465</v>
      </c>
      <c r="B21" s="134" t="s">
        <v>1120</v>
      </c>
      <c r="C21" s="27" t="s">
        <v>71</v>
      </c>
      <c r="D21" s="154">
        <v>44539</v>
      </c>
      <c r="E21" s="25"/>
      <c r="F21" s="25"/>
      <c r="G21" s="22" t="s">
        <v>478</v>
      </c>
      <c r="H21" s="22" t="s">
        <v>72</v>
      </c>
      <c r="I21" s="25"/>
    </row>
    <row r="22" spans="1:16" ht="15.75" customHeight="1">
      <c r="A22" s="134" t="s">
        <v>2466</v>
      </c>
      <c r="B22" s="155" t="s">
        <v>1053</v>
      </c>
      <c r="C22" s="27" t="s">
        <v>71</v>
      </c>
      <c r="D22" s="137">
        <v>44524</v>
      </c>
      <c r="E22" s="132"/>
      <c r="F22" s="132"/>
      <c r="G22" s="27" t="s">
        <v>478</v>
      </c>
      <c r="H22" s="27" t="s">
        <v>741</v>
      </c>
      <c r="I22" s="153"/>
      <c r="N22" s="132"/>
      <c r="O22" s="132"/>
      <c r="P22" s="132"/>
    </row>
    <row r="23" spans="1:16" ht="15.75" customHeight="1">
      <c r="A23" s="134" t="s">
        <v>2466</v>
      </c>
      <c r="B23" s="156" t="s">
        <v>1059</v>
      </c>
      <c r="C23" s="27" t="s">
        <v>71</v>
      </c>
      <c r="D23" s="148"/>
      <c r="E23" s="132"/>
      <c r="F23" s="132"/>
      <c r="G23" s="27" t="s">
        <v>478</v>
      </c>
      <c r="H23" s="27" t="s">
        <v>741</v>
      </c>
      <c r="I23" s="153"/>
    </row>
    <row r="24" spans="1:16" ht="15.75" customHeight="1">
      <c r="A24" s="134" t="s">
        <v>2466</v>
      </c>
      <c r="B24" s="156" t="s">
        <v>1816</v>
      </c>
      <c r="C24" s="27" t="s">
        <v>71</v>
      </c>
      <c r="D24" s="148"/>
      <c r="E24" s="132"/>
      <c r="F24" s="132"/>
      <c r="G24" s="27" t="s">
        <v>478</v>
      </c>
      <c r="H24" s="27" t="s">
        <v>741</v>
      </c>
      <c r="I24" s="153"/>
    </row>
    <row r="25" spans="1:16" ht="15.75" customHeight="1">
      <c r="A25" s="134" t="s">
        <v>2466</v>
      </c>
      <c r="B25" s="155" t="s">
        <v>1822</v>
      </c>
      <c r="C25" s="27" t="s">
        <v>71</v>
      </c>
      <c r="D25" s="137">
        <v>44524</v>
      </c>
      <c r="E25" s="132"/>
      <c r="F25" s="132"/>
      <c r="G25" s="27" t="s">
        <v>478</v>
      </c>
      <c r="H25" s="27" t="s">
        <v>741</v>
      </c>
      <c r="I25" s="153"/>
    </row>
    <row r="26" spans="1:16" ht="15.75" customHeight="1">
      <c r="A26" s="134" t="s">
        <v>2466</v>
      </c>
      <c r="B26" s="155" t="s">
        <v>1065</v>
      </c>
      <c r="C26" s="27" t="s">
        <v>71</v>
      </c>
      <c r="D26" s="132"/>
      <c r="E26" s="132"/>
      <c r="F26" s="132"/>
      <c r="G26" s="27" t="s">
        <v>478</v>
      </c>
      <c r="H26" s="27" t="s">
        <v>741</v>
      </c>
      <c r="I26" s="153"/>
      <c r="J26" s="243" t="s">
        <v>6494</v>
      </c>
    </row>
    <row r="27" spans="1:16" ht="15.75" customHeight="1">
      <c r="A27" s="134" t="s">
        <v>2466</v>
      </c>
      <c r="B27" s="156" t="s">
        <v>1071</v>
      </c>
      <c r="C27" s="27" t="s">
        <v>71</v>
      </c>
      <c r="D27" s="148"/>
      <c r="E27" s="132"/>
      <c r="F27" s="132"/>
      <c r="G27" s="27" t="s">
        <v>478</v>
      </c>
      <c r="H27" s="27" t="s">
        <v>741</v>
      </c>
      <c r="I27" s="153"/>
    </row>
    <row r="28" spans="1:16" ht="15.75" customHeight="1">
      <c r="A28" s="134" t="s">
        <v>2466</v>
      </c>
      <c r="B28" s="156" t="s">
        <v>1077</v>
      </c>
      <c r="C28" s="27" t="s">
        <v>71</v>
      </c>
      <c r="D28" s="148"/>
      <c r="E28" s="132"/>
      <c r="F28" s="132"/>
      <c r="G28" s="27" t="s">
        <v>478</v>
      </c>
      <c r="H28" s="27" t="s">
        <v>741</v>
      </c>
      <c r="I28" s="153"/>
    </row>
    <row r="29" spans="1:16" ht="15.75" customHeight="1">
      <c r="A29" s="156" t="s">
        <v>2469</v>
      </c>
      <c r="B29" s="156" t="s">
        <v>1033</v>
      </c>
      <c r="C29" s="27" t="s">
        <v>71</v>
      </c>
      <c r="D29" s="148"/>
      <c r="E29" s="132"/>
      <c r="F29" s="132"/>
      <c r="G29" s="27" t="s">
        <v>478</v>
      </c>
      <c r="H29" s="27" t="s">
        <v>859</v>
      </c>
      <c r="I29" s="153"/>
      <c r="J29" s="22" t="s">
        <v>2470</v>
      </c>
    </row>
    <row r="30" spans="1:16" ht="15.75" customHeight="1">
      <c r="A30" s="156" t="s">
        <v>2469</v>
      </c>
      <c r="B30" s="158" t="s">
        <v>1038</v>
      </c>
      <c r="C30" s="27" t="s">
        <v>2283</v>
      </c>
      <c r="D30" s="148"/>
      <c r="E30" s="132"/>
      <c r="F30" s="132"/>
      <c r="G30" s="27" t="s">
        <v>478</v>
      </c>
      <c r="H30" s="27" t="s">
        <v>859</v>
      </c>
      <c r="I30" s="153"/>
      <c r="K30" s="22" t="s">
        <v>2471</v>
      </c>
    </row>
    <row r="31" spans="1:16" ht="15.75" customHeight="1">
      <c r="A31" s="156" t="s">
        <v>2469</v>
      </c>
      <c r="B31" s="158" t="s">
        <v>1043</v>
      </c>
      <c r="C31" s="27" t="s">
        <v>2283</v>
      </c>
      <c r="D31" s="148"/>
      <c r="E31" s="132"/>
      <c r="F31" s="132"/>
      <c r="G31" s="27" t="s">
        <v>478</v>
      </c>
      <c r="H31" s="27" t="s">
        <v>859</v>
      </c>
      <c r="I31" s="153"/>
      <c r="K31" s="22" t="s">
        <v>2471</v>
      </c>
    </row>
    <row r="32" spans="1:16" ht="15.75" customHeight="1">
      <c r="A32" s="156" t="s">
        <v>2469</v>
      </c>
      <c r="B32" s="159" t="s">
        <v>1048</v>
      </c>
      <c r="C32" s="27" t="s">
        <v>71</v>
      </c>
      <c r="D32" s="148"/>
      <c r="E32" s="132"/>
      <c r="F32" s="132"/>
      <c r="G32" s="27" t="s">
        <v>478</v>
      </c>
      <c r="H32" s="27" t="s">
        <v>859</v>
      </c>
      <c r="I32" s="153"/>
    </row>
    <row r="33" spans="1:11" ht="15.75" customHeight="1">
      <c r="A33" s="156" t="s">
        <v>2469</v>
      </c>
      <c r="B33" s="160" t="s">
        <v>1811</v>
      </c>
      <c r="C33" s="27" t="s">
        <v>2283</v>
      </c>
      <c r="D33" s="148"/>
      <c r="E33" s="132"/>
      <c r="F33" s="132"/>
      <c r="G33" s="27" t="s">
        <v>478</v>
      </c>
      <c r="H33" s="27" t="s">
        <v>859</v>
      </c>
      <c r="I33" s="153"/>
      <c r="K33" s="22" t="s">
        <v>2471</v>
      </c>
    </row>
    <row r="34" spans="1:11" ht="15.75" customHeight="1">
      <c r="A34" s="22" t="s">
        <v>2351</v>
      </c>
      <c r="B34" s="134" t="s">
        <v>1135</v>
      </c>
      <c r="C34" s="22" t="s">
        <v>71</v>
      </c>
      <c r="E34" s="25"/>
      <c r="F34" s="25"/>
      <c r="G34" s="22" t="s">
        <v>478</v>
      </c>
      <c r="H34" s="22" t="s">
        <v>804</v>
      </c>
      <c r="I34" s="25"/>
    </row>
    <row r="35" spans="1:11" ht="15.75" customHeight="1">
      <c r="A35" s="22" t="s">
        <v>2351</v>
      </c>
      <c r="B35" s="134" t="s">
        <v>1151</v>
      </c>
      <c r="C35" s="22" t="s">
        <v>71</v>
      </c>
      <c r="E35" s="25"/>
      <c r="F35" s="25"/>
      <c r="G35" s="22" t="s">
        <v>478</v>
      </c>
      <c r="H35" s="22" t="s">
        <v>804</v>
      </c>
      <c r="I35" s="25"/>
    </row>
    <row r="36" spans="1:11" ht="15.75" customHeight="1">
      <c r="A36" s="22" t="s">
        <v>2351</v>
      </c>
      <c r="B36" s="134" t="s">
        <v>1181</v>
      </c>
      <c r="C36" s="22" t="s">
        <v>71</v>
      </c>
      <c r="E36" s="25"/>
      <c r="F36" s="25"/>
      <c r="G36" s="22" t="s">
        <v>478</v>
      </c>
      <c r="H36" s="22" t="s">
        <v>804</v>
      </c>
      <c r="I36" s="25"/>
    </row>
    <row r="37" spans="1:11" ht="15.75" customHeight="1">
      <c r="A37" s="22" t="s">
        <v>2351</v>
      </c>
      <c r="B37" s="134" t="s">
        <v>1158</v>
      </c>
      <c r="C37" s="22" t="s">
        <v>71</v>
      </c>
      <c r="E37" s="25"/>
      <c r="F37" s="25"/>
      <c r="G37" s="22" t="s">
        <v>478</v>
      </c>
      <c r="H37" s="22" t="s">
        <v>804</v>
      </c>
      <c r="I37" s="25"/>
    </row>
    <row r="38" spans="1:11" ht="15.75" customHeight="1">
      <c r="A38" s="134" t="s">
        <v>2369</v>
      </c>
      <c r="B38" s="134" t="s">
        <v>1679</v>
      </c>
      <c r="C38" s="27" t="s">
        <v>71</v>
      </c>
      <c r="D38" s="137"/>
      <c r="E38" s="22"/>
      <c r="F38" s="25"/>
      <c r="G38" s="22" t="s">
        <v>804</v>
      </c>
      <c r="H38" s="22" t="s">
        <v>73</v>
      </c>
      <c r="I38" s="22"/>
      <c r="J38" s="22" t="s">
        <v>2381</v>
      </c>
    </row>
    <row r="39" spans="1:11" ht="15.75" customHeight="1">
      <c r="A39" s="134" t="s">
        <v>2369</v>
      </c>
      <c r="B39" s="134" t="s">
        <v>1684</v>
      </c>
      <c r="C39" s="27" t="s">
        <v>71</v>
      </c>
      <c r="D39" s="137"/>
      <c r="E39" s="22"/>
      <c r="F39" s="25"/>
      <c r="G39" s="22" t="s">
        <v>804</v>
      </c>
      <c r="H39" s="22" t="s">
        <v>73</v>
      </c>
      <c r="I39" s="22"/>
    </row>
    <row r="40" spans="1:11" ht="15.75" customHeight="1">
      <c r="A40" s="134" t="s">
        <v>2369</v>
      </c>
      <c r="B40" s="134" t="s">
        <v>1435</v>
      </c>
      <c r="C40" s="27" t="s">
        <v>71</v>
      </c>
      <c r="D40" s="137"/>
      <c r="E40" s="22"/>
      <c r="F40" s="25"/>
      <c r="G40" s="22" t="s">
        <v>804</v>
      </c>
      <c r="H40" s="22" t="s">
        <v>478</v>
      </c>
      <c r="I40" s="22"/>
      <c r="J40" s="22" t="s">
        <v>2382</v>
      </c>
    </row>
    <row r="41" spans="1:11" ht="15.75" customHeight="1">
      <c r="A41" s="134" t="s">
        <v>2369</v>
      </c>
      <c r="B41" s="134" t="s">
        <v>1442</v>
      </c>
      <c r="C41" s="27" t="s">
        <v>71</v>
      </c>
      <c r="D41" s="137"/>
      <c r="E41" s="22"/>
      <c r="F41" s="25"/>
      <c r="G41" s="22" t="s">
        <v>804</v>
      </c>
      <c r="H41" s="22" t="s">
        <v>478</v>
      </c>
      <c r="I41" s="22"/>
      <c r="J41" s="22"/>
    </row>
    <row r="42" spans="1:11" ht="15.75" customHeight="1">
      <c r="A42" s="134" t="s">
        <v>2391</v>
      </c>
      <c r="B42" s="146" t="s">
        <v>309</v>
      </c>
      <c r="C42" s="27" t="s">
        <v>71</v>
      </c>
      <c r="D42" s="137">
        <v>44559</v>
      </c>
      <c r="E42" s="22"/>
      <c r="F42" s="25"/>
      <c r="G42" s="22" t="s">
        <v>804</v>
      </c>
      <c r="H42" s="22" t="s">
        <v>350</v>
      </c>
      <c r="I42" s="22"/>
      <c r="J42" s="22" t="s">
        <v>6495</v>
      </c>
    </row>
    <row r="43" spans="1:11" ht="15.75" customHeight="1">
      <c r="A43" s="134" t="s">
        <v>2391</v>
      </c>
      <c r="B43" s="146" t="s">
        <v>316</v>
      </c>
      <c r="C43" s="27" t="s">
        <v>71</v>
      </c>
      <c r="D43" s="137">
        <v>44559</v>
      </c>
      <c r="E43" s="22"/>
      <c r="F43" s="25"/>
      <c r="G43" s="22" t="s">
        <v>804</v>
      </c>
      <c r="H43" s="22" t="s">
        <v>350</v>
      </c>
      <c r="I43" s="22"/>
      <c r="J43" s="22" t="s">
        <v>2405</v>
      </c>
    </row>
    <row r="44" spans="1:11" ht="15.75" customHeight="1">
      <c r="A44" s="134" t="s">
        <v>2391</v>
      </c>
      <c r="B44" s="146" t="s">
        <v>1645</v>
      </c>
      <c r="C44" s="27" t="s">
        <v>71</v>
      </c>
      <c r="D44" s="137">
        <v>44559</v>
      </c>
      <c r="E44" s="22"/>
      <c r="F44" s="25"/>
      <c r="G44" s="22" t="s">
        <v>804</v>
      </c>
      <c r="H44" s="22" t="s">
        <v>350</v>
      </c>
      <c r="I44" s="22"/>
      <c r="J44" s="22" t="s">
        <v>2406</v>
      </c>
    </row>
    <row r="45" spans="1:11" ht="15.75" customHeight="1">
      <c r="A45" s="134" t="s">
        <v>2391</v>
      </c>
      <c r="B45" s="147" t="s">
        <v>1656</v>
      </c>
      <c r="C45" s="27" t="s">
        <v>71</v>
      </c>
      <c r="D45" s="137">
        <v>44559</v>
      </c>
      <c r="E45" s="22"/>
      <c r="F45" s="25"/>
      <c r="G45" s="22" t="s">
        <v>804</v>
      </c>
      <c r="H45" s="22" t="s">
        <v>350</v>
      </c>
      <c r="I45" s="22"/>
      <c r="J45" s="22" t="s">
        <v>2407</v>
      </c>
    </row>
    <row r="46" spans="1:11" ht="15.75" customHeight="1">
      <c r="A46" s="134" t="s">
        <v>2408</v>
      </c>
      <c r="B46" s="134" t="s">
        <v>285</v>
      </c>
      <c r="C46" s="27" t="s">
        <v>71</v>
      </c>
      <c r="D46" s="148"/>
      <c r="E46" s="25"/>
      <c r="F46" s="25"/>
      <c r="G46" s="22" t="s">
        <v>804</v>
      </c>
      <c r="H46" s="22" t="s">
        <v>72</v>
      </c>
      <c r="I46" s="25"/>
      <c r="J46" s="22" t="s">
        <v>2434</v>
      </c>
    </row>
    <row r="47" spans="1:11" ht="15.75" customHeight="1">
      <c r="A47" s="134" t="s">
        <v>2408</v>
      </c>
      <c r="B47" s="134" t="s">
        <v>290</v>
      </c>
      <c r="C47" s="27" t="s">
        <v>71</v>
      </c>
      <c r="D47" s="148"/>
      <c r="E47" s="25"/>
      <c r="F47" s="25"/>
      <c r="G47" s="22" t="s">
        <v>804</v>
      </c>
      <c r="H47" s="22" t="s">
        <v>72</v>
      </c>
      <c r="I47" s="25"/>
      <c r="J47" s="22"/>
    </row>
    <row r="48" spans="1:11" ht="15.75" customHeight="1">
      <c r="A48" s="134" t="s">
        <v>2408</v>
      </c>
      <c r="B48" s="134" t="s">
        <v>2311</v>
      </c>
      <c r="C48" s="27" t="s">
        <v>71</v>
      </c>
      <c r="D48" s="148"/>
      <c r="E48" s="25"/>
      <c r="F48" s="25"/>
      <c r="G48" s="22" t="s">
        <v>804</v>
      </c>
      <c r="H48" s="22" t="s">
        <v>72</v>
      </c>
      <c r="I48" s="25"/>
      <c r="J48" s="22"/>
    </row>
    <row r="49" spans="1:11" ht="15.75" customHeight="1">
      <c r="A49" s="134" t="s">
        <v>2408</v>
      </c>
      <c r="B49" s="134" t="s">
        <v>304</v>
      </c>
      <c r="C49" s="27" t="s">
        <v>71</v>
      </c>
      <c r="D49" s="148"/>
      <c r="E49" s="25"/>
      <c r="F49" s="25"/>
      <c r="G49" s="22" t="s">
        <v>804</v>
      </c>
      <c r="H49" s="22" t="s">
        <v>72</v>
      </c>
      <c r="I49" s="25"/>
      <c r="J49" s="22"/>
    </row>
    <row r="50" spans="1:11" ht="15.75" customHeight="1">
      <c r="A50" s="134" t="s">
        <v>2441</v>
      </c>
      <c r="B50" s="134" t="s">
        <v>266</v>
      </c>
      <c r="C50" s="27" t="s">
        <v>71</v>
      </c>
      <c r="D50" s="132"/>
      <c r="E50" s="132"/>
      <c r="F50" s="132"/>
      <c r="G50" s="27" t="s">
        <v>804</v>
      </c>
      <c r="H50" s="27" t="s">
        <v>741</v>
      </c>
      <c r="I50" s="153"/>
    </row>
    <row r="51" spans="1:11" ht="15.75" customHeight="1">
      <c r="A51" s="134" t="s">
        <v>2441</v>
      </c>
      <c r="B51" s="134" t="s">
        <v>280</v>
      </c>
      <c r="C51" s="27" t="s">
        <v>71</v>
      </c>
      <c r="D51" s="132"/>
      <c r="E51" s="132"/>
      <c r="F51" s="132"/>
      <c r="G51" s="27" t="s">
        <v>804</v>
      </c>
      <c r="H51" s="27" t="s">
        <v>741</v>
      </c>
      <c r="I51" s="153"/>
      <c r="J51" s="22" t="s">
        <v>2463</v>
      </c>
      <c r="K51" s="22" t="s">
        <v>2464</v>
      </c>
    </row>
    <row r="52" spans="1:11" ht="15.75" customHeight="1">
      <c r="A52" s="134" t="s">
        <v>2441</v>
      </c>
      <c r="B52" s="134" t="s">
        <v>273</v>
      </c>
      <c r="C52" s="27" t="s">
        <v>71</v>
      </c>
      <c r="D52" s="132"/>
      <c r="E52" s="132"/>
      <c r="F52" s="132"/>
      <c r="G52" s="27" t="s">
        <v>804</v>
      </c>
      <c r="H52" s="27" t="s">
        <v>741</v>
      </c>
      <c r="I52" s="153"/>
    </row>
    <row r="53" spans="1:11" ht="15.75" customHeight="1">
      <c r="A53" s="134" t="s">
        <v>2441</v>
      </c>
      <c r="B53" s="134" t="s">
        <v>258</v>
      </c>
      <c r="C53" s="27" t="s">
        <v>71</v>
      </c>
      <c r="D53" s="132"/>
      <c r="E53" s="132"/>
      <c r="F53" s="132"/>
      <c r="G53" s="27" t="s">
        <v>804</v>
      </c>
      <c r="H53" s="27" t="s">
        <v>741</v>
      </c>
      <c r="I53" s="153"/>
    </row>
    <row r="54" spans="1:11" ht="15.75" customHeight="1">
      <c r="A54" s="156" t="s">
        <v>2469</v>
      </c>
      <c r="B54" s="156" t="s">
        <v>1850</v>
      </c>
      <c r="C54" s="27" t="s">
        <v>71</v>
      </c>
      <c r="D54" s="132"/>
      <c r="E54" s="132"/>
      <c r="F54" s="132"/>
      <c r="G54" s="27" t="s">
        <v>804</v>
      </c>
      <c r="H54" s="27" t="s">
        <v>859</v>
      </c>
      <c r="I54" s="153"/>
    </row>
    <row r="55" spans="1:11" ht="15.75" customHeight="1">
      <c r="A55" s="156" t="s">
        <v>2469</v>
      </c>
      <c r="B55" s="156" t="s">
        <v>1844</v>
      </c>
      <c r="C55" s="27" t="s">
        <v>71</v>
      </c>
      <c r="D55" s="132"/>
      <c r="E55" s="132"/>
      <c r="F55" s="132"/>
      <c r="G55" s="27" t="s">
        <v>804</v>
      </c>
      <c r="H55" s="27" t="s">
        <v>859</v>
      </c>
      <c r="I55" s="153"/>
    </row>
    <row r="56" spans="1:11" ht="15.75" customHeight="1">
      <c r="A56" s="22" t="s">
        <v>2351</v>
      </c>
      <c r="B56" s="134" t="s">
        <v>897</v>
      </c>
      <c r="C56" s="22" t="s">
        <v>71</v>
      </c>
      <c r="E56" s="25"/>
      <c r="F56" s="25"/>
      <c r="G56" s="22" t="s">
        <v>804</v>
      </c>
      <c r="H56" s="22" t="s">
        <v>669</v>
      </c>
      <c r="I56" s="25"/>
      <c r="J56" s="44" t="s">
        <v>2363</v>
      </c>
    </row>
    <row r="57" spans="1:11" ht="15.75" customHeight="1">
      <c r="A57" s="22" t="s">
        <v>2351</v>
      </c>
      <c r="B57" s="134" t="s">
        <v>1330</v>
      </c>
      <c r="C57" s="22" t="s">
        <v>71</v>
      </c>
      <c r="E57" s="25"/>
      <c r="F57" s="25"/>
      <c r="G57" s="22" t="s">
        <v>804</v>
      </c>
      <c r="H57" s="22" t="s">
        <v>669</v>
      </c>
      <c r="I57" s="25"/>
      <c r="J57" s="22" t="s">
        <v>2364</v>
      </c>
    </row>
    <row r="58" spans="1:11" ht="15.75" customHeight="1">
      <c r="A58" s="22" t="s">
        <v>2351</v>
      </c>
      <c r="B58" s="134" t="s">
        <v>1639</v>
      </c>
      <c r="C58" s="22" t="s">
        <v>71</v>
      </c>
      <c r="E58" s="25"/>
      <c r="F58" s="25"/>
      <c r="G58" s="22" t="s">
        <v>804</v>
      </c>
      <c r="H58" s="22" t="s">
        <v>928</v>
      </c>
      <c r="I58" s="25"/>
      <c r="J58" s="22" t="s">
        <v>2365</v>
      </c>
    </row>
    <row r="59" spans="1:11" ht="15.75" customHeight="1">
      <c r="A59" s="22" t="s">
        <v>2351</v>
      </c>
      <c r="B59" s="134" t="s">
        <v>903</v>
      </c>
      <c r="C59" s="22" t="s">
        <v>71</v>
      </c>
      <c r="E59" s="25"/>
      <c r="F59" s="25"/>
      <c r="G59" s="22" t="s">
        <v>804</v>
      </c>
      <c r="H59" s="22" t="s">
        <v>928</v>
      </c>
      <c r="I59" s="25"/>
    </row>
    <row r="60" spans="1:11" ht="15.75" customHeight="1">
      <c r="A60" s="134" t="s">
        <v>2369</v>
      </c>
      <c r="B60" s="134" t="s">
        <v>1550</v>
      </c>
      <c r="C60" s="27" t="s">
        <v>71</v>
      </c>
      <c r="D60" s="137"/>
      <c r="E60" s="22"/>
      <c r="F60" s="25"/>
      <c r="G60" s="22" t="s">
        <v>669</v>
      </c>
      <c r="H60" s="22" t="s">
        <v>72</v>
      </c>
      <c r="I60" s="22"/>
      <c r="J60" s="22"/>
    </row>
    <row r="61" spans="1:11" ht="15.75" customHeight="1">
      <c r="A61" s="134" t="s">
        <v>2369</v>
      </c>
      <c r="B61" s="134" t="s">
        <v>1007</v>
      </c>
      <c r="C61" s="27" t="s">
        <v>71</v>
      </c>
      <c r="D61" s="137"/>
      <c r="E61" s="22"/>
      <c r="F61" s="25"/>
      <c r="G61" s="22" t="s">
        <v>669</v>
      </c>
      <c r="H61" s="22" t="s">
        <v>72</v>
      </c>
      <c r="I61" s="22"/>
      <c r="J61" s="22"/>
    </row>
    <row r="62" spans="1:11" ht="15.75" customHeight="1">
      <c r="A62" s="134" t="s">
        <v>2369</v>
      </c>
      <c r="B62" s="134" t="s">
        <v>1013</v>
      </c>
      <c r="C62" s="27" t="s">
        <v>71</v>
      </c>
      <c r="D62" s="137"/>
      <c r="E62" s="22"/>
      <c r="F62" s="25"/>
      <c r="G62" s="22" t="s">
        <v>669</v>
      </c>
      <c r="H62" s="22" t="s">
        <v>73</v>
      </c>
      <c r="I62" s="22"/>
      <c r="J62" s="22" t="s">
        <v>2376</v>
      </c>
      <c r="K62" s="22" t="s">
        <v>2377</v>
      </c>
    </row>
    <row r="63" spans="1:11" ht="15.75" customHeight="1">
      <c r="A63" s="134" t="s">
        <v>2369</v>
      </c>
      <c r="B63" s="134" t="s">
        <v>1024</v>
      </c>
      <c r="C63" s="27" t="s">
        <v>71</v>
      </c>
      <c r="D63" s="137"/>
      <c r="E63" s="22"/>
      <c r="F63" s="25"/>
      <c r="G63" s="22" t="s">
        <v>669</v>
      </c>
      <c r="H63" s="22" t="s">
        <v>73</v>
      </c>
      <c r="I63" s="22"/>
      <c r="J63" s="22" t="s">
        <v>2378</v>
      </c>
      <c r="K63" s="22" t="s">
        <v>2379</v>
      </c>
    </row>
    <row r="64" spans="1:11" ht="15.75" customHeight="1">
      <c r="A64" s="134" t="s">
        <v>2391</v>
      </c>
      <c r="B64" s="134" t="s">
        <v>679</v>
      </c>
      <c r="C64" s="27" t="s">
        <v>71</v>
      </c>
      <c r="D64" s="137"/>
      <c r="E64" s="22"/>
      <c r="F64" s="25"/>
      <c r="G64" s="22" t="s">
        <v>669</v>
      </c>
      <c r="H64" s="22" t="s">
        <v>928</v>
      </c>
      <c r="I64" s="22"/>
      <c r="J64" s="22" t="s">
        <v>2399</v>
      </c>
      <c r="K64" s="22" t="s">
        <v>2400</v>
      </c>
    </row>
    <row r="65" spans="1:11" ht="15.75" customHeight="1">
      <c r="A65" s="134" t="s">
        <v>2391</v>
      </c>
      <c r="B65" s="134" t="s">
        <v>1602</v>
      </c>
      <c r="C65" s="27" t="s">
        <v>71</v>
      </c>
      <c r="D65" s="137"/>
      <c r="E65" s="22"/>
      <c r="F65" s="25"/>
      <c r="G65" s="22" t="s">
        <v>669</v>
      </c>
      <c r="H65" s="22" t="s">
        <v>928</v>
      </c>
      <c r="I65" s="22"/>
      <c r="J65" s="22"/>
    </row>
    <row r="66" spans="1:11" ht="15.75" customHeight="1">
      <c r="A66" s="134" t="s">
        <v>2391</v>
      </c>
      <c r="B66" s="134" t="s">
        <v>1900</v>
      </c>
      <c r="C66" s="27" t="s">
        <v>71</v>
      </c>
      <c r="D66" s="137"/>
      <c r="E66" s="22"/>
      <c r="F66" s="25"/>
      <c r="G66" s="22" t="s">
        <v>669</v>
      </c>
      <c r="H66" s="22" t="s">
        <v>741</v>
      </c>
      <c r="I66" s="22"/>
      <c r="J66" s="22"/>
    </row>
    <row r="67" spans="1:11" ht="15.75" customHeight="1">
      <c r="A67" s="134" t="s">
        <v>2391</v>
      </c>
      <c r="B67" s="134" t="s">
        <v>1520</v>
      </c>
      <c r="C67" s="27" t="s">
        <v>71</v>
      </c>
      <c r="D67" s="137"/>
      <c r="E67" s="22"/>
      <c r="F67" s="25"/>
      <c r="G67" s="22" t="s">
        <v>669</v>
      </c>
      <c r="H67" s="22" t="s">
        <v>741</v>
      </c>
      <c r="I67" s="22"/>
      <c r="J67" s="22"/>
    </row>
    <row r="68" spans="1:11" ht="15.75" customHeight="1">
      <c r="A68" s="134" t="s">
        <v>2408</v>
      </c>
      <c r="B68" s="134" t="s">
        <v>218</v>
      </c>
      <c r="C68" s="27" t="s">
        <v>71</v>
      </c>
      <c r="D68" s="148"/>
      <c r="E68" s="25"/>
      <c r="F68" s="25"/>
      <c r="G68" s="22" t="s">
        <v>669</v>
      </c>
      <c r="H68" s="22" t="s">
        <v>478</v>
      </c>
      <c r="I68" s="25"/>
      <c r="J68" s="22" t="s">
        <v>2424</v>
      </c>
      <c r="K68" s="22" t="s">
        <v>2425</v>
      </c>
    </row>
    <row r="69" spans="1:11" ht="15.75" customHeight="1">
      <c r="A69" s="134" t="s">
        <v>2408</v>
      </c>
      <c r="B69" s="134" t="s">
        <v>226</v>
      </c>
      <c r="C69" s="27" t="s">
        <v>71</v>
      </c>
      <c r="D69" s="148"/>
      <c r="E69" s="25"/>
      <c r="F69" s="25"/>
      <c r="G69" s="22" t="s">
        <v>669</v>
      </c>
      <c r="H69" s="22" t="s">
        <v>478</v>
      </c>
      <c r="I69" s="25"/>
      <c r="J69" s="22" t="s">
        <v>2426</v>
      </c>
      <c r="K69" s="22" t="s">
        <v>2427</v>
      </c>
    </row>
    <row r="70" spans="1:11" ht="15.75" customHeight="1">
      <c r="A70" s="134" t="s">
        <v>2408</v>
      </c>
      <c r="B70" s="134" t="s">
        <v>234</v>
      </c>
      <c r="C70" s="27" t="s">
        <v>71</v>
      </c>
      <c r="D70" s="148"/>
      <c r="E70" s="25"/>
      <c r="F70" s="25"/>
      <c r="G70" s="22" t="s">
        <v>669</v>
      </c>
      <c r="H70" s="22" t="s">
        <v>478</v>
      </c>
      <c r="I70" s="25"/>
      <c r="J70" s="22" t="s">
        <v>2428</v>
      </c>
      <c r="K70" s="22" t="s">
        <v>2429</v>
      </c>
    </row>
    <row r="71" spans="1:11" ht="15.75" customHeight="1">
      <c r="A71" s="134" t="s">
        <v>2408</v>
      </c>
      <c r="B71" s="134" t="s">
        <v>245</v>
      </c>
      <c r="C71" s="27" t="s">
        <v>71</v>
      </c>
      <c r="D71" s="148"/>
      <c r="E71" s="25"/>
      <c r="F71" s="25"/>
      <c r="G71" s="22" t="s">
        <v>669</v>
      </c>
      <c r="H71" s="22" t="s">
        <v>478</v>
      </c>
      <c r="I71" s="25"/>
      <c r="J71" s="244" t="s">
        <v>2430</v>
      </c>
      <c r="K71" s="22" t="s">
        <v>2431</v>
      </c>
    </row>
    <row r="72" spans="1:11" ht="15.75" customHeight="1">
      <c r="A72" s="134" t="s">
        <v>2408</v>
      </c>
      <c r="B72" s="134" t="s">
        <v>251</v>
      </c>
      <c r="C72" s="27" t="s">
        <v>71</v>
      </c>
      <c r="D72" s="148"/>
      <c r="E72" s="25"/>
      <c r="F72" s="25"/>
      <c r="G72" s="22" t="s">
        <v>669</v>
      </c>
      <c r="H72" s="22" t="s">
        <v>72</v>
      </c>
      <c r="I72" s="25"/>
      <c r="J72" s="22" t="s">
        <v>2432</v>
      </c>
      <c r="K72" s="22" t="s">
        <v>2433</v>
      </c>
    </row>
    <row r="73" spans="1:11" ht="15.75" customHeight="1">
      <c r="A73" s="134" t="s">
        <v>2441</v>
      </c>
      <c r="B73" s="134" t="s">
        <v>166</v>
      </c>
      <c r="C73" s="27" t="s">
        <v>71</v>
      </c>
      <c r="D73" s="132"/>
      <c r="E73" s="132"/>
      <c r="F73" s="132"/>
      <c r="G73" s="27" t="s">
        <v>669</v>
      </c>
      <c r="H73" s="22" t="s">
        <v>928</v>
      </c>
      <c r="I73" s="153"/>
      <c r="J73" s="22" t="s">
        <v>2455</v>
      </c>
      <c r="K73" s="22" t="s">
        <v>2456</v>
      </c>
    </row>
    <row r="74" spans="1:11" ht="15.75" customHeight="1">
      <c r="A74" s="134" t="s">
        <v>2441</v>
      </c>
      <c r="B74" s="134" t="s">
        <v>179</v>
      </c>
      <c r="C74" s="27" t="s">
        <v>71</v>
      </c>
      <c r="D74" s="132"/>
      <c r="E74" s="132"/>
      <c r="F74" s="132"/>
      <c r="G74" s="27" t="s">
        <v>669</v>
      </c>
      <c r="H74" s="22" t="s">
        <v>928</v>
      </c>
      <c r="I74" s="153"/>
      <c r="J74" s="22" t="s">
        <v>2457</v>
      </c>
      <c r="K74" s="22" t="s">
        <v>2458</v>
      </c>
    </row>
    <row r="75" spans="1:11" ht="15.75" customHeight="1">
      <c r="A75" s="134" t="s">
        <v>2441</v>
      </c>
      <c r="B75" s="134" t="s">
        <v>189</v>
      </c>
      <c r="C75" s="27" t="s">
        <v>71</v>
      </c>
      <c r="D75" s="132"/>
      <c r="E75" s="132"/>
      <c r="F75" s="132"/>
      <c r="G75" s="27" t="s">
        <v>669</v>
      </c>
      <c r="H75" s="22" t="s">
        <v>928</v>
      </c>
      <c r="I75" s="153"/>
      <c r="J75" s="22" t="s">
        <v>2459</v>
      </c>
      <c r="K75" s="22" t="s">
        <v>2460</v>
      </c>
    </row>
    <row r="76" spans="1:11" ht="15.75" customHeight="1">
      <c r="A76" s="134" t="s">
        <v>2441</v>
      </c>
      <c r="B76" s="146" t="s">
        <v>1885</v>
      </c>
      <c r="C76" s="27" t="s">
        <v>71</v>
      </c>
      <c r="D76" s="137">
        <v>44547</v>
      </c>
      <c r="E76" s="132"/>
      <c r="F76" s="132"/>
      <c r="G76" s="27" t="s">
        <v>669</v>
      </c>
      <c r="H76" s="22" t="s">
        <v>928</v>
      </c>
      <c r="I76" s="153"/>
      <c r="J76" s="22" t="s">
        <v>2461</v>
      </c>
      <c r="K76" s="22" t="s">
        <v>2462</v>
      </c>
    </row>
    <row r="77" spans="1:11" ht="15.75" customHeight="1">
      <c r="A77" s="134" t="s">
        <v>2441</v>
      </c>
      <c r="B77" s="135" t="s">
        <v>210</v>
      </c>
      <c r="C77" s="27" t="s">
        <v>71</v>
      </c>
      <c r="D77" s="132"/>
      <c r="E77" s="132"/>
      <c r="F77" s="132"/>
      <c r="G77" s="27" t="s">
        <v>669</v>
      </c>
      <c r="H77" s="27" t="s">
        <v>741</v>
      </c>
      <c r="I77" s="153"/>
    </row>
    <row r="78" spans="1:11" ht="15.75" customHeight="1">
      <c r="A78" s="156" t="s">
        <v>2469</v>
      </c>
      <c r="B78" s="156" t="s">
        <v>1856</v>
      </c>
      <c r="C78" s="27" t="s">
        <v>71</v>
      </c>
      <c r="D78" s="137">
        <v>44526</v>
      </c>
      <c r="E78" s="148" t="s">
        <v>2472</v>
      </c>
      <c r="F78" s="132"/>
      <c r="G78" s="27" t="s">
        <v>669</v>
      </c>
      <c r="H78" s="27" t="s">
        <v>859</v>
      </c>
      <c r="I78" s="27" t="s">
        <v>669</v>
      </c>
      <c r="J78" s="22" t="s">
        <v>2473</v>
      </c>
      <c r="K78" s="22" t="s">
        <v>2474</v>
      </c>
    </row>
    <row r="79" spans="1:11" ht="15.75" customHeight="1">
      <c r="A79" s="22" t="s">
        <v>2351</v>
      </c>
      <c r="B79" s="134" t="s">
        <v>1687</v>
      </c>
      <c r="C79" s="22" t="s">
        <v>71</v>
      </c>
      <c r="E79" s="25"/>
      <c r="F79" s="25"/>
      <c r="G79" s="22" t="s">
        <v>669</v>
      </c>
      <c r="H79" s="22" t="s">
        <v>804</v>
      </c>
      <c r="I79" s="25"/>
    </row>
    <row r="80" spans="1:11" ht="15.75" customHeight="1">
      <c r="A80" s="22" t="s">
        <v>2351</v>
      </c>
      <c r="B80" s="134" t="s">
        <v>742</v>
      </c>
      <c r="C80" s="22" t="s">
        <v>71</v>
      </c>
      <c r="E80" s="25"/>
      <c r="F80" s="25"/>
      <c r="G80" s="22" t="s">
        <v>669</v>
      </c>
      <c r="H80" s="22" t="s">
        <v>859</v>
      </c>
      <c r="I80" s="25"/>
      <c r="J80" s="22" t="s">
        <v>2354</v>
      </c>
      <c r="K80" s="22" t="s">
        <v>2355</v>
      </c>
    </row>
    <row r="81" spans="1:11" ht="15.75" customHeight="1">
      <c r="A81" s="22" t="s">
        <v>2351</v>
      </c>
      <c r="B81" s="134" t="s">
        <v>747</v>
      </c>
      <c r="C81" s="22" t="s">
        <v>71</v>
      </c>
      <c r="E81" s="25"/>
      <c r="F81" s="25"/>
      <c r="G81" s="22" t="s">
        <v>669</v>
      </c>
      <c r="H81" s="22" t="s">
        <v>859</v>
      </c>
      <c r="I81" s="25"/>
      <c r="J81" s="22" t="s">
        <v>2356</v>
      </c>
    </row>
    <row r="82" spans="1:11" ht="15.75" customHeight="1">
      <c r="A82" s="22" t="s">
        <v>2351</v>
      </c>
      <c r="B82" s="134" t="s">
        <v>752</v>
      </c>
      <c r="C82" s="22" t="s">
        <v>71</v>
      </c>
      <c r="E82" s="25"/>
      <c r="F82" s="25"/>
      <c r="G82" s="22" t="s">
        <v>669</v>
      </c>
      <c r="H82" s="22" t="s">
        <v>859</v>
      </c>
      <c r="I82" s="25"/>
      <c r="J82" s="22" t="s">
        <v>2357</v>
      </c>
      <c r="K82" s="22" t="s">
        <v>2358</v>
      </c>
    </row>
    <row r="83" spans="1:11" ht="15.75" customHeight="1">
      <c r="A83" s="134" t="s">
        <v>2369</v>
      </c>
      <c r="B83" s="134" t="s">
        <v>1872</v>
      </c>
      <c r="C83" s="27" t="s">
        <v>71</v>
      </c>
      <c r="D83" s="137">
        <v>44565</v>
      </c>
      <c r="E83" s="22"/>
      <c r="F83" s="25"/>
      <c r="G83" s="22" t="s">
        <v>350</v>
      </c>
      <c r="H83" s="22" t="s">
        <v>244</v>
      </c>
      <c r="I83" s="22"/>
      <c r="J83" s="22"/>
    </row>
    <row r="84" spans="1:11" ht="15.75" customHeight="1">
      <c r="A84" s="134" t="s">
        <v>2369</v>
      </c>
      <c r="B84" s="134" t="s">
        <v>1877</v>
      </c>
      <c r="C84" s="27" t="s">
        <v>71</v>
      </c>
      <c r="D84" s="137">
        <v>44567</v>
      </c>
      <c r="E84" s="22"/>
      <c r="F84" s="25"/>
      <c r="G84" s="22" t="s">
        <v>350</v>
      </c>
      <c r="H84" s="22" t="s">
        <v>244</v>
      </c>
      <c r="I84" s="22"/>
      <c r="J84" s="22" t="s">
        <v>6496</v>
      </c>
    </row>
    <row r="85" spans="1:11" ht="15.75" customHeight="1">
      <c r="A85" s="134" t="s">
        <v>2369</v>
      </c>
      <c r="B85" s="134" t="s">
        <v>1402</v>
      </c>
      <c r="C85" s="27" t="s">
        <v>71</v>
      </c>
      <c r="D85" s="137">
        <v>44567</v>
      </c>
      <c r="E85" s="22"/>
      <c r="F85" s="25"/>
      <c r="G85" s="22" t="s">
        <v>350</v>
      </c>
      <c r="H85" s="22" t="s">
        <v>244</v>
      </c>
      <c r="I85" s="22"/>
      <c r="J85" s="22" t="s">
        <v>2371</v>
      </c>
    </row>
    <row r="86" spans="1:11" ht="15.75" customHeight="1">
      <c r="A86" s="134" t="s">
        <v>2369</v>
      </c>
      <c r="B86" s="134" t="s">
        <v>1881</v>
      </c>
      <c r="C86" s="27" t="s">
        <v>71</v>
      </c>
      <c r="D86" s="137">
        <v>44567</v>
      </c>
      <c r="E86" s="22"/>
      <c r="F86" s="25"/>
      <c r="G86" s="22" t="s">
        <v>350</v>
      </c>
      <c r="H86" s="22" t="s">
        <v>244</v>
      </c>
      <c r="I86" s="22"/>
      <c r="J86" s="22" t="s">
        <v>2372</v>
      </c>
    </row>
    <row r="87" spans="1:11" ht="15.75" customHeight="1">
      <c r="A87" s="134" t="s">
        <v>2369</v>
      </c>
      <c r="B87" s="134" t="s">
        <v>1408</v>
      </c>
      <c r="C87" s="27" t="s">
        <v>71</v>
      </c>
      <c r="D87" s="137">
        <v>44566</v>
      </c>
      <c r="E87" s="22"/>
      <c r="F87" s="25"/>
      <c r="G87" s="22" t="s">
        <v>350</v>
      </c>
      <c r="H87" s="22" t="s">
        <v>244</v>
      </c>
      <c r="I87" s="22"/>
      <c r="J87" s="22" t="s">
        <v>2373</v>
      </c>
    </row>
    <row r="88" spans="1:11" ht="15.75" customHeight="1">
      <c r="A88" s="134" t="s">
        <v>2369</v>
      </c>
      <c r="B88" s="134" t="s">
        <v>1416</v>
      </c>
      <c r="C88" s="27" t="s">
        <v>71</v>
      </c>
      <c r="D88" s="137">
        <v>44566</v>
      </c>
      <c r="E88" s="22"/>
      <c r="F88" s="25"/>
      <c r="G88" s="22" t="s">
        <v>350</v>
      </c>
      <c r="H88" s="22" t="s">
        <v>244</v>
      </c>
      <c r="I88" s="22"/>
      <c r="J88" s="22" t="s">
        <v>2374</v>
      </c>
    </row>
    <row r="89" spans="1:11" ht="15.75" customHeight="1">
      <c r="A89" s="139" t="s">
        <v>2369</v>
      </c>
      <c r="B89" s="139" t="s">
        <v>1905</v>
      </c>
      <c r="C89" s="140" t="s">
        <v>71</v>
      </c>
      <c r="D89" s="141">
        <v>44567</v>
      </c>
      <c r="E89" s="142"/>
      <c r="F89" s="143"/>
      <c r="G89" s="142" t="s">
        <v>350</v>
      </c>
      <c r="H89" s="142" t="s">
        <v>244</v>
      </c>
      <c r="I89" s="142"/>
      <c r="J89" s="142" t="s">
        <v>2375</v>
      </c>
    </row>
    <row r="90" spans="1:11" ht="15.75" customHeight="1">
      <c r="A90" s="134" t="s">
        <v>2369</v>
      </c>
      <c r="B90" s="134" t="s">
        <v>961</v>
      </c>
      <c r="C90" s="27" t="s">
        <v>71</v>
      </c>
      <c r="D90" s="137"/>
      <c r="E90" s="25"/>
      <c r="F90" s="25"/>
      <c r="G90" s="22" t="s">
        <v>928</v>
      </c>
      <c r="H90" s="22" t="s">
        <v>478</v>
      </c>
      <c r="I90" s="25"/>
      <c r="J90" s="22" t="s">
        <v>2383</v>
      </c>
    </row>
    <row r="91" spans="1:11" ht="15.75" customHeight="1">
      <c r="A91" s="134" t="s">
        <v>2369</v>
      </c>
      <c r="B91" s="134" t="s">
        <v>966</v>
      </c>
      <c r="C91" s="27" t="s">
        <v>71</v>
      </c>
      <c r="D91" s="137"/>
      <c r="E91" s="25"/>
      <c r="F91" s="25"/>
      <c r="G91" s="22" t="s">
        <v>928</v>
      </c>
      <c r="H91" s="22" t="s">
        <v>478</v>
      </c>
      <c r="I91" s="25"/>
      <c r="J91" s="22" t="s">
        <v>2384</v>
      </c>
    </row>
    <row r="92" spans="1:11" ht="15.75" customHeight="1">
      <c r="A92" s="134" t="s">
        <v>2369</v>
      </c>
      <c r="B92" s="134" t="s">
        <v>972</v>
      </c>
      <c r="C92" s="27" t="s">
        <v>71</v>
      </c>
      <c r="D92" s="137"/>
      <c r="E92" s="22"/>
      <c r="F92" s="25"/>
      <c r="G92" s="22" t="s">
        <v>928</v>
      </c>
      <c r="H92" s="22" t="s">
        <v>478</v>
      </c>
      <c r="I92" s="22"/>
      <c r="J92" s="22" t="s">
        <v>2385</v>
      </c>
    </row>
    <row r="93" spans="1:11" ht="15.75" customHeight="1">
      <c r="A93" s="134" t="s">
        <v>2369</v>
      </c>
      <c r="B93" s="134" t="s">
        <v>979</v>
      </c>
      <c r="C93" s="27" t="s">
        <v>71</v>
      </c>
      <c r="D93" s="137"/>
      <c r="E93" s="22"/>
      <c r="F93" s="25"/>
      <c r="G93" s="22" t="s">
        <v>928</v>
      </c>
      <c r="H93" s="22" t="s">
        <v>804</v>
      </c>
      <c r="I93" s="22"/>
      <c r="J93" s="22" t="s">
        <v>2386</v>
      </c>
    </row>
    <row r="94" spans="1:11" ht="15.75" customHeight="1">
      <c r="A94" s="134" t="s">
        <v>2369</v>
      </c>
      <c r="B94" s="134" t="s">
        <v>983</v>
      </c>
      <c r="C94" s="27" t="s">
        <v>71</v>
      </c>
      <c r="D94" s="137"/>
      <c r="E94" s="22"/>
      <c r="F94" s="25"/>
      <c r="G94" s="22" t="s">
        <v>928</v>
      </c>
      <c r="H94" s="22" t="s">
        <v>804</v>
      </c>
      <c r="I94" s="22"/>
      <c r="J94" s="22" t="s">
        <v>2387</v>
      </c>
    </row>
    <row r="95" spans="1:11" ht="15.75" customHeight="1">
      <c r="A95" s="134" t="s">
        <v>2391</v>
      </c>
      <c r="B95" s="134" t="s">
        <v>437</v>
      </c>
      <c r="C95" s="27" t="s">
        <v>71</v>
      </c>
      <c r="D95" s="137"/>
      <c r="E95" s="22"/>
      <c r="F95" s="25"/>
      <c r="G95" s="22" t="s">
        <v>928</v>
      </c>
      <c r="H95" s="22" t="s">
        <v>741</v>
      </c>
      <c r="I95" s="22"/>
      <c r="J95" s="22"/>
    </row>
    <row r="96" spans="1:11" ht="15.75" customHeight="1">
      <c r="A96" s="134" t="s">
        <v>2391</v>
      </c>
      <c r="B96" s="134" t="s">
        <v>452</v>
      </c>
      <c r="C96" s="27" t="s">
        <v>71</v>
      </c>
      <c r="D96" s="137"/>
      <c r="E96" s="22"/>
      <c r="F96" s="25"/>
      <c r="G96" s="22" t="s">
        <v>928</v>
      </c>
      <c r="H96" s="22" t="s">
        <v>741</v>
      </c>
      <c r="I96" s="22"/>
      <c r="J96" s="22"/>
    </row>
    <row r="97" spans="1:10" ht="15.75" customHeight="1">
      <c r="A97" s="134" t="s">
        <v>2391</v>
      </c>
      <c r="B97" s="134" t="s">
        <v>445</v>
      </c>
      <c r="C97" s="27" t="s">
        <v>71</v>
      </c>
      <c r="D97" s="137"/>
      <c r="E97" s="22"/>
      <c r="F97" s="25"/>
      <c r="G97" s="22" t="s">
        <v>928</v>
      </c>
      <c r="H97" s="22" t="s">
        <v>669</v>
      </c>
      <c r="I97" s="22"/>
      <c r="J97" s="22" t="s">
        <v>2401</v>
      </c>
    </row>
    <row r="98" spans="1:10" ht="15.75" customHeight="1">
      <c r="A98" s="134" t="s">
        <v>2391</v>
      </c>
      <c r="B98" s="134" t="s">
        <v>464</v>
      </c>
      <c r="C98" s="27" t="s">
        <v>71</v>
      </c>
      <c r="D98" s="137"/>
      <c r="E98" s="22"/>
      <c r="F98" s="25"/>
      <c r="G98" s="22" t="s">
        <v>928</v>
      </c>
      <c r="H98" s="22" t="s">
        <v>669</v>
      </c>
      <c r="I98" s="22"/>
      <c r="J98" s="22" t="s">
        <v>2402</v>
      </c>
    </row>
    <row r="99" spans="1:10" ht="15.75" customHeight="1">
      <c r="A99" s="134" t="s">
        <v>2408</v>
      </c>
      <c r="B99" s="134" t="s">
        <v>403</v>
      </c>
      <c r="C99" s="27" t="s">
        <v>71</v>
      </c>
      <c r="D99" s="148"/>
      <c r="E99" s="25"/>
      <c r="F99" s="25"/>
      <c r="G99" s="22" t="s">
        <v>928</v>
      </c>
      <c r="H99" s="22" t="s">
        <v>73</v>
      </c>
      <c r="I99" s="25"/>
      <c r="J99" s="22" t="s">
        <v>2420</v>
      </c>
    </row>
    <row r="100" spans="1:10" ht="15.75" customHeight="1">
      <c r="A100" s="134" t="s">
        <v>2408</v>
      </c>
      <c r="B100" s="134" t="s">
        <v>411</v>
      </c>
      <c r="C100" s="27" t="s">
        <v>71</v>
      </c>
      <c r="D100" s="148"/>
      <c r="E100" s="25"/>
      <c r="F100" s="25"/>
      <c r="G100" s="22" t="s">
        <v>928</v>
      </c>
      <c r="H100" s="22" t="s">
        <v>73</v>
      </c>
      <c r="I100" s="25"/>
      <c r="J100" s="22" t="s">
        <v>2421</v>
      </c>
    </row>
    <row r="101" spans="1:10" ht="15.75" customHeight="1">
      <c r="A101" s="134" t="s">
        <v>2408</v>
      </c>
      <c r="B101" s="134" t="s">
        <v>418</v>
      </c>
      <c r="C101" s="27" t="s">
        <v>71</v>
      </c>
      <c r="D101" s="148"/>
      <c r="E101" s="25"/>
      <c r="F101" s="25"/>
      <c r="G101" s="22" t="s">
        <v>928</v>
      </c>
      <c r="H101" s="22" t="s">
        <v>73</v>
      </c>
      <c r="I101" s="25"/>
      <c r="J101" s="22" t="s">
        <v>2422</v>
      </c>
    </row>
    <row r="102" spans="1:10" ht="15.75" customHeight="1">
      <c r="A102" s="134" t="s">
        <v>2408</v>
      </c>
      <c r="B102" s="134" t="s">
        <v>428</v>
      </c>
      <c r="C102" s="27" t="s">
        <v>71</v>
      </c>
      <c r="D102" s="148"/>
      <c r="E102" s="25"/>
      <c r="F102" s="25"/>
      <c r="G102" s="22" t="s">
        <v>928</v>
      </c>
      <c r="H102" s="22" t="s">
        <v>478</v>
      </c>
      <c r="I102" s="25"/>
      <c r="J102" s="22" t="s">
        <v>2423</v>
      </c>
    </row>
    <row r="103" spans="1:10" ht="15.75" customHeight="1">
      <c r="A103" s="134" t="s">
        <v>2441</v>
      </c>
      <c r="B103" s="135" t="s">
        <v>395</v>
      </c>
      <c r="C103" s="27" t="s">
        <v>71</v>
      </c>
      <c r="D103" s="132"/>
      <c r="E103" s="25"/>
      <c r="F103" s="25"/>
      <c r="G103" s="22" t="s">
        <v>928</v>
      </c>
      <c r="H103" s="27" t="s">
        <v>741</v>
      </c>
      <c r="I103" s="25"/>
    </row>
    <row r="104" spans="1:10" ht="15.75" customHeight="1">
      <c r="A104" s="134" t="s">
        <v>2441</v>
      </c>
      <c r="B104" s="134" t="s">
        <v>385</v>
      </c>
      <c r="C104" s="27" t="s">
        <v>71</v>
      </c>
      <c r="D104" s="132"/>
      <c r="E104" s="25"/>
      <c r="F104" s="25"/>
      <c r="G104" s="22" t="s">
        <v>928</v>
      </c>
      <c r="H104" s="27" t="s">
        <v>741</v>
      </c>
      <c r="I104" s="25"/>
    </row>
    <row r="105" spans="1:10" ht="15.75" customHeight="1">
      <c r="A105" s="134" t="s">
        <v>2466</v>
      </c>
      <c r="B105" s="156" t="s">
        <v>914</v>
      </c>
      <c r="C105" s="27" t="s">
        <v>71</v>
      </c>
      <c r="D105" s="148"/>
      <c r="E105" s="148" t="s">
        <v>2348</v>
      </c>
      <c r="F105" s="132"/>
      <c r="G105" s="27" t="s">
        <v>928</v>
      </c>
      <c r="H105" s="27" t="s">
        <v>741</v>
      </c>
      <c r="I105" s="27" t="s">
        <v>669</v>
      </c>
    </row>
    <row r="106" spans="1:10" ht="15.75" customHeight="1">
      <c r="A106" s="134" t="s">
        <v>2466</v>
      </c>
      <c r="B106" s="156" t="s">
        <v>929</v>
      </c>
      <c r="C106" s="27" t="s">
        <v>71</v>
      </c>
      <c r="D106" s="148"/>
      <c r="E106" s="148" t="s">
        <v>2468</v>
      </c>
      <c r="F106" s="132"/>
      <c r="G106" s="27" t="s">
        <v>928</v>
      </c>
      <c r="H106" s="27" t="s">
        <v>741</v>
      </c>
      <c r="I106" s="153"/>
    </row>
    <row r="107" spans="1:10" ht="15.75" customHeight="1">
      <c r="A107" s="134" t="s">
        <v>2466</v>
      </c>
      <c r="B107" s="156" t="s">
        <v>944</v>
      </c>
      <c r="C107" s="27" t="s">
        <v>71</v>
      </c>
      <c r="D107" s="148"/>
      <c r="E107" s="148" t="s">
        <v>2468</v>
      </c>
      <c r="F107" s="132"/>
      <c r="G107" s="27" t="s">
        <v>928</v>
      </c>
      <c r="H107" s="27" t="s">
        <v>741</v>
      </c>
      <c r="I107" s="153"/>
    </row>
    <row r="108" spans="1:10" ht="15.75" customHeight="1">
      <c r="A108" s="134" t="s">
        <v>2466</v>
      </c>
      <c r="B108" s="156" t="s">
        <v>948</v>
      </c>
      <c r="C108" s="27" t="s">
        <v>71</v>
      </c>
      <c r="D108" s="148"/>
      <c r="E108" s="148" t="s">
        <v>2468</v>
      </c>
      <c r="F108" s="132"/>
      <c r="G108" s="27" t="s">
        <v>928</v>
      </c>
      <c r="H108" s="27" t="s">
        <v>741</v>
      </c>
      <c r="I108" s="153"/>
      <c r="J108" s="22"/>
    </row>
    <row r="109" spans="1:10" ht="15.75" customHeight="1">
      <c r="A109" s="134" t="s">
        <v>2466</v>
      </c>
      <c r="B109" s="156" t="s">
        <v>955</v>
      </c>
      <c r="C109" s="27" t="s">
        <v>71</v>
      </c>
      <c r="D109" s="148"/>
      <c r="E109" s="148" t="s">
        <v>2468</v>
      </c>
      <c r="F109" s="132"/>
      <c r="G109" s="27" t="s">
        <v>928</v>
      </c>
      <c r="H109" s="27" t="s">
        <v>741</v>
      </c>
      <c r="I109" s="153"/>
    </row>
    <row r="110" spans="1:10" ht="15.75" customHeight="1">
      <c r="A110" s="156" t="s">
        <v>2469</v>
      </c>
      <c r="B110" s="27" t="s">
        <v>1861</v>
      </c>
      <c r="C110" s="27" t="s">
        <v>71</v>
      </c>
      <c r="D110" s="148"/>
      <c r="E110" s="148" t="s">
        <v>2472</v>
      </c>
      <c r="F110" s="132"/>
      <c r="G110" s="27" t="s">
        <v>928</v>
      </c>
      <c r="H110" s="27" t="s">
        <v>859</v>
      </c>
      <c r="I110" s="27" t="s">
        <v>928</v>
      </c>
    </row>
    <row r="111" spans="1:10" ht="15.75" customHeight="1">
      <c r="A111" s="156" t="s">
        <v>2469</v>
      </c>
      <c r="B111" s="27" t="s">
        <v>1835</v>
      </c>
      <c r="C111" s="27" t="s">
        <v>71</v>
      </c>
      <c r="D111" s="148"/>
      <c r="E111" s="148" t="s">
        <v>2472</v>
      </c>
      <c r="F111" s="132"/>
      <c r="G111" s="27" t="s">
        <v>928</v>
      </c>
      <c r="H111" s="27" t="s">
        <v>859</v>
      </c>
      <c r="I111" s="27" t="s">
        <v>928</v>
      </c>
    </row>
    <row r="112" spans="1:10" ht="15.75" customHeight="1">
      <c r="A112" s="156" t="s">
        <v>2469</v>
      </c>
      <c r="B112" s="27" t="s">
        <v>1840</v>
      </c>
      <c r="C112" s="27" t="s">
        <v>71</v>
      </c>
      <c r="D112" s="148"/>
      <c r="E112" s="148" t="s">
        <v>2348</v>
      </c>
      <c r="F112" s="132"/>
      <c r="G112" s="27" t="s">
        <v>928</v>
      </c>
      <c r="H112" s="27" t="s">
        <v>859</v>
      </c>
      <c r="I112" s="27" t="s">
        <v>928</v>
      </c>
    </row>
    <row r="113" spans="1:10" ht="15.75" customHeight="1">
      <c r="A113" s="156" t="s">
        <v>2469</v>
      </c>
      <c r="B113" s="161" t="s">
        <v>933</v>
      </c>
      <c r="C113" s="27" t="s">
        <v>71</v>
      </c>
      <c r="D113" s="137">
        <v>44526</v>
      </c>
      <c r="E113" s="148" t="s">
        <v>2472</v>
      </c>
      <c r="F113" s="132"/>
      <c r="G113" s="27" t="s">
        <v>928</v>
      </c>
      <c r="H113" s="27" t="s">
        <v>859</v>
      </c>
      <c r="I113" s="27" t="s">
        <v>928</v>
      </c>
    </row>
    <row r="114" spans="1:10" ht="15.75" customHeight="1">
      <c r="A114" s="22" t="s">
        <v>2346</v>
      </c>
      <c r="B114" s="134" t="s">
        <v>1452</v>
      </c>
      <c r="C114" s="22" t="s">
        <v>71</v>
      </c>
      <c r="D114" s="120">
        <v>44573</v>
      </c>
      <c r="E114" s="22" t="s">
        <v>2348</v>
      </c>
      <c r="F114" s="25"/>
      <c r="G114" s="22" t="s">
        <v>928</v>
      </c>
      <c r="H114" s="22" t="s">
        <v>350</v>
      </c>
      <c r="I114" s="25"/>
      <c r="J114" s="22" t="s">
        <v>2350</v>
      </c>
    </row>
    <row r="115" spans="1:10" ht="15.75" customHeight="1">
      <c r="A115" s="22" t="s">
        <v>2351</v>
      </c>
      <c r="B115" s="134" t="s">
        <v>989</v>
      </c>
      <c r="C115" s="22" t="s">
        <v>71</v>
      </c>
      <c r="E115" s="25"/>
      <c r="F115" s="25"/>
      <c r="G115" s="22" t="s">
        <v>928</v>
      </c>
      <c r="H115" s="22" t="s">
        <v>859</v>
      </c>
      <c r="I115" s="25"/>
      <c r="J115" s="22" t="s">
        <v>2359</v>
      </c>
    </row>
    <row r="116" spans="1:10" ht="15.75" customHeight="1">
      <c r="A116" s="22" t="s">
        <v>2351</v>
      </c>
      <c r="B116" s="134" t="s">
        <v>994</v>
      </c>
      <c r="C116" s="22" t="s">
        <v>71</v>
      </c>
      <c r="E116" s="25"/>
      <c r="F116" s="25"/>
      <c r="G116" s="22" t="s">
        <v>928</v>
      </c>
      <c r="H116" s="22" t="s">
        <v>669</v>
      </c>
      <c r="I116" s="25"/>
      <c r="J116" s="22" t="s">
        <v>2360</v>
      </c>
    </row>
    <row r="117" spans="1:10" ht="15.75" customHeight="1">
      <c r="A117" s="22" t="s">
        <v>2351</v>
      </c>
      <c r="B117" s="134" t="s">
        <v>998</v>
      </c>
      <c r="C117" s="22" t="s">
        <v>71</v>
      </c>
      <c r="E117" s="25"/>
      <c r="F117" s="25"/>
      <c r="G117" s="22" t="s">
        <v>928</v>
      </c>
      <c r="H117" s="22" t="s">
        <v>669</v>
      </c>
      <c r="I117" s="25"/>
      <c r="J117" s="22" t="s">
        <v>2361</v>
      </c>
    </row>
    <row r="118" spans="1:10" ht="15.75" customHeight="1">
      <c r="A118" s="22" t="s">
        <v>2351</v>
      </c>
      <c r="B118" s="134" t="s">
        <v>1003</v>
      </c>
      <c r="C118" s="22" t="s">
        <v>71</v>
      </c>
      <c r="E118" s="25"/>
      <c r="F118" s="25"/>
      <c r="G118" s="22" t="s">
        <v>928</v>
      </c>
      <c r="H118" s="22" t="s">
        <v>669</v>
      </c>
      <c r="I118" s="25"/>
      <c r="J118" s="22" t="s">
        <v>2362</v>
      </c>
    </row>
    <row r="119" spans="1:10" ht="15.75" customHeight="1">
      <c r="A119" s="134" t="s">
        <v>2369</v>
      </c>
      <c r="B119" s="134" t="s">
        <v>518</v>
      </c>
      <c r="C119" s="27" t="s">
        <v>71</v>
      </c>
      <c r="D119" s="137">
        <v>44566</v>
      </c>
      <c r="E119" s="22"/>
      <c r="F119" s="25"/>
      <c r="G119" s="22" t="s">
        <v>741</v>
      </c>
      <c r="H119" s="22" t="s">
        <v>804</v>
      </c>
      <c r="I119" s="22"/>
      <c r="J119" s="22" t="s">
        <v>2388</v>
      </c>
    </row>
    <row r="120" spans="1:10" ht="15.75" customHeight="1">
      <c r="A120" s="134" t="s">
        <v>2369</v>
      </c>
      <c r="B120" s="134" t="s">
        <v>1335</v>
      </c>
      <c r="C120" s="27" t="s">
        <v>71</v>
      </c>
      <c r="D120" s="137">
        <v>44566</v>
      </c>
      <c r="E120" s="22"/>
      <c r="F120" s="25"/>
      <c r="G120" s="22" t="s">
        <v>741</v>
      </c>
      <c r="H120" s="22" t="s">
        <v>804</v>
      </c>
      <c r="I120" s="22"/>
      <c r="J120" s="22" t="s">
        <v>2389</v>
      </c>
    </row>
    <row r="121" spans="1:10" ht="15.75" customHeight="1">
      <c r="A121" s="134" t="s">
        <v>2369</v>
      </c>
      <c r="B121" s="135" t="s">
        <v>1340</v>
      </c>
      <c r="C121" s="27" t="s">
        <v>71</v>
      </c>
      <c r="D121" s="137">
        <v>44566</v>
      </c>
      <c r="E121" s="22"/>
      <c r="F121" s="25"/>
      <c r="G121" s="22" t="s">
        <v>741</v>
      </c>
      <c r="H121" s="22" t="s">
        <v>804</v>
      </c>
      <c r="I121" s="22"/>
      <c r="J121" s="22" t="s">
        <v>2390</v>
      </c>
    </row>
    <row r="122" spans="1:10" ht="15.75" customHeight="1">
      <c r="A122" s="134" t="s">
        <v>2391</v>
      </c>
      <c r="B122" s="135" t="s">
        <v>1398</v>
      </c>
      <c r="C122" s="27" t="s">
        <v>71</v>
      </c>
      <c r="D122" s="137"/>
      <c r="E122" s="22"/>
      <c r="F122" s="25"/>
      <c r="G122" s="22" t="s">
        <v>741</v>
      </c>
      <c r="H122" s="22" t="s">
        <v>669</v>
      </c>
      <c r="I122" s="22"/>
      <c r="J122" s="22"/>
    </row>
    <row r="123" spans="1:10" ht="15.75" customHeight="1">
      <c r="A123" s="134" t="s">
        <v>2391</v>
      </c>
      <c r="B123" s="135" t="s">
        <v>730</v>
      </c>
      <c r="C123" s="27" t="s">
        <v>71</v>
      </c>
      <c r="D123" s="137"/>
      <c r="E123" s="22"/>
      <c r="F123" s="25"/>
      <c r="G123" s="22" t="s">
        <v>741</v>
      </c>
      <c r="H123" s="22" t="s">
        <v>669</v>
      </c>
      <c r="I123" s="22"/>
      <c r="J123" s="22" t="s">
        <v>2403</v>
      </c>
    </row>
    <row r="124" spans="1:10" ht="15.75" customHeight="1">
      <c r="A124" s="134" t="s">
        <v>2408</v>
      </c>
      <c r="B124" s="150" t="s">
        <v>2304</v>
      </c>
      <c r="C124" s="27" t="s">
        <v>2294</v>
      </c>
      <c r="D124" s="148"/>
      <c r="E124" s="25"/>
      <c r="F124" s="25"/>
      <c r="G124" s="22" t="s">
        <v>741</v>
      </c>
      <c r="H124" s="22" t="s">
        <v>804</v>
      </c>
      <c r="I124" s="25"/>
      <c r="J124" s="22" t="s">
        <v>2435</v>
      </c>
    </row>
    <row r="125" spans="1:10" ht="15.75" customHeight="1">
      <c r="A125" s="134" t="s">
        <v>2408</v>
      </c>
      <c r="B125" s="150" t="s">
        <v>498</v>
      </c>
      <c r="C125" s="27" t="s">
        <v>71</v>
      </c>
      <c r="D125" s="148"/>
      <c r="E125" s="25"/>
      <c r="F125" s="25"/>
      <c r="G125" s="22" t="s">
        <v>741</v>
      </c>
      <c r="H125" s="22" t="s">
        <v>804</v>
      </c>
      <c r="I125" s="25"/>
      <c r="J125" s="22" t="s">
        <v>2436</v>
      </c>
    </row>
    <row r="126" spans="1:10" ht="15.75" customHeight="1">
      <c r="A126" s="134" t="s">
        <v>2408</v>
      </c>
      <c r="B126" s="150" t="s">
        <v>504</v>
      </c>
      <c r="C126" s="27" t="s">
        <v>71</v>
      </c>
      <c r="D126" s="148"/>
      <c r="E126" s="25"/>
      <c r="F126" s="25"/>
      <c r="G126" s="22" t="s">
        <v>741</v>
      </c>
      <c r="H126" s="22" t="s">
        <v>804</v>
      </c>
      <c r="I126" s="25"/>
      <c r="J126" s="22" t="s">
        <v>2437</v>
      </c>
    </row>
    <row r="127" spans="1:10" ht="15.75" customHeight="1">
      <c r="A127" s="134" t="s">
        <v>2408</v>
      </c>
      <c r="B127" s="150" t="s">
        <v>508</v>
      </c>
      <c r="C127" s="27" t="s">
        <v>71</v>
      </c>
      <c r="D127" s="137">
        <v>44546</v>
      </c>
      <c r="E127" s="25"/>
      <c r="F127" s="25"/>
      <c r="G127" s="22" t="s">
        <v>741</v>
      </c>
      <c r="H127" s="22" t="s">
        <v>804</v>
      </c>
      <c r="I127" s="25"/>
      <c r="J127" s="22" t="s">
        <v>2438</v>
      </c>
    </row>
    <row r="128" spans="1:10" ht="15.75" customHeight="1">
      <c r="A128" s="134" t="s">
        <v>2408</v>
      </c>
      <c r="B128" s="151" t="s">
        <v>1895</v>
      </c>
      <c r="C128" s="27" t="s">
        <v>71</v>
      </c>
      <c r="D128" s="148" t="s">
        <v>2439</v>
      </c>
      <c r="E128" s="25"/>
      <c r="F128" s="25"/>
      <c r="G128" s="22" t="s">
        <v>741</v>
      </c>
      <c r="H128" s="22" t="s">
        <v>804</v>
      </c>
      <c r="I128" s="25"/>
      <c r="J128" s="22" t="s">
        <v>2440</v>
      </c>
    </row>
    <row r="129" spans="1:10" ht="15.75" customHeight="1">
      <c r="A129" s="134" t="s">
        <v>2441</v>
      </c>
      <c r="B129" s="152" t="s">
        <v>471</v>
      </c>
      <c r="C129" s="27" t="s">
        <v>71</v>
      </c>
      <c r="D129" s="132"/>
      <c r="E129" s="25"/>
      <c r="F129" s="25"/>
      <c r="G129" s="22" t="s">
        <v>741</v>
      </c>
      <c r="H129" s="22" t="s">
        <v>669</v>
      </c>
      <c r="I129" s="25"/>
      <c r="J129" s="22" t="s">
        <v>2452</v>
      </c>
    </row>
    <row r="130" spans="1:10" ht="15.75" customHeight="1">
      <c r="A130" s="134" t="s">
        <v>2441</v>
      </c>
      <c r="B130" s="152" t="s">
        <v>487</v>
      </c>
      <c r="C130" s="27" t="s">
        <v>71</v>
      </c>
      <c r="D130" s="132"/>
      <c r="E130" s="25"/>
      <c r="F130" s="25"/>
      <c r="G130" s="22" t="s">
        <v>741</v>
      </c>
      <c r="H130" s="22" t="s">
        <v>669</v>
      </c>
      <c r="I130" s="25"/>
      <c r="J130" s="22" t="s">
        <v>2453</v>
      </c>
    </row>
    <row r="131" spans="1:10" ht="15.75" customHeight="1">
      <c r="A131" s="134" t="s">
        <v>2441</v>
      </c>
      <c r="B131" s="152" t="s">
        <v>492</v>
      </c>
      <c r="C131" s="27" t="s">
        <v>71</v>
      </c>
      <c r="D131" s="132"/>
      <c r="E131" s="25"/>
      <c r="F131" s="25"/>
      <c r="G131" s="22" t="s">
        <v>741</v>
      </c>
      <c r="H131" s="22" t="s">
        <v>669</v>
      </c>
      <c r="I131" s="25"/>
      <c r="J131" s="22" t="s">
        <v>2454</v>
      </c>
    </row>
    <row r="132" spans="1:10" ht="15.75" customHeight="1">
      <c r="A132" s="134" t="s">
        <v>2441</v>
      </c>
      <c r="B132" s="147" t="s">
        <v>479</v>
      </c>
      <c r="C132" s="27" t="s">
        <v>71</v>
      </c>
      <c r="D132" s="132"/>
      <c r="E132" s="25"/>
      <c r="F132" s="25"/>
      <c r="G132" s="22" t="s">
        <v>741</v>
      </c>
      <c r="H132" s="22" t="s">
        <v>928</v>
      </c>
      <c r="I132" s="25"/>
    </row>
    <row r="133" spans="1:10" ht="15.75" customHeight="1">
      <c r="A133" s="134" t="s">
        <v>2441</v>
      </c>
      <c r="B133" s="147" t="s">
        <v>483</v>
      </c>
      <c r="C133" s="27" t="s">
        <v>71</v>
      </c>
      <c r="D133" s="132"/>
      <c r="E133" s="25"/>
      <c r="F133" s="25"/>
      <c r="G133" s="22" t="s">
        <v>741</v>
      </c>
      <c r="H133" s="22" t="s">
        <v>928</v>
      </c>
      <c r="I133" s="25"/>
    </row>
    <row r="134" spans="1:10" ht="15.75" customHeight="1">
      <c r="A134" s="134" t="s">
        <v>2466</v>
      </c>
      <c r="B134" s="156" t="s">
        <v>1266</v>
      </c>
      <c r="C134" s="27" t="s">
        <v>71</v>
      </c>
      <c r="D134" s="148"/>
      <c r="E134" s="132"/>
      <c r="F134" s="132"/>
      <c r="G134" s="27" t="s">
        <v>741</v>
      </c>
      <c r="H134" s="27" t="s">
        <v>804</v>
      </c>
      <c r="I134" s="153"/>
    </row>
    <row r="135" spans="1:10" ht="15.75" customHeight="1">
      <c r="A135" s="134" t="s">
        <v>2466</v>
      </c>
      <c r="B135" s="156" t="s">
        <v>1271</v>
      </c>
      <c r="C135" s="27" t="s">
        <v>71</v>
      </c>
      <c r="D135" s="148"/>
      <c r="E135" s="132"/>
      <c r="F135" s="132"/>
      <c r="G135" s="27" t="s">
        <v>741</v>
      </c>
      <c r="H135" s="27" t="s">
        <v>804</v>
      </c>
      <c r="I135" s="153"/>
    </row>
    <row r="136" spans="1:10" ht="15.75" customHeight="1">
      <c r="A136" s="134" t="s">
        <v>2466</v>
      </c>
      <c r="B136" s="156" t="s">
        <v>1275</v>
      </c>
      <c r="C136" s="27" t="s">
        <v>71</v>
      </c>
      <c r="D136" s="148"/>
      <c r="E136" s="132"/>
      <c r="F136" s="132"/>
      <c r="G136" s="27" t="s">
        <v>741</v>
      </c>
      <c r="H136" s="27" t="s">
        <v>804</v>
      </c>
      <c r="I136" s="153"/>
    </row>
    <row r="137" spans="1:10" ht="15.75" customHeight="1">
      <c r="A137" s="134" t="s">
        <v>2466</v>
      </c>
      <c r="B137" s="156" t="s">
        <v>1286</v>
      </c>
      <c r="C137" s="27" t="s">
        <v>71</v>
      </c>
      <c r="D137" s="148"/>
      <c r="E137" s="132"/>
      <c r="F137" s="132"/>
      <c r="G137" s="27" t="s">
        <v>741</v>
      </c>
      <c r="H137" s="27" t="s">
        <v>804</v>
      </c>
      <c r="I137" s="153"/>
    </row>
    <row r="138" spans="1:10" ht="15.75" customHeight="1">
      <c r="A138" s="134" t="s">
        <v>2466</v>
      </c>
      <c r="B138" s="156" t="s">
        <v>1291</v>
      </c>
      <c r="C138" s="27" t="s">
        <v>71</v>
      </c>
      <c r="D138" s="148"/>
      <c r="E138" s="132"/>
      <c r="F138" s="132"/>
      <c r="G138" s="27" t="s">
        <v>741</v>
      </c>
      <c r="H138" s="27" t="s">
        <v>804</v>
      </c>
      <c r="I138" s="153"/>
    </row>
    <row r="139" spans="1:10" ht="15.75" customHeight="1">
      <c r="A139" s="134" t="s">
        <v>2466</v>
      </c>
      <c r="B139" s="156" t="s">
        <v>1295</v>
      </c>
      <c r="C139" s="27" t="s">
        <v>71</v>
      </c>
      <c r="D139" s="148"/>
      <c r="E139" s="132"/>
      <c r="F139" s="132"/>
      <c r="G139" s="27" t="s">
        <v>741</v>
      </c>
      <c r="H139" s="27" t="s">
        <v>804</v>
      </c>
      <c r="I139" s="153"/>
    </row>
    <row r="140" spans="1:10" ht="15.75" customHeight="1">
      <c r="A140" s="156" t="s">
        <v>2469</v>
      </c>
      <c r="B140" s="156" t="s">
        <v>1228</v>
      </c>
      <c r="C140" s="27" t="s">
        <v>71</v>
      </c>
      <c r="D140" s="148"/>
      <c r="E140" s="132"/>
      <c r="F140" s="132"/>
      <c r="G140" s="27" t="s">
        <v>741</v>
      </c>
      <c r="H140" s="27" t="s">
        <v>73</v>
      </c>
      <c r="I140" s="153"/>
    </row>
    <row r="141" spans="1:10" ht="15.75" customHeight="1">
      <c r="A141" s="156" t="s">
        <v>2469</v>
      </c>
      <c r="B141" s="156" t="s">
        <v>1236</v>
      </c>
      <c r="C141" s="27" t="s">
        <v>71</v>
      </c>
      <c r="D141" s="148"/>
      <c r="E141" s="132"/>
      <c r="F141" s="132"/>
      <c r="G141" s="27" t="s">
        <v>741</v>
      </c>
      <c r="H141" s="27" t="s">
        <v>73</v>
      </c>
      <c r="I141" s="153"/>
    </row>
    <row r="142" spans="1:10" ht="15.75" customHeight="1">
      <c r="A142" s="156" t="s">
        <v>2469</v>
      </c>
      <c r="B142" s="156" t="s">
        <v>1240</v>
      </c>
      <c r="C142" s="27" t="s">
        <v>71</v>
      </c>
      <c r="D142" s="137">
        <v>44522</v>
      </c>
      <c r="E142" s="132"/>
      <c r="F142" s="132"/>
      <c r="G142" s="27" t="s">
        <v>741</v>
      </c>
      <c r="H142" s="27" t="s">
        <v>73</v>
      </c>
      <c r="I142" s="153"/>
      <c r="J142" s="128"/>
    </row>
    <row r="143" spans="1:10" ht="15.75" customHeight="1">
      <c r="A143" s="156" t="s">
        <v>2469</v>
      </c>
      <c r="B143" s="156" t="s">
        <v>1249</v>
      </c>
      <c r="C143" s="27" t="s">
        <v>71</v>
      </c>
      <c r="D143" s="148"/>
      <c r="E143" s="132"/>
      <c r="F143" s="132"/>
      <c r="G143" s="27" t="s">
        <v>741</v>
      </c>
      <c r="H143" s="27" t="s">
        <v>73</v>
      </c>
      <c r="I143" s="153"/>
    </row>
    <row r="144" spans="1:10" ht="15.75" customHeight="1">
      <c r="A144" s="156" t="s">
        <v>2469</v>
      </c>
      <c r="B144" s="156" t="s">
        <v>1253</v>
      </c>
      <c r="C144" s="27" t="s">
        <v>71</v>
      </c>
      <c r="D144" s="148"/>
      <c r="E144" s="132"/>
      <c r="F144" s="132"/>
      <c r="G144" s="27" t="s">
        <v>741</v>
      </c>
      <c r="H144" s="27" t="s">
        <v>73</v>
      </c>
      <c r="I144" s="153"/>
    </row>
    <row r="145" spans="1:10" ht="15.75" customHeight="1">
      <c r="A145" s="22" t="s">
        <v>2351</v>
      </c>
      <c r="B145" s="134" t="s">
        <v>1398</v>
      </c>
      <c r="C145" s="22" t="s">
        <v>71</v>
      </c>
      <c r="E145" s="25"/>
      <c r="F145" s="25"/>
      <c r="G145" s="22" t="s">
        <v>741</v>
      </c>
      <c r="H145" s="22" t="s">
        <v>928</v>
      </c>
      <c r="I145" s="25"/>
      <c r="J145" s="22" t="s">
        <v>2366</v>
      </c>
    </row>
    <row r="146" spans="1:10" ht="15.75" customHeight="1">
      <c r="A146" s="22" t="s">
        <v>2351</v>
      </c>
      <c r="B146" s="134" t="s">
        <v>730</v>
      </c>
      <c r="C146" s="22" t="s">
        <v>71</v>
      </c>
      <c r="E146" s="25"/>
      <c r="F146" s="25"/>
      <c r="G146" s="22" t="s">
        <v>741</v>
      </c>
      <c r="H146" s="22" t="s">
        <v>928</v>
      </c>
      <c r="I146" s="25"/>
      <c r="J146" s="22" t="s">
        <v>2367</v>
      </c>
    </row>
    <row r="147" spans="1:10" ht="15.75" customHeight="1">
      <c r="A147" s="22" t="s">
        <v>2351</v>
      </c>
      <c r="B147" s="134" t="s">
        <v>1423</v>
      </c>
      <c r="C147" s="22" t="s">
        <v>71</v>
      </c>
      <c r="E147" s="25"/>
      <c r="F147" s="25"/>
      <c r="G147" s="22" t="s">
        <v>741</v>
      </c>
      <c r="H147" s="22" t="s">
        <v>928</v>
      </c>
      <c r="I147" s="25"/>
      <c r="J147" s="22" t="s">
        <v>2368</v>
      </c>
    </row>
    <row r="148" spans="1:10" ht="15.75" customHeight="1">
      <c r="A148" s="134" t="s">
        <v>2369</v>
      </c>
      <c r="B148" s="134" t="s">
        <v>780</v>
      </c>
      <c r="C148" s="27" t="s">
        <v>71</v>
      </c>
      <c r="D148" s="137"/>
      <c r="E148" s="22"/>
      <c r="F148" s="25"/>
      <c r="G148" s="22" t="s">
        <v>73</v>
      </c>
      <c r="H148" s="22" t="s">
        <v>72</v>
      </c>
      <c r="I148" s="22"/>
      <c r="J148" s="22"/>
    </row>
    <row r="149" spans="1:10" ht="15.75" customHeight="1">
      <c r="A149" s="134" t="s">
        <v>2369</v>
      </c>
      <c r="B149" s="134" t="s">
        <v>788</v>
      </c>
      <c r="C149" s="27" t="s">
        <v>71</v>
      </c>
      <c r="D149" s="137"/>
      <c r="E149" s="22"/>
      <c r="F149" s="25"/>
      <c r="G149" s="22" t="s">
        <v>73</v>
      </c>
      <c r="H149" s="22" t="s">
        <v>72</v>
      </c>
      <c r="I149" s="22"/>
      <c r="J149" s="22"/>
    </row>
    <row r="150" spans="1:10" ht="15.75" customHeight="1">
      <c r="A150" s="134" t="s">
        <v>2369</v>
      </c>
      <c r="B150" s="134" t="s">
        <v>794</v>
      </c>
      <c r="C150" s="27" t="s">
        <v>71</v>
      </c>
      <c r="D150" s="137"/>
      <c r="E150" s="22"/>
      <c r="F150" s="25"/>
      <c r="G150" s="22" t="s">
        <v>73</v>
      </c>
      <c r="H150" s="22" t="s">
        <v>72</v>
      </c>
      <c r="I150" s="22"/>
      <c r="J150" s="22"/>
    </row>
    <row r="151" spans="1:10" ht="15.75" customHeight="1">
      <c r="A151" s="134" t="s">
        <v>2391</v>
      </c>
      <c r="B151" s="134" t="s">
        <v>757</v>
      </c>
      <c r="C151" s="27" t="s">
        <v>71</v>
      </c>
      <c r="D151" s="137"/>
      <c r="E151" s="22"/>
      <c r="F151" s="25"/>
      <c r="G151" s="22" t="s">
        <v>73</v>
      </c>
      <c r="H151" s="22" t="s">
        <v>859</v>
      </c>
      <c r="I151" s="22"/>
      <c r="J151" s="22" t="s">
        <v>2395</v>
      </c>
    </row>
    <row r="152" spans="1:10" ht="15.75" customHeight="1">
      <c r="A152" s="134" t="s">
        <v>2391</v>
      </c>
      <c r="B152" s="134" t="s">
        <v>762</v>
      </c>
      <c r="C152" s="27" t="s">
        <v>71</v>
      </c>
      <c r="D152" s="137"/>
      <c r="E152" s="22"/>
      <c r="F152" s="25"/>
      <c r="G152" s="22" t="s">
        <v>73</v>
      </c>
      <c r="H152" s="22" t="s">
        <v>859</v>
      </c>
      <c r="I152" s="22"/>
      <c r="J152" s="22" t="s">
        <v>2396</v>
      </c>
    </row>
    <row r="153" spans="1:10" ht="15.75" customHeight="1">
      <c r="A153" s="134" t="s">
        <v>2391</v>
      </c>
      <c r="B153" s="134" t="s">
        <v>767</v>
      </c>
      <c r="C153" s="27" t="s">
        <v>71</v>
      </c>
      <c r="D153" s="137"/>
      <c r="E153" s="22"/>
      <c r="F153" s="25"/>
      <c r="G153" s="22" t="s">
        <v>73</v>
      </c>
      <c r="H153" s="22" t="s">
        <v>928</v>
      </c>
      <c r="I153" s="22"/>
      <c r="J153" s="22" t="s">
        <v>2397</v>
      </c>
    </row>
    <row r="154" spans="1:10" ht="15.75" customHeight="1">
      <c r="A154" s="134" t="s">
        <v>2391</v>
      </c>
      <c r="B154" s="134" t="s">
        <v>773</v>
      </c>
      <c r="C154" s="27" t="s">
        <v>71</v>
      </c>
      <c r="D154" s="137"/>
      <c r="E154" s="22"/>
      <c r="F154" s="25"/>
      <c r="G154" s="22" t="s">
        <v>73</v>
      </c>
      <c r="H154" s="22" t="s">
        <v>928</v>
      </c>
      <c r="I154" s="22"/>
      <c r="J154" s="22" t="s">
        <v>2398</v>
      </c>
    </row>
    <row r="155" spans="1:10" ht="15.75" customHeight="1">
      <c r="A155" s="134" t="s">
        <v>2408</v>
      </c>
      <c r="B155" s="134" t="s">
        <v>75</v>
      </c>
      <c r="C155" s="27" t="s">
        <v>71</v>
      </c>
      <c r="D155" s="137">
        <v>44546</v>
      </c>
      <c r="E155" s="22" t="s">
        <v>2348</v>
      </c>
      <c r="F155" s="25"/>
      <c r="G155" s="22" t="s">
        <v>73</v>
      </c>
      <c r="H155" s="22" t="s">
        <v>244</v>
      </c>
      <c r="I155" s="22" t="s">
        <v>73</v>
      </c>
      <c r="J155" s="22" t="s">
        <v>2409</v>
      </c>
    </row>
    <row r="156" spans="1:10" ht="15.75" customHeight="1">
      <c r="A156" s="134" t="s">
        <v>2408</v>
      </c>
      <c r="B156" s="134" t="s">
        <v>92</v>
      </c>
      <c r="C156" s="27" t="s">
        <v>71</v>
      </c>
      <c r="D156" s="137">
        <v>44546</v>
      </c>
      <c r="E156" s="22" t="s">
        <v>2348</v>
      </c>
      <c r="F156" s="25"/>
      <c r="G156" s="22" t="s">
        <v>73</v>
      </c>
      <c r="H156" s="22" t="s">
        <v>244</v>
      </c>
      <c r="I156" s="22" t="s">
        <v>73</v>
      </c>
      <c r="J156" s="22" t="s">
        <v>2410</v>
      </c>
    </row>
    <row r="157" spans="1:10" ht="15.75" customHeight="1">
      <c r="A157" s="134" t="s">
        <v>2408</v>
      </c>
      <c r="B157" s="134" t="s">
        <v>104</v>
      </c>
      <c r="C157" s="27" t="s">
        <v>71</v>
      </c>
      <c r="D157" s="137">
        <v>44546</v>
      </c>
      <c r="E157" s="22" t="s">
        <v>2348</v>
      </c>
      <c r="F157" s="25"/>
      <c r="G157" s="22" t="s">
        <v>73</v>
      </c>
      <c r="H157" s="22" t="s">
        <v>244</v>
      </c>
      <c r="I157" s="22" t="s">
        <v>73</v>
      </c>
      <c r="J157" s="22" t="s">
        <v>2411</v>
      </c>
    </row>
    <row r="158" spans="1:10" ht="15.75" customHeight="1">
      <c r="A158" s="134" t="s">
        <v>2408</v>
      </c>
      <c r="B158" s="134" t="s">
        <v>115</v>
      </c>
      <c r="C158" s="27" t="s">
        <v>71</v>
      </c>
      <c r="D158" s="137">
        <v>44546</v>
      </c>
      <c r="E158" s="22" t="s">
        <v>2348</v>
      </c>
      <c r="F158" s="25"/>
      <c r="G158" s="22" t="s">
        <v>73</v>
      </c>
      <c r="H158" s="22" t="s">
        <v>244</v>
      </c>
      <c r="I158" s="22" t="s">
        <v>73</v>
      </c>
      <c r="J158" s="22" t="s">
        <v>2412</v>
      </c>
    </row>
    <row r="159" spans="1:10" ht="15.75" customHeight="1">
      <c r="A159" s="134" t="s">
        <v>2408</v>
      </c>
      <c r="B159" s="134" t="s">
        <v>123</v>
      </c>
      <c r="C159" s="27" t="s">
        <v>71</v>
      </c>
      <c r="D159" s="137">
        <v>44546</v>
      </c>
      <c r="E159" s="22" t="s">
        <v>2348</v>
      </c>
      <c r="F159" s="25"/>
      <c r="G159" s="22" t="s">
        <v>73</v>
      </c>
      <c r="H159" s="22" t="s">
        <v>244</v>
      </c>
      <c r="I159" s="22" t="s">
        <v>73</v>
      </c>
      <c r="J159" s="22" t="s">
        <v>2413</v>
      </c>
    </row>
    <row r="160" spans="1:10" ht="15.75" customHeight="1">
      <c r="A160" s="134" t="s">
        <v>2441</v>
      </c>
      <c r="B160" s="147" t="s">
        <v>134</v>
      </c>
      <c r="C160" s="27" t="s">
        <v>71</v>
      </c>
      <c r="D160" s="137">
        <v>44536</v>
      </c>
      <c r="E160" s="25"/>
      <c r="F160" s="25"/>
      <c r="G160" s="22" t="s">
        <v>73</v>
      </c>
      <c r="H160" s="22" t="s">
        <v>859</v>
      </c>
      <c r="I160" s="25"/>
      <c r="J160" s="22" t="s">
        <v>2447</v>
      </c>
    </row>
    <row r="161" spans="1:10" ht="15.75" customHeight="1">
      <c r="A161" s="134" t="s">
        <v>2441</v>
      </c>
      <c r="B161" s="147" t="s">
        <v>141</v>
      </c>
      <c r="C161" s="27" t="s">
        <v>71</v>
      </c>
      <c r="D161" s="137">
        <v>44536</v>
      </c>
      <c r="E161" s="25"/>
      <c r="F161" s="25"/>
      <c r="G161" s="22" t="s">
        <v>73</v>
      </c>
      <c r="H161" s="22" t="s">
        <v>859</v>
      </c>
      <c r="I161" s="25"/>
      <c r="J161" s="22" t="s">
        <v>2448</v>
      </c>
    </row>
    <row r="162" spans="1:10" ht="15.75" customHeight="1">
      <c r="A162" s="134" t="s">
        <v>2441</v>
      </c>
      <c r="B162" s="147" t="s">
        <v>149</v>
      </c>
      <c r="C162" s="27" t="s">
        <v>71</v>
      </c>
      <c r="D162" s="137">
        <v>44536</v>
      </c>
      <c r="E162" s="25"/>
      <c r="F162" s="25"/>
      <c r="G162" s="22" t="s">
        <v>73</v>
      </c>
      <c r="H162" s="22" t="s">
        <v>669</v>
      </c>
      <c r="I162" s="25"/>
      <c r="J162" s="22" t="s">
        <v>2449</v>
      </c>
    </row>
    <row r="163" spans="1:10" ht="15.75" customHeight="1">
      <c r="A163" s="134" t="s">
        <v>2441</v>
      </c>
      <c r="B163" s="147" t="s">
        <v>158</v>
      </c>
      <c r="C163" s="27" t="s">
        <v>71</v>
      </c>
      <c r="D163" s="137">
        <v>44536</v>
      </c>
      <c r="E163" s="25"/>
      <c r="F163" s="25"/>
      <c r="G163" s="22" t="s">
        <v>73</v>
      </c>
      <c r="H163" s="22" t="s">
        <v>669</v>
      </c>
      <c r="I163" s="25"/>
    </row>
    <row r="164" spans="1:10" ht="15.75" customHeight="1">
      <c r="A164" s="134" t="s">
        <v>2441</v>
      </c>
      <c r="B164" s="146" t="s">
        <v>736</v>
      </c>
      <c r="C164" s="27" t="s">
        <v>71</v>
      </c>
      <c r="D164" s="137">
        <v>44536</v>
      </c>
      <c r="E164" s="25"/>
      <c r="F164" s="25"/>
      <c r="G164" s="22" t="s">
        <v>73</v>
      </c>
      <c r="H164" s="22" t="s">
        <v>669</v>
      </c>
      <c r="I164" s="25"/>
      <c r="J164" s="22" t="s">
        <v>2450</v>
      </c>
    </row>
    <row r="165" spans="1:10" ht="15.75" customHeight="1">
      <c r="A165" s="139" t="s">
        <v>2441</v>
      </c>
      <c r="B165" s="139" t="s">
        <v>1891</v>
      </c>
      <c r="C165" s="140" t="s">
        <v>71</v>
      </c>
      <c r="D165" s="141">
        <v>44536</v>
      </c>
      <c r="E165" s="143"/>
      <c r="F165" s="143"/>
      <c r="G165" s="142" t="s">
        <v>73</v>
      </c>
      <c r="H165" s="142" t="s">
        <v>669</v>
      </c>
      <c r="I165" s="143"/>
      <c r="J165" s="142" t="s">
        <v>2451</v>
      </c>
    </row>
    <row r="166" spans="1:10" ht="15.75" customHeight="1">
      <c r="A166" s="134" t="s">
        <v>2466</v>
      </c>
      <c r="B166" s="156" t="s">
        <v>798</v>
      </c>
      <c r="C166" s="27" t="s">
        <v>71</v>
      </c>
      <c r="D166" s="137">
        <v>44517</v>
      </c>
      <c r="E166" s="132"/>
      <c r="F166" s="132"/>
      <c r="G166" s="27" t="s">
        <v>73</v>
      </c>
      <c r="H166" s="27" t="s">
        <v>741</v>
      </c>
      <c r="I166" s="153"/>
    </row>
    <row r="167" spans="1:10" ht="15.75" customHeight="1">
      <c r="A167" s="134" t="s">
        <v>2466</v>
      </c>
      <c r="B167" s="156" t="s">
        <v>805</v>
      </c>
      <c r="C167" s="27" t="s">
        <v>71</v>
      </c>
      <c r="D167" s="137">
        <v>44517</v>
      </c>
      <c r="E167" s="132"/>
      <c r="F167" s="132"/>
      <c r="G167" s="27" t="s">
        <v>73</v>
      </c>
      <c r="H167" s="27" t="s">
        <v>741</v>
      </c>
      <c r="I167" s="153"/>
    </row>
    <row r="168" spans="1:10" ht="15.75" customHeight="1">
      <c r="A168" s="134" t="s">
        <v>2466</v>
      </c>
      <c r="B168" s="156" t="s">
        <v>815</v>
      </c>
      <c r="C168" s="27" t="s">
        <v>71</v>
      </c>
      <c r="D168" s="137">
        <v>44517</v>
      </c>
      <c r="E168" s="132"/>
      <c r="F168" s="132"/>
      <c r="G168" s="27" t="s">
        <v>73</v>
      </c>
      <c r="H168" s="27" t="s">
        <v>741</v>
      </c>
      <c r="I168" s="153"/>
    </row>
    <row r="169" spans="1:10" ht="15.75" customHeight="1">
      <c r="A169" s="134" t="s">
        <v>2466</v>
      </c>
      <c r="B169" s="156" t="s">
        <v>820</v>
      </c>
      <c r="C169" s="27" t="s">
        <v>71</v>
      </c>
      <c r="D169" s="137">
        <v>44517</v>
      </c>
      <c r="E169" s="132"/>
      <c r="F169" s="132"/>
      <c r="G169" s="27" t="s">
        <v>73</v>
      </c>
      <c r="H169" s="27" t="s">
        <v>741</v>
      </c>
      <c r="I169" s="153"/>
    </row>
    <row r="170" spans="1:10" ht="15.75" customHeight="1">
      <c r="A170" s="134" t="s">
        <v>2466</v>
      </c>
      <c r="B170" s="156" t="s">
        <v>868</v>
      </c>
      <c r="C170" s="27" t="s">
        <v>71</v>
      </c>
      <c r="D170" s="137">
        <v>44517</v>
      </c>
      <c r="E170" s="132"/>
      <c r="F170" s="132"/>
      <c r="G170" s="27" t="s">
        <v>73</v>
      </c>
      <c r="H170" s="27" t="s">
        <v>741</v>
      </c>
      <c r="I170" s="153"/>
    </row>
    <row r="171" spans="1:10" ht="15.75" customHeight="1">
      <c r="A171" s="156" t="s">
        <v>2469</v>
      </c>
      <c r="B171" s="163" t="s">
        <v>2000</v>
      </c>
      <c r="C171" s="27" t="s">
        <v>71</v>
      </c>
      <c r="D171" s="137">
        <v>44517</v>
      </c>
      <c r="E171" s="132"/>
      <c r="F171" s="132"/>
      <c r="G171" s="27" t="s">
        <v>73</v>
      </c>
      <c r="H171" s="27" t="s">
        <v>859</v>
      </c>
      <c r="I171" s="27" t="s">
        <v>73</v>
      </c>
    </row>
    <row r="172" spans="1:10" ht="15.75" customHeight="1">
      <c r="A172" s="156" t="s">
        <v>2469</v>
      </c>
      <c r="B172" s="163" t="s">
        <v>891</v>
      </c>
      <c r="C172" s="27" t="s">
        <v>71</v>
      </c>
      <c r="D172" s="137">
        <v>44517</v>
      </c>
      <c r="E172" s="132"/>
      <c r="F172" s="132"/>
      <c r="G172" s="27" t="s">
        <v>73</v>
      </c>
      <c r="H172" s="27" t="s">
        <v>859</v>
      </c>
      <c r="I172" s="27" t="s">
        <v>73</v>
      </c>
    </row>
    <row r="173" spans="1:10" ht="15.75" customHeight="1">
      <c r="A173" s="156" t="s">
        <v>2469</v>
      </c>
      <c r="B173" s="156" t="s">
        <v>880</v>
      </c>
      <c r="C173" s="27" t="s">
        <v>71</v>
      </c>
      <c r="D173" s="137">
        <v>44524</v>
      </c>
      <c r="E173" s="132"/>
      <c r="F173" s="132"/>
      <c r="G173" s="27" t="s">
        <v>73</v>
      </c>
      <c r="H173" s="27" t="s">
        <v>859</v>
      </c>
      <c r="I173" s="27" t="s">
        <v>73</v>
      </c>
    </row>
    <row r="174" spans="1:10" ht="15.75" customHeight="1">
      <c r="A174" s="156" t="s">
        <v>2469</v>
      </c>
      <c r="B174" s="156" t="s">
        <v>885</v>
      </c>
      <c r="C174" s="27" t="s">
        <v>71</v>
      </c>
      <c r="D174" s="137">
        <v>44524</v>
      </c>
      <c r="E174" s="132"/>
      <c r="F174" s="132"/>
      <c r="G174" s="27" t="s">
        <v>73</v>
      </c>
      <c r="H174" s="27" t="s">
        <v>859</v>
      </c>
      <c r="I174" s="27" t="s">
        <v>73</v>
      </c>
    </row>
    <row r="175" spans="1:10" ht="15.75" customHeight="1">
      <c r="A175" s="22" t="s">
        <v>2351</v>
      </c>
      <c r="B175" s="134" t="s">
        <v>46</v>
      </c>
      <c r="C175" s="22" t="s">
        <v>71</v>
      </c>
      <c r="D175" s="120"/>
      <c r="E175" s="25"/>
      <c r="F175" s="25"/>
      <c r="G175" s="22" t="s">
        <v>73</v>
      </c>
      <c r="H175" s="22" t="s">
        <v>741</v>
      </c>
      <c r="I175" s="25"/>
      <c r="J175" s="22" t="s">
        <v>2352</v>
      </c>
    </row>
    <row r="176" spans="1:10" ht="15.75" customHeight="1">
      <c r="A176" s="22" t="s">
        <v>2351</v>
      </c>
      <c r="B176" s="135" t="s">
        <v>1540</v>
      </c>
      <c r="C176" s="22" t="s">
        <v>71</v>
      </c>
      <c r="E176" s="25"/>
      <c r="F176" s="25"/>
      <c r="G176" s="22" t="s">
        <v>73</v>
      </c>
      <c r="H176" s="22" t="s">
        <v>741</v>
      </c>
      <c r="I176" s="25"/>
    </row>
    <row r="177" spans="1:10" ht="15.75" customHeight="1">
      <c r="A177" s="22" t="s">
        <v>2351</v>
      </c>
      <c r="B177" s="135" t="s">
        <v>1525</v>
      </c>
      <c r="C177" s="22" t="s">
        <v>71</v>
      </c>
      <c r="E177" s="25"/>
      <c r="F177" s="25"/>
      <c r="G177" s="22" t="s">
        <v>73</v>
      </c>
      <c r="H177" s="22" t="s">
        <v>741</v>
      </c>
      <c r="I177" s="25"/>
    </row>
    <row r="178" spans="1:10" ht="15.75" customHeight="1">
      <c r="A178" s="22" t="s">
        <v>2351</v>
      </c>
      <c r="B178" s="135" t="s">
        <v>1544</v>
      </c>
      <c r="C178" s="22" t="s">
        <v>71</v>
      </c>
      <c r="E178" s="25"/>
      <c r="F178" s="25"/>
      <c r="G178" s="22" t="s">
        <v>73</v>
      </c>
      <c r="H178" s="22" t="s">
        <v>741</v>
      </c>
      <c r="I178" s="25"/>
    </row>
    <row r="179" spans="1:10" ht="15.75" customHeight="1">
      <c r="A179" s="22" t="s">
        <v>2351</v>
      </c>
      <c r="B179" s="134" t="s">
        <v>1529</v>
      </c>
      <c r="C179" s="22" t="s">
        <v>71</v>
      </c>
      <c r="E179" s="25"/>
      <c r="F179" s="25"/>
      <c r="G179" s="22" t="s">
        <v>73</v>
      </c>
      <c r="H179" s="22" t="s">
        <v>741</v>
      </c>
      <c r="I179" s="25"/>
      <c r="J179" s="22" t="s">
        <v>2353</v>
      </c>
    </row>
    <row r="180" spans="1:10" ht="15.75" customHeight="1">
      <c r="A180" s="134"/>
      <c r="B180" s="135"/>
      <c r="C180" s="27"/>
      <c r="D180" s="137"/>
      <c r="E180" s="22"/>
      <c r="F180" s="25"/>
      <c r="G180" s="22"/>
      <c r="H180" s="22"/>
      <c r="I180" s="22"/>
      <c r="J180" s="22"/>
    </row>
    <row r="181" spans="1:10" ht="15.75" customHeight="1">
      <c r="A181" s="134"/>
      <c r="B181" s="134"/>
      <c r="C181" s="27"/>
      <c r="D181" s="137"/>
      <c r="E181" s="22"/>
      <c r="F181" s="25"/>
      <c r="G181" s="22"/>
      <c r="H181" s="22"/>
      <c r="I181" s="22"/>
      <c r="J181" s="22"/>
    </row>
    <row r="182" spans="1:10" ht="15.75" customHeight="1">
      <c r="A182" s="134"/>
      <c r="B182" s="134"/>
      <c r="C182" s="27"/>
      <c r="D182" s="148"/>
      <c r="E182" s="25"/>
      <c r="F182" s="25"/>
      <c r="G182" s="22"/>
      <c r="H182" s="22"/>
      <c r="I182" s="25"/>
      <c r="J182" s="22"/>
    </row>
    <row r="183" spans="1:10" ht="15.75" customHeight="1">
      <c r="B183" s="153"/>
      <c r="C183" s="153"/>
      <c r="D183" s="132"/>
      <c r="E183" s="132"/>
      <c r="F183" s="132"/>
      <c r="G183" s="153"/>
      <c r="H183" s="153"/>
      <c r="I183" s="153"/>
    </row>
    <row r="184" spans="1:10" ht="15.75" customHeight="1">
      <c r="B184" s="153"/>
      <c r="C184" s="153"/>
      <c r="D184" s="132"/>
      <c r="E184" s="132"/>
      <c r="F184" s="132"/>
      <c r="G184" s="153"/>
      <c r="H184" s="153"/>
      <c r="I184" s="153"/>
    </row>
    <row r="185" spans="1:10" ht="15.75" customHeight="1">
      <c r="B185" s="153"/>
      <c r="C185" s="153"/>
      <c r="D185" s="132"/>
      <c r="E185" s="132"/>
      <c r="F185" s="132"/>
      <c r="G185" s="153"/>
      <c r="H185" s="153"/>
      <c r="I185" s="153"/>
    </row>
    <row r="186" spans="1:10" ht="15.75" customHeight="1">
      <c r="B186" s="153"/>
      <c r="C186" s="153"/>
      <c r="D186" s="132"/>
      <c r="E186" s="132"/>
      <c r="F186" s="132"/>
      <c r="G186" s="153"/>
      <c r="H186" s="153"/>
      <c r="I186" s="153"/>
    </row>
    <row r="187" spans="1:10" ht="15.75" customHeight="1">
      <c r="A187" s="22"/>
      <c r="B187" s="135"/>
      <c r="C187" s="22"/>
      <c r="D187" s="120"/>
      <c r="E187" s="25"/>
      <c r="F187" s="25"/>
      <c r="G187" s="22"/>
      <c r="H187" s="22"/>
      <c r="I187" s="25"/>
    </row>
    <row r="188" spans="1:10" ht="15.75" customHeight="1">
      <c r="B188" s="153"/>
      <c r="C188" s="153"/>
      <c r="D188" s="132"/>
      <c r="E188" s="132"/>
      <c r="F188" s="132"/>
      <c r="G188" s="153"/>
      <c r="H188" s="153"/>
      <c r="I188" s="153"/>
    </row>
    <row r="189" spans="1:10" ht="15.75" customHeight="1">
      <c r="B189" s="153"/>
      <c r="C189" s="153"/>
      <c r="D189" s="132"/>
      <c r="E189" s="132"/>
      <c r="F189" s="132"/>
      <c r="G189" s="153"/>
      <c r="H189" s="153"/>
      <c r="I189" s="153"/>
    </row>
    <row r="190" spans="1:10" ht="15.75" customHeight="1">
      <c r="B190" s="153"/>
      <c r="C190" s="153"/>
      <c r="D190" s="132"/>
      <c r="E190" s="132"/>
      <c r="F190" s="132"/>
      <c r="G190" s="153"/>
      <c r="H190" s="153"/>
      <c r="I190" s="153"/>
    </row>
    <row r="191" spans="1:10" ht="15.75" customHeight="1">
      <c r="B191" s="153"/>
      <c r="C191" s="153"/>
      <c r="D191" s="132"/>
      <c r="E191" s="132"/>
      <c r="F191" s="132"/>
      <c r="G191" s="153"/>
      <c r="H191" s="153"/>
      <c r="I191" s="153"/>
    </row>
    <row r="192" spans="1:10" ht="15.75" customHeight="1">
      <c r="B192" s="153"/>
      <c r="C192" s="153"/>
      <c r="D192" s="132"/>
      <c r="E192" s="132"/>
      <c r="F192" s="132"/>
      <c r="G192" s="153"/>
      <c r="H192" s="153"/>
      <c r="I192" s="153"/>
    </row>
    <row r="193" spans="2:9" ht="15.75" customHeight="1">
      <c r="B193" s="153"/>
      <c r="C193" s="153"/>
      <c r="D193" s="132"/>
      <c r="E193" s="132"/>
      <c r="F193" s="132"/>
      <c r="G193" s="153"/>
      <c r="H193" s="153"/>
      <c r="I193" s="153"/>
    </row>
    <row r="194" spans="2:9" ht="15.75" customHeight="1">
      <c r="B194" s="153"/>
      <c r="C194" s="153"/>
      <c r="D194" s="132"/>
      <c r="E194" s="132"/>
      <c r="F194" s="132"/>
      <c r="G194" s="153"/>
      <c r="H194" s="153"/>
      <c r="I194" s="153"/>
    </row>
    <row r="195" spans="2:9" ht="15.75" customHeight="1">
      <c r="B195" s="153"/>
      <c r="C195" s="153"/>
      <c r="D195" s="132"/>
      <c r="E195" s="132"/>
      <c r="F195" s="132"/>
      <c r="G195" s="153"/>
      <c r="H195" s="153"/>
      <c r="I195" s="153"/>
    </row>
    <row r="196" spans="2:9" ht="15.75" customHeight="1">
      <c r="B196" s="153"/>
      <c r="C196" s="153"/>
      <c r="D196" s="132"/>
      <c r="E196" s="132"/>
      <c r="F196" s="132"/>
      <c r="G196" s="153"/>
      <c r="H196" s="153"/>
      <c r="I196" s="153"/>
    </row>
    <row r="197" spans="2:9" ht="15.75" customHeight="1">
      <c r="B197" s="153"/>
      <c r="C197" s="153"/>
      <c r="D197" s="132"/>
      <c r="E197" s="132"/>
      <c r="F197" s="132"/>
      <c r="G197" s="153"/>
      <c r="H197" s="153"/>
      <c r="I197" s="153"/>
    </row>
    <row r="198" spans="2:9" ht="15.75" customHeight="1">
      <c r="B198" s="153"/>
      <c r="C198" s="153"/>
      <c r="D198" s="132"/>
      <c r="E198" s="132"/>
      <c r="F198" s="132"/>
      <c r="G198" s="153"/>
      <c r="H198" s="153"/>
      <c r="I198" s="153"/>
    </row>
    <row r="199" spans="2:9" ht="15.75" customHeight="1">
      <c r="B199" s="153"/>
      <c r="C199" s="153"/>
      <c r="D199" s="132"/>
      <c r="E199" s="132"/>
      <c r="F199" s="132"/>
      <c r="G199" s="153"/>
      <c r="H199" s="153"/>
      <c r="I199" s="153"/>
    </row>
    <row r="200" spans="2:9" ht="15.75" customHeight="1">
      <c r="B200" s="153"/>
      <c r="C200" s="153"/>
      <c r="D200" s="132"/>
      <c r="E200" s="132"/>
      <c r="F200" s="132"/>
      <c r="G200" s="153"/>
      <c r="H200" s="153"/>
      <c r="I200" s="153"/>
    </row>
    <row r="201" spans="2:9" ht="15.75" customHeight="1">
      <c r="B201" s="153"/>
      <c r="C201" s="153"/>
      <c r="D201" s="132"/>
      <c r="E201" s="132"/>
      <c r="F201" s="132"/>
      <c r="G201" s="153"/>
      <c r="H201" s="153"/>
      <c r="I201" s="153"/>
    </row>
    <row r="202" spans="2:9" ht="15.75" customHeight="1">
      <c r="B202" s="153"/>
      <c r="C202" s="153"/>
      <c r="D202" s="132"/>
      <c r="E202" s="132"/>
      <c r="F202" s="132"/>
      <c r="G202" s="153"/>
      <c r="H202" s="153"/>
      <c r="I202" s="153"/>
    </row>
    <row r="203" spans="2:9" ht="15.75" customHeight="1">
      <c r="B203" s="153"/>
      <c r="C203" s="153"/>
      <c r="D203" s="132"/>
      <c r="E203" s="132"/>
      <c r="F203" s="132"/>
      <c r="G203" s="153"/>
      <c r="H203" s="153"/>
      <c r="I203" s="153"/>
    </row>
    <row r="204" spans="2:9" ht="15.75" customHeight="1">
      <c r="B204" s="153"/>
      <c r="C204" s="153"/>
      <c r="D204" s="132"/>
      <c r="E204" s="132"/>
      <c r="F204" s="132"/>
      <c r="G204" s="153"/>
      <c r="H204" s="153"/>
      <c r="I204" s="153"/>
    </row>
    <row r="205" spans="2:9" ht="15.75" customHeight="1">
      <c r="B205" s="153"/>
      <c r="C205" s="153"/>
      <c r="D205" s="132"/>
      <c r="E205" s="132"/>
      <c r="F205" s="132"/>
      <c r="G205" s="153"/>
      <c r="H205" s="153"/>
      <c r="I205" s="153"/>
    </row>
    <row r="206" spans="2:9" ht="15.75" customHeight="1">
      <c r="B206" s="153"/>
      <c r="C206" s="153"/>
      <c r="D206" s="132"/>
      <c r="E206" s="132"/>
      <c r="F206" s="132"/>
      <c r="G206" s="153"/>
      <c r="H206" s="153"/>
      <c r="I206" s="153"/>
    </row>
    <row r="207" spans="2:9" ht="15.75" customHeight="1">
      <c r="B207" s="153"/>
      <c r="C207" s="153"/>
      <c r="D207" s="132"/>
      <c r="E207" s="132"/>
      <c r="F207" s="132"/>
      <c r="G207" s="153"/>
      <c r="H207" s="153"/>
      <c r="I207" s="153"/>
    </row>
    <row r="208" spans="2:9" ht="15.75" customHeight="1">
      <c r="B208" s="153"/>
      <c r="C208" s="153"/>
      <c r="D208" s="132"/>
      <c r="E208" s="132"/>
      <c r="F208" s="132"/>
      <c r="G208" s="153"/>
      <c r="H208" s="153"/>
      <c r="I208" s="153"/>
    </row>
    <row r="209" spans="2:9" ht="15.75" customHeight="1">
      <c r="B209" s="153"/>
      <c r="C209" s="153"/>
      <c r="D209" s="132"/>
      <c r="E209" s="132"/>
      <c r="F209" s="132"/>
      <c r="G209" s="153"/>
      <c r="H209" s="153"/>
      <c r="I209" s="153"/>
    </row>
    <row r="210" spans="2:9" ht="15.75" customHeight="1">
      <c r="B210" s="153"/>
      <c r="C210" s="153"/>
      <c r="D210" s="132"/>
      <c r="E210" s="132"/>
      <c r="F210" s="132"/>
      <c r="G210" s="153"/>
      <c r="H210" s="153"/>
      <c r="I210" s="153"/>
    </row>
    <row r="211" spans="2:9" ht="15.75" customHeight="1">
      <c r="B211" s="153"/>
      <c r="C211" s="153"/>
      <c r="D211" s="132"/>
      <c r="E211" s="132"/>
      <c r="F211" s="132"/>
      <c r="G211" s="153"/>
      <c r="H211" s="153"/>
      <c r="I211" s="153"/>
    </row>
    <row r="212" spans="2:9" ht="15.75" customHeight="1">
      <c r="B212" s="153"/>
      <c r="C212" s="153"/>
      <c r="D212" s="132"/>
      <c r="E212" s="132"/>
      <c r="F212" s="132"/>
      <c r="G212" s="153"/>
      <c r="H212" s="153"/>
      <c r="I212" s="153"/>
    </row>
    <row r="213" spans="2:9" ht="15.75" customHeight="1">
      <c r="B213" s="153"/>
      <c r="C213" s="153"/>
      <c r="D213" s="132"/>
      <c r="E213" s="132"/>
      <c r="F213" s="132"/>
      <c r="G213" s="153"/>
      <c r="H213" s="153"/>
      <c r="I213" s="153"/>
    </row>
    <row r="214" spans="2:9" ht="15.75" customHeight="1">
      <c r="B214" s="153"/>
      <c r="C214" s="153"/>
      <c r="D214" s="132"/>
      <c r="E214" s="132"/>
      <c r="F214" s="132"/>
      <c r="G214" s="153"/>
      <c r="H214" s="153"/>
      <c r="I214" s="153"/>
    </row>
    <row r="215" spans="2:9" ht="15.75" customHeight="1">
      <c r="B215" s="153"/>
      <c r="C215" s="153"/>
      <c r="D215" s="132"/>
      <c r="E215" s="132"/>
      <c r="F215" s="132"/>
      <c r="G215" s="153"/>
      <c r="H215" s="153"/>
      <c r="I215" s="153"/>
    </row>
    <row r="216" spans="2:9" ht="15.75" customHeight="1">
      <c r="B216" s="153"/>
      <c r="C216" s="153"/>
      <c r="D216" s="132"/>
      <c r="E216" s="132"/>
      <c r="F216" s="132"/>
      <c r="G216" s="153"/>
      <c r="H216" s="153"/>
      <c r="I216" s="153"/>
    </row>
    <row r="217" spans="2:9" ht="15.75" customHeight="1">
      <c r="B217" s="153"/>
      <c r="C217" s="153"/>
      <c r="D217" s="132"/>
      <c r="E217" s="132"/>
      <c r="F217" s="132"/>
      <c r="G217" s="153"/>
      <c r="H217" s="153"/>
      <c r="I217" s="153"/>
    </row>
    <row r="218" spans="2:9" ht="15.75" customHeight="1">
      <c r="B218" s="153"/>
      <c r="C218" s="153"/>
      <c r="D218" s="132"/>
      <c r="E218" s="132"/>
      <c r="F218" s="132"/>
      <c r="G218" s="153"/>
      <c r="H218" s="153"/>
      <c r="I218" s="153"/>
    </row>
    <row r="219" spans="2:9" ht="15.75" customHeight="1">
      <c r="B219" s="153"/>
      <c r="C219" s="153"/>
      <c r="D219" s="132"/>
      <c r="E219" s="132"/>
      <c r="F219" s="132"/>
      <c r="G219" s="153"/>
      <c r="H219" s="153"/>
      <c r="I219" s="153"/>
    </row>
    <row r="220" spans="2:9" ht="15.75" customHeight="1">
      <c r="B220" s="153"/>
      <c r="C220" s="153"/>
      <c r="D220" s="132"/>
      <c r="E220" s="132"/>
      <c r="F220" s="132"/>
      <c r="G220" s="153"/>
      <c r="H220" s="153"/>
      <c r="I220" s="153"/>
    </row>
    <row r="221" spans="2:9" ht="15.75" customHeight="1">
      <c r="B221" s="153"/>
      <c r="C221" s="153"/>
      <c r="D221" s="132"/>
      <c r="E221" s="132"/>
      <c r="F221" s="132"/>
      <c r="G221" s="153"/>
      <c r="H221" s="153"/>
      <c r="I221" s="153"/>
    </row>
    <row r="222" spans="2:9" ht="15.75" customHeight="1">
      <c r="B222" s="153"/>
      <c r="C222" s="153"/>
      <c r="D222" s="132"/>
      <c r="E222" s="132"/>
      <c r="F222" s="132"/>
      <c r="G222" s="153"/>
      <c r="H222" s="153"/>
      <c r="I222" s="153"/>
    </row>
    <row r="223" spans="2:9" ht="15.75" customHeight="1">
      <c r="B223" s="153"/>
      <c r="C223" s="153"/>
      <c r="D223" s="132"/>
      <c r="E223" s="132"/>
      <c r="F223" s="132"/>
      <c r="G223" s="153"/>
      <c r="H223" s="153"/>
      <c r="I223" s="153"/>
    </row>
    <row r="224" spans="2:9" ht="15.75" customHeight="1">
      <c r="B224" s="153"/>
      <c r="C224" s="153"/>
      <c r="D224" s="132"/>
      <c r="E224" s="132"/>
      <c r="F224" s="132"/>
      <c r="G224" s="153"/>
      <c r="H224" s="153"/>
      <c r="I224" s="153"/>
    </row>
    <row r="225" spans="2:9" ht="15.75" customHeight="1">
      <c r="B225" s="153"/>
      <c r="C225" s="153"/>
      <c r="D225" s="132"/>
      <c r="E225" s="132"/>
      <c r="F225" s="132"/>
      <c r="G225" s="153"/>
      <c r="H225" s="153"/>
      <c r="I225" s="153"/>
    </row>
    <row r="226" spans="2:9" ht="15.75" customHeight="1">
      <c r="B226" s="153"/>
      <c r="C226" s="153"/>
      <c r="D226" s="132"/>
      <c r="E226" s="132"/>
      <c r="F226" s="132"/>
      <c r="G226" s="153"/>
      <c r="H226" s="153"/>
      <c r="I226" s="153"/>
    </row>
    <row r="227" spans="2:9" ht="15.75" customHeight="1">
      <c r="B227" s="153"/>
      <c r="C227" s="153"/>
      <c r="D227" s="132"/>
      <c r="E227" s="132"/>
      <c r="F227" s="132"/>
      <c r="G227" s="153"/>
      <c r="H227" s="153"/>
      <c r="I227" s="153"/>
    </row>
    <row r="228" spans="2:9" ht="15.75" customHeight="1">
      <c r="B228" s="153"/>
      <c r="C228" s="153"/>
      <c r="D228" s="132"/>
      <c r="E228" s="132"/>
      <c r="F228" s="132"/>
      <c r="G228" s="153"/>
      <c r="H228" s="153"/>
      <c r="I228" s="153"/>
    </row>
    <row r="229" spans="2:9" ht="15.75" customHeight="1">
      <c r="B229" s="153"/>
      <c r="C229" s="153"/>
      <c r="D229" s="132"/>
      <c r="E229" s="132"/>
      <c r="F229" s="132"/>
      <c r="G229" s="153"/>
      <c r="H229" s="153"/>
      <c r="I229" s="153"/>
    </row>
    <row r="230" spans="2:9" ht="15.75" customHeight="1">
      <c r="B230" s="153"/>
      <c r="C230" s="153"/>
      <c r="D230" s="132"/>
      <c r="E230" s="132"/>
      <c r="F230" s="132"/>
      <c r="G230" s="153"/>
      <c r="H230" s="153"/>
      <c r="I230" s="153"/>
    </row>
    <row r="231" spans="2:9" ht="15.75" customHeight="1">
      <c r="B231" s="153"/>
      <c r="C231" s="153"/>
      <c r="D231" s="132"/>
      <c r="E231" s="132"/>
      <c r="F231" s="132"/>
      <c r="G231" s="153"/>
      <c r="H231" s="153"/>
      <c r="I231" s="153"/>
    </row>
    <row r="232" spans="2:9" ht="15.75" customHeight="1">
      <c r="B232" s="153"/>
      <c r="C232" s="153"/>
      <c r="D232" s="132"/>
      <c r="E232" s="132"/>
      <c r="F232" s="132"/>
      <c r="G232" s="153"/>
      <c r="H232" s="153"/>
      <c r="I232" s="153"/>
    </row>
    <row r="233" spans="2:9" ht="15.75" customHeight="1">
      <c r="B233" s="153"/>
      <c r="C233" s="153"/>
      <c r="D233" s="132"/>
      <c r="E233" s="132"/>
      <c r="F233" s="132"/>
      <c r="G233" s="153"/>
      <c r="H233" s="153"/>
      <c r="I233" s="153"/>
    </row>
    <row r="234" spans="2:9" ht="15.75" customHeight="1">
      <c r="B234" s="153"/>
      <c r="C234" s="153"/>
      <c r="D234" s="132"/>
      <c r="E234" s="132"/>
      <c r="F234" s="132"/>
      <c r="G234" s="153"/>
      <c r="H234" s="153"/>
      <c r="I234" s="153"/>
    </row>
    <row r="235" spans="2:9" ht="15.75" customHeight="1">
      <c r="B235" s="153"/>
      <c r="C235" s="153"/>
      <c r="D235" s="132"/>
      <c r="E235" s="132"/>
      <c r="F235" s="132"/>
      <c r="G235" s="153"/>
      <c r="H235" s="153"/>
      <c r="I235" s="153"/>
    </row>
    <row r="236" spans="2:9" ht="15.75" customHeight="1">
      <c r="B236" s="153"/>
      <c r="C236" s="153"/>
      <c r="D236" s="132"/>
      <c r="E236" s="132"/>
      <c r="F236" s="132"/>
      <c r="G236" s="153"/>
      <c r="H236" s="153"/>
      <c r="I236" s="153"/>
    </row>
    <row r="237" spans="2:9" ht="15.75" customHeight="1">
      <c r="B237" s="153"/>
      <c r="C237" s="153"/>
      <c r="D237" s="132"/>
      <c r="E237" s="132"/>
      <c r="F237" s="132"/>
      <c r="G237" s="153"/>
      <c r="H237" s="153"/>
      <c r="I237" s="153"/>
    </row>
    <row r="238" spans="2:9" ht="15.75" customHeight="1">
      <c r="B238" s="153"/>
      <c r="C238" s="153"/>
      <c r="D238" s="132"/>
      <c r="E238" s="132"/>
      <c r="F238" s="132"/>
      <c r="G238" s="153"/>
      <c r="H238" s="153"/>
      <c r="I238" s="153"/>
    </row>
    <row r="239" spans="2:9" ht="15.75" customHeight="1">
      <c r="B239" s="153"/>
      <c r="C239" s="153"/>
      <c r="D239" s="132"/>
      <c r="E239" s="132"/>
      <c r="F239" s="132"/>
      <c r="G239" s="153"/>
      <c r="H239" s="153"/>
      <c r="I239" s="153"/>
    </row>
    <row r="240" spans="2:9" ht="15.75" customHeight="1">
      <c r="B240" s="153"/>
      <c r="C240" s="153"/>
      <c r="D240" s="132"/>
      <c r="E240" s="132"/>
      <c r="F240" s="132"/>
      <c r="G240" s="153"/>
      <c r="H240" s="153"/>
      <c r="I240" s="153"/>
    </row>
    <row r="241" spans="2:9" ht="15.75" customHeight="1">
      <c r="B241" s="153"/>
      <c r="C241" s="153"/>
      <c r="D241" s="132"/>
      <c r="E241" s="132"/>
      <c r="F241" s="132"/>
      <c r="G241" s="153"/>
      <c r="H241" s="153"/>
      <c r="I241" s="153"/>
    </row>
    <row r="242" spans="2:9" ht="15.75" customHeight="1">
      <c r="B242" s="153"/>
      <c r="C242" s="153"/>
      <c r="D242" s="132"/>
      <c r="E242" s="132"/>
      <c r="F242" s="132"/>
      <c r="G242" s="153"/>
      <c r="H242" s="153"/>
      <c r="I242" s="153"/>
    </row>
    <row r="243" spans="2:9" ht="15.75" customHeight="1">
      <c r="B243" s="153"/>
      <c r="C243" s="153"/>
      <c r="D243" s="132"/>
      <c r="E243" s="132"/>
      <c r="F243" s="132"/>
      <c r="G243" s="153"/>
      <c r="H243" s="153"/>
      <c r="I243" s="153"/>
    </row>
    <row r="244" spans="2:9" ht="15.75" customHeight="1">
      <c r="B244" s="153"/>
      <c r="C244" s="153"/>
      <c r="D244" s="132"/>
      <c r="E244" s="132"/>
      <c r="F244" s="132"/>
      <c r="G244" s="153"/>
      <c r="H244" s="153"/>
      <c r="I244" s="153"/>
    </row>
    <row r="245" spans="2:9" ht="15.75" customHeight="1">
      <c r="B245" s="153"/>
      <c r="C245" s="153"/>
      <c r="D245" s="132"/>
      <c r="E245" s="132"/>
      <c r="F245" s="132"/>
      <c r="G245" s="153"/>
      <c r="H245" s="153"/>
      <c r="I245" s="153"/>
    </row>
    <row r="246" spans="2:9" ht="15.75" customHeight="1">
      <c r="B246" s="153"/>
      <c r="C246" s="153"/>
      <c r="D246" s="132"/>
      <c r="E246" s="132"/>
      <c r="F246" s="132"/>
      <c r="G246" s="153"/>
      <c r="H246" s="153"/>
      <c r="I246" s="153"/>
    </row>
    <row r="247" spans="2:9" ht="15.75" customHeight="1">
      <c r="B247" s="153"/>
      <c r="C247" s="153"/>
      <c r="D247" s="132"/>
      <c r="E247" s="132"/>
      <c r="F247" s="132"/>
      <c r="G247" s="153"/>
      <c r="H247" s="153"/>
      <c r="I247" s="153"/>
    </row>
    <row r="248" spans="2:9" ht="15.75" customHeight="1">
      <c r="B248" s="153"/>
      <c r="C248" s="153"/>
      <c r="D248" s="132"/>
      <c r="E248" s="132"/>
      <c r="F248" s="132"/>
      <c r="G248" s="153"/>
      <c r="H248" s="153"/>
      <c r="I248" s="153"/>
    </row>
    <row r="249" spans="2:9" ht="15.75" customHeight="1">
      <c r="B249" s="153"/>
      <c r="C249" s="153"/>
      <c r="D249" s="132"/>
      <c r="E249" s="132"/>
      <c r="F249" s="132"/>
      <c r="G249" s="153"/>
      <c r="H249" s="153"/>
      <c r="I249" s="153"/>
    </row>
    <row r="250" spans="2:9" ht="15.75" customHeight="1">
      <c r="B250" s="153"/>
      <c r="C250" s="153"/>
      <c r="D250" s="132"/>
      <c r="E250" s="132"/>
      <c r="F250" s="132"/>
      <c r="G250" s="153"/>
      <c r="H250" s="153"/>
      <c r="I250" s="153"/>
    </row>
    <row r="251" spans="2:9" ht="15.75" customHeight="1">
      <c r="B251" s="153"/>
      <c r="C251" s="153"/>
      <c r="D251" s="132"/>
      <c r="E251" s="132"/>
      <c r="F251" s="132"/>
      <c r="G251" s="153"/>
      <c r="H251" s="153"/>
      <c r="I251" s="153"/>
    </row>
    <row r="252" spans="2:9" ht="15.75" customHeight="1">
      <c r="B252" s="153"/>
      <c r="C252" s="153"/>
      <c r="D252" s="132"/>
      <c r="E252" s="132"/>
      <c r="F252" s="132"/>
      <c r="G252" s="153"/>
      <c r="H252" s="153"/>
      <c r="I252" s="153"/>
    </row>
    <row r="253" spans="2:9" ht="15.75" customHeight="1">
      <c r="B253" s="153"/>
      <c r="C253" s="153"/>
      <c r="D253" s="132"/>
      <c r="E253" s="132"/>
      <c r="F253" s="132"/>
      <c r="G253" s="153"/>
      <c r="H253" s="153"/>
      <c r="I253" s="153"/>
    </row>
    <row r="254" spans="2:9" ht="15.75" customHeight="1">
      <c r="B254" s="153"/>
      <c r="C254" s="153"/>
      <c r="D254" s="132"/>
      <c r="E254" s="132"/>
      <c r="F254" s="132"/>
      <c r="G254" s="153"/>
      <c r="H254" s="153"/>
      <c r="I254" s="153"/>
    </row>
    <row r="255" spans="2:9" ht="15.75" customHeight="1">
      <c r="B255" s="153"/>
      <c r="C255" s="153"/>
      <c r="D255" s="132"/>
      <c r="E255" s="132"/>
      <c r="F255" s="132"/>
      <c r="G255" s="153"/>
      <c r="H255" s="153"/>
      <c r="I255" s="153"/>
    </row>
    <row r="256" spans="2:9" ht="15.75" customHeight="1">
      <c r="B256" s="153"/>
      <c r="C256" s="153"/>
      <c r="D256" s="132"/>
      <c r="E256" s="132"/>
      <c r="F256" s="132"/>
      <c r="G256" s="153"/>
      <c r="H256" s="153"/>
      <c r="I256" s="153"/>
    </row>
    <row r="257" spans="2:9" ht="15.75" customHeight="1">
      <c r="B257" s="153"/>
      <c r="C257" s="153"/>
      <c r="D257" s="132"/>
      <c r="E257" s="132"/>
      <c r="F257" s="132"/>
      <c r="G257" s="153"/>
      <c r="H257" s="153"/>
      <c r="I257" s="153"/>
    </row>
    <row r="258" spans="2:9" ht="15.75" customHeight="1">
      <c r="B258" s="153"/>
      <c r="C258" s="153"/>
      <c r="D258" s="132"/>
      <c r="E258" s="132"/>
      <c r="F258" s="132"/>
      <c r="G258" s="153"/>
      <c r="H258" s="153"/>
      <c r="I258" s="153"/>
    </row>
    <row r="259" spans="2:9" ht="15.75" customHeight="1">
      <c r="B259" s="153"/>
      <c r="C259" s="153"/>
      <c r="D259" s="132"/>
      <c r="E259" s="132"/>
      <c r="F259" s="132"/>
      <c r="G259" s="153"/>
      <c r="H259" s="153"/>
      <c r="I259" s="153"/>
    </row>
    <row r="260" spans="2:9" ht="15.75" customHeight="1">
      <c r="B260" s="153"/>
      <c r="C260" s="153"/>
      <c r="D260" s="132"/>
      <c r="E260" s="132"/>
      <c r="F260" s="132"/>
      <c r="G260" s="153"/>
      <c r="H260" s="153"/>
      <c r="I260" s="153"/>
    </row>
    <row r="261" spans="2:9" ht="15.75" customHeight="1">
      <c r="B261" s="153"/>
      <c r="C261" s="153"/>
      <c r="D261" s="132"/>
      <c r="E261" s="132"/>
      <c r="F261" s="132"/>
      <c r="G261" s="153"/>
      <c r="H261" s="153"/>
      <c r="I261" s="153"/>
    </row>
    <row r="262" spans="2:9" ht="15.75" customHeight="1">
      <c r="B262" s="153"/>
      <c r="C262" s="153"/>
      <c r="D262" s="132"/>
      <c r="E262" s="132"/>
      <c r="F262" s="132"/>
      <c r="G262" s="153"/>
      <c r="H262" s="153"/>
      <c r="I262" s="153"/>
    </row>
    <row r="263" spans="2:9" ht="15.75" customHeight="1">
      <c r="B263" s="153"/>
      <c r="C263" s="153"/>
      <c r="D263" s="132"/>
      <c r="E263" s="132"/>
      <c r="F263" s="132"/>
      <c r="G263" s="153"/>
      <c r="H263" s="153"/>
      <c r="I263" s="153"/>
    </row>
    <row r="264" spans="2:9" ht="15.75" customHeight="1">
      <c r="B264" s="153"/>
      <c r="C264" s="153"/>
      <c r="D264" s="132"/>
      <c r="E264" s="132"/>
      <c r="F264" s="132"/>
      <c r="G264" s="153"/>
      <c r="H264" s="153"/>
      <c r="I264" s="153"/>
    </row>
    <row r="265" spans="2:9" ht="15.75" customHeight="1">
      <c r="B265" s="153"/>
      <c r="C265" s="153"/>
      <c r="D265" s="132"/>
      <c r="E265" s="132"/>
      <c r="F265" s="132"/>
      <c r="G265" s="153"/>
      <c r="H265" s="153"/>
      <c r="I265" s="153"/>
    </row>
    <row r="266" spans="2:9" ht="15.75" customHeight="1">
      <c r="B266" s="153"/>
      <c r="C266" s="153"/>
      <c r="D266" s="132"/>
      <c r="E266" s="132"/>
      <c r="F266" s="132"/>
      <c r="G266" s="153"/>
      <c r="H266" s="153"/>
      <c r="I266" s="153"/>
    </row>
    <row r="267" spans="2:9" ht="15.75" customHeight="1">
      <c r="B267" s="153"/>
      <c r="C267" s="153"/>
      <c r="D267" s="132"/>
      <c r="E267" s="132"/>
      <c r="F267" s="132"/>
      <c r="G267" s="153"/>
      <c r="H267" s="153"/>
      <c r="I267" s="153"/>
    </row>
    <row r="268" spans="2:9" ht="15.75" customHeight="1">
      <c r="B268" s="153"/>
      <c r="C268" s="153"/>
      <c r="D268" s="132"/>
      <c r="E268" s="132"/>
      <c r="F268" s="132"/>
      <c r="G268" s="153"/>
      <c r="H268" s="153"/>
      <c r="I268" s="153"/>
    </row>
    <row r="269" spans="2:9" ht="15.75" customHeight="1">
      <c r="B269" s="153"/>
      <c r="C269" s="153"/>
      <c r="D269" s="132"/>
      <c r="E269" s="132"/>
      <c r="F269" s="132"/>
      <c r="G269" s="153"/>
      <c r="H269" s="153"/>
      <c r="I269" s="153"/>
    </row>
    <row r="270" spans="2:9" ht="15.75" customHeight="1">
      <c r="B270" s="153"/>
      <c r="C270" s="153"/>
      <c r="D270" s="132"/>
      <c r="E270" s="132"/>
      <c r="F270" s="132"/>
      <c r="G270" s="153"/>
      <c r="H270" s="153"/>
      <c r="I270" s="153"/>
    </row>
    <row r="271" spans="2:9" ht="15.75" customHeight="1">
      <c r="B271" s="153"/>
      <c r="C271" s="153"/>
      <c r="D271" s="132"/>
      <c r="E271" s="132"/>
      <c r="F271" s="132"/>
      <c r="G271" s="153"/>
      <c r="H271" s="153"/>
      <c r="I271" s="153"/>
    </row>
    <row r="272" spans="2:9" ht="15.75" customHeight="1">
      <c r="B272" s="153"/>
      <c r="C272" s="153"/>
      <c r="D272" s="132"/>
      <c r="E272" s="132"/>
      <c r="F272" s="132"/>
      <c r="G272" s="153"/>
      <c r="H272" s="153"/>
      <c r="I272" s="153"/>
    </row>
    <row r="273" spans="2:9" ht="15.75" customHeight="1">
      <c r="B273" s="153"/>
      <c r="C273" s="153"/>
      <c r="D273" s="132"/>
      <c r="E273" s="132"/>
      <c r="F273" s="132"/>
      <c r="G273" s="153"/>
      <c r="H273" s="153"/>
      <c r="I273" s="153"/>
    </row>
    <row r="274" spans="2:9" ht="15.75" customHeight="1">
      <c r="B274" s="153"/>
      <c r="C274" s="153"/>
      <c r="D274" s="132"/>
      <c r="E274" s="132"/>
      <c r="F274" s="132"/>
      <c r="G274" s="153"/>
      <c r="H274" s="153"/>
      <c r="I274" s="153"/>
    </row>
    <row r="275" spans="2:9" ht="15.75" customHeight="1">
      <c r="B275" s="153"/>
      <c r="C275" s="153"/>
      <c r="D275" s="132"/>
      <c r="E275" s="132"/>
      <c r="F275" s="132"/>
      <c r="G275" s="153"/>
      <c r="H275" s="153"/>
      <c r="I275" s="153"/>
    </row>
    <row r="276" spans="2:9" ht="15.75" customHeight="1">
      <c r="B276" s="153"/>
      <c r="C276" s="153"/>
      <c r="D276" s="132"/>
      <c r="E276" s="132"/>
      <c r="F276" s="132"/>
      <c r="G276" s="153"/>
      <c r="H276" s="153"/>
      <c r="I276" s="153"/>
    </row>
    <row r="277" spans="2:9" ht="15.75" customHeight="1">
      <c r="B277" s="153"/>
      <c r="C277" s="153"/>
      <c r="D277" s="132"/>
      <c r="E277" s="132"/>
      <c r="F277" s="132"/>
      <c r="G277" s="153"/>
      <c r="H277" s="153"/>
      <c r="I277" s="153"/>
    </row>
    <row r="278" spans="2:9" ht="15.75" customHeight="1">
      <c r="B278" s="153"/>
      <c r="C278" s="153"/>
      <c r="D278" s="132"/>
      <c r="E278" s="132"/>
      <c r="F278" s="132"/>
      <c r="G278" s="153"/>
      <c r="H278" s="153"/>
      <c r="I278" s="153"/>
    </row>
    <row r="279" spans="2:9" ht="15.75" customHeight="1">
      <c r="B279" s="153"/>
      <c r="C279" s="153"/>
      <c r="D279" s="132"/>
      <c r="E279" s="132"/>
      <c r="F279" s="132"/>
      <c r="G279" s="153"/>
      <c r="H279" s="153"/>
      <c r="I279" s="153"/>
    </row>
    <row r="280" spans="2:9" ht="15.75" customHeight="1">
      <c r="B280" s="153"/>
      <c r="C280" s="153"/>
      <c r="D280" s="132"/>
      <c r="E280" s="132"/>
      <c r="F280" s="132"/>
      <c r="G280" s="153"/>
      <c r="H280" s="153"/>
      <c r="I280" s="153"/>
    </row>
    <row r="281" spans="2:9" ht="15.75" customHeight="1">
      <c r="B281" s="153"/>
      <c r="C281" s="153"/>
      <c r="D281" s="132"/>
      <c r="E281" s="132"/>
      <c r="F281" s="132"/>
      <c r="G281" s="153"/>
      <c r="H281" s="153"/>
      <c r="I281" s="153"/>
    </row>
    <row r="282" spans="2:9" ht="15.75" customHeight="1">
      <c r="B282" s="153"/>
      <c r="C282" s="153"/>
      <c r="D282" s="132"/>
      <c r="E282" s="132"/>
      <c r="F282" s="132"/>
      <c r="G282" s="153"/>
      <c r="H282" s="153"/>
      <c r="I282" s="153"/>
    </row>
    <row r="283" spans="2:9" ht="15.75" customHeight="1">
      <c r="B283" s="153"/>
      <c r="C283" s="153"/>
      <c r="D283" s="132"/>
      <c r="E283" s="132"/>
      <c r="F283" s="132"/>
      <c r="G283" s="153"/>
      <c r="H283" s="153"/>
      <c r="I283" s="153"/>
    </row>
    <row r="284" spans="2:9" ht="15.75" customHeight="1">
      <c r="B284" s="153"/>
      <c r="C284" s="153"/>
      <c r="D284" s="132"/>
      <c r="E284" s="132"/>
      <c r="F284" s="132"/>
      <c r="G284" s="153"/>
      <c r="H284" s="153"/>
      <c r="I284" s="153"/>
    </row>
    <row r="285" spans="2:9" ht="15.75" customHeight="1">
      <c r="B285" s="153"/>
      <c r="C285" s="153"/>
      <c r="D285" s="132"/>
      <c r="E285" s="132"/>
      <c r="F285" s="132"/>
      <c r="G285" s="153"/>
      <c r="H285" s="153"/>
      <c r="I285" s="153"/>
    </row>
    <row r="286" spans="2:9" ht="15.75" customHeight="1">
      <c r="B286" s="153"/>
      <c r="C286" s="153"/>
      <c r="D286" s="132"/>
      <c r="E286" s="132"/>
      <c r="F286" s="132"/>
      <c r="G286" s="153"/>
      <c r="H286" s="153"/>
      <c r="I286" s="153"/>
    </row>
    <row r="287" spans="2:9" ht="15.75" customHeight="1">
      <c r="B287" s="153"/>
      <c r="C287" s="153"/>
      <c r="D287" s="132"/>
      <c r="E287" s="132"/>
      <c r="F287" s="132"/>
      <c r="G287" s="153"/>
      <c r="H287" s="153"/>
      <c r="I287" s="153"/>
    </row>
    <row r="288" spans="2:9" ht="15.75" customHeight="1">
      <c r="B288" s="153"/>
      <c r="C288" s="153"/>
      <c r="D288" s="132"/>
      <c r="E288" s="132"/>
      <c r="F288" s="132"/>
      <c r="G288" s="153"/>
      <c r="H288" s="153"/>
      <c r="I288" s="153"/>
    </row>
    <row r="289" spans="2:9" ht="15.75" customHeight="1">
      <c r="B289" s="153"/>
      <c r="C289" s="153"/>
      <c r="D289" s="132"/>
      <c r="E289" s="132"/>
      <c r="F289" s="132"/>
      <c r="G289" s="153"/>
      <c r="H289" s="153"/>
      <c r="I289" s="153"/>
    </row>
    <row r="290" spans="2:9" ht="15.75" customHeight="1">
      <c r="B290" s="153"/>
      <c r="C290" s="153"/>
      <c r="D290" s="132"/>
      <c r="E290" s="132"/>
      <c r="F290" s="132"/>
      <c r="G290" s="153"/>
      <c r="H290" s="153"/>
      <c r="I290" s="153"/>
    </row>
    <row r="291" spans="2:9" ht="15.75" customHeight="1">
      <c r="B291" s="153"/>
      <c r="C291" s="153"/>
      <c r="D291" s="132"/>
      <c r="E291" s="132"/>
      <c r="F291" s="132"/>
      <c r="G291" s="153"/>
      <c r="H291" s="153"/>
      <c r="I291" s="153"/>
    </row>
    <row r="292" spans="2:9" ht="15.75" customHeight="1">
      <c r="B292" s="153"/>
      <c r="C292" s="153"/>
      <c r="D292" s="132"/>
      <c r="E292" s="132"/>
      <c r="F292" s="132"/>
      <c r="G292" s="153"/>
      <c r="H292" s="153"/>
      <c r="I292" s="153"/>
    </row>
    <row r="293" spans="2:9" ht="15.75" customHeight="1">
      <c r="B293" s="153"/>
      <c r="C293" s="153"/>
      <c r="D293" s="132"/>
      <c r="E293" s="132"/>
      <c r="F293" s="132"/>
      <c r="G293" s="153"/>
      <c r="H293" s="153"/>
      <c r="I293" s="153"/>
    </row>
    <row r="294" spans="2:9" ht="15.75" customHeight="1">
      <c r="B294" s="153"/>
      <c r="C294" s="153"/>
      <c r="D294" s="132"/>
      <c r="E294" s="132"/>
      <c r="F294" s="132"/>
      <c r="G294" s="153"/>
      <c r="H294" s="153"/>
      <c r="I294" s="153"/>
    </row>
    <row r="295" spans="2:9" ht="15.75" customHeight="1">
      <c r="B295" s="153"/>
      <c r="C295" s="153"/>
      <c r="D295" s="132"/>
      <c r="E295" s="132"/>
      <c r="F295" s="132"/>
      <c r="G295" s="153"/>
      <c r="H295" s="153"/>
      <c r="I295" s="153"/>
    </row>
    <row r="296" spans="2:9" ht="15.75" customHeight="1">
      <c r="B296" s="153"/>
      <c r="C296" s="153"/>
      <c r="D296" s="132"/>
      <c r="E296" s="132"/>
      <c r="F296" s="132"/>
      <c r="G296" s="153"/>
      <c r="H296" s="153"/>
      <c r="I296" s="153"/>
    </row>
    <row r="297" spans="2:9" ht="15.75" customHeight="1">
      <c r="B297" s="153"/>
      <c r="C297" s="153"/>
      <c r="D297" s="132"/>
      <c r="E297" s="132"/>
      <c r="F297" s="132"/>
      <c r="G297" s="153"/>
      <c r="H297" s="153"/>
      <c r="I297" s="153"/>
    </row>
    <row r="298" spans="2:9" ht="15.75" customHeight="1">
      <c r="B298" s="153"/>
      <c r="C298" s="153"/>
      <c r="D298" s="132"/>
      <c r="E298" s="132"/>
      <c r="F298" s="132"/>
      <c r="G298" s="153"/>
      <c r="H298" s="153"/>
      <c r="I298" s="153"/>
    </row>
    <row r="299" spans="2:9" ht="15.75" customHeight="1">
      <c r="B299" s="153"/>
      <c r="C299" s="153"/>
      <c r="D299" s="132"/>
      <c r="E299" s="132"/>
      <c r="F299" s="132"/>
      <c r="G299" s="153"/>
      <c r="H299" s="153"/>
      <c r="I299" s="153"/>
    </row>
    <row r="300" spans="2:9" ht="15.75" customHeight="1">
      <c r="B300" s="153"/>
      <c r="C300" s="153"/>
      <c r="D300" s="132"/>
      <c r="E300" s="132"/>
      <c r="F300" s="132"/>
      <c r="G300" s="153"/>
      <c r="H300" s="153"/>
      <c r="I300" s="153"/>
    </row>
    <row r="301" spans="2:9" ht="15.75" customHeight="1">
      <c r="B301" s="153"/>
      <c r="C301" s="153"/>
      <c r="D301" s="132"/>
      <c r="E301" s="132"/>
      <c r="F301" s="132"/>
      <c r="G301" s="153"/>
      <c r="H301" s="153"/>
      <c r="I301" s="153"/>
    </row>
    <row r="302" spans="2:9" ht="15.75" customHeight="1">
      <c r="B302" s="153"/>
      <c r="C302" s="153"/>
      <c r="D302" s="132"/>
      <c r="E302" s="132"/>
      <c r="F302" s="132"/>
      <c r="G302" s="153"/>
      <c r="H302" s="153"/>
      <c r="I302" s="153"/>
    </row>
    <row r="303" spans="2:9" ht="15.75" customHeight="1">
      <c r="B303" s="153"/>
      <c r="C303" s="153"/>
      <c r="D303" s="132"/>
      <c r="E303" s="132"/>
      <c r="F303" s="132"/>
      <c r="G303" s="153"/>
      <c r="H303" s="153"/>
      <c r="I303" s="153"/>
    </row>
    <row r="304" spans="2:9" ht="15.75" customHeight="1">
      <c r="B304" s="153"/>
      <c r="C304" s="153"/>
      <c r="D304" s="132"/>
      <c r="E304" s="132"/>
      <c r="F304" s="132"/>
      <c r="G304" s="153"/>
      <c r="H304" s="153"/>
      <c r="I304" s="153"/>
    </row>
    <row r="305" spans="2:9" ht="15.75" customHeight="1">
      <c r="B305" s="153"/>
      <c r="C305" s="153"/>
      <c r="D305" s="132"/>
      <c r="E305" s="132"/>
      <c r="F305" s="132"/>
      <c r="G305" s="153"/>
      <c r="H305" s="153"/>
      <c r="I305" s="153"/>
    </row>
    <row r="306" spans="2:9" ht="15.75" customHeight="1">
      <c r="B306" s="153"/>
      <c r="C306" s="153"/>
      <c r="D306" s="132"/>
      <c r="E306" s="132"/>
      <c r="F306" s="132"/>
      <c r="G306" s="153"/>
      <c r="H306" s="153"/>
      <c r="I306" s="153"/>
    </row>
    <row r="307" spans="2:9" ht="15.75" customHeight="1">
      <c r="B307" s="153"/>
      <c r="C307" s="153"/>
      <c r="D307" s="132"/>
      <c r="E307" s="132"/>
      <c r="F307" s="132"/>
      <c r="G307" s="153"/>
      <c r="H307" s="153"/>
      <c r="I307" s="153"/>
    </row>
    <row r="308" spans="2:9" ht="15.75" customHeight="1">
      <c r="B308" s="153"/>
      <c r="C308" s="153"/>
      <c r="D308" s="132"/>
      <c r="E308" s="132"/>
      <c r="F308" s="132"/>
      <c r="G308" s="153"/>
      <c r="H308" s="153"/>
      <c r="I308" s="153"/>
    </row>
    <row r="309" spans="2:9" ht="15.75" customHeight="1">
      <c r="B309" s="153"/>
      <c r="C309" s="153"/>
      <c r="D309" s="132"/>
      <c r="E309" s="132"/>
      <c r="F309" s="132"/>
      <c r="G309" s="153"/>
      <c r="H309" s="153"/>
      <c r="I309" s="153"/>
    </row>
    <row r="310" spans="2:9" ht="15.75" customHeight="1">
      <c r="B310" s="153"/>
      <c r="C310" s="153"/>
      <c r="D310" s="132"/>
      <c r="E310" s="132"/>
      <c r="F310" s="132"/>
      <c r="G310" s="153"/>
      <c r="H310" s="153"/>
      <c r="I310" s="153"/>
    </row>
    <row r="311" spans="2:9" ht="15.75" customHeight="1">
      <c r="B311" s="153"/>
      <c r="C311" s="153"/>
      <c r="D311" s="132"/>
      <c r="E311" s="132"/>
      <c r="F311" s="132"/>
      <c r="G311" s="153"/>
      <c r="H311" s="153"/>
      <c r="I311" s="153"/>
    </row>
    <row r="312" spans="2:9" ht="15.75" customHeight="1">
      <c r="B312" s="153"/>
      <c r="C312" s="153"/>
      <c r="D312" s="132"/>
      <c r="E312" s="132"/>
      <c r="F312" s="132"/>
      <c r="G312" s="153"/>
      <c r="H312" s="153"/>
      <c r="I312" s="153"/>
    </row>
    <row r="313" spans="2:9" ht="15.75" customHeight="1">
      <c r="B313" s="153"/>
      <c r="C313" s="153"/>
      <c r="D313" s="132"/>
      <c r="E313" s="132"/>
      <c r="F313" s="132"/>
      <c r="G313" s="153"/>
      <c r="H313" s="153"/>
      <c r="I313" s="153"/>
    </row>
    <row r="314" spans="2:9" ht="15.75" customHeight="1">
      <c r="B314" s="153"/>
      <c r="C314" s="153"/>
      <c r="D314" s="132"/>
      <c r="E314" s="132"/>
      <c r="F314" s="132"/>
      <c r="G314" s="153"/>
      <c r="H314" s="153"/>
      <c r="I314" s="153"/>
    </row>
    <row r="315" spans="2:9" ht="15.75" customHeight="1">
      <c r="B315" s="153"/>
      <c r="C315" s="153"/>
      <c r="D315" s="132"/>
      <c r="E315" s="132"/>
      <c r="F315" s="132"/>
      <c r="G315" s="153"/>
      <c r="H315" s="153"/>
      <c r="I315" s="153"/>
    </row>
    <row r="316" spans="2:9" ht="15.75" customHeight="1">
      <c r="B316" s="153"/>
      <c r="C316" s="153"/>
      <c r="D316" s="132"/>
      <c r="E316" s="132"/>
      <c r="F316" s="132"/>
      <c r="G316" s="153"/>
      <c r="H316" s="153"/>
      <c r="I316" s="153"/>
    </row>
    <row r="317" spans="2:9" ht="15.75" customHeight="1">
      <c r="B317" s="153"/>
      <c r="C317" s="153"/>
      <c r="D317" s="132"/>
      <c r="E317" s="132"/>
      <c r="F317" s="132"/>
      <c r="G317" s="153"/>
      <c r="H317" s="153"/>
      <c r="I317" s="153"/>
    </row>
    <row r="318" spans="2:9" ht="15.75" customHeight="1">
      <c r="B318" s="153"/>
      <c r="C318" s="153"/>
      <c r="D318" s="132"/>
      <c r="E318" s="132"/>
      <c r="F318" s="132"/>
      <c r="G318" s="153"/>
      <c r="H318" s="153"/>
      <c r="I318" s="153"/>
    </row>
    <row r="319" spans="2:9" ht="15.75" customHeight="1">
      <c r="B319" s="153"/>
      <c r="C319" s="153"/>
      <c r="D319" s="132"/>
      <c r="E319" s="132"/>
      <c r="F319" s="132"/>
      <c r="G319" s="153"/>
      <c r="H319" s="153"/>
      <c r="I319" s="153"/>
    </row>
    <row r="320" spans="2:9" ht="15.75" customHeight="1">
      <c r="B320" s="153"/>
      <c r="C320" s="153"/>
      <c r="D320" s="132"/>
      <c r="E320" s="132"/>
      <c r="F320" s="132"/>
      <c r="G320" s="153"/>
      <c r="H320" s="153"/>
      <c r="I320" s="153"/>
    </row>
    <row r="321" spans="2:9" ht="15.75" customHeight="1">
      <c r="B321" s="153"/>
      <c r="C321" s="153"/>
      <c r="D321" s="132"/>
      <c r="E321" s="132"/>
      <c r="F321" s="132"/>
      <c r="G321" s="153"/>
      <c r="H321" s="153"/>
      <c r="I321" s="153"/>
    </row>
    <row r="322" spans="2:9" ht="15.75" customHeight="1">
      <c r="B322" s="153"/>
      <c r="C322" s="153"/>
      <c r="D322" s="132"/>
      <c r="E322" s="132"/>
      <c r="F322" s="132"/>
      <c r="G322" s="153"/>
      <c r="H322" s="153"/>
      <c r="I322" s="153"/>
    </row>
    <row r="323" spans="2:9" ht="15.75" customHeight="1">
      <c r="B323" s="153"/>
      <c r="C323" s="153"/>
      <c r="D323" s="132"/>
      <c r="E323" s="132"/>
      <c r="F323" s="132"/>
      <c r="G323" s="153"/>
      <c r="H323" s="153"/>
      <c r="I323" s="153"/>
    </row>
    <row r="324" spans="2:9" ht="15.75" customHeight="1">
      <c r="B324" s="153"/>
      <c r="C324" s="153"/>
      <c r="D324" s="132"/>
      <c r="E324" s="132"/>
      <c r="F324" s="132"/>
      <c r="G324" s="153"/>
      <c r="H324" s="153"/>
      <c r="I324" s="153"/>
    </row>
    <row r="325" spans="2:9" ht="15.75" customHeight="1">
      <c r="B325" s="153"/>
      <c r="C325" s="153"/>
      <c r="D325" s="132"/>
      <c r="E325" s="132"/>
      <c r="F325" s="132"/>
      <c r="G325" s="153"/>
      <c r="H325" s="153"/>
      <c r="I325" s="153"/>
    </row>
    <row r="326" spans="2:9" ht="15.75" customHeight="1">
      <c r="B326" s="153"/>
      <c r="C326" s="153"/>
      <c r="D326" s="132"/>
      <c r="E326" s="132"/>
      <c r="F326" s="132"/>
      <c r="G326" s="153"/>
      <c r="H326" s="153"/>
      <c r="I326" s="153"/>
    </row>
    <row r="327" spans="2:9" ht="15.75" customHeight="1">
      <c r="B327" s="153"/>
      <c r="C327" s="153"/>
      <c r="D327" s="132"/>
      <c r="E327" s="132"/>
      <c r="F327" s="132"/>
      <c r="G327" s="153"/>
      <c r="H327" s="153"/>
      <c r="I327" s="153"/>
    </row>
    <row r="328" spans="2:9" ht="15.75" customHeight="1">
      <c r="B328" s="153"/>
      <c r="C328" s="153"/>
      <c r="D328" s="132"/>
      <c r="E328" s="132"/>
      <c r="F328" s="132"/>
      <c r="G328" s="153"/>
      <c r="H328" s="153"/>
      <c r="I328" s="153"/>
    </row>
    <row r="329" spans="2:9" ht="15.75" customHeight="1">
      <c r="B329" s="153"/>
      <c r="C329" s="153"/>
      <c r="D329" s="132"/>
      <c r="E329" s="132"/>
      <c r="F329" s="132"/>
      <c r="G329" s="153"/>
      <c r="H329" s="153"/>
      <c r="I329" s="153"/>
    </row>
    <row r="330" spans="2:9" ht="15.75" customHeight="1">
      <c r="B330" s="153"/>
      <c r="C330" s="153"/>
      <c r="D330" s="132"/>
      <c r="E330" s="132"/>
      <c r="F330" s="132"/>
      <c r="G330" s="153"/>
      <c r="H330" s="153"/>
      <c r="I330" s="153"/>
    </row>
    <row r="331" spans="2:9" ht="15.75" customHeight="1">
      <c r="B331" s="153"/>
      <c r="C331" s="153"/>
      <c r="D331" s="132"/>
      <c r="E331" s="132"/>
      <c r="F331" s="132"/>
      <c r="G331" s="153"/>
      <c r="H331" s="153"/>
      <c r="I331" s="153"/>
    </row>
    <row r="332" spans="2:9" ht="15.75" customHeight="1">
      <c r="B332" s="153"/>
      <c r="C332" s="153"/>
      <c r="D332" s="132"/>
      <c r="E332" s="132"/>
      <c r="F332" s="132"/>
      <c r="G332" s="153"/>
      <c r="H332" s="153"/>
      <c r="I332" s="153"/>
    </row>
    <row r="333" spans="2:9" ht="15.75" customHeight="1">
      <c r="B333" s="153"/>
      <c r="C333" s="153"/>
      <c r="D333" s="132"/>
      <c r="E333" s="132"/>
      <c r="F333" s="132"/>
      <c r="G333" s="153"/>
      <c r="H333" s="153"/>
      <c r="I333" s="153"/>
    </row>
    <row r="334" spans="2:9" ht="15.75" customHeight="1">
      <c r="B334" s="153"/>
      <c r="C334" s="153"/>
      <c r="D334" s="132"/>
      <c r="E334" s="132"/>
      <c r="F334" s="132"/>
      <c r="G334" s="153"/>
      <c r="H334" s="153"/>
      <c r="I334" s="153"/>
    </row>
    <row r="335" spans="2:9" ht="15.75" customHeight="1">
      <c r="B335" s="153"/>
      <c r="C335" s="153"/>
      <c r="D335" s="132"/>
      <c r="E335" s="132"/>
      <c r="F335" s="132"/>
      <c r="G335" s="153"/>
      <c r="H335" s="153"/>
      <c r="I335" s="153"/>
    </row>
    <row r="336" spans="2:9" ht="15.75" customHeight="1">
      <c r="B336" s="153"/>
      <c r="C336" s="153"/>
      <c r="D336" s="132"/>
      <c r="E336" s="132"/>
      <c r="F336" s="132"/>
      <c r="G336" s="153"/>
      <c r="H336" s="153"/>
      <c r="I336" s="153"/>
    </row>
    <row r="337" spans="2:9" ht="15.75" customHeight="1">
      <c r="B337" s="153"/>
      <c r="C337" s="153"/>
      <c r="D337" s="132"/>
      <c r="E337" s="132"/>
      <c r="F337" s="132"/>
      <c r="G337" s="153"/>
      <c r="H337" s="153"/>
      <c r="I337" s="153"/>
    </row>
    <row r="338" spans="2:9" ht="15.75" customHeight="1">
      <c r="B338" s="153"/>
      <c r="C338" s="153"/>
      <c r="D338" s="132"/>
      <c r="E338" s="132"/>
      <c r="F338" s="132"/>
      <c r="G338" s="153"/>
      <c r="H338" s="153"/>
      <c r="I338" s="153"/>
    </row>
    <row r="339" spans="2:9" ht="15.75" customHeight="1">
      <c r="B339" s="153"/>
      <c r="C339" s="153"/>
      <c r="D339" s="132"/>
      <c r="E339" s="132"/>
      <c r="F339" s="132"/>
      <c r="G339" s="153"/>
      <c r="H339" s="153"/>
      <c r="I339" s="153"/>
    </row>
    <row r="340" spans="2:9" ht="15.75" customHeight="1">
      <c r="B340" s="153"/>
      <c r="C340" s="153"/>
      <c r="D340" s="132"/>
      <c r="E340" s="132"/>
      <c r="F340" s="132"/>
      <c r="G340" s="153"/>
      <c r="H340" s="153"/>
      <c r="I340" s="153"/>
    </row>
    <row r="341" spans="2:9" ht="15.75" customHeight="1">
      <c r="B341" s="153"/>
      <c r="C341" s="153"/>
      <c r="D341" s="132"/>
      <c r="E341" s="132"/>
      <c r="F341" s="132"/>
      <c r="G341" s="153"/>
      <c r="H341" s="153"/>
      <c r="I341" s="153"/>
    </row>
    <row r="342" spans="2:9" ht="15.75" customHeight="1">
      <c r="B342" s="153"/>
      <c r="C342" s="153"/>
      <c r="D342" s="132"/>
      <c r="E342" s="132"/>
      <c r="F342" s="132"/>
      <c r="G342" s="153"/>
      <c r="H342" s="153"/>
      <c r="I342" s="153"/>
    </row>
    <row r="343" spans="2:9" ht="15.75" customHeight="1">
      <c r="B343" s="153"/>
      <c r="C343" s="153"/>
      <c r="D343" s="132"/>
      <c r="E343" s="132"/>
      <c r="F343" s="132"/>
      <c r="G343" s="153"/>
      <c r="H343" s="153"/>
      <c r="I343" s="153"/>
    </row>
    <row r="344" spans="2:9" ht="15.75" customHeight="1">
      <c r="B344" s="153"/>
      <c r="C344" s="153"/>
      <c r="D344" s="132"/>
      <c r="E344" s="132"/>
      <c r="F344" s="132"/>
      <c r="G344" s="153"/>
      <c r="H344" s="153"/>
      <c r="I344" s="153"/>
    </row>
    <row r="345" spans="2:9" ht="15.75" customHeight="1">
      <c r="B345" s="153"/>
      <c r="C345" s="153"/>
      <c r="D345" s="132"/>
      <c r="E345" s="132"/>
      <c r="F345" s="132"/>
      <c r="G345" s="153"/>
      <c r="H345" s="153"/>
      <c r="I345" s="153"/>
    </row>
    <row r="346" spans="2:9" ht="15.75" customHeight="1">
      <c r="B346" s="153"/>
      <c r="C346" s="153"/>
      <c r="D346" s="132"/>
      <c r="E346" s="132"/>
      <c r="F346" s="132"/>
      <c r="G346" s="153"/>
      <c r="H346" s="153"/>
      <c r="I346" s="153"/>
    </row>
    <row r="347" spans="2:9" ht="15.75" customHeight="1">
      <c r="B347" s="153"/>
      <c r="C347" s="153"/>
      <c r="D347" s="132"/>
      <c r="E347" s="132"/>
      <c r="F347" s="132"/>
      <c r="G347" s="153"/>
      <c r="H347" s="153"/>
      <c r="I347" s="153"/>
    </row>
    <row r="348" spans="2:9" ht="15.75" customHeight="1">
      <c r="B348" s="153"/>
      <c r="C348" s="153"/>
      <c r="D348" s="132"/>
      <c r="E348" s="132"/>
      <c r="F348" s="132"/>
      <c r="G348" s="153"/>
      <c r="H348" s="153"/>
      <c r="I348" s="153"/>
    </row>
    <row r="349" spans="2:9" ht="15.75" customHeight="1">
      <c r="B349" s="153"/>
      <c r="C349" s="153"/>
      <c r="D349" s="132"/>
      <c r="E349" s="132"/>
      <c r="F349" s="132"/>
      <c r="G349" s="153"/>
      <c r="H349" s="153"/>
      <c r="I349" s="153"/>
    </row>
    <row r="350" spans="2:9" ht="15.75" customHeight="1">
      <c r="B350" s="153"/>
      <c r="C350" s="153"/>
      <c r="D350" s="132"/>
      <c r="E350" s="132"/>
      <c r="F350" s="132"/>
      <c r="G350" s="153"/>
      <c r="H350" s="153"/>
      <c r="I350" s="153"/>
    </row>
    <row r="351" spans="2:9" ht="15.75" customHeight="1">
      <c r="B351" s="153"/>
      <c r="C351" s="153"/>
      <c r="D351" s="132"/>
      <c r="E351" s="132"/>
      <c r="F351" s="132"/>
      <c r="G351" s="153"/>
      <c r="H351" s="153"/>
      <c r="I351" s="153"/>
    </row>
    <row r="352" spans="2:9" ht="15.75" customHeight="1">
      <c r="B352" s="153"/>
      <c r="C352" s="153"/>
      <c r="D352" s="132"/>
      <c r="E352" s="132"/>
      <c r="F352" s="132"/>
      <c r="G352" s="153"/>
      <c r="H352" s="153"/>
      <c r="I352" s="153"/>
    </row>
    <row r="353" spans="2:9" ht="15.75" customHeight="1">
      <c r="B353" s="153"/>
      <c r="C353" s="153"/>
      <c r="D353" s="132"/>
      <c r="E353" s="132"/>
      <c r="F353" s="132"/>
      <c r="G353" s="153"/>
      <c r="H353" s="153"/>
      <c r="I353" s="153"/>
    </row>
    <row r="354" spans="2:9" ht="15.75" customHeight="1">
      <c r="B354" s="153"/>
      <c r="C354" s="153"/>
      <c r="D354" s="132"/>
      <c r="E354" s="132"/>
      <c r="F354" s="132"/>
      <c r="G354" s="153"/>
      <c r="H354" s="153"/>
      <c r="I354" s="153"/>
    </row>
    <row r="355" spans="2:9" ht="15.75" customHeight="1">
      <c r="B355" s="153"/>
      <c r="C355" s="153"/>
      <c r="D355" s="132"/>
      <c r="E355" s="132"/>
      <c r="F355" s="132"/>
      <c r="G355" s="153"/>
      <c r="H355" s="153"/>
      <c r="I355" s="153"/>
    </row>
    <row r="356" spans="2:9" ht="15.75" customHeight="1">
      <c r="B356" s="153"/>
      <c r="C356" s="153"/>
      <c r="D356" s="132"/>
      <c r="E356" s="132"/>
      <c r="F356" s="132"/>
      <c r="G356" s="153"/>
      <c r="H356" s="153"/>
      <c r="I356" s="153"/>
    </row>
    <row r="357" spans="2:9" ht="15.75" customHeight="1">
      <c r="B357" s="153"/>
      <c r="C357" s="153"/>
      <c r="D357" s="132"/>
      <c r="E357" s="132"/>
      <c r="F357" s="132"/>
      <c r="G357" s="153"/>
      <c r="H357" s="153"/>
      <c r="I357" s="153"/>
    </row>
    <row r="358" spans="2:9" ht="15.75" customHeight="1">
      <c r="B358" s="153"/>
      <c r="C358" s="153"/>
      <c r="D358" s="132"/>
      <c r="E358" s="132"/>
      <c r="F358" s="132"/>
      <c r="G358" s="153"/>
      <c r="H358" s="153"/>
      <c r="I358" s="153"/>
    </row>
    <row r="359" spans="2:9" ht="15.75" customHeight="1">
      <c r="B359" s="153"/>
      <c r="C359" s="153"/>
      <c r="D359" s="132"/>
      <c r="E359" s="132"/>
      <c r="F359" s="132"/>
      <c r="G359" s="153"/>
      <c r="H359" s="153"/>
      <c r="I359" s="153"/>
    </row>
    <row r="360" spans="2:9" ht="15.75" customHeight="1">
      <c r="B360" s="153"/>
      <c r="C360" s="153"/>
      <c r="D360" s="132"/>
      <c r="E360" s="132"/>
      <c r="F360" s="132"/>
      <c r="G360" s="153"/>
      <c r="H360" s="153"/>
      <c r="I360" s="153"/>
    </row>
    <row r="361" spans="2:9" ht="15.75" customHeight="1">
      <c r="B361" s="153"/>
      <c r="C361" s="153"/>
      <c r="D361" s="132"/>
      <c r="E361" s="132"/>
      <c r="F361" s="132"/>
      <c r="G361" s="153"/>
      <c r="H361" s="153"/>
      <c r="I361" s="153"/>
    </row>
    <row r="362" spans="2:9" ht="15.75" customHeight="1">
      <c r="B362" s="153"/>
      <c r="C362" s="153"/>
      <c r="D362" s="132"/>
      <c r="E362" s="132"/>
      <c r="F362" s="132"/>
      <c r="G362" s="153"/>
      <c r="H362" s="153"/>
      <c r="I362" s="153"/>
    </row>
    <row r="363" spans="2:9" ht="15.75" customHeight="1">
      <c r="B363" s="153"/>
      <c r="C363" s="153"/>
      <c r="D363" s="132"/>
      <c r="E363" s="132"/>
      <c r="F363" s="132"/>
      <c r="G363" s="153"/>
      <c r="H363" s="153"/>
      <c r="I363" s="153"/>
    </row>
    <row r="364" spans="2:9" ht="15.75" customHeight="1">
      <c r="B364" s="153"/>
      <c r="C364" s="153"/>
      <c r="D364" s="132"/>
      <c r="E364" s="132"/>
      <c r="F364" s="132"/>
      <c r="G364" s="153"/>
      <c r="H364" s="153"/>
      <c r="I364" s="153"/>
    </row>
    <row r="365" spans="2:9" ht="15.75" customHeight="1">
      <c r="B365" s="153"/>
      <c r="C365" s="153"/>
      <c r="D365" s="132"/>
      <c r="E365" s="132"/>
      <c r="F365" s="132"/>
      <c r="G365" s="153"/>
      <c r="H365" s="153"/>
      <c r="I365" s="153"/>
    </row>
    <row r="366" spans="2:9" ht="15.75" customHeight="1">
      <c r="B366" s="153"/>
      <c r="C366" s="153"/>
      <c r="D366" s="132"/>
      <c r="E366" s="132"/>
      <c r="F366" s="132"/>
      <c r="G366" s="153"/>
      <c r="H366" s="153"/>
      <c r="I366" s="153"/>
    </row>
    <row r="367" spans="2:9" ht="15.75" customHeight="1">
      <c r="B367" s="153"/>
      <c r="C367" s="153"/>
      <c r="D367" s="132"/>
      <c r="E367" s="132"/>
      <c r="F367" s="132"/>
      <c r="G367" s="153"/>
      <c r="H367" s="153"/>
      <c r="I367" s="153"/>
    </row>
    <row r="368" spans="2:9" ht="15.75" customHeight="1">
      <c r="B368" s="153"/>
      <c r="C368" s="153"/>
      <c r="D368" s="132"/>
      <c r="E368" s="132"/>
      <c r="F368" s="132"/>
      <c r="G368" s="153"/>
      <c r="H368" s="153"/>
      <c r="I368" s="153"/>
    </row>
    <row r="369" spans="2:9" ht="15.75" customHeight="1">
      <c r="B369" s="153"/>
      <c r="C369" s="153"/>
      <c r="D369" s="132"/>
      <c r="E369" s="132"/>
      <c r="F369" s="132"/>
      <c r="G369" s="153"/>
      <c r="H369" s="153"/>
      <c r="I369" s="153"/>
    </row>
    <row r="370" spans="2:9" ht="15.75" customHeight="1">
      <c r="B370" s="153"/>
      <c r="C370" s="153"/>
      <c r="D370" s="132"/>
      <c r="E370" s="132"/>
      <c r="F370" s="132"/>
      <c r="G370" s="153"/>
      <c r="H370" s="153"/>
      <c r="I370" s="153"/>
    </row>
    <row r="371" spans="2:9" ht="15.75" customHeight="1">
      <c r="B371" s="153"/>
      <c r="C371" s="153"/>
      <c r="D371" s="132"/>
      <c r="E371" s="132"/>
      <c r="F371" s="132"/>
      <c r="G371" s="153"/>
      <c r="H371" s="153"/>
      <c r="I371" s="153"/>
    </row>
    <row r="372" spans="2:9" ht="15.75" customHeight="1">
      <c r="B372" s="153"/>
      <c r="C372" s="153"/>
      <c r="D372" s="132"/>
      <c r="E372" s="132"/>
      <c r="F372" s="132"/>
      <c r="G372" s="153"/>
      <c r="H372" s="153"/>
      <c r="I372" s="153"/>
    </row>
    <row r="373" spans="2:9" ht="15.75" customHeight="1">
      <c r="B373" s="153"/>
      <c r="C373" s="153"/>
      <c r="D373" s="132"/>
      <c r="E373" s="132"/>
      <c r="F373" s="132"/>
      <c r="G373" s="153"/>
      <c r="H373" s="153"/>
      <c r="I373" s="153"/>
    </row>
    <row r="374" spans="2:9" ht="15.75" customHeight="1">
      <c r="B374" s="153"/>
      <c r="C374" s="153"/>
      <c r="D374" s="132"/>
      <c r="E374" s="132"/>
      <c r="F374" s="132"/>
      <c r="G374" s="153"/>
      <c r="H374" s="153"/>
      <c r="I374" s="153"/>
    </row>
    <row r="375" spans="2:9" ht="15.75" customHeight="1">
      <c r="B375" s="153"/>
      <c r="C375" s="153"/>
      <c r="D375" s="132"/>
      <c r="E375" s="132"/>
      <c r="F375" s="132"/>
      <c r="G375" s="153"/>
      <c r="H375" s="153"/>
      <c r="I375" s="153"/>
    </row>
    <row r="376" spans="2:9" ht="15.75" customHeight="1">
      <c r="B376" s="153"/>
      <c r="C376" s="153"/>
      <c r="D376" s="132"/>
      <c r="E376" s="132"/>
      <c r="F376" s="132"/>
      <c r="G376" s="153"/>
      <c r="H376" s="153"/>
      <c r="I376" s="153"/>
    </row>
    <row r="377" spans="2:9" ht="15.75" customHeight="1">
      <c r="B377" s="153"/>
      <c r="C377" s="153"/>
      <c r="D377" s="132"/>
      <c r="E377" s="132"/>
      <c r="F377" s="132"/>
      <c r="G377" s="153"/>
      <c r="H377" s="153"/>
      <c r="I377" s="153"/>
    </row>
    <row r="378" spans="2:9" ht="15.75" customHeight="1">
      <c r="B378" s="153"/>
      <c r="C378" s="153"/>
      <c r="D378" s="132"/>
      <c r="E378" s="132"/>
      <c r="F378" s="132"/>
      <c r="G378" s="153"/>
      <c r="H378" s="153"/>
      <c r="I378" s="153"/>
    </row>
    <row r="379" spans="2:9" ht="15.75" customHeight="1">
      <c r="B379" s="153"/>
      <c r="C379" s="153"/>
      <c r="D379" s="132"/>
      <c r="E379" s="132"/>
      <c r="F379" s="132"/>
      <c r="G379" s="153"/>
      <c r="H379" s="153"/>
      <c r="I379" s="153"/>
    </row>
    <row r="380" spans="2:9" ht="15.75" customHeight="1">
      <c r="B380" s="153"/>
      <c r="C380" s="153"/>
      <c r="D380" s="132"/>
      <c r="E380" s="132"/>
      <c r="F380" s="132"/>
      <c r="G380" s="153"/>
      <c r="H380" s="153"/>
      <c r="I380" s="153"/>
    </row>
    <row r="381" spans="2:9" ht="15.75" customHeight="1">
      <c r="B381" s="153"/>
      <c r="C381" s="153"/>
      <c r="D381" s="132"/>
      <c r="E381" s="132"/>
      <c r="F381" s="132"/>
      <c r="G381" s="153"/>
      <c r="H381" s="153"/>
      <c r="I381" s="153"/>
    </row>
    <row r="382" spans="2:9" ht="15.75" customHeight="1">
      <c r="B382" s="153"/>
      <c r="C382" s="153"/>
      <c r="D382" s="132"/>
      <c r="E382" s="132"/>
      <c r="F382" s="132"/>
      <c r="G382" s="153"/>
      <c r="H382" s="153"/>
      <c r="I382" s="153"/>
    </row>
    <row r="383" spans="2:9" ht="15.75" customHeight="1">
      <c r="B383" s="153"/>
      <c r="C383" s="153"/>
      <c r="D383" s="132"/>
      <c r="E383" s="132"/>
      <c r="F383" s="132"/>
      <c r="G383" s="153"/>
      <c r="H383" s="153"/>
      <c r="I383" s="153"/>
    </row>
    <row r="384" spans="2:9" ht="15.75" customHeight="1">
      <c r="B384" s="153"/>
      <c r="C384" s="153"/>
      <c r="D384" s="132"/>
      <c r="E384" s="132"/>
      <c r="F384" s="132"/>
      <c r="G384" s="153"/>
      <c r="H384" s="153"/>
      <c r="I384" s="153"/>
    </row>
    <row r="385" spans="2:9" ht="15.75" customHeight="1">
      <c r="B385" s="153"/>
      <c r="C385" s="153"/>
      <c r="D385" s="132"/>
      <c r="E385" s="132"/>
      <c r="F385" s="132"/>
      <c r="G385" s="153"/>
      <c r="H385" s="153"/>
      <c r="I385" s="153"/>
    </row>
    <row r="386" spans="2:9" ht="15.75" customHeight="1">
      <c r="B386" s="153"/>
      <c r="C386" s="153"/>
      <c r="D386" s="132"/>
      <c r="E386" s="132"/>
      <c r="F386" s="132"/>
      <c r="G386" s="153"/>
      <c r="H386" s="153"/>
      <c r="I386" s="153"/>
    </row>
    <row r="387" spans="2:9" ht="15.75" customHeight="1">
      <c r="B387" s="153"/>
      <c r="C387" s="153"/>
      <c r="D387" s="132"/>
      <c r="E387" s="132"/>
      <c r="F387" s="132"/>
      <c r="G387" s="153"/>
      <c r="H387" s="153"/>
      <c r="I387" s="153"/>
    </row>
    <row r="388" spans="2:9" ht="15.75" customHeight="1">
      <c r="B388" s="153"/>
      <c r="C388" s="153"/>
      <c r="D388" s="132"/>
      <c r="E388" s="132"/>
      <c r="F388" s="132"/>
      <c r="G388" s="153"/>
      <c r="H388" s="153"/>
      <c r="I388" s="153"/>
    </row>
    <row r="389" spans="2:9" ht="15.75" customHeight="1">
      <c r="B389" s="153"/>
      <c r="C389" s="153"/>
      <c r="D389" s="132"/>
      <c r="E389" s="132"/>
      <c r="F389" s="132"/>
      <c r="G389" s="153"/>
      <c r="H389" s="153"/>
      <c r="I389" s="153"/>
    </row>
    <row r="390" spans="2:9" ht="15.75" customHeight="1">
      <c r="B390" s="153"/>
      <c r="C390" s="153"/>
      <c r="D390" s="132"/>
      <c r="E390" s="132"/>
      <c r="F390" s="132"/>
      <c r="G390" s="153"/>
      <c r="H390" s="153"/>
      <c r="I390" s="153"/>
    </row>
    <row r="391" spans="2:9" ht="15.75" customHeight="1">
      <c r="B391" s="153"/>
      <c r="C391" s="153"/>
      <c r="D391" s="132"/>
      <c r="E391" s="132"/>
      <c r="F391" s="132"/>
      <c r="G391" s="153"/>
      <c r="H391" s="153"/>
      <c r="I391" s="153"/>
    </row>
    <row r="392" spans="2:9" ht="15.75" customHeight="1">
      <c r="B392" s="153"/>
      <c r="C392" s="153"/>
      <c r="D392" s="132"/>
      <c r="E392" s="132"/>
      <c r="F392" s="132"/>
      <c r="G392" s="153"/>
      <c r="H392" s="153"/>
      <c r="I392" s="153"/>
    </row>
    <row r="393" spans="2:9" ht="15.75" customHeight="1">
      <c r="B393" s="153"/>
      <c r="C393" s="153"/>
      <c r="D393" s="132"/>
      <c r="E393" s="132"/>
      <c r="F393" s="132"/>
      <c r="G393" s="153"/>
      <c r="H393" s="153"/>
      <c r="I393" s="153"/>
    </row>
    <row r="394" spans="2:9" ht="15.75" customHeight="1">
      <c r="B394" s="153"/>
      <c r="C394" s="153"/>
      <c r="D394" s="132"/>
      <c r="E394" s="132"/>
      <c r="F394" s="132"/>
      <c r="G394" s="153"/>
      <c r="H394" s="153"/>
      <c r="I394" s="153"/>
    </row>
    <row r="395" spans="2:9" ht="15.75" customHeight="1">
      <c r="B395" s="153"/>
      <c r="C395" s="153"/>
      <c r="D395" s="132"/>
      <c r="E395" s="132"/>
      <c r="F395" s="132"/>
      <c r="G395" s="153"/>
      <c r="H395" s="153"/>
      <c r="I395" s="153"/>
    </row>
    <row r="396" spans="2:9" ht="15.75" customHeight="1">
      <c r="B396" s="153"/>
      <c r="C396" s="153"/>
      <c r="D396" s="132"/>
      <c r="E396" s="132"/>
      <c r="F396" s="132"/>
      <c r="G396" s="153"/>
      <c r="H396" s="153"/>
      <c r="I396" s="153"/>
    </row>
    <row r="397" spans="2:9" ht="15.75" customHeight="1">
      <c r="B397" s="153"/>
      <c r="C397" s="153"/>
      <c r="D397" s="132"/>
      <c r="E397" s="132"/>
      <c r="F397" s="132"/>
      <c r="G397" s="153"/>
      <c r="H397" s="153"/>
      <c r="I397" s="153"/>
    </row>
    <row r="398" spans="2:9" ht="15.75" customHeight="1">
      <c r="B398" s="153"/>
      <c r="C398" s="153"/>
      <c r="D398" s="132"/>
      <c r="E398" s="132"/>
      <c r="F398" s="132"/>
      <c r="G398" s="153"/>
      <c r="H398" s="153"/>
      <c r="I398" s="153"/>
    </row>
    <row r="399" spans="2:9" ht="15.75" customHeight="1">
      <c r="B399" s="153"/>
      <c r="C399" s="153"/>
      <c r="D399" s="132"/>
      <c r="E399" s="132"/>
      <c r="F399" s="132"/>
      <c r="G399" s="153"/>
      <c r="H399" s="153"/>
      <c r="I399" s="153"/>
    </row>
    <row r="400" spans="2:9" ht="15.75" customHeight="1">
      <c r="B400" s="153"/>
      <c r="C400" s="153"/>
      <c r="D400" s="132"/>
      <c r="E400" s="132"/>
      <c r="F400" s="132"/>
      <c r="G400" s="153"/>
      <c r="H400" s="153"/>
      <c r="I400" s="153"/>
    </row>
    <row r="401" spans="2:9" ht="15.75" customHeight="1">
      <c r="B401" s="153"/>
      <c r="C401" s="153"/>
      <c r="D401" s="132"/>
      <c r="E401" s="132"/>
      <c r="F401" s="132"/>
      <c r="G401" s="153"/>
      <c r="H401" s="153"/>
      <c r="I401" s="153"/>
    </row>
    <row r="402" spans="2:9" ht="15.75" customHeight="1">
      <c r="B402" s="153"/>
      <c r="C402" s="153"/>
      <c r="D402" s="132"/>
      <c r="E402" s="132"/>
      <c r="F402" s="132"/>
      <c r="G402" s="153"/>
      <c r="H402" s="153"/>
      <c r="I402" s="153"/>
    </row>
    <row r="403" spans="2:9" ht="15.75" customHeight="1">
      <c r="B403" s="153"/>
      <c r="C403" s="153"/>
      <c r="D403" s="132"/>
      <c r="E403" s="132"/>
      <c r="F403" s="132"/>
      <c r="G403" s="153"/>
      <c r="H403" s="153"/>
      <c r="I403" s="153"/>
    </row>
    <row r="404" spans="2:9" ht="15.75" customHeight="1">
      <c r="B404" s="153"/>
      <c r="C404" s="153"/>
      <c r="D404" s="132"/>
      <c r="E404" s="132"/>
      <c r="F404" s="132"/>
      <c r="G404" s="153"/>
      <c r="H404" s="153"/>
      <c r="I404" s="153"/>
    </row>
    <row r="405" spans="2:9" ht="15.75" customHeight="1">
      <c r="B405" s="153"/>
      <c r="C405" s="153"/>
      <c r="D405" s="132"/>
      <c r="E405" s="132"/>
      <c r="F405" s="132"/>
      <c r="G405" s="153"/>
      <c r="H405" s="153"/>
      <c r="I405" s="153"/>
    </row>
    <row r="406" spans="2:9" ht="15.75" customHeight="1">
      <c r="B406" s="153"/>
      <c r="C406" s="153"/>
      <c r="D406" s="132"/>
      <c r="E406" s="132"/>
      <c r="F406" s="132"/>
      <c r="G406" s="153"/>
      <c r="H406" s="153"/>
      <c r="I406" s="153"/>
    </row>
    <row r="407" spans="2:9" ht="15.75" customHeight="1">
      <c r="B407" s="153"/>
      <c r="C407" s="153"/>
      <c r="D407" s="132"/>
      <c r="E407" s="132"/>
      <c r="F407" s="132"/>
      <c r="G407" s="153"/>
      <c r="H407" s="153"/>
      <c r="I407" s="153"/>
    </row>
    <row r="408" spans="2:9" ht="15.75" customHeight="1">
      <c r="B408" s="153"/>
      <c r="C408" s="153"/>
      <c r="D408" s="132"/>
      <c r="E408" s="132"/>
      <c r="F408" s="132"/>
      <c r="G408" s="153"/>
      <c r="H408" s="153"/>
      <c r="I408" s="153"/>
    </row>
    <row r="409" spans="2:9" ht="15.75" customHeight="1">
      <c r="B409" s="153"/>
      <c r="C409" s="153"/>
      <c r="D409" s="132"/>
      <c r="E409" s="132"/>
      <c r="F409" s="132"/>
      <c r="G409" s="153"/>
      <c r="H409" s="153"/>
      <c r="I409" s="153"/>
    </row>
    <row r="410" spans="2:9" ht="15.75" customHeight="1">
      <c r="B410" s="153"/>
      <c r="C410" s="153"/>
      <c r="D410" s="132"/>
      <c r="E410" s="132"/>
      <c r="F410" s="132"/>
      <c r="G410" s="153"/>
      <c r="H410" s="153"/>
      <c r="I410" s="153"/>
    </row>
    <row r="411" spans="2:9" ht="15.75" customHeight="1">
      <c r="B411" s="153"/>
      <c r="C411" s="153"/>
      <c r="D411" s="132"/>
      <c r="E411" s="132"/>
      <c r="F411" s="132"/>
      <c r="G411" s="153"/>
      <c r="H411" s="153"/>
      <c r="I411" s="153"/>
    </row>
    <row r="412" spans="2:9" ht="15.75" customHeight="1">
      <c r="B412" s="153"/>
      <c r="C412" s="153"/>
      <c r="D412" s="132"/>
      <c r="E412" s="132"/>
      <c r="F412" s="132"/>
      <c r="G412" s="153"/>
      <c r="H412" s="153"/>
      <c r="I412" s="153"/>
    </row>
    <row r="413" spans="2:9" ht="15.75" customHeight="1">
      <c r="B413" s="153"/>
      <c r="C413" s="153"/>
      <c r="D413" s="132"/>
      <c r="E413" s="132"/>
      <c r="F413" s="132"/>
      <c r="G413" s="153"/>
      <c r="H413" s="153"/>
      <c r="I413" s="153"/>
    </row>
    <row r="414" spans="2:9" ht="15.75" customHeight="1">
      <c r="B414" s="153"/>
      <c r="C414" s="153"/>
      <c r="D414" s="132"/>
      <c r="E414" s="132"/>
      <c r="F414" s="132"/>
      <c r="G414" s="153"/>
      <c r="H414" s="153"/>
      <c r="I414" s="153"/>
    </row>
    <row r="415" spans="2:9" ht="15.75" customHeight="1">
      <c r="B415" s="153"/>
      <c r="C415" s="153"/>
      <c r="D415" s="132"/>
      <c r="E415" s="132"/>
      <c r="F415" s="132"/>
      <c r="G415" s="153"/>
      <c r="H415" s="153"/>
      <c r="I415" s="153"/>
    </row>
    <row r="416" spans="2:9" ht="15.75" customHeight="1">
      <c r="B416" s="153"/>
      <c r="C416" s="153"/>
      <c r="D416" s="132"/>
      <c r="E416" s="132"/>
      <c r="F416" s="132"/>
      <c r="G416" s="153"/>
      <c r="H416" s="153"/>
      <c r="I416" s="153"/>
    </row>
    <row r="417" spans="2:9" ht="15.75" customHeight="1">
      <c r="B417" s="153"/>
      <c r="C417" s="153"/>
      <c r="D417" s="132"/>
      <c r="E417" s="132"/>
      <c r="F417" s="132"/>
      <c r="G417" s="153"/>
      <c r="H417" s="153"/>
      <c r="I417" s="153"/>
    </row>
    <row r="418" spans="2:9" ht="15.75" customHeight="1">
      <c r="B418" s="153"/>
      <c r="C418" s="153"/>
      <c r="D418" s="132"/>
      <c r="E418" s="132"/>
      <c r="F418" s="132"/>
      <c r="G418" s="153"/>
      <c r="H418" s="153"/>
      <c r="I418" s="153"/>
    </row>
    <row r="419" spans="2:9" ht="15.75" customHeight="1">
      <c r="B419" s="153"/>
      <c r="C419" s="153"/>
      <c r="D419" s="132"/>
      <c r="E419" s="132"/>
      <c r="F419" s="132"/>
      <c r="G419" s="153"/>
      <c r="H419" s="153"/>
      <c r="I419" s="153"/>
    </row>
    <row r="420" spans="2:9" ht="15.75" customHeight="1">
      <c r="B420" s="153"/>
      <c r="C420" s="153"/>
      <c r="D420" s="132"/>
      <c r="E420" s="132"/>
      <c r="F420" s="132"/>
      <c r="G420" s="153"/>
      <c r="H420" s="153"/>
      <c r="I420" s="153"/>
    </row>
    <row r="421" spans="2:9" ht="15.75" customHeight="1">
      <c r="B421" s="153"/>
      <c r="C421" s="153"/>
      <c r="D421" s="132"/>
      <c r="E421" s="132"/>
      <c r="F421" s="132"/>
      <c r="G421" s="153"/>
      <c r="H421" s="153"/>
      <c r="I421" s="153"/>
    </row>
    <row r="422" spans="2:9" ht="15.75" customHeight="1">
      <c r="B422" s="153"/>
      <c r="C422" s="153"/>
      <c r="D422" s="132"/>
      <c r="E422" s="132"/>
      <c r="F422" s="132"/>
      <c r="G422" s="153"/>
      <c r="H422" s="153"/>
      <c r="I422" s="153"/>
    </row>
    <row r="423" spans="2:9" ht="15.75" customHeight="1">
      <c r="B423" s="153"/>
      <c r="C423" s="153"/>
      <c r="D423" s="132"/>
      <c r="E423" s="132"/>
      <c r="F423" s="132"/>
      <c r="G423" s="153"/>
      <c r="H423" s="153"/>
      <c r="I423" s="153"/>
    </row>
    <row r="424" spans="2:9" ht="15.75" customHeight="1">
      <c r="B424" s="153"/>
      <c r="C424" s="153"/>
      <c r="D424" s="132"/>
      <c r="E424" s="132"/>
      <c r="F424" s="132"/>
      <c r="G424" s="153"/>
      <c r="H424" s="153"/>
      <c r="I424" s="153"/>
    </row>
    <row r="425" spans="2:9" ht="15.75" customHeight="1">
      <c r="B425" s="153"/>
      <c r="C425" s="153"/>
      <c r="D425" s="132"/>
      <c r="E425" s="132"/>
      <c r="F425" s="132"/>
      <c r="G425" s="153"/>
      <c r="H425" s="153"/>
      <c r="I425" s="153"/>
    </row>
    <row r="426" spans="2:9" ht="15.75" customHeight="1">
      <c r="B426" s="153"/>
      <c r="C426" s="153"/>
      <c r="D426" s="132"/>
      <c r="E426" s="132"/>
      <c r="F426" s="132"/>
      <c r="G426" s="153"/>
      <c r="H426" s="153"/>
      <c r="I426" s="153"/>
    </row>
    <row r="427" spans="2:9" ht="15.75" customHeight="1">
      <c r="B427" s="153"/>
      <c r="C427" s="153"/>
      <c r="D427" s="132"/>
      <c r="E427" s="132"/>
      <c r="F427" s="132"/>
      <c r="G427" s="153"/>
      <c r="H427" s="153"/>
      <c r="I427" s="153"/>
    </row>
    <row r="428" spans="2:9" ht="15.75" customHeight="1">
      <c r="B428" s="153"/>
      <c r="C428" s="153"/>
      <c r="D428" s="132"/>
      <c r="E428" s="132"/>
      <c r="F428" s="132"/>
      <c r="G428" s="153"/>
      <c r="H428" s="153"/>
      <c r="I428" s="153"/>
    </row>
    <row r="429" spans="2:9" ht="15.75" customHeight="1">
      <c r="B429" s="153"/>
      <c r="C429" s="153"/>
      <c r="D429" s="132"/>
      <c r="E429" s="132"/>
      <c r="F429" s="132"/>
      <c r="G429" s="153"/>
      <c r="H429" s="153"/>
      <c r="I429" s="153"/>
    </row>
    <row r="430" spans="2:9" ht="15.75" customHeight="1">
      <c r="B430" s="153"/>
      <c r="C430" s="153"/>
      <c r="D430" s="132"/>
      <c r="E430" s="132"/>
      <c r="F430" s="132"/>
      <c r="G430" s="153"/>
      <c r="H430" s="153"/>
      <c r="I430" s="153"/>
    </row>
    <row r="431" spans="2:9" ht="15.75" customHeight="1">
      <c r="B431" s="153"/>
      <c r="C431" s="153"/>
      <c r="D431" s="132"/>
      <c r="E431" s="132"/>
      <c r="F431" s="132"/>
      <c r="G431" s="153"/>
      <c r="H431" s="153"/>
      <c r="I431" s="153"/>
    </row>
    <row r="432" spans="2:9" ht="15.75" customHeight="1">
      <c r="B432" s="153"/>
      <c r="C432" s="153"/>
      <c r="D432" s="132"/>
      <c r="E432" s="132"/>
      <c r="F432" s="132"/>
      <c r="G432" s="153"/>
      <c r="H432" s="153"/>
      <c r="I432" s="153"/>
    </row>
    <row r="433" spans="2:9" ht="15.75" customHeight="1">
      <c r="B433" s="153"/>
      <c r="C433" s="153"/>
      <c r="D433" s="132"/>
      <c r="E433" s="132"/>
      <c r="F433" s="132"/>
      <c r="G433" s="153"/>
      <c r="H433" s="153"/>
      <c r="I433" s="153"/>
    </row>
    <row r="434" spans="2:9" ht="15.75" customHeight="1">
      <c r="B434" s="153"/>
      <c r="C434" s="153"/>
      <c r="D434" s="132"/>
      <c r="E434" s="132"/>
      <c r="F434" s="132"/>
      <c r="G434" s="153"/>
      <c r="H434" s="153"/>
      <c r="I434" s="153"/>
    </row>
    <row r="435" spans="2:9" ht="15.75" customHeight="1">
      <c r="B435" s="153"/>
      <c r="C435" s="153"/>
      <c r="D435" s="132"/>
      <c r="E435" s="132"/>
      <c r="F435" s="132"/>
      <c r="G435" s="153"/>
      <c r="H435" s="153"/>
      <c r="I435" s="153"/>
    </row>
    <row r="436" spans="2:9" ht="15.75" customHeight="1">
      <c r="B436" s="153"/>
      <c r="C436" s="153"/>
      <c r="D436" s="132"/>
      <c r="E436" s="132"/>
      <c r="F436" s="132"/>
      <c r="G436" s="153"/>
      <c r="H436" s="153"/>
      <c r="I436" s="153"/>
    </row>
    <row r="437" spans="2:9" ht="15.75" customHeight="1">
      <c r="B437" s="153"/>
      <c r="C437" s="153"/>
      <c r="D437" s="132"/>
      <c r="E437" s="132"/>
      <c r="F437" s="132"/>
      <c r="G437" s="153"/>
      <c r="H437" s="153"/>
      <c r="I437" s="153"/>
    </row>
    <row r="438" spans="2:9" ht="15.75" customHeight="1">
      <c r="B438" s="153"/>
      <c r="C438" s="153"/>
      <c r="D438" s="132"/>
      <c r="E438" s="132"/>
      <c r="F438" s="132"/>
      <c r="G438" s="153"/>
      <c r="H438" s="153"/>
      <c r="I438" s="153"/>
    </row>
    <row r="439" spans="2:9" ht="15.75" customHeight="1">
      <c r="B439" s="153"/>
      <c r="C439" s="153"/>
      <c r="D439" s="132"/>
      <c r="E439" s="132"/>
      <c r="F439" s="132"/>
      <c r="G439" s="153"/>
      <c r="H439" s="153"/>
      <c r="I439" s="153"/>
    </row>
    <row r="440" spans="2:9" ht="15.75" customHeight="1">
      <c r="B440" s="153"/>
      <c r="C440" s="153"/>
      <c r="D440" s="132"/>
      <c r="E440" s="132"/>
      <c r="F440" s="132"/>
      <c r="G440" s="153"/>
      <c r="H440" s="153"/>
      <c r="I440" s="153"/>
    </row>
    <row r="441" spans="2:9" ht="15.75" customHeight="1">
      <c r="B441" s="153"/>
      <c r="C441" s="153"/>
      <c r="D441" s="132"/>
      <c r="E441" s="132"/>
      <c r="F441" s="132"/>
      <c r="G441" s="153"/>
      <c r="H441" s="153"/>
      <c r="I441" s="153"/>
    </row>
    <row r="442" spans="2:9" ht="15.75" customHeight="1">
      <c r="B442" s="153"/>
      <c r="C442" s="153"/>
      <c r="D442" s="132"/>
      <c r="E442" s="132"/>
      <c r="F442" s="132"/>
      <c r="G442" s="153"/>
      <c r="H442" s="153"/>
      <c r="I442" s="153"/>
    </row>
    <row r="443" spans="2:9" ht="15.75" customHeight="1">
      <c r="B443" s="153"/>
      <c r="C443" s="153"/>
      <c r="D443" s="132"/>
      <c r="E443" s="132"/>
      <c r="F443" s="132"/>
      <c r="G443" s="153"/>
      <c r="H443" s="153"/>
      <c r="I443" s="153"/>
    </row>
    <row r="444" spans="2:9" ht="15.75" customHeight="1">
      <c r="B444" s="153"/>
      <c r="C444" s="153"/>
      <c r="D444" s="132"/>
      <c r="E444" s="132"/>
      <c r="F444" s="132"/>
      <c r="G444" s="153"/>
      <c r="H444" s="153"/>
      <c r="I444" s="153"/>
    </row>
    <row r="445" spans="2:9" ht="15.75" customHeight="1">
      <c r="B445" s="153"/>
      <c r="C445" s="153"/>
      <c r="D445" s="132"/>
      <c r="E445" s="132"/>
      <c r="F445" s="132"/>
      <c r="G445" s="153"/>
      <c r="H445" s="153"/>
      <c r="I445" s="153"/>
    </row>
    <row r="446" spans="2:9" ht="15.75" customHeight="1">
      <c r="B446" s="153"/>
      <c r="C446" s="153"/>
      <c r="D446" s="132"/>
      <c r="E446" s="132"/>
      <c r="F446" s="132"/>
      <c r="G446" s="153"/>
      <c r="H446" s="153"/>
      <c r="I446" s="153"/>
    </row>
    <row r="447" spans="2:9" ht="15.75" customHeight="1">
      <c r="B447" s="153"/>
      <c r="C447" s="153"/>
      <c r="D447" s="132"/>
      <c r="E447" s="132"/>
      <c r="F447" s="132"/>
      <c r="G447" s="153"/>
      <c r="H447" s="153"/>
      <c r="I447" s="153"/>
    </row>
    <row r="448" spans="2:9" ht="15.75" customHeight="1">
      <c r="B448" s="153"/>
      <c r="C448" s="153"/>
      <c r="D448" s="132"/>
      <c r="E448" s="132"/>
      <c r="F448" s="132"/>
      <c r="G448" s="153"/>
      <c r="H448" s="153"/>
      <c r="I448" s="153"/>
    </row>
    <row r="449" spans="2:9" ht="15.75" customHeight="1">
      <c r="B449" s="153"/>
      <c r="C449" s="153"/>
      <c r="D449" s="132"/>
      <c r="E449" s="132"/>
      <c r="F449" s="132"/>
      <c r="G449" s="153"/>
      <c r="H449" s="153"/>
      <c r="I449" s="153"/>
    </row>
    <row r="450" spans="2:9" ht="15.75" customHeight="1">
      <c r="B450" s="153"/>
      <c r="C450" s="153"/>
      <c r="D450" s="132"/>
      <c r="E450" s="132"/>
      <c r="F450" s="132"/>
      <c r="G450" s="153"/>
      <c r="H450" s="153"/>
      <c r="I450" s="153"/>
    </row>
    <row r="451" spans="2:9" ht="15.75" customHeight="1">
      <c r="B451" s="153"/>
      <c r="C451" s="153"/>
      <c r="D451" s="132"/>
      <c r="E451" s="132"/>
      <c r="F451" s="132"/>
      <c r="G451" s="153"/>
      <c r="H451" s="153"/>
      <c r="I451" s="153"/>
    </row>
    <row r="452" spans="2:9" ht="15.75" customHeight="1">
      <c r="B452" s="153"/>
      <c r="C452" s="153"/>
      <c r="D452" s="132"/>
      <c r="E452" s="132"/>
      <c r="F452" s="132"/>
      <c r="G452" s="153"/>
      <c r="H452" s="153"/>
      <c r="I452" s="153"/>
    </row>
    <row r="453" spans="2:9" ht="15.75" customHeight="1">
      <c r="B453" s="153"/>
      <c r="C453" s="153"/>
      <c r="D453" s="132"/>
      <c r="E453" s="132"/>
      <c r="F453" s="132"/>
      <c r="G453" s="153"/>
      <c r="H453" s="153"/>
      <c r="I453" s="153"/>
    </row>
    <row r="454" spans="2:9" ht="15.75" customHeight="1">
      <c r="B454" s="153"/>
      <c r="C454" s="153"/>
      <c r="D454" s="132"/>
      <c r="E454" s="132"/>
      <c r="F454" s="132"/>
      <c r="G454" s="153"/>
      <c r="H454" s="153"/>
      <c r="I454" s="153"/>
    </row>
    <row r="455" spans="2:9" ht="15.75" customHeight="1">
      <c r="B455" s="153"/>
      <c r="C455" s="153"/>
      <c r="D455" s="132"/>
      <c r="E455" s="132"/>
      <c r="F455" s="132"/>
      <c r="G455" s="153"/>
      <c r="H455" s="153"/>
      <c r="I455" s="153"/>
    </row>
    <row r="456" spans="2:9" ht="15.75" customHeight="1">
      <c r="B456" s="153"/>
      <c r="C456" s="153"/>
      <c r="D456" s="132"/>
      <c r="E456" s="132"/>
      <c r="F456" s="132"/>
      <c r="G456" s="153"/>
      <c r="H456" s="153"/>
      <c r="I456" s="153"/>
    </row>
    <row r="457" spans="2:9" ht="15.75" customHeight="1">
      <c r="B457" s="153"/>
      <c r="C457" s="153"/>
      <c r="D457" s="132"/>
      <c r="E457" s="132"/>
      <c r="F457" s="132"/>
      <c r="G457" s="153"/>
      <c r="H457" s="153"/>
      <c r="I457" s="153"/>
    </row>
    <row r="458" spans="2:9" ht="15.75" customHeight="1">
      <c r="B458" s="153"/>
      <c r="C458" s="153"/>
      <c r="D458" s="132"/>
      <c r="E458" s="132"/>
      <c r="F458" s="132"/>
      <c r="G458" s="153"/>
      <c r="H458" s="153"/>
      <c r="I458" s="153"/>
    </row>
    <row r="459" spans="2:9" ht="15.75" customHeight="1">
      <c r="B459" s="153"/>
      <c r="C459" s="153"/>
      <c r="D459" s="132"/>
      <c r="E459" s="132"/>
      <c r="F459" s="132"/>
      <c r="G459" s="153"/>
      <c r="H459" s="153"/>
      <c r="I459" s="153"/>
    </row>
    <row r="460" spans="2:9" ht="15.75" customHeight="1">
      <c r="B460" s="153"/>
      <c r="C460" s="153"/>
      <c r="D460" s="132"/>
      <c r="E460" s="132"/>
      <c r="F460" s="132"/>
      <c r="G460" s="153"/>
      <c r="H460" s="153"/>
      <c r="I460" s="153"/>
    </row>
    <row r="461" spans="2:9" ht="15.75" customHeight="1">
      <c r="B461" s="153"/>
      <c r="C461" s="153"/>
      <c r="D461" s="132"/>
      <c r="E461" s="132"/>
      <c r="F461" s="132"/>
      <c r="G461" s="153"/>
      <c r="H461" s="153"/>
      <c r="I461" s="153"/>
    </row>
    <row r="462" spans="2:9" ht="15.75" customHeight="1">
      <c r="B462" s="153"/>
      <c r="C462" s="153"/>
      <c r="D462" s="132"/>
      <c r="E462" s="132"/>
      <c r="F462" s="132"/>
      <c r="G462" s="153"/>
      <c r="H462" s="153"/>
      <c r="I462" s="153"/>
    </row>
    <row r="463" spans="2:9" ht="15.75" customHeight="1">
      <c r="B463" s="153"/>
      <c r="C463" s="153"/>
      <c r="D463" s="132"/>
      <c r="E463" s="132"/>
      <c r="F463" s="132"/>
      <c r="G463" s="153"/>
      <c r="H463" s="153"/>
      <c r="I463" s="153"/>
    </row>
    <row r="464" spans="2:9" ht="15.75" customHeight="1">
      <c r="B464" s="153"/>
      <c r="C464" s="153"/>
      <c r="D464" s="132"/>
      <c r="E464" s="132"/>
      <c r="F464" s="132"/>
      <c r="G464" s="153"/>
      <c r="H464" s="153"/>
      <c r="I464" s="153"/>
    </row>
    <row r="465" spans="2:9" ht="15.75" customHeight="1">
      <c r="B465" s="153"/>
      <c r="C465" s="153"/>
      <c r="D465" s="132"/>
      <c r="E465" s="132"/>
      <c r="F465" s="132"/>
      <c r="G465" s="153"/>
      <c r="H465" s="153"/>
      <c r="I465" s="153"/>
    </row>
    <row r="466" spans="2:9" ht="15.75" customHeight="1">
      <c r="B466" s="153"/>
      <c r="C466" s="153"/>
      <c r="D466" s="132"/>
      <c r="E466" s="132"/>
      <c r="F466" s="132"/>
      <c r="G466" s="153"/>
      <c r="H466" s="153"/>
      <c r="I466" s="153"/>
    </row>
    <row r="467" spans="2:9" ht="15.75" customHeight="1">
      <c r="B467" s="153"/>
      <c r="C467" s="153"/>
      <c r="D467" s="132"/>
      <c r="E467" s="132"/>
      <c r="F467" s="132"/>
      <c r="G467" s="153"/>
      <c r="H467" s="153"/>
      <c r="I467" s="153"/>
    </row>
    <row r="468" spans="2:9" ht="15.75" customHeight="1">
      <c r="B468" s="153"/>
      <c r="C468" s="153"/>
      <c r="D468" s="132"/>
      <c r="E468" s="132"/>
      <c r="F468" s="132"/>
      <c r="G468" s="153"/>
      <c r="H468" s="153"/>
      <c r="I468" s="153"/>
    </row>
    <row r="469" spans="2:9" ht="15.75" customHeight="1">
      <c r="B469" s="153"/>
      <c r="C469" s="153"/>
      <c r="D469" s="132"/>
      <c r="E469" s="132"/>
      <c r="F469" s="132"/>
      <c r="G469" s="153"/>
      <c r="H469" s="153"/>
      <c r="I469" s="153"/>
    </row>
    <row r="470" spans="2:9" ht="15.75" customHeight="1">
      <c r="B470" s="153"/>
      <c r="C470" s="153"/>
      <c r="D470" s="132"/>
      <c r="E470" s="132"/>
      <c r="F470" s="132"/>
      <c r="G470" s="153"/>
      <c r="H470" s="153"/>
      <c r="I470" s="153"/>
    </row>
    <row r="471" spans="2:9" ht="15.75" customHeight="1">
      <c r="B471" s="153"/>
      <c r="C471" s="153"/>
      <c r="D471" s="132"/>
      <c r="E471" s="132"/>
      <c r="F471" s="132"/>
      <c r="G471" s="153"/>
      <c r="H471" s="153"/>
      <c r="I471" s="153"/>
    </row>
    <row r="472" spans="2:9" ht="15.75" customHeight="1">
      <c r="B472" s="153"/>
      <c r="C472" s="153"/>
      <c r="D472" s="132"/>
      <c r="E472" s="132"/>
      <c r="F472" s="132"/>
      <c r="G472" s="153"/>
      <c r="H472" s="153"/>
      <c r="I472" s="153"/>
    </row>
    <row r="473" spans="2:9" ht="15.75" customHeight="1">
      <c r="B473" s="153"/>
      <c r="C473" s="153"/>
      <c r="D473" s="132"/>
      <c r="E473" s="132"/>
      <c r="F473" s="132"/>
      <c r="G473" s="153"/>
      <c r="H473" s="153"/>
      <c r="I473" s="153"/>
    </row>
    <row r="474" spans="2:9" ht="15.75" customHeight="1">
      <c r="B474" s="153"/>
      <c r="C474" s="153"/>
      <c r="D474" s="132"/>
      <c r="E474" s="132"/>
      <c r="F474" s="132"/>
      <c r="G474" s="153"/>
      <c r="H474" s="153"/>
      <c r="I474" s="153"/>
    </row>
    <row r="475" spans="2:9" ht="15.75" customHeight="1">
      <c r="B475" s="153"/>
      <c r="C475" s="153"/>
      <c r="D475" s="132"/>
      <c r="E475" s="132"/>
      <c r="F475" s="132"/>
      <c r="G475" s="153"/>
      <c r="H475" s="153"/>
      <c r="I475" s="153"/>
    </row>
    <row r="476" spans="2:9" ht="15.75" customHeight="1">
      <c r="B476" s="153"/>
      <c r="C476" s="153"/>
      <c r="D476" s="132"/>
      <c r="E476" s="132"/>
      <c r="F476" s="132"/>
      <c r="G476" s="153"/>
      <c r="H476" s="153"/>
      <c r="I476" s="153"/>
    </row>
    <row r="477" spans="2:9" ht="15.75" customHeight="1">
      <c r="B477" s="153"/>
      <c r="C477" s="153"/>
      <c r="D477" s="132"/>
      <c r="E477" s="132"/>
      <c r="F477" s="132"/>
      <c r="G477" s="153"/>
      <c r="H477" s="153"/>
      <c r="I477" s="153"/>
    </row>
    <row r="478" spans="2:9" ht="15.75" customHeight="1">
      <c r="B478" s="153"/>
      <c r="C478" s="153"/>
      <c r="D478" s="132"/>
      <c r="E478" s="132"/>
      <c r="F478" s="132"/>
      <c r="G478" s="153"/>
      <c r="H478" s="153"/>
      <c r="I478" s="153"/>
    </row>
    <row r="479" spans="2:9" ht="15.75" customHeight="1">
      <c r="B479" s="153"/>
      <c r="C479" s="153"/>
      <c r="D479" s="132"/>
      <c r="E479" s="132"/>
      <c r="F479" s="132"/>
      <c r="G479" s="153"/>
      <c r="H479" s="153"/>
      <c r="I479" s="153"/>
    </row>
    <row r="480" spans="2:9" ht="15.75" customHeight="1">
      <c r="B480" s="153"/>
      <c r="C480" s="153"/>
      <c r="D480" s="132"/>
      <c r="E480" s="132"/>
      <c r="F480" s="132"/>
      <c r="G480" s="153"/>
      <c r="H480" s="153"/>
      <c r="I480" s="153"/>
    </row>
    <row r="481" spans="2:9" ht="15.75" customHeight="1">
      <c r="B481" s="153"/>
      <c r="C481" s="153"/>
      <c r="D481" s="132"/>
      <c r="E481" s="132"/>
      <c r="F481" s="132"/>
      <c r="G481" s="153"/>
      <c r="H481" s="153"/>
      <c r="I481" s="153"/>
    </row>
    <row r="482" spans="2:9" ht="15.75" customHeight="1">
      <c r="B482" s="153"/>
      <c r="C482" s="153"/>
      <c r="D482" s="132"/>
      <c r="E482" s="132"/>
      <c r="F482" s="132"/>
      <c r="G482" s="153"/>
      <c r="H482" s="153"/>
      <c r="I482" s="153"/>
    </row>
    <row r="483" spans="2:9" ht="15.75" customHeight="1">
      <c r="B483" s="153"/>
      <c r="C483" s="153"/>
      <c r="D483" s="132"/>
      <c r="E483" s="132"/>
      <c r="F483" s="132"/>
      <c r="G483" s="153"/>
      <c r="H483" s="153"/>
      <c r="I483" s="153"/>
    </row>
    <row r="484" spans="2:9" ht="15.75" customHeight="1">
      <c r="B484" s="153"/>
      <c r="C484" s="153"/>
      <c r="D484" s="132"/>
      <c r="E484" s="132"/>
      <c r="F484" s="132"/>
      <c r="G484" s="153"/>
      <c r="H484" s="153"/>
      <c r="I484" s="153"/>
    </row>
    <row r="485" spans="2:9" ht="15.75" customHeight="1">
      <c r="B485" s="153"/>
      <c r="C485" s="153"/>
      <c r="D485" s="132"/>
      <c r="E485" s="132"/>
      <c r="F485" s="132"/>
      <c r="G485" s="153"/>
      <c r="H485" s="153"/>
      <c r="I485" s="153"/>
    </row>
    <row r="486" spans="2:9" ht="15.75" customHeight="1">
      <c r="B486" s="153"/>
      <c r="C486" s="153"/>
      <c r="D486" s="132"/>
      <c r="E486" s="132"/>
      <c r="F486" s="132"/>
      <c r="G486" s="153"/>
      <c r="H486" s="153"/>
      <c r="I486" s="153"/>
    </row>
    <row r="487" spans="2:9" ht="15.75" customHeight="1">
      <c r="B487" s="153"/>
      <c r="C487" s="153"/>
      <c r="D487" s="132"/>
      <c r="E487" s="132"/>
      <c r="F487" s="132"/>
      <c r="G487" s="153"/>
      <c r="H487" s="153"/>
      <c r="I487" s="153"/>
    </row>
    <row r="488" spans="2:9" ht="15.75" customHeight="1">
      <c r="B488" s="153"/>
      <c r="C488" s="153"/>
      <c r="D488" s="132"/>
      <c r="E488" s="132"/>
      <c r="F488" s="132"/>
      <c r="G488" s="153"/>
      <c r="H488" s="153"/>
      <c r="I488" s="153"/>
    </row>
    <row r="489" spans="2:9" ht="15.75" customHeight="1">
      <c r="B489" s="153"/>
      <c r="C489" s="153"/>
      <c r="D489" s="132"/>
      <c r="E489" s="132"/>
      <c r="F489" s="132"/>
      <c r="G489" s="153"/>
      <c r="H489" s="153"/>
      <c r="I489" s="153"/>
    </row>
    <row r="490" spans="2:9" ht="15.75" customHeight="1">
      <c r="B490" s="153"/>
      <c r="C490" s="153"/>
      <c r="D490" s="132"/>
      <c r="E490" s="132"/>
      <c r="F490" s="132"/>
      <c r="G490" s="153"/>
      <c r="H490" s="153"/>
      <c r="I490" s="153"/>
    </row>
    <row r="491" spans="2:9" ht="15.75" customHeight="1">
      <c r="B491" s="153"/>
      <c r="C491" s="153"/>
      <c r="D491" s="132"/>
      <c r="E491" s="132"/>
      <c r="F491" s="132"/>
      <c r="G491" s="153"/>
      <c r="H491" s="153"/>
      <c r="I491" s="153"/>
    </row>
    <row r="492" spans="2:9" ht="15.75" customHeight="1">
      <c r="B492" s="153"/>
      <c r="C492" s="153"/>
      <c r="D492" s="132"/>
      <c r="E492" s="132"/>
      <c r="F492" s="132"/>
      <c r="G492" s="153"/>
      <c r="H492" s="153"/>
      <c r="I492" s="153"/>
    </row>
    <row r="493" spans="2:9" ht="15.75" customHeight="1">
      <c r="B493" s="153"/>
      <c r="C493" s="153"/>
      <c r="D493" s="132"/>
      <c r="E493" s="132"/>
      <c r="F493" s="132"/>
      <c r="G493" s="153"/>
      <c r="H493" s="153"/>
      <c r="I493" s="153"/>
    </row>
    <row r="494" spans="2:9" ht="15.75" customHeight="1">
      <c r="B494" s="153"/>
      <c r="C494" s="153"/>
      <c r="D494" s="132"/>
      <c r="E494" s="132"/>
      <c r="F494" s="132"/>
      <c r="G494" s="153"/>
      <c r="H494" s="153"/>
      <c r="I494" s="153"/>
    </row>
    <row r="495" spans="2:9" ht="15.75" customHeight="1">
      <c r="B495" s="153"/>
      <c r="C495" s="153"/>
      <c r="D495" s="132"/>
      <c r="E495" s="132"/>
      <c r="F495" s="132"/>
      <c r="G495" s="153"/>
      <c r="H495" s="153"/>
      <c r="I495" s="153"/>
    </row>
    <row r="496" spans="2:9" ht="15.75" customHeight="1">
      <c r="B496" s="153"/>
      <c r="C496" s="153"/>
      <c r="D496" s="132"/>
      <c r="E496" s="132"/>
      <c r="F496" s="132"/>
      <c r="G496" s="153"/>
      <c r="H496" s="153"/>
      <c r="I496" s="153"/>
    </row>
    <row r="497" spans="2:9" ht="15.75" customHeight="1">
      <c r="B497" s="153"/>
      <c r="C497" s="153"/>
      <c r="D497" s="132"/>
      <c r="E497" s="132"/>
      <c r="F497" s="132"/>
      <c r="G497" s="153"/>
      <c r="H497" s="153"/>
      <c r="I497" s="153"/>
    </row>
    <row r="498" spans="2:9" ht="15.75" customHeight="1">
      <c r="B498" s="153"/>
      <c r="C498" s="153"/>
      <c r="D498" s="132"/>
      <c r="E498" s="132"/>
      <c r="F498" s="132"/>
      <c r="G498" s="153"/>
      <c r="H498" s="153"/>
      <c r="I498" s="153"/>
    </row>
    <row r="499" spans="2:9" ht="15.75" customHeight="1">
      <c r="B499" s="153"/>
      <c r="C499" s="153"/>
      <c r="D499" s="132"/>
      <c r="E499" s="132"/>
      <c r="F499" s="132"/>
      <c r="G499" s="153"/>
      <c r="H499" s="153"/>
      <c r="I499" s="153"/>
    </row>
    <row r="500" spans="2:9" ht="15.75" customHeight="1">
      <c r="B500" s="153"/>
      <c r="C500" s="153"/>
      <c r="D500" s="132"/>
      <c r="E500" s="132"/>
      <c r="F500" s="132"/>
      <c r="G500" s="153"/>
      <c r="H500" s="153"/>
      <c r="I500" s="153"/>
    </row>
    <row r="501" spans="2:9" ht="15.75" customHeight="1">
      <c r="B501" s="153"/>
      <c r="C501" s="153"/>
      <c r="D501" s="132"/>
      <c r="E501" s="132"/>
      <c r="F501" s="132"/>
      <c r="G501" s="153"/>
      <c r="H501" s="153"/>
      <c r="I501" s="153"/>
    </row>
    <row r="502" spans="2:9" ht="15.75" customHeight="1">
      <c r="B502" s="153"/>
      <c r="C502" s="153"/>
      <c r="D502" s="132"/>
      <c r="E502" s="132"/>
      <c r="F502" s="132"/>
      <c r="G502" s="153"/>
      <c r="H502" s="153"/>
      <c r="I502" s="153"/>
    </row>
    <row r="503" spans="2:9" ht="15.75" customHeight="1">
      <c r="B503" s="153"/>
      <c r="C503" s="153"/>
      <c r="D503" s="132"/>
      <c r="E503" s="132"/>
      <c r="F503" s="132"/>
      <c r="G503" s="153"/>
      <c r="H503" s="153"/>
      <c r="I503" s="153"/>
    </row>
    <row r="504" spans="2:9" ht="15.75" customHeight="1">
      <c r="B504" s="153"/>
      <c r="C504" s="153"/>
      <c r="D504" s="132"/>
      <c r="E504" s="132"/>
      <c r="F504" s="132"/>
      <c r="G504" s="153"/>
      <c r="H504" s="153"/>
      <c r="I504" s="153"/>
    </row>
    <row r="505" spans="2:9" ht="15.75" customHeight="1">
      <c r="B505" s="153"/>
      <c r="C505" s="153"/>
      <c r="D505" s="132"/>
      <c r="E505" s="132"/>
      <c r="F505" s="132"/>
      <c r="G505" s="153"/>
      <c r="H505" s="153"/>
      <c r="I505" s="153"/>
    </row>
    <row r="506" spans="2:9" ht="15.75" customHeight="1">
      <c r="B506" s="153"/>
      <c r="C506" s="153"/>
      <c r="D506" s="132"/>
      <c r="E506" s="132"/>
      <c r="F506" s="132"/>
      <c r="G506" s="153"/>
      <c r="H506" s="153"/>
      <c r="I506" s="153"/>
    </row>
    <row r="507" spans="2:9" ht="15.75" customHeight="1">
      <c r="B507" s="153"/>
      <c r="C507" s="153"/>
      <c r="D507" s="132"/>
      <c r="E507" s="132"/>
      <c r="F507" s="132"/>
      <c r="G507" s="153"/>
      <c r="H507" s="153"/>
      <c r="I507" s="153"/>
    </row>
    <row r="508" spans="2:9" ht="15.75" customHeight="1">
      <c r="B508" s="153"/>
      <c r="C508" s="153"/>
      <c r="D508" s="132"/>
      <c r="E508" s="132"/>
      <c r="F508" s="132"/>
      <c r="G508" s="153"/>
      <c r="H508" s="153"/>
      <c r="I508" s="153"/>
    </row>
    <row r="509" spans="2:9" ht="15.75" customHeight="1">
      <c r="B509" s="153"/>
      <c r="C509" s="153"/>
      <c r="D509" s="132"/>
      <c r="E509" s="132"/>
      <c r="F509" s="132"/>
      <c r="G509" s="153"/>
      <c r="H509" s="153"/>
      <c r="I509" s="153"/>
    </row>
    <row r="510" spans="2:9" ht="15.75" customHeight="1">
      <c r="B510" s="153"/>
      <c r="C510" s="153"/>
      <c r="D510" s="132"/>
      <c r="E510" s="132"/>
      <c r="F510" s="132"/>
      <c r="G510" s="153"/>
      <c r="H510" s="153"/>
      <c r="I510" s="153"/>
    </row>
    <row r="511" spans="2:9" ht="15.75" customHeight="1">
      <c r="B511" s="153"/>
      <c r="C511" s="153"/>
      <c r="D511" s="132"/>
      <c r="E511" s="132"/>
      <c r="F511" s="132"/>
      <c r="G511" s="153"/>
      <c r="H511" s="153"/>
      <c r="I511" s="153"/>
    </row>
    <row r="512" spans="2:9" ht="15.75" customHeight="1">
      <c r="B512" s="153"/>
      <c r="C512" s="153"/>
      <c r="D512" s="132"/>
      <c r="E512" s="132"/>
      <c r="F512" s="132"/>
      <c r="G512" s="153"/>
      <c r="H512" s="153"/>
      <c r="I512" s="153"/>
    </row>
    <row r="513" spans="2:9" ht="15.75" customHeight="1">
      <c r="B513" s="153"/>
      <c r="C513" s="153"/>
      <c r="D513" s="132"/>
      <c r="E513" s="132"/>
      <c r="F513" s="132"/>
      <c r="G513" s="153"/>
      <c r="H513" s="153"/>
      <c r="I513" s="153"/>
    </row>
    <row r="514" spans="2:9" ht="15.75" customHeight="1">
      <c r="B514" s="153"/>
      <c r="C514" s="153"/>
      <c r="D514" s="132"/>
      <c r="E514" s="132"/>
      <c r="F514" s="132"/>
      <c r="G514" s="153"/>
      <c r="H514" s="153"/>
      <c r="I514" s="153"/>
    </row>
    <row r="515" spans="2:9" ht="15.75" customHeight="1">
      <c r="B515" s="153"/>
      <c r="C515" s="153"/>
      <c r="D515" s="132"/>
      <c r="E515" s="132"/>
      <c r="F515" s="132"/>
      <c r="G515" s="153"/>
      <c r="H515" s="153"/>
      <c r="I515" s="153"/>
    </row>
    <row r="516" spans="2:9" ht="15.75" customHeight="1">
      <c r="B516" s="153"/>
      <c r="C516" s="153"/>
      <c r="D516" s="132"/>
      <c r="E516" s="132"/>
      <c r="F516" s="132"/>
      <c r="G516" s="153"/>
      <c r="H516" s="153"/>
      <c r="I516" s="153"/>
    </row>
    <row r="517" spans="2:9" ht="15.75" customHeight="1">
      <c r="B517" s="153"/>
      <c r="C517" s="153"/>
      <c r="D517" s="132"/>
      <c r="E517" s="132"/>
      <c r="F517" s="132"/>
      <c r="G517" s="153"/>
      <c r="H517" s="153"/>
      <c r="I517" s="153"/>
    </row>
    <row r="518" spans="2:9" ht="15.75" customHeight="1">
      <c r="B518" s="153"/>
      <c r="C518" s="153"/>
      <c r="D518" s="132"/>
      <c r="E518" s="132"/>
      <c r="F518" s="132"/>
      <c r="G518" s="153"/>
      <c r="H518" s="153"/>
      <c r="I518" s="153"/>
    </row>
    <row r="519" spans="2:9" ht="15.75" customHeight="1">
      <c r="B519" s="153"/>
      <c r="C519" s="153"/>
      <c r="D519" s="132"/>
      <c r="E519" s="132"/>
      <c r="F519" s="132"/>
      <c r="G519" s="153"/>
      <c r="H519" s="153"/>
      <c r="I519" s="153"/>
    </row>
    <row r="520" spans="2:9" ht="15.75" customHeight="1">
      <c r="B520" s="153"/>
      <c r="C520" s="153"/>
      <c r="D520" s="132"/>
      <c r="E520" s="132"/>
      <c r="F520" s="132"/>
      <c r="G520" s="153"/>
      <c r="H520" s="153"/>
      <c r="I520" s="153"/>
    </row>
    <row r="521" spans="2:9" ht="15.75" customHeight="1">
      <c r="B521" s="153"/>
      <c r="C521" s="153"/>
      <c r="D521" s="132"/>
      <c r="E521" s="132"/>
      <c r="F521" s="132"/>
      <c r="G521" s="153"/>
      <c r="H521" s="153"/>
      <c r="I521" s="153"/>
    </row>
    <row r="522" spans="2:9" ht="15.75" customHeight="1">
      <c r="B522" s="153"/>
      <c r="C522" s="153"/>
      <c r="D522" s="132"/>
      <c r="E522" s="132"/>
      <c r="F522" s="132"/>
      <c r="G522" s="153"/>
      <c r="H522" s="153"/>
      <c r="I522" s="153"/>
    </row>
    <row r="523" spans="2:9" ht="15.75" customHeight="1">
      <c r="B523" s="153"/>
      <c r="C523" s="153"/>
      <c r="D523" s="132"/>
      <c r="E523" s="132"/>
      <c r="F523" s="132"/>
      <c r="G523" s="153"/>
      <c r="H523" s="153"/>
      <c r="I523" s="153"/>
    </row>
    <row r="524" spans="2:9" ht="15.75" customHeight="1">
      <c r="B524" s="153"/>
      <c r="C524" s="153"/>
      <c r="D524" s="132"/>
      <c r="E524" s="132"/>
      <c r="F524" s="132"/>
      <c r="G524" s="153"/>
      <c r="H524" s="153"/>
      <c r="I524" s="153"/>
    </row>
    <row r="525" spans="2:9" ht="15.75" customHeight="1">
      <c r="B525" s="153"/>
      <c r="C525" s="153"/>
      <c r="D525" s="132"/>
      <c r="E525" s="132"/>
      <c r="F525" s="132"/>
      <c r="G525" s="153"/>
      <c r="H525" s="153"/>
      <c r="I525" s="153"/>
    </row>
    <row r="526" spans="2:9" ht="15.75" customHeight="1">
      <c r="B526" s="153"/>
      <c r="C526" s="153"/>
      <c r="D526" s="132"/>
      <c r="E526" s="132"/>
      <c r="F526" s="132"/>
      <c r="G526" s="153"/>
      <c r="H526" s="153"/>
      <c r="I526" s="153"/>
    </row>
    <row r="527" spans="2:9" ht="15.75" customHeight="1">
      <c r="B527" s="153"/>
      <c r="C527" s="153"/>
      <c r="D527" s="132"/>
      <c r="E527" s="132"/>
      <c r="F527" s="132"/>
      <c r="G527" s="153"/>
      <c r="H527" s="153"/>
      <c r="I527" s="153"/>
    </row>
    <row r="528" spans="2:9" ht="15.75" customHeight="1">
      <c r="B528" s="153"/>
      <c r="C528" s="153"/>
      <c r="D528" s="132"/>
      <c r="E528" s="132"/>
      <c r="F528" s="132"/>
      <c r="G528" s="153"/>
      <c r="H528" s="153"/>
      <c r="I528" s="153"/>
    </row>
    <row r="529" spans="2:9" ht="15.75" customHeight="1">
      <c r="B529" s="153"/>
      <c r="C529" s="153"/>
      <c r="D529" s="132"/>
      <c r="E529" s="132"/>
      <c r="F529" s="132"/>
      <c r="G529" s="153"/>
      <c r="H529" s="153"/>
      <c r="I529" s="153"/>
    </row>
    <row r="530" spans="2:9" ht="15.75" customHeight="1">
      <c r="B530" s="153"/>
      <c r="C530" s="153"/>
      <c r="D530" s="132"/>
      <c r="E530" s="132"/>
      <c r="F530" s="132"/>
      <c r="G530" s="153"/>
      <c r="H530" s="153"/>
      <c r="I530" s="153"/>
    </row>
    <row r="531" spans="2:9" ht="15.75" customHeight="1">
      <c r="B531" s="153"/>
      <c r="C531" s="153"/>
      <c r="D531" s="132"/>
      <c r="E531" s="132"/>
      <c r="F531" s="132"/>
      <c r="G531" s="153"/>
      <c r="H531" s="153"/>
      <c r="I531" s="153"/>
    </row>
    <row r="532" spans="2:9" ht="15.75" customHeight="1">
      <c r="B532" s="153"/>
      <c r="C532" s="153"/>
      <c r="D532" s="132"/>
      <c r="E532" s="132"/>
      <c r="F532" s="132"/>
      <c r="G532" s="153"/>
      <c r="H532" s="153"/>
      <c r="I532" s="153"/>
    </row>
    <row r="533" spans="2:9" ht="15.75" customHeight="1">
      <c r="B533" s="153"/>
      <c r="C533" s="153"/>
      <c r="D533" s="132"/>
      <c r="E533" s="132"/>
      <c r="F533" s="132"/>
      <c r="G533" s="153"/>
      <c r="H533" s="153"/>
      <c r="I533" s="153"/>
    </row>
    <row r="534" spans="2:9" ht="15.75" customHeight="1">
      <c r="B534" s="153"/>
      <c r="C534" s="153"/>
      <c r="D534" s="132"/>
      <c r="E534" s="132"/>
      <c r="F534" s="132"/>
      <c r="G534" s="153"/>
      <c r="H534" s="153"/>
      <c r="I534" s="153"/>
    </row>
    <row r="535" spans="2:9" ht="15.75" customHeight="1">
      <c r="B535" s="153"/>
      <c r="C535" s="153"/>
      <c r="D535" s="132"/>
      <c r="E535" s="132"/>
      <c r="F535" s="132"/>
      <c r="G535" s="153"/>
      <c r="H535" s="153"/>
      <c r="I535" s="153"/>
    </row>
    <row r="536" spans="2:9" ht="15.75" customHeight="1">
      <c r="B536" s="153"/>
      <c r="C536" s="153"/>
      <c r="D536" s="132"/>
      <c r="E536" s="132"/>
      <c r="F536" s="132"/>
      <c r="G536" s="153"/>
      <c r="H536" s="153"/>
      <c r="I536" s="153"/>
    </row>
    <row r="537" spans="2:9" ht="15.75" customHeight="1">
      <c r="B537" s="153"/>
      <c r="C537" s="153"/>
      <c r="D537" s="132"/>
      <c r="E537" s="132"/>
      <c r="F537" s="132"/>
      <c r="G537" s="153"/>
      <c r="H537" s="153"/>
      <c r="I537" s="153"/>
    </row>
    <row r="538" spans="2:9" ht="15.75" customHeight="1">
      <c r="B538" s="153"/>
      <c r="C538" s="153"/>
      <c r="D538" s="132"/>
      <c r="E538" s="132"/>
      <c r="F538" s="132"/>
      <c r="G538" s="153"/>
      <c r="H538" s="153"/>
      <c r="I538" s="153"/>
    </row>
    <row r="539" spans="2:9" ht="15.75" customHeight="1">
      <c r="B539" s="153"/>
      <c r="C539" s="153"/>
      <c r="D539" s="132"/>
      <c r="E539" s="132"/>
      <c r="F539" s="132"/>
      <c r="G539" s="153"/>
      <c r="H539" s="153"/>
      <c r="I539" s="153"/>
    </row>
    <row r="540" spans="2:9" ht="15.75" customHeight="1">
      <c r="B540" s="153"/>
      <c r="C540" s="153"/>
      <c r="D540" s="132"/>
      <c r="E540" s="132"/>
      <c r="F540" s="132"/>
      <c r="G540" s="153"/>
      <c r="H540" s="153"/>
      <c r="I540" s="153"/>
    </row>
    <row r="541" spans="2:9" ht="15.75" customHeight="1">
      <c r="B541" s="153"/>
      <c r="C541" s="153"/>
      <c r="D541" s="132"/>
      <c r="E541" s="132"/>
      <c r="F541" s="132"/>
      <c r="G541" s="153"/>
      <c r="H541" s="153"/>
      <c r="I541" s="153"/>
    </row>
    <row r="542" spans="2:9" ht="15.75" customHeight="1">
      <c r="B542" s="153"/>
      <c r="C542" s="153"/>
      <c r="D542" s="132"/>
      <c r="E542" s="132"/>
      <c r="F542" s="132"/>
      <c r="G542" s="153"/>
      <c r="H542" s="153"/>
      <c r="I542" s="153"/>
    </row>
    <row r="543" spans="2:9" ht="15.75" customHeight="1">
      <c r="B543" s="153"/>
      <c r="C543" s="153"/>
      <c r="D543" s="132"/>
      <c r="E543" s="132"/>
      <c r="F543" s="132"/>
      <c r="G543" s="153"/>
      <c r="H543" s="153"/>
      <c r="I543" s="153"/>
    </row>
    <row r="544" spans="2:9" ht="15.75" customHeight="1">
      <c r="B544" s="153"/>
      <c r="C544" s="153"/>
      <c r="D544" s="132"/>
      <c r="E544" s="132"/>
      <c r="F544" s="132"/>
      <c r="G544" s="153"/>
      <c r="H544" s="153"/>
      <c r="I544" s="153"/>
    </row>
    <row r="545" spans="2:9" ht="15.75" customHeight="1">
      <c r="B545" s="153"/>
      <c r="C545" s="153"/>
      <c r="D545" s="132"/>
      <c r="E545" s="132"/>
      <c r="F545" s="132"/>
      <c r="G545" s="153"/>
      <c r="H545" s="153"/>
      <c r="I545" s="153"/>
    </row>
    <row r="546" spans="2:9" ht="15.75" customHeight="1">
      <c r="B546" s="153"/>
      <c r="C546" s="153"/>
      <c r="D546" s="132"/>
      <c r="E546" s="132"/>
      <c r="F546" s="132"/>
      <c r="G546" s="153"/>
      <c r="H546" s="153"/>
      <c r="I546" s="153"/>
    </row>
    <row r="547" spans="2:9" ht="15.75" customHeight="1">
      <c r="B547" s="153"/>
      <c r="C547" s="153"/>
      <c r="D547" s="132"/>
      <c r="E547" s="132"/>
      <c r="F547" s="132"/>
      <c r="G547" s="153"/>
      <c r="H547" s="153"/>
      <c r="I547" s="153"/>
    </row>
    <row r="548" spans="2:9" ht="15.75" customHeight="1">
      <c r="B548" s="153"/>
      <c r="C548" s="153"/>
      <c r="D548" s="132"/>
      <c r="E548" s="132"/>
      <c r="F548" s="132"/>
      <c r="G548" s="153"/>
      <c r="H548" s="153"/>
      <c r="I548" s="153"/>
    </row>
    <row r="549" spans="2:9" ht="15.75" customHeight="1">
      <c r="B549" s="153"/>
      <c r="C549" s="153"/>
      <c r="D549" s="132"/>
      <c r="E549" s="132"/>
      <c r="F549" s="132"/>
      <c r="G549" s="153"/>
      <c r="H549" s="153"/>
      <c r="I549" s="153"/>
    </row>
    <row r="550" spans="2:9" ht="15.75" customHeight="1">
      <c r="B550" s="153"/>
      <c r="C550" s="153"/>
      <c r="D550" s="132"/>
      <c r="E550" s="132"/>
      <c r="F550" s="132"/>
      <c r="G550" s="153"/>
      <c r="H550" s="153"/>
      <c r="I550" s="153"/>
    </row>
    <row r="551" spans="2:9" ht="15.75" customHeight="1">
      <c r="B551" s="153"/>
      <c r="C551" s="153"/>
      <c r="D551" s="132"/>
      <c r="E551" s="132"/>
      <c r="F551" s="132"/>
      <c r="G551" s="153"/>
      <c r="H551" s="153"/>
      <c r="I551" s="153"/>
    </row>
    <row r="552" spans="2:9" ht="15.75" customHeight="1">
      <c r="B552" s="153"/>
      <c r="C552" s="153"/>
      <c r="D552" s="132"/>
      <c r="E552" s="132"/>
      <c r="F552" s="132"/>
      <c r="G552" s="153"/>
      <c r="H552" s="153"/>
      <c r="I552" s="153"/>
    </row>
    <row r="553" spans="2:9" ht="15.75" customHeight="1">
      <c r="B553" s="153"/>
      <c r="C553" s="153"/>
      <c r="D553" s="132"/>
      <c r="E553" s="132"/>
      <c r="F553" s="132"/>
      <c r="G553" s="153"/>
      <c r="H553" s="153"/>
      <c r="I553" s="153"/>
    </row>
    <row r="554" spans="2:9" ht="15.75" customHeight="1">
      <c r="B554" s="153"/>
      <c r="C554" s="153"/>
      <c r="D554" s="132"/>
      <c r="E554" s="132"/>
      <c r="F554" s="132"/>
      <c r="G554" s="153"/>
      <c r="H554" s="153"/>
      <c r="I554" s="153"/>
    </row>
    <row r="555" spans="2:9" ht="15.75" customHeight="1">
      <c r="B555" s="153"/>
      <c r="C555" s="153"/>
      <c r="D555" s="132"/>
      <c r="E555" s="132"/>
      <c r="F555" s="132"/>
      <c r="G555" s="153"/>
      <c r="H555" s="153"/>
      <c r="I555" s="153"/>
    </row>
    <row r="556" spans="2:9" ht="15.75" customHeight="1">
      <c r="B556" s="153"/>
      <c r="C556" s="153"/>
      <c r="D556" s="132"/>
      <c r="E556" s="132"/>
      <c r="F556" s="132"/>
      <c r="G556" s="153"/>
      <c r="H556" s="153"/>
      <c r="I556" s="153"/>
    </row>
    <row r="557" spans="2:9" ht="15.75" customHeight="1">
      <c r="B557" s="153"/>
      <c r="C557" s="153"/>
      <c r="D557" s="132"/>
      <c r="E557" s="132"/>
      <c r="F557" s="132"/>
      <c r="G557" s="153"/>
      <c r="H557" s="153"/>
      <c r="I557" s="153"/>
    </row>
    <row r="558" spans="2:9" ht="15.75" customHeight="1">
      <c r="B558" s="153"/>
      <c r="C558" s="153"/>
      <c r="D558" s="132"/>
      <c r="E558" s="132"/>
      <c r="F558" s="132"/>
      <c r="G558" s="153"/>
      <c r="H558" s="153"/>
      <c r="I558" s="153"/>
    </row>
    <row r="559" spans="2:9" ht="15.75" customHeight="1">
      <c r="B559" s="153"/>
      <c r="C559" s="153"/>
      <c r="D559" s="132"/>
      <c r="E559" s="132"/>
      <c r="F559" s="132"/>
      <c r="G559" s="153"/>
      <c r="H559" s="153"/>
      <c r="I559" s="153"/>
    </row>
    <row r="560" spans="2:9" ht="15.75" customHeight="1">
      <c r="B560" s="153"/>
      <c r="C560" s="153"/>
      <c r="D560" s="132"/>
      <c r="E560" s="132"/>
      <c r="F560" s="132"/>
      <c r="G560" s="153"/>
      <c r="H560" s="153"/>
      <c r="I560" s="153"/>
    </row>
    <row r="561" spans="2:9" ht="15.75" customHeight="1">
      <c r="B561" s="153"/>
      <c r="C561" s="153"/>
      <c r="D561" s="132"/>
      <c r="E561" s="132"/>
      <c r="F561" s="132"/>
      <c r="G561" s="153"/>
      <c r="H561" s="153"/>
      <c r="I561" s="153"/>
    </row>
    <row r="562" spans="2:9" ht="15.75" customHeight="1">
      <c r="B562" s="153"/>
      <c r="C562" s="153"/>
      <c r="D562" s="132"/>
      <c r="E562" s="132"/>
      <c r="F562" s="132"/>
      <c r="G562" s="153"/>
      <c r="H562" s="153"/>
      <c r="I562" s="153"/>
    </row>
    <row r="563" spans="2:9" ht="15.75" customHeight="1">
      <c r="B563" s="153"/>
      <c r="C563" s="153"/>
      <c r="D563" s="132"/>
      <c r="E563" s="132"/>
      <c r="F563" s="132"/>
      <c r="G563" s="153"/>
      <c r="H563" s="153"/>
      <c r="I563" s="153"/>
    </row>
    <row r="564" spans="2:9" ht="15.75" customHeight="1">
      <c r="B564" s="153"/>
      <c r="C564" s="153"/>
      <c r="D564" s="132"/>
      <c r="E564" s="132"/>
      <c r="F564" s="132"/>
      <c r="G564" s="153"/>
      <c r="H564" s="153"/>
      <c r="I564" s="153"/>
    </row>
    <row r="565" spans="2:9" ht="15.75" customHeight="1">
      <c r="B565" s="153"/>
      <c r="C565" s="153"/>
      <c r="D565" s="132"/>
      <c r="E565" s="132"/>
      <c r="F565" s="132"/>
      <c r="G565" s="153"/>
      <c r="H565" s="153"/>
      <c r="I565" s="153"/>
    </row>
    <row r="566" spans="2:9" ht="15.75" customHeight="1">
      <c r="B566" s="153"/>
      <c r="C566" s="153"/>
      <c r="D566" s="132"/>
      <c r="E566" s="132"/>
      <c r="F566" s="132"/>
      <c r="G566" s="153"/>
      <c r="H566" s="153"/>
      <c r="I566" s="153"/>
    </row>
    <row r="567" spans="2:9" ht="15.75" customHeight="1">
      <c r="B567" s="153"/>
      <c r="C567" s="153"/>
      <c r="D567" s="132"/>
      <c r="E567" s="132"/>
      <c r="F567" s="132"/>
      <c r="G567" s="153"/>
      <c r="H567" s="153"/>
      <c r="I567" s="153"/>
    </row>
    <row r="568" spans="2:9" ht="15.75" customHeight="1">
      <c r="B568" s="153"/>
      <c r="C568" s="153"/>
      <c r="D568" s="132"/>
      <c r="E568" s="132"/>
      <c r="F568" s="132"/>
      <c r="G568" s="153"/>
      <c r="H568" s="153"/>
      <c r="I568" s="153"/>
    </row>
    <row r="569" spans="2:9" ht="15.75" customHeight="1">
      <c r="B569" s="153"/>
      <c r="C569" s="153"/>
      <c r="D569" s="132"/>
      <c r="E569" s="132"/>
      <c r="F569" s="132"/>
      <c r="G569" s="153"/>
      <c r="H569" s="153"/>
      <c r="I569" s="153"/>
    </row>
    <row r="570" spans="2:9" ht="15.75" customHeight="1">
      <c r="B570" s="153"/>
      <c r="C570" s="153"/>
      <c r="D570" s="132"/>
      <c r="E570" s="132"/>
      <c r="F570" s="132"/>
      <c r="G570" s="153"/>
      <c r="H570" s="153"/>
      <c r="I570" s="153"/>
    </row>
    <row r="571" spans="2:9" ht="15.75" customHeight="1">
      <c r="B571" s="153"/>
      <c r="C571" s="153"/>
      <c r="D571" s="132"/>
      <c r="E571" s="132"/>
      <c r="F571" s="132"/>
      <c r="G571" s="153"/>
      <c r="H571" s="153"/>
      <c r="I571" s="153"/>
    </row>
    <row r="572" spans="2:9" ht="15.75" customHeight="1">
      <c r="B572" s="153"/>
      <c r="C572" s="153"/>
      <c r="D572" s="132"/>
      <c r="E572" s="132"/>
      <c r="F572" s="132"/>
      <c r="G572" s="153"/>
      <c r="H572" s="153"/>
      <c r="I572" s="153"/>
    </row>
    <row r="573" spans="2:9" ht="15.75" customHeight="1">
      <c r="B573" s="153"/>
      <c r="C573" s="153"/>
      <c r="D573" s="132"/>
      <c r="E573" s="132"/>
      <c r="F573" s="132"/>
      <c r="G573" s="153"/>
      <c r="H573" s="153"/>
      <c r="I573" s="153"/>
    </row>
    <row r="574" spans="2:9" ht="15.75" customHeight="1">
      <c r="B574" s="153"/>
      <c r="C574" s="153"/>
      <c r="D574" s="132"/>
      <c r="E574" s="132"/>
      <c r="F574" s="132"/>
      <c r="G574" s="153"/>
      <c r="H574" s="153"/>
      <c r="I574" s="153"/>
    </row>
    <row r="575" spans="2:9" ht="15.75" customHeight="1">
      <c r="B575" s="153"/>
      <c r="C575" s="153"/>
      <c r="D575" s="132"/>
      <c r="E575" s="132"/>
      <c r="F575" s="132"/>
      <c r="G575" s="153"/>
      <c r="H575" s="153"/>
      <c r="I575" s="153"/>
    </row>
    <row r="576" spans="2:9" ht="15.75" customHeight="1">
      <c r="B576" s="153"/>
      <c r="C576" s="153"/>
      <c r="D576" s="132"/>
      <c r="E576" s="132"/>
      <c r="F576" s="132"/>
      <c r="G576" s="153"/>
      <c r="H576" s="153"/>
      <c r="I576" s="153"/>
    </row>
    <row r="577" spans="2:9" ht="15.75" customHeight="1">
      <c r="B577" s="153"/>
      <c r="C577" s="153"/>
      <c r="D577" s="132"/>
      <c r="E577" s="132"/>
      <c r="F577" s="132"/>
      <c r="G577" s="153"/>
      <c r="H577" s="153"/>
      <c r="I577" s="153"/>
    </row>
    <row r="578" spans="2:9" ht="15.75" customHeight="1">
      <c r="B578" s="153"/>
      <c r="C578" s="153"/>
      <c r="D578" s="132"/>
      <c r="E578" s="132"/>
      <c r="F578" s="132"/>
      <c r="G578" s="153"/>
      <c r="H578" s="153"/>
      <c r="I578" s="153"/>
    </row>
    <row r="579" spans="2:9" ht="15.75" customHeight="1">
      <c r="B579" s="153"/>
      <c r="C579" s="153"/>
      <c r="D579" s="132"/>
      <c r="E579" s="132"/>
      <c r="F579" s="132"/>
      <c r="G579" s="153"/>
      <c r="H579" s="153"/>
      <c r="I579" s="153"/>
    </row>
    <row r="580" spans="2:9" ht="15.75" customHeight="1">
      <c r="B580" s="153"/>
      <c r="C580" s="153"/>
      <c r="D580" s="132"/>
      <c r="E580" s="132"/>
      <c r="F580" s="132"/>
      <c r="G580" s="153"/>
      <c r="H580" s="153"/>
      <c r="I580" s="153"/>
    </row>
    <row r="581" spans="2:9" ht="15.75" customHeight="1">
      <c r="B581" s="153"/>
      <c r="C581" s="153"/>
      <c r="D581" s="132"/>
      <c r="E581" s="132"/>
      <c r="F581" s="132"/>
      <c r="G581" s="153"/>
      <c r="H581" s="153"/>
      <c r="I581" s="153"/>
    </row>
    <row r="582" spans="2:9" ht="15.75" customHeight="1">
      <c r="B582" s="153"/>
      <c r="C582" s="153"/>
      <c r="D582" s="132"/>
      <c r="E582" s="132"/>
      <c r="F582" s="132"/>
      <c r="G582" s="153"/>
      <c r="H582" s="153"/>
      <c r="I582" s="153"/>
    </row>
    <row r="583" spans="2:9" ht="15.75" customHeight="1">
      <c r="B583" s="153"/>
      <c r="C583" s="153"/>
      <c r="D583" s="132"/>
      <c r="E583" s="132"/>
      <c r="F583" s="132"/>
      <c r="G583" s="153"/>
      <c r="H583" s="153"/>
      <c r="I583" s="153"/>
    </row>
    <row r="584" spans="2:9" ht="15.75" customHeight="1">
      <c r="B584" s="153"/>
      <c r="C584" s="153"/>
      <c r="D584" s="132"/>
      <c r="E584" s="132"/>
      <c r="F584" s="132"/>
      <c r="G584" s="153"/>
      <c r="H584" s="153"/>
      <c r="I584" s="153"/>
    </row>
    <row r="585" spans="2:9" ht="15.75" customHeight="1">
      <c r="B585" s="153"/>
      <c r="C585" s="153"/>
      <c r="D585" s="132"/>
      <c r="E585" s="132"/>
      <c r="F585" s="132"/>
      <c r="G585" s="153"/>
      <c r="H585" s="153"/>
      <c r="I585" s="153"/>
    </row>
    <row r="586" spans="2:9" ht="15.75" customHeight="1">
      <c r="B586" s="153"/>
      <c r="C586" s="153"/>
      <c r="D586" s="132"/>
      <c r="E586" s="132"/>
      <c r="F586" s="132"/>
      <c r="G586" s="153"/>
      <c r="H586" s="153"/>
      <c r="I586" s="153"/>
    </row>
    <row r="587" spans="2:9" ht="15.75" customHeight="1">
      <c r="B587" s="153"/>
      <c r="C587" s="153"/>
      <c r="D587" s="132"/>
      <c r="E587" s="132"/>
      <c r="F587" s="132"/>
      <c r="G587" s="153"/>
      <c r="H587" s="153"/>
      <c r="I587" s="153"/>
    </row>
    <row r="588" spans="2:9" ht="15.75" customHeight="1">
      <c r="B588" s="153"/>
      <c r="C588" s="153"/>
      <c r="D588" s="132"/>
      <c r="E588" s="132"/>
      <c r="F588" s="132"/>
      <c r="G588" s="153"/>
      <c r="H588" s="153"/>
      <c r="I588" s="153"/>
    </row>
    <row r="589" spans="2:9" ht="15.75" customHeight="1">
      <c r="B589" s="153"/>
      <c r="C589" s="153"/>
      <c r="D589" s="132"/>
      <c r="E589" s="132"/>
      <c r="F589" s="132"/>
      <c r="G589" s="153"/>
      <c r="H589" s="153"/>
      <c r="I589" s="153"/>
    </row>
    <row r="590" spans="2:9" ht="15.75" customHeight="1">
      <c r="B590" s="153"/>
      <c r="C590" s="153"/>
      <c r="D590" s="132"/>
      <c r="E590" s="132"/>
      <c r="F590" s="132"/>
      <c r="G590" s="153"/>
      <c r="H590" s="153"/>
      <c r="I590" s="153"/>
    </row>
    <row r="591" spans="2:9" ht="15.75" customHeight="1">
      <c r="B591" s="153"/>
      <c r="C591" s="153"/>
      <c r="D591" s="132"/>
      <c r="E591" s="132"/>
      <c r="F591" s="132"/>
      <c r="G591" s="153"/>
      <c r="H591" s="153"/>
      <c r="I591" s="153"/>
    </row>
    <row r="592" spans="2:9" ht="15.75" customHeight="1">
      <c r="B592" s="153"/>
      <c r="C592" s="153"/>
      <c r="D592" s="132"/>
      <c r="E592" s="132"/>
      <c r="F592" s="132"/>
      <c r="G592" s="153"/>
      <c r="H592" s="153"/>
      <c r="I592" s="153"/>
    </row>
    <row r="593" spans="2:9" ht="15.75" customHeight="1">
      <c r="B593" s="153"/>
      <c r="C593" s="153"/>
      <c r="D593" s="132"/>
      <c r="E593" s="132"/>
      <c r="F593" s="132"/>
      <c r="G593" s="153"/>
      <c r="H593" s="153"/>
      <c r="I593" s="153"/>
    </row>
    <row r="594" spans="2:9" ht="15.75" customHeight="1">
      <c r="B594" s="153"/>
      <c r="C594" s="153"/>
      <c r="D594" s="132"/>
      <c r="E594" s="132"/>
      <c r="F594" s="132"/>
      <c r="G594" s="153"/>
      <c r="H594" s="153"/>
      <c r="I594" s="153"/>
    </row>
    <row r="595" spans="2:9" ht="15.75" customHeight="1">
      <c r="B595" s="153"/>
      <c r="C595" s="153"/>
      <c r="D595" s="132"/>
      <c r="E595" s="132"/>
      <c r="F595" s="132"/>
      <c r="G595" s="153"/>
      <c r="H595" s="153"/>
      <c r="I595" s="153"/>
    </row>
    <row r="596" spans="2:9" ht="15.75" customHeight="1">
      <c r="B596" s="153"/>
      <c r="C596" s="153"/>
      <c r="D596" s="132"/>
      <c r="E596" s="132"/>
      <c r="F596" s="132"/>
      <c r="G596" s="153"/>
      <c r="H596" s="153"/>
      <c r="I596" s="153"/>
    </row>
    <row r="597" spans="2:9" ht="15.75" customHeight="1">
      <c r="B597" s="153"/>
      <c r="C597" s="153"/>
      <c r="D597" s="132"/>
      <c r="E597" s="132"/>
      <c r="F597" s="132"/>
      <c r="G597" s="153"/>
      <c r="H597" s="153"/>
      <c r="I597" s="153"/>
    </row>
    <row r="598" spans="2:9" ht="15.75" customHeight="1">
      <c r="B598" s="153"/>
      <c r="C598" s="153"/>
      <c r="D598" s="132"/>
      <c r="E598" s="132"/>
      <c r="F598" s="132"/>
      <c r="G598" s="153"/>
      <c r="H598" s="153"/>
      <c r="I598" s="153"/>
    </row>
    <row r="599" spans="2:9" ht="15.75" customHeight="1">
      <c r="B599" s="153"/>
      <c r="C599" s="153"/>
      <c r="D599" s="132"/>
      <c r="E599" s="132"/>
      <c r="F599" s="132"/>
      <c r="G599" s="153"/>
      <c r="H599" s="153"/>
      <c r="I599" s="153"/>
    </row>
    <row r="600" spans="2:9" ht="15.75" customHeight="1">
      <c r="B600" s="153"/>
      <c r="C600" s="153"/>
      <c r="D600" s="132"/>
      <c r="E600" s="132"/>
      <c r="F600" s="132"/>
      <c r="G600" s="153"/>
      <c r="H600" s="153"/>
      <c r="I600" s="153"/>
    </row>
    <row r="601" spans="2:9" ht="15.75" customHeight="1">
      <c r="B601" s="153"/>
      <c r="C601" s="153"/>
      <c r="D601" s="132"/>
      <c r="E601" s="132"/>
      <c r="F601" s="132"/>
      <c r="G601" s="153"/>
      <c r="H601" s="153"/>
      <c r="I601" s="153"/>
    </row>
    <row r="602" spans="2:9" ht="15.75" customHeight="1">
      <c r="B602" s="153"/>
      <c r="C602" s="153"/>
      <c r="D602" s="132"/>
      <c r="E602" s="132"/>
      <c r="F602" s="132"/>
      <c r="G602" s="153"/>
      <c r="H602" s="153"/>
      <c r="I602" s="153"/>
    </row>
    <row r="603" spans="2:9" ht="15.75" customHeight="1">
      <c r="B603" s="153"/>
      <c r="C603" s="153"/>
      <c r="D603" s="132"/>
      <c r="E603" s="132"/>
      <c r="F603" s="132"/>
      <c r="G603" s="153"/>
      <c r="H603" s="153"/>
      <c r="I603" s="153"/>
    </row>
    <row r="604" spans="2:9" ht="15.75" customHeight="1">
      <c r="B604" s="153"/>
      <c r="C604" s="153"/>
      <c r="D604" s="132"/>
      <c r="E604" s="132"/>
      <c r="F604" s="132"/>
      <c r="G604" s="153"/>
      <c r="H604" s="153"/>
      <c r="I604" s="153"/>
    </row>
    <row r="605" spans="2:9" ht="15.75" customHeight="1">
      <c r="B605" s="153"/>
      <c r="C605" s="153"/>
      <c r="D605" s="132"/>
      <c r="E605" s="132"/>
      <c r="F605" s="132"/>
      <c r="G605" s="153"/>
      <c r="H605" s="153"/>
      <c r="I605" s="153"/>
    </row>
    <row r="606" spans="2:9" ht="15.75" customHeight="1">
      <c r="B606" s="153"/>
      <c r="C606" s="153"/>
      <c r="D606" s="132"/>
      <c r="E606" s="132"/>
      <c r="F606" s="132"/>
      <c r="G606" s="153"/>
      <c r="H606" s="153"/>
      <c r="I606" s="153"/>
    </row>
    <row r="607" spans="2:9" ht="15.75" customHeight="1">
      <c r="B607" s="153"/>
      <c r="C607" s="153"/>
      <c r="D607" s="132"/>
      <c r="E607" s="132"/>
      <c r="F607" s="132"/>
      <c r="G607" s="153"/>
      <c r="H607" s="153"/>
      <c r="I607" s="153"/>
    </row>
    <row r="608" spans="2:9" ht="15.75" customHeight="1">
      <c r="B608" s="153"/>
      <c r="C608" s="153"/>
      <c r="D608" s="132"/>
      <c r="E608" s="132"/>
      <c r="F608" s="132"/>
      <c r="G608" s="153"/>
      <c r="H608" s="153"/>
      <c r="I608" s="153"/>
    </row>
    <row r="609" spans="2:9" ht="15.75" customHeight="1">
      <c r="B609" s="153"/>
      <c r="C609" s="153"/>
      <c r="D609" s="132"/>
      <c r="E609" s="132"/>
      <c r="F609" s="132"/>
      <c r="G609" s="153"/>
      <c r="H609" s="153"/>
      <c r="I609" s="153"/>
    </row>
    <row r="610" spans="2:9" ht="15.75" customHeight="1">
      <c r="B610" s="153"/>
      <c r="C610" s="153"/>
      <c r="D610" s="132"/>
      <c r="E610" s="132"/>
      <c r="F610" s="132"/>
      <c r="G610" s="153"/>
      <c r="H610" s="153"/>
      <c r="I610" s="153"/>
    </row>
    <row r="611" spans="2:9" ht="15.75" customHeight="1">
      <c r="B611" s="153"/>
      <c r="C611" s="153"/>
      <c r="D611" s="132"/>
      <c r="E611" s="132"/>
      <c r="F611" s="132"/>
      <c r="G611" s="153"/>
      <c r="H611" s="153"/>
      <c r="I611" s="153"/>
    </row>
    <row r="612" spans="2:9" ht="15.75" customHeight="1">
      <c r="B612" s="153"/>
      <c r="C612" s="153"/>
      <c r="D612" s="132"/>
      <c r="E612" s="132"/>
      <c r="F612" s="132"/>
      <c r="G612" s="153"/>
      <c r="H612" s="153"/>
      <c r="I612" s="153"/>
    </row>
    <row r="613" spans="2:9" ht="15.75" customHeight="1">
      <c r="B613" s="153"/>
      <c r="C613" s="153"/>
      <c r="D613" s="132"/>
      <c r="E613" s="132"/>
      <c r="F613" s="132"/>
      <c r="G613" s="153"/>
      <c r="H613" s="153"/>
      <c r="I613" s="153"/>
    </row>
    <row r="614" spans="2:9" ht="15.75" customHeight="1">
      <c r="B614" s="153"/>
      <c r="C614" s="153"/>
      <c r="D614" s="132"/>
      <c r="E614" s="132"/>
      <c r="F614" s="132"/>
      <c r="G614" s="153"/>
      <c r="H614" s="153"/>
      <c r="I614" s="153"/>
    </row>
    <row r="615" spans="2:9" ht="15.75" customHeight="1">
      <c r="B615" s="153"/>
      <c r="C615" s="153"/>
      <c r="D615" s="132"/>
      <c r="E615" s="132"/>
      <c r="F615" s="132"/>
      <c r="G615" s="153"/>
      <c r="H615" s="153"/>
      <c r="I615" s="153"/>
    </row>
    <row r="616" spans="2:9" ht="15.75" customHeight="1">
      <c r="B616" s="153"/>
      <c r="C616" s="153"/>
      <c r="D616" s="132"/>
      <c r="E616" s="132"/>
      <c r="F616" s="132"/>
      <c r="G616" s="153"/>
      <c r="H616" s="153"/>
      <c r="I616" s="153"/>
    </row>
    <row r="617" spans="2:9" ht="15.75" customHeight="1">
      <c r="B617" s="153"/>
      <c r="C617" s="153"/>
      <c r="D617" s="132"/>
      <c r="E617" s="132"/>
      <c r="F617" s="132"/>
      <c r="G617" s="153"/>
      <c r="H617" s="153"/>
      <c r="I617" s="153"/>
    </row>
    <row r="618" spans="2:9" ht="15.75" customHeight="1">
      <c r="B618" s="153"/>
      <c r="C618" s="153"/>
      <c r="D618" s="132"/>
      <c r="E618" s="132"/>
      <c r="F618" s="132"/>
      <c r="G618" s="153"/>
      <c r="H618" s="153"/>
      <c r="I618" s="153"/>
    </row>
    <row r="619" spans="2:9" ht="15.75" customHeight="1">
      <c r="B619" s="153"/>
      <c r="C619" s="153"/>
      <c r="D619" s="132"/>
      <c r="E619" s="132"/>
      <c r="F619" s="132"/>
      <c r="G619" s="153"/>
      <c r="H619" s="153"/>
      <c r="I619" s="153"/>
    </row>
    <row r="620" spans="2:9" ht="15.75" customHeight="1">
      <c r="B620" s="153"/>
      <c r="C620" s="153"/>
      <c r="D620" s="132"/>
      <c r="E620" s="132"/>
      <c r="F620" s="132"/>
      <c r="G620" s="153"/>
      <c r="H620" s="153"/>
      <c r="I620" s="153"/>
    </row>
    <row r="621" spans="2:9" ht="15.75" customHeight="1">
      <c r="B621" s="153"/>
      <c r="C621" s="153"/>
      <c r="D621" s="132"/>
      <c r="E621" s="132"/>
      <c r="F621" s="132"/>
      <c r="G621" s="153"/>
      <c r="H621" s="153"/>
      <c r="I621" s="153"/>
    </row>
    <row r="622" spans="2:9" ht="15.75" customHeight="1">
      <c r="B622" s="153"/>
      <c r="C622" s="153"/>
      <c r="D622" s="132"/>
      <c r="E622" s="132"/>
      <c r="F622" s="132"/>
      <c r="G622" s="153"/>
      <c r="H622" s="153"/>
      <c r="I622" s="153"/>
    </row>
    <row r="623" spans="2:9" ht="15.75" customHeight="1">
      <c r="B623" s="153"/>
      <c r="C623" s="153"/>
      <c r="D623" s="132"/>
      <c r="E623" s="132"/>
      <c r="F623" s="132"/>
      <c r="G623" s="153"/>
      <c r="H623" s="153"/>
      <c r="I623" s="153"/>
    </row>
    <row r="624" spans="2:9" ht="15.75" customHeight="1">
      <c r="B624" s="153"/>
      <c r="C624" s="153"/>
      <c r="D624" s="132"/>
      <c r="E624" s="132"/>
      <c r="F624" s="132"/>
      <c r="G624" s="153"/>
      <c r="H624" s="153"/>
      <c r="I624" s="153"/>
    </row>
    <row r="625" spans="2:9" ht="15.75" customHeight="1">
      <c r="B625" s="153"/>
      <c r="C625" s="153"/>
      <c r="D625" s="132"/>
      <c r="E625" s="132"/>
      <c r="F625" s="132"/>
      <c r="G625" s="153"/>
      <c r="H625" s="153"/>
      <c r="I625" s="153"/>
    </row>
    <row r="626" spans="2:9" ht="15.75" customHeight="1">
      <c r="B626" s="153"/>
      <c r="C626" s="153"/>
      <c r="D626" s="132"/>
      <c r="E626" s="132"/>
      <c r="F626" s="132"/>
      <c r="G626" s="153"/>
      <c r="H626" s="153"/>
      <c r="I626" s="153"/>
    </row>
    <row r="627" spans="2:9" ht="15.75" customHeight="1">
      <c r="B627" s="153"/>
      <c r="C627" s="153"/>
      <c r="D627" s="132"/>
      <c r="E627" s="132"/>
      <c r="F627" s="132"/>
      <c r="G627" s="153"/>
      <c r="H627" s="153"/>
      <c r="I627" s="153"/>
    </row>
    <row r="628" spans="2:9" ht="15.75" customHeight="1">
      <c r="B628" s="153"/>
      <c r="C628" s="153"/>
      <c r="D628" s="132"/>
      <c r="E628" s="132"/>
      <c r="F628" s="132"/>
      <c r="G628" s="153"/>
      <c r="H628" s="153"/>
      <c r="I628" s="153"/>
    </row>
    <row r="629" spans="2:9" ht="15.75" customHeight="1">
      <c r="B629" s="153"/>
      <c r="C629" s="153"/>
      <c r="D629" s="132"/>
      <c r="E629" s="132"/>
      <c r="F629" s="132"/>
      <c r="G629" s="153"/>
      <c r="H629" s="153"/>
      <c r="I629" s="153"/>
    </row>
    <row r="630" spans="2:9" ht="15.75" customHeight="1">
      <c r="B630" s="153"/>
      <c r="C630" s="153"/>
      <c r="D630" s="132"/>
      <c r="E630" s="132"/>
      <c r="F630" s="132"/>
      <c r="G630" s="153"/>
      <c r="H630" s="153"/>
      <c r="I630" s="153"/>
    </row>
    <row r="631" spans="2:9" ht="15.75" customHeight="1">
      <c r="B631" s="153"/>
      <c r="C631" s="153"/>
      <c r="D631" s="132"/>
      <c r="E631" s="132"/>
      <c r="F631" s="132"/>
      <c r="G631" s="153"/>
      <c r="H631" s="153"/>
      <c r="I631" s="153"/>
    </row>
    <row r="632" spans="2:9" ht="15.75" customHeight="1">
      <c r="B632" s="153"/>
      <c r="C632" s="153"/>
      <c r="D632" s="132"/>
      <c r="E632" s="132"/>
      <c r="F632" s="132"/>
      <c r="G632" s="153"/>
      <c r="H632" s="153"/>
      <c r="I632" s="153"/>
    </row>
    <row r="633" spans="2:9" ht="15.75" customHeight="1">
      <c r="B633" s="153"/>
      <c r="C633" s="153"/>
      <c r="D633" s="132"/>
      <c r="E633" s="132"/>
      <c r="F633" s="132"/>
      <c r="G633" s="153"/>
      <c r="H633" s="153"/>
      <c r="I633" s="153"/>
    </row>
    <row r="634" spans="2:9" ht="15.75" customHeight="1">
      <c r="B634" s="153"/>
      <c r="C634" s="153"/>
      <c r="D634" s="132"/>
      <c r="E634" s="132"/>
      <c r="F634" s="132"/>
      <c r="G634" s="153"/>
      <c r="H634" s="153"/>
      <c r="I634" s="153"/>
    </row>
    <row r="635" spans="2:9" ht="15.75" customHeight="1">
      <c r="B635" s="153"/>
      <c r="C635" s="153"/>
      <c r="D635" s="132"/>
      <c r="E635" s="132"/>
      <c r="F635" s="132"/>
      <c r="G635" s="153"/>
      <c r="H635" s="153"/>
      <c r="I635" s="153"/>
    </row>
    <row r="636" spans="2:9" ht="15.75" customHeight="1">
      <c r="B636" s="153"/>
      <c r="C636" s="153"/>
      <c r="D636" s="132"/>
      <c r="E636" s="132"/>
      <c r="F636" s="132"/>
      <c r="G636" s="153"/>
      <c r="H636" s="153"/>
      <c r="I636" s="153"/>
    </row>
    <row r="637" spans="2:9" ht="15.75" customHeight="1">
      <c r="B637" s="153"/>
      <c r="C637" s="153"/>
      <c r="D637" s="132"/>
      <c r="E637" s="132"/>
      <c r="F637" s="132"/>
      <c r="G637" s="153"/>
      <c r="H637" s="153"/>
      <c r="I637" s="153"/>
    </row>
    <row r="638" spans="2:9" ht="15.75" customHeight="1">
      <c r="B638" s="153"/>
      <c r="C638" s="153"/>
      <c r="D638" s="132"/>
      <c r="E638" s="132"/>
      <c r="F638" s="132"/>
      <c r="G638" s="153"/>
      <c r="H638" s="153"/>
      <c r="I638" s="153"/>
    </row>
    <row r="639" spans="2:9" ht="15.75" customHeight="1">
      <c r="B639" s="153"/>
      <c r="C639" s="153"/>
      <c r="D639" s="132"/>
      <c r="E639" s="132"/>
      <c r="F639" s="132"/>
      <c r="G639" s="153"/>
      <c r="H639" s="153"/>
      <c r="I639" s="153"/>
    </row>
    <row r="640" spans="2:9" ht="15.75" customHeight="1">
      <c r="B640" s="153"/>
      <c r="C640" s="153"/>
      <c r="D640" s="132"/>
      <c r="E640" s="132"/>
      <c r="F640" s="132"/>
      <c r="G640" s="153"/>
      <c r="H640" s="153"/>
      <c r="I640" s="153"/>
    </row>
    <row r="641" spans="2:9" ht="15.75" customHeight="1">
      <c r="B641" s="153"/>
      <c r="C641" s="153"/>
      <c r="D641" s="132"/>
      <c r="E641" s="132"/>
      <c r="F641" s="132"/>
      <c r="G641" s="153"/>
      <c r="H641" s="153"/>
      <c r="I641" s="153"/>
    </row>
    <row r="642" spans="2:9" ht="15.75" customHeight="1">
      <c r="B642" s="153"/>
      <c r="C642" s="153"/>
      <c r="D642" s="132"/>
      <c r="E642" s="132"/>
      <c r="F642" s="132"/>
      <c r="G642" s="153"/>
      <c r="H642" s="153"/>
      <c r="I642" s="153"/>
    </row>
    <row r="643" spans="2:9" ht="15.75" customHeight="1">
      <c r="B643" s="153"/>
      <c r="C643" s="153"/>
      <c r="D643" s="132"/>
      <c r="E643" s="132"/>
      <c r="F643" s="132"/>
      <c r="G643" s="153"/>
      <c r="H643" s="153"/>
      <c r="I643" s="153"/>
    </row>
    <row r="644" spans="2:9" ht="15.75" customHeight="1">
      <c r="B644" s="153"/>
      <c r="C644" s="153"/>
      <c r="D644" s="132"/>
      <c r="E644" s="132"/>
      <c r="F644" s="132"/>
      <c r="G644" s="153"/>
      <c r="H644" s="153"/>
      <c r="I644" s="153"/>
    </row>
    <row r="645" spans="2:9" ht="15.75" customHeight="1">
      <c r="B645" s="153"/>
      <c r="C645" s="153"/>
      <c r="D645" s="132"/>
      <c r="E645" s="132"/>
      <c r="F645" s="132"/>
      <c r="G645" s="153"/>
      <c r="H645" s="153"/>
      <c r="I645" s="153"/>
    </row>
    <row r="646" spans="2:9" ht="15.75" customHeight="1">
      <c r="B646" s="153"/>
      <c r="C646" s="153"/>
      <c r="D646" s="132"/>
      <c r="E646" s="132"/>
      <c r="F646" s="132"/>
      <c r="G646" s="153"/>
      <c r="H646" s="153"/>
      <c r="I646" s="153"/>
    </row>
    <row r="647" spans="2:9" ht="15.75" customHeight="1">
      <c r="B647" s="153"/>
      <c r="C647" s="153"/>
      <c r="D647" s="132"/>
      <c r="E647" s="132"/>
      <c r="F647" s="132"/>
      <c r="G647" s="153"/>
      <c r="H647" s="153"/>
      <c r="I647" s="153"/>
    </row>
    <row r="648" spans="2:9" ht="15.75" customHeight="1">
      <c r="B648" s="153"/>
      <c r="C648" s="153"/>
      <c r="D648" s="132"/>
      <c r="E648" s="132"/>
      <c r="F648" s="132"/>
      <c r="G648" s="153"/>
      <c r="H648" s="153"/>
      <c r="I648" s="153"/>
    </row>
    <row r="649" spans="2:9" ht="15.75" customHeight="1">
      <c r="B649" s="153"/>
      <c r="C649" s="153"/>
      <c r="D649" s="132"/>
      <c r="E649" s="132"/>
      <c r="F649" s="132"/>
      <c r="G649" s="153"/>
      <c r="H649" s="153"/>
      <c r="I649" s="153"/>
    </row>
    <row r="650" spans="2:9" ht="15.75" customHeight="1">
      <c r="B650" s="153"/>
      <c r="C650" s="153"/>
      <c r="D650" s="132"/>
      <c r="E650" s="132"/>
      <c r="F650" s="132"/>
      <c r="G650" s="153"/>
      <c r="H650" s="153"/>
      <c r="I650" s="153"/>
    </row>
    <row r="651" spans="2:9" ht="15.75" customHeight="1">
      <c r="B651" s="153"/>
      <c r="C651" s="153"/>
      <c r="D651" s="132"/>
      <c r="E651" s="132"/>
      <c r="F651" s="132"/>
      <c r="G651" s="153"/>
      <c r="H651" s="153"/>
      <c r="I651" s="153"/>
    </row>
    <row r="652" spans="2:9" ht="15.75" customHeight="1">
      <c r="B652" s="153"/>
      <c r="C652" s="153"/>
      <c r="D652" s="132"/>
      <c r="E652" s="132"/>
      <c r="F652" s="132"/>
      <c r="G652" s="153"/>
      <c r="H652" s="153"/>
      <c r="I652" s="153"/>
    </row>
    <row r="653" spans="2:9" ht="15.75" customHeight="1">
      <c r="B653" s="153"/>
      <c r="C653" s="153"/>
      <c r="D653" s="132"/>
      <c r="E653" s="132"/>
      <c r="F653" s="132"/>
      <c r="G653" s="153"/>
      <c r="H653" s="153"/>
      <c r="I653" s="153"/>
    </row>
    <row r="654" spans="2:9" ht="15.75" customHeight="1">
      <c r="B654" s="153"/>
      <c r="C654" s="153"/>
      <c r="D654" s="132"/>
      <c r="E654" s="132"/>
      <c r="F654" s="132"/>
      <c r="G654" s="153"/>
      <c r="H654" s="153"/>
      <c r="I654" s="153"/>
    </row>
    <row r="655" spans="2:9" ht="15.75" customHeight="1">
      <c r="B655" s="153"/>
      <c r="C655" s="153"/>
      <c r="D655" s="132"/>
      <c r="E655" s="132"/>
      <c r="F655" s="132"/>
      <c r="G655" s="153"/>
      <c r="H655" s="153"/>
      <c r="I655" s="153"/>
    </row>
    <row r="656" spans="2:9" ht="15.75" customHeight="1">
      <c r="B656" s="153"/>
      <c r="C656" s="153"/>
      <c r="D656" s="132"/>
      <c r="E656" s="132"/>
      <c r="F656" s="132"/>
      <c r="G656" s="153"/>
      <c r="H656" s="153"/>
      <c r="I656" s="153"/>
    </row>
    <row r="657" spans="2:9" ht="15.75" customHeight="1">
      <c r="B657" s="153"/>
      <c r="C657" s="153"/>
      <c r="D657" s="132"/>
      <c r="E657" s="132"/>
      <c r="F657" s="132"/>
      <c r="G657" s="153"/>
      <c r="H657" s="153"/>
      <c r="I657" s="153"/>
    </row>
    <row r="658" spans="2:9" ht="15.75" customHeight="1">
      <c r="B658" s="153"/>
      <c r="C658" s="153"/>
      <c r="D658" s="132"/>
      <c r="E658" s="132"/>
      <c r="F658" s="132"/>
      <c r="G658" s="153"/>
      <c r="H658" s="153"/>
      <c r="I658" s="153"/>
    </row>
    <row r="659" spans="2:9" ht="15.75" customHeight="1">
      <c r="B659" s="153"/>
      <c r="C659" s="153"/>
      <c r="D659" s="132"/>
      <c r="E659" s="132"/>
      <c r="F659" s="132"/>
      <c r="G659" s="153"/>
      <c r="H659" s="153"/>
      <c r="I659" s="153"/>
    </row>
    <row r="660" spans="2:9" ht="15.75" customHeight="1">
      <c r="B660" s="153"/>
      <c r="C660" s="153"/>
      <c r="D660" s="132"/>
      <c r="E660" s="132"/>
      <c r="F660" s="132"/>
      <c r="G660" s="153"/>
      <c r="H660" s="153"/>
      <c r="I660" s="153"/>
    </row>
    <row r="661" spans="2:9" ht="15.75" customHeight="1">
      <c r="B661" s="153"/>
      <c r="C661" s="153"/>
      <c r="D661" s="132"/>
      <c r="E661" s="132"/>
      <c r="F661" s="132"/>
      <c r="G661" s="153"/>
      <c r="H661" s="153"/>
      <c r="I661" s="153"/>
    </row>
    <row r="662" spans="2:9" ht="15.75" customHeight="1">
      <c r="B662" s="153"/>
      <c r="C662" s="153"/>
      <c r="D662" s="132"/>
      <c r="E662" s="132"/>
      <c r="F662" s="132"/>
      <c r="G662" s="153"/>
      <c r="H662" s="153"/>
      <c r="I662" s="153"/>
    </row>
    <row r="663" spans="2:9" ht="15.75" customHeight="1">
      <c r="B663" s="153"/>
      <c r="C663" s="153"/>
      <c r="D663" s="132"/>
      <c r="E663" s="132"/>
      <c r="F663" s="132"/>
      <c r="G663" s="153"/>
      <c r="H663" s="153"/>
      <c r="I663" s="153"/>
    </row>
    <row r="664" spans="2:9" ht="15.75" customHeight="1">
      <c r="B664" s="153"/>
      <c r="C664" s="153"/>
      <c r="D664" s="132"/>
      <c r="E664" s="132"/>
      <c r="F664" s="132"/>
      <c r="G664" s="153"/>
      <c r="H664" s="153"/>
      <c r="I664" s="153"/>
    </row>
    <row r="665" spans="2:9" ht="15.75" customHeight="1">
      <c r="B665" s="153"/>
      <c r="C665" s="153"/>
      <c r="D665" s="132"/>
      <c r="E665" s="132"/>
      <c r="F665" s="132"/>
      <c r="G665" s="153"/>
      <c r="H665" s="153"/>
      <c r="I665" s="153"/>
    </row>
    <row r="666" spans="2:9" ht="15.75" customHeight="1">
      <c r="B666" s="153"/>
      <c r="C666" s="153"/>
      <c r="D666" s="132"/>
      <c r="E666" s="132"/>
      <c r="F666" s="132"/>
      <c r="G666" s="153"/>
      <c r="H666" s="153"/>
      <c r="I666" s="153"/>
    </row>
    <row r="667" spans="2:9" ht="15.75" customHeight="1">
      <c r="B667" s="153"/>
      <c r="C667" s="153"/>
      <c r="D667" s="132"/>
      <c r="E667" s="132"/>
      <c r="F667" s="132"/>
      <c r="G667" s="153"/>
      <c r="H667" s="153"/>
      <c r="I667" s="153"/>
    </row>
    <row r="668" spans="2:9" ht="15.75" customHeight="1">
      <c r="B668" s="153"/>
      <c r="C668" s="153"/>
      <c r="D668" s="132"/>
      <c r="E668" s="132"/>
      <c r="F668" s="132"/>
      <c r="G668" s="153"/>
      <c r="H668" s="153"/>
      <c r="I668" s="153"/>
    </row>
    <row r="669" spans="2:9" ht="15.75" customHeight="1">
      <c r="B669" s="153"/>
      <c r="C669" s="153"/>
      <c r="D669" s="132"/>
      <c r="E669" s="132"/>
      <c r="F669" s="132"/>
      <c r="G669" s="153"/>
      <c r="H669" s="153"/>
      <c r="I669" s="153"/>
    </row>
    <row r="670" spans="2:9" ht="15.75" customHeight="1">
      <c r="B670" s="153"/>
      <c r="C670" s="153"/>
      <c r="D670" s="132"/>
      <c r="E670" s="132"/>
      <c r="F670" s="132"/>
      <c r="G670" s="153"/>
      <c r="H670" s="153"/>
      <c r="I670" s="153"/>
    </row>
    <row r="671" spans="2:9" ht="15.75" customHeight="1">
      <c r="B671" s="153"/>
      <c r="C671" s="153"/>
      <c r="D671" s="132"/>
      <c r="E671" s="132"/>
      <c r="F671" s="132"/>
      <c r="G671" s="153"/>
      <c r="H671" s="153"/>
      <c r="I671" s="153"/>
    </row>
    <row r="672" spans="2:9" ht="15.75" customHeight="1">
      <c r="B672" s="153"/>
      <c r="C672" s="153"/>
      <c r="D672" s="132"/>
      <c r="E672" s="132"/>
      <c r="F672" s="132"/>
      <c r="G672" s="153"/>
      <c r="H672" s="153"/>
      <c r="I672" s="153"/>
    </row>
    <row r="673" spans="2:9" ht="15.75" customHeight="1">
      <c r="B673" s="153"/>
      <c r="C673" s="153"/>
      <c r="D673" s="132"/>
      <c r="E673" s="132"/>
      <c r="F673" s="132"/>
      <c r="G673" s="153"/>
      <c r="H673" s="153"/>
      <c r="I673" s="153"/>
    </row>
    <row r="674" spans="2:9" ht="15.75" customHeight="1">
      <c r="B674" s="153"/>
      <c r="C674" s="153"/>
      <c r="D674" s="132"/>
      <c r="E674" s="132"/>
      <c r="F674" s="132"/>
      <c r="G674" s="153"/>
      <c r="H674" s="153"/>
      <c r="I674" s="153"/>
    </row>
    <row r="675" spans="2:9" ht="15.75" customHeight="1">
      <c r="B675" s="153"/>
      <c r="C675" s="153"/>
      <c r="D675" s="132"/>
      <c r="E675" s="132"/>
      <c r="F675" s="132"/>
      <c r="G675" s="153"/>
      <c r="H675" s="153"/>
      <c r="I675" s="153"/>
    </row>
    <row r="676" spans="2:9" ht="15.75" customHeight="1">
      <c r="B676" s="153"/>
      <c r="C676" s="153"/>
      <c r="D676" s="132"/>
      <c r="E676" s="132"/>
      <c r="F676" s="132"/>
      <c r="G676" s="153"/>
      <c r="H676" s="153"/>
      <c r="I676" s="153"/>
    </row>
    <row r="677" spans="2:9" ht="15.75" customHeight="1">
      <c r="B677" s="153"/>
      <c r="C677" s="153"/>
      <c r="D677" s="132"/>
      <c r="E677" s="132"/>
      <c r="F677" s="132"/>
      <c r="G677" s="153"/>
      <c r="H677" s="153"/>
      <c r="I677" s="153"/>
    </row>
    <row r="678" spans="2:9" ht="15.75" customHeight="1">
      <c r="B678" s="153"/>
      <c r="C678" s="153"/>
      <c r="D678" s="132"/>
      <c r="E678" s="132"/>
      <c r="F678" s="132"/>
      <c r="G678" s="153"/>
      <c r="H678" s="153"/>
      <c r="I678" s="153"/>
    </row>
    <row r="679" spans="2:9" ht="15.75" customHeight="1">
      <c r="B679" s="153"/>
      <c r="C679" s="153"/>
      <c r="D679" s="132"/>
      <c r="E679" s="132"/>
      <c r="F679" s="132"/>
      <c r="G679" s="153"/>
      <c r="H679" s="153"/>
      <c r="I679" s="153"/>
    </row>
    <row r="680" spans="2:9" ht="15.75" customHeight="1">
      <c r="B680" s="153"/>
      <c r="C680" s="153"/>
      <c r="D680" s="132"/>
      <c r="E680" s="132"/>
      <c r="F680" s="132"/>
      <c r="G680" s="153"/>
      <c r="H680" s="153"/>
      <c r="I680" s="153"/>
    </row>
    <row r="681" spans="2:9" ht="15.75" customHeight="1">
      <c r="B681" s="153"/>
      <c r="C681" s="153"/>
      <c r="D681" s="132"/>
      <c r="E681" s="132"/>
      <c r="F681" s="132"/>
      <c r="G681" s="153"/>
      <c r="H681" s="153"/>
      <c r="I681" s="153"/>
    </row>
    <row r="682" spans="2:9" ht="15.75" customHeight="1">
      <c r="B682" s="153"/>
      <c r="C682" s="153"/>
      <c r="D682" s="132"/>
      <c r="E682" s="132"/>
      <c r="F682" s="132"/>
      <c r="G682" s="153"/>
      <c r="H682" s="153"/>
      <c r="I682" s="153"/>
    </row>
    <row r="683" spans="2:9" ht="15.75" customHeight="1">
      <c r="B683" s="153"/>
      <c r="C683" s="153"/>
      <c r="D683" s="132"/>
      <c r="E683" s="132"/>
      <c r="F683" s="132"/>
      <c r="G683" s="153"/>
      <c r="H683" s="153"/>
      <c r="I683" s="153"/>
    </row>
    <row r="684" spans="2:9" ht="15.75" customHeight="1">
      <c r="B684" s="153"/>
      <c r="C684" s="153"/>
      <c r="D684" s="132"/>
      <c r="E684" s="132"/>
      <c r="F684" s="132"/>
      <c r="G684" s="153"/>
      <c r="H684" s="153"/>
      <c r="I684" s="153"/>
    </row>
    <row r="685" spans="2:9" ht="15.75" customHeight="1">
      <c r="B685" s="153"/>
      <c r="C685" s="153"/>
      <c r="D685" s="132"/>
      <c r="E685" s="132"/>
      <c r="F685" s="132"/>
      <c r="G685" s="153"/>
      <c r="H685" s="153"/>
      <c r="I685" s="153"/>
    </row>
    <row r="686" spans="2:9" ht="15.75" customHeight="1">
      <c r="B686" s="153"/>
      <c r="C686" s="153"/>
      <c r="D686" s="132"/>
      <c r="E686" s="132"/>
      <c r="F686" s="132"/>
      <c r="G686" s="153"/>
      <c r="H686" s="153"/>
      <c r="I686" s="153"/>
    </row>
    <row r="687" spans="2:9" ht="15.75" customHeight="1">
      <c r="B687" s="153"/>
      <c r="C687" s="153"/>
      <c r="D687" s="132"/>
      <c r="E687" s="132"/>
      <c r="F687" s="132"/>
      <c r="G687" s="153"/>
      <c r="H687" s="153"/>
      <c r="I687" s="153"/>
    </row>
    <row r="688" spans="2:9" ht="15.75" customHeight="1">
      <c r="B688" s="153"/>
      <c r="C688" s="153"/>
      <c r="D688" s="132"/>
      <c r="E688" s="132"/>
      <c r="F688" s="132"/>
      <c r="G688" s="153"/>
      <c r="H688" s="153"/>
      <c r="I688" s="153"/>
    </row>
    <row r="689" spans="2:9" ht="15.75" customHeight="1">
      <c r="B689" s="153"/>
      <c r="C689" s="153"/>
      <c r="D689" s="132"/>
      <c r="E689" s="132"/>
      <c r="F689" s="132"/>
      <c r="G689" s="153"/>
      <c r="H689" s="153"/>
      <c r="I689" s="153"/>
    </row>
    <row r="690" spans="2:9" ht="15.75" customHeight="1">
      <c r="B690" s="153"/>
      <c r="C690" s="153"/>
      <c r="D690" s="132"/>
      <c r="E690" s="132"/>
      <c r="F690" s="132"/>
      <c r="G690" s="153"/>
      <c r="H690" s="153"/>
      <c r="I690" s="153"/>
    </row>
    <row r="691" spans="2:9" ht="15.75" customHeight="1">
      <c r="B691" s="153"/>
      <c r="C691" s="153"/>
      <c r="D691" s="132"/>
      <c r="E691" s="132"/>
      <c r="F691" s="132"/>
      <c r="G691" s="153"/>
      <c r="H691" s="153"/>
      <c r="I691" s="153"/>
    </row>
    <row r="692" spans="2:9" ht="15.75" customHeight="1">
      <c r="B692" s="153"/>
      <c r="C692" s="153"/>
      <c r="D692" s="132"/>
      <c r="E692" s="132"/>
      <c r="F692" s="132"/>
      <c r="G692" s="153"/>
      <c r="H692" s="153"/>
      <c r="I692" s="153"/>
    </row>
    <row r="693" spans="2:9" ht="15.75" customHeight="1">
      <c r="B693" s="153"/>
      <c r="C693" s="153"/>
      <c r="D693" s="132"/>
      <c r="E693" s="132"/>
      <c r="F693" s="132"/>
      <c r="G693" s="153"/>
      <c r="H693" s="153"/>
      <c r="I693" s="153"/>
    </row>
    <row r="694" spans="2:9" ht="15.75" customHeight="1">
      <c r="B694" s="153"/>
      <c r="C694" s="153"/>
      <c r="D694" s="132"/>
      <c r="E694" s="132"/>
      <c r="F694" s="132"/>
      <c r="G694" s="153"/>
      <c r="H694" s="153"/>
      <c r="I694" s="153"/>
    </row>
    <row r="695" spans="2:9" ht="15.75" customHeight="1">
      <c r="B695" s="153"/>
      <c r="C695" s="153"/>
      <c r="D695" s="132"/>
      <c r="E695" s="132"/>
      <c r="F695" s="132"/>
      <c r="G695" s="153"/>
      <c r="H695" s="153"/>
      <c r="I695" s="153"/>
    </row>
    <row r="696" spans="2:9" ht="15.75" customHeight="1">
      <c r="B696" s="153"/>
      <c r="C696" s="153"/>
      <c r="D696" s="132"/>
      <c r="E696" s="132"/>
      <c r="F696" s="132"/>
      <c r="G696" s="153"/>
      <c r="H696" s="153"/>
      <c r="I696" s="153"/>
    </row>
    <row r="697" spans="2:9" ht="15.75" customHeight="1">
      <c r="B697" s="153"/>
      <c r="C697" s="153"/>
      <c r="D697" s="132"/>
      <c r="E697" s="132"/>
      <c r="F697" s="132"/>
      <c r="G697" s="153"/>
      <c r="H697" s="153"/>
      <c r="I697" s="153"/>
    </row>
    <row r="698" spans="2:9" ht="15.75" customHeight="1">
      <c r="B698" s="153"/>
      <c r="C698" s="153"/>
      <c r="D698" s="132"/>
      <c r="E698" s="132"/>
      <c r="F698" s="132"/>
      <c r="G698" s="153"/>
      <c r="H698" s="153"/>
      <c r="I698" s="153"/>
    </row>
    <row r="699" spans="2:9" ht="15.75" customHeight="1">
      <c r="B699" s="153"/>
      <c r="C699" s="153"/>
      <c r="D699" s="132"/>
      <c r="E699" s="132"/>
      <c r="F699" s="132"/>
      <c r="G699" s="153"/>
      <c r="H699" s="153"/>
      <c r="I699" s="153"/>
    </row>
    <row r="700" spans="2:9" ht="15.75" customHeight="1">
      <c r="B700" s="153"/>
      <c r="C700" s="153"/>
      <c r="D700" s="132"/>
      <c r="E700" s="132"/>
      <c r="F700" s="132"/>
      <c r="G700" s="153"/>
      <c r="H700" s="153"/>
      <c r="I700" s="153"/>
    </row>
    <row r="701" spans="2:9" ht="15.75" customHeight="1">
      <c r="B701" s="153"/>
      <c r="C701" s="153"/>
      <c r="D701" s="132"/>
      <c r="E701" s="132"/>
      <c r="F701" s="132"/>
      <c r="G701" s="153"/>
      <c r="H701" s="153"/>
      <c r="I701" s="153"/>
    </row>
    <row r="702" spans="2:9" ht="15.75" customHeight="1">
      <c r="B702" s="153"/>
      <c r="C702" s="153"/>
      <c r="D702" s="132"/>
      <c r="E702" s="132"/>
      <c r="F702" s="132"/>
      <c r="G702" s="153"/>
      <c r="H702" s="153"/>
      <c r="I702" s="153"/>
    </row>
    <row r="703" spans="2:9" ht="15.75" customHeight="1">
      <c r="B703" s="153"/>
      <c r="C703" s="153"/>
      <c r="D703" s="132"/>
      <c r="E703" s="132"/>
      <c r="F703" s="132"/>
      <c r="G703" s="153"/>
      <c r="H703" s="153"/>
      <c r="I703" s="153"/>
    </row>
    <row r="704" spans="2:9" ht="15.75" customHeight="1">
      <c r="B704" s="153"/>
      <c r="C704" s="153"/>
      <c r="D704" s="132"/>
      <c r="E704" s="132"/>
      <c r="F704" s="132"/>
      <c r="G704" s="153"/>
      <c r="H704" s="153"/>
      <c r="I704" s="153"/>
    </row>
    <row r="705" spans="2:9" ht="15.75" customHeight="1">
      <c r="B705" s="153"/>
      <c r="C705" s="153"/>
      <c r="D705" s="132"/>
      <c r="E705" s="132"/>
      <c r="F705" s="132"/>
      <c r="G705" s="153"/>
      <c r="H705" s="153"/>
      <c r="I705" s="153"/>
    </row>
    <row r="706" spans="2:9" ht="15.75" customHeight="1">
      <c r="B706" s="153"/>
      <c r="C706" s="153"/>
      <c r="D706" s="132"/>
      <c r="E706" s="132"/>
      <c r="F706" s="132"/>
      <c r="G706" s="153"/>
      <c r="H706" s="153"/>
      <c r="I706" s="153"/>
    </row>
    <row r="707" spans="2:9" ht="15.75" customHeight="1">
      <c r="B707" s="153"/>
      <c r="C707" s="153"/>
      <c r="D707" s="132"/>
      <c r="E707" s="132"/>
      <c r="F707" s="132"/>
      <c r="G707" s="153"/>
      <c r="H707" s="153"/>
      <c r="I707" s="153"/>
    </row>
    <row r="708" spans="2:9" ht="15.75" customHeight="1">
      <c r="B708" s="153"/>
      <c r="C708" s="153"/>
      <c r="D708" s="132"/>
      <c r="E708" s="132"/>
      <c r="F708" s="132"/>
      <c r="G708" s="153"/>
      <c r="H708" s="153"/>
      <c r="I708" s="153"/>
    </row>
    <row r="709" spans="2:9" ht="15.75" customHeight="1">
      <c r="B709" s="153"/>
      <c r="C709" s="153"/>
      <c r="D709" s="132"/>
      <c r="E709" s="132"/>
      <c r="F709" s="132"/>
      <c r="G709" s="153"/>
      <c r="H709" s="153"/>
      <c r="I709" s="153"/>
    </row>
    <row r="710" spans="2:9" ht="15.75" customHeight="1">
      <c r="B710" s="153"/>
      <c r="C710" s="153"/>
      <c r="D710" s="132"/>
      <c r="E710" s="132"/>
      <c r="F710" s="132"/>
      <c r="G710" s="153"/>
      <c r="H710" s="153"/>
      <c r="I710" s="153"/>
    </row>
    <row r="711" spans="2:9" ht="15.75" customHeight="1">
      <c r="B711" s="153"/>
      <c r="C711" s="153"/>
      <c r="D711" s="132"/>
      <c r="E711" s="132"/>
      <c r="F711" s="132"/>
      <c r="G711" s="153"/>
      <c r="H711" s="153"/>
      <c r="I711" s="153"/>
    </row>
    <row r="712" spans="2:9" ht="15.75" customHeight="1">
      <c r="B712" s="153"/>
      <c r="C712" s="153"/>
      <c r="D712" s="132"/>
      <c r="E712" s="132"/>
      <c r="F712" s="132"/>
      <c r="G712" s="153"/>
      <c r="H712" s="153"/>
      <c r="I712" s="153"/>
    </row>
    <row r="713" spans="2:9" ht="15.75" customHeight="1">
      <c r="B713" s="153"/>
      <c r="C713" s="153"/>
      <c r="D713" s="132"/>
      <c r="E713" s="132"/>
      <c r="F713" s="132"/>
      <c r="G713" s="153"/>
      <c r="H713" s="153"/>
      <c r="I713" s="153"/>
    </row>
    <row r="714" spans="2:9" ht="15.75" customHeight="1">
      <c r="B714" s="153"/>
      <c r="C714" s="153"/>
      <c r="D714" s="132"/>
      <c r="E714" s="132"/>
      <c r="F714" s="132"/>
      <c r="G714" s="153"/>
      <c r="H714" s="153"/>
      <c r="I714" s="153"/>
    </row>
    <row r="715" spans="2:9" ht="15.75" customHeight="1">
      <c r="B715" s="153"/>
      <c r="C715" s="153"/>
      <c r="D715" s="132"/>
      <c r="E715" s="132"/>
      <c r="F715" s="132"/>
      <c r="G715" s="153"/>
      <c r="H715" s="153"/>
      <c r="I715" s="153"/>
    </row>
    <row r="716" spans="2:9" ht="15.75" customHeight="1">
      <c r="B716" s="153"/>
      <c r="C716" s="153"/>
      <c r="D716" s="132"/>
      <c r="E716" s="132"/>
      <c r="F716" s="132"/>
      <c r="G716" s="153"/>
      <c r="H716" s="153"/>
      <c r="I716" s="153"/>
    </row>
    <row r="717" spans="2:9" ht="15.75" customHeight="1">
      <c r="B717" s="153"/>
      <c r="C717" s="153"/>
      <c r="D717" s="132"/>
      <c r="E717" s="132"/>
      <c r="F717" s="132"/>
      <c r="G717" s="153"/>
      <c r="H717" s="153"/>
      <c r="I717" s="153"/>
    </row>
    <row r="718" spans="2:9" ht="15.75" customHeight="1">
      <c r="B718" s="153"/>
      <c r="C718" s="153"/>
      <c r="D718" s="132"/>
      <c r="E718" s="132"/>
      <c r="F718" s="132"/>
      <c r="G718" s="153"/>
      <c r="H718" s="153"/>
      <c r="I718" s="153"/>
    </row>
    <row r="719" spans="2:9" ht="15.75" customHeight="1">
      <c r="B719" s="153"/>
      <c r="C719" s="153"/>
      <c r="D719" s="132"/>
      <c r="E719" s="132"/>
      <c r="F719" s="132"/>
      <c r="G719" s="153"/>
      <c r="H719" s="153"/>
      <c r="I719" s="153"/>
    </row>
    <row r="720" spans="2:9" ht="15.75" customHeight="1">
      <c r="B720" s="153"/>
      <c r="C720" s="153"/>
      <c r="D720" s="132"/>
      <c r="E720" s="132"/>
      <c r="F720" s="132"/>
      <c r="G720" s="153"/>
      <c r="H720" s="153"/>
      <c r="I720" s="153"/>
    </row>
    <row r="721" spans="2:9" ht="15.75" customHeight="1">
      <c r="B721" s="153"/>
      <c r="C721" s="153"/>
      <c r="D721" s="132"/>
      <c r="E721" s="132"/>
      <c r="F721" s="132"/>
      <c r="G721" s="153"/>
      <c r="H721" s="153"/>
      <c r="I721" s="153"/>
    </row>
    <row r="722" spans="2:9" ht="15.75" customHeight="1">
      <c r="B722" s="153"/>
      <c r="C722" s="153"/>
      <c r="D722" s="132"/>
      <c r="E722" s="132"/>
      <c r="F722" s="132"/>
      <c r="G722" s="153"/>
      <c r="H722" s="153"/>
      <c r="I722" s="153"/>
    </row>
    <row r="723" spans="2:9" ht="15.75" customHeight="1">
      <c r="B723" s="153"/>
      <c r="C723" s="153"/>
      <c r="D723" s="132"/>
      <c r="E723" s="132"/>
      <c r="F723" s="132"/>
      <c r="G723" s="153"/>
      <c r="H723" s="153"/>
      <c r="I723" s="153"/>
    </row>
    <row r="724" spans="2:9" ht="15.75" customHeight="1">
      <c r="B724" s="153"/>
      <c r="C724" s="153"/>
      <c r="D724" s="132"/>
      <c r="E724" s="132"/>
      <c r="F724" s="132"/>
      <c r="G724" s="153"/>
      <c r="H724" s="153"/>
      <c r="I724" s="153"/>
    </row>
    <row r="725" spans="2:9" ht="15.75" customHeight="1">
      <c r="B725" s="153"/>
      <c r="C725" s="153"/>
      <c r="D725" s="132"/>
      <c r="E725" s="132"/>
      <c r="F725" s="132"/>
      <c r="G725" s="153"/>
      <c r="H725" s="153"/>
      <c r="I725" s="153"/>
    </row>
    <row r="726" spans="2:9" ht="15.75" customHeight="1">
      <c r="B726" s="153"/>
      <c r="C726" s="153"/>
      <c r="D726" s="132"/>
      <c r="E726" s="132"/>
      <c r="F726" s="132"/>
      <c r="G726" s="153"/>
      <c r="H726" s="153"/>
      <c r="I726" s="153"/>
    </row>
    <row r="727" spans="2:9" ht="15.75" customHeight="1">
      <c r="B727" s="153"/>
      <c r="C727" s="153"/>
      <c r="D727" s="132"/>
      <c r="E727" s="132"/>
      <c r="F727" s="132"/>
      <c r="G727" s="153"/>
      <c r="H727" s="153"/>
      <c r="I727" s="153"/>
    </row>
    <row r="728" spans="2:9" ht="15.75" customHeight="1">
      <c r="B728" s="153"/>
      <c r="C728" s="153"/>
      <c r="D728" s="132"/>
      <c r="E728" s="132"/>
      <c r="F728" s="132"/>
      <c r="G728" s="153"/>
      <c r="H728" s="153"/>
      <c r="I728" s="153"/>
    </row>
    <row r="729" spans="2:9" ht="15.75" customHeight="1">
      <c r="B729" s="153"/>
      <c r="C729" s="153"/>
      <c r="D729" s="132"/>
      <c r="E729" s="132"/>
      <c r="F729" s="132"/>
      <c r="G729" s="153"/>
      <c r="H729" s="153"/>
      <c r="I729" s="153"/>
    </row>
    <row r="730" spans="2:9" ht="15.75" customHeight="1">
      <c r="B730" s="153"/>
      <c r="C730" s="153"/>
      <c r="D730" s="132"/>
      <c r="E730" s="132"/>
      <c r="F730" s="132"/>
      <c r="G730" s="153"/>
      <c r="H730" s="153"/>
      <c r="I730" s="153"/>
    </row>
    <row r="731" spans="2:9" ht="15.75" customHeight="1">
      <c r="B731" s="153"/>
      <c r="C731" s="153"/>
      <c r="D731" s="132"/>
      <c r="E731" s="132"/>
      <c r="F731" s="132"/>
      <c r="G731" s="153"/>
      <c r="H731" s="153"/>
      <c r="I731" s="153"/>
    </row>
    <row r="732" spans="2:9" ht="15.75" customHeight="1">
      <c r="B732" s="153"/>
      <c r="C732" s="153"/>
      <c r="D732" s="132"/>
      <c r="E732" s="132"/>
      <c r="F732" s="132"/>
      <c r="G732" s="153"/>
      <c r="H732" s="153"/>
      <c r="I732" s="153"/>
    </row>
    <row r="733" spans="2:9" ht="15.75" customHeight="1">
      <c r="B733" s="153"/>
      <c r="C733" s="153"/>
      <c r="D733" s="132"/>
      <c r="E733" s="132"/>
      <c r="F733" s="132"/>
      <c r="G733" s="153"/>
      <c r="H733" s="153"/>
      <c r="I733" s="153"/>
    </row>
    <row r="734" spans="2:9" ht="15.75" customHeight="1">
      <c r="B734" s="153"/>
      <c r="C734" s="153"/>
      <c r="D734" s="132"/>
      <c r="E734" s="132"/>
      <c r="F734" s="132"/>
      <c r="G734" s="153"/>
      <c r="H734" s="153"/>
      <c r="I734" s="153"/>
    </row>
    <row r="735" spans="2:9" ht="15.75" customHeight="1">
      <c r="B735" s="153"/>
      <c r="C735" s="153"/>
      <c r="D735" s="132"/>
      <c r="E735" s="132"/>
      <c r="F735" s="132"/>
      <c r="G735" s="153"/>
      <c r="H735" s="153"/>
      <c r="I735" s="153"/>
    </row>
    <row r="736" spans="2:9" ht="15.75" customHeight="1">
      <c r="B736" s="153"/>
      <c r="C736" s="153"/>
      <c r="D736" s="132"/>
      <c r="E736" s="132"/>
      <c r="F736" s="132"/>
      <c r="G736" s="153"/>
      <c r="H736" s="153"/>
      <c r="I736" s="153"/>
    </row>
    <row r="737" spans="2:9" ht="15.75" customHeight="1">
      <c r="B737" s="153"/>
      <c r="C737" s="153"/>
      <c r="D737" s="132"/>
      <c r="E737" s="132"/>
      <c r="F737" s="132"/>
      <c r="G737" s="153"/>
      <c r="H737" s="153"/>
      <c r="I737" s="153"/>
    </row>
    <row r="738" spans="2:9" ht="15.75" customHeight="1">
      <c r="B738" s="153"/>
      <c r="C738" s="153"/>
      <c r="D738" s="132"/>
      <c r="E738" s="132"/>
      <c r="F738" s="132"/>
      <c r="G738" s="153"/>
      <c r="H738" s="153"/>
      <c r="I738" s="153"/>
    </row>
    <row r="739" spans="2:9" ht="15.75" customHeight="1">
      <c r="B739" s="153"/>
      <c r="C739" s="153"/>
      <c r="D739" s="132"/>
      <c r="E739" s="132"/>
      <c r="F739" s="132"/>
      <c r="G739" s="153"/>
      <c r="H739" s="153"/>
      <c r="I739" s="153"/>
    </row>
    <row r="740" spans="2:9" ht="15.75" customHeight="1">
      <c r="B740" s="153"/>
      <c r="C740" s="153"/>
      <c r="D740" s="132"/>
      <c r="E740" s="132"/>
      <c r="F740" s="132"/>
      <c r="G740" s="153"/>
      <c r="H740" s="153"/>
      <c r="I740" s="153"/>
    </row>
    <row r="741" spans="2:9" ht="15.75" customHeight="1">
      <c r="B741" s="153"/>
      <c r="C741" s="153"/>
      <c r="D741" s="132"/>
      <c r="E741" s="132"/>
      <c r="F741" s="132"/>
      <c r="G741" s="153"/>
      <c r="H741" s="153"/>
      <c r="I741" s="153"/>
    </row>
    <row r="742" spans="2:9" ht="15.75" customHeight="1">
      <c r="B742" s="153"/>
      <c r="C742" s="153"/>
      <c r="D742" s="132"/>
      <c r="E742" s="132"/>
      <c r="F742" s="132"/>
      <c r="G742" s="153"/>
      <c r="H742" s="153"/>
      <c r="I742" s="153"/>
    </row>
    <row r="743" spans="2:9" ht="15.75" customHeight="1">
      <c r="B743" s="153"/>
      <c r="C743" s="153"/>
      <c r="D743" s="132"/>
      <c r="E743" s="132"/>
      <c r="F743" s="132"/>
      <c r="G743" s="153"/>
      <c r="H743" s="153"/>
      <c r="I743" s="153"/>
    </row>
    <row r="744" spans="2:9" ht="15.75" customHeight="1">
      <c r="B744" s="153"/>
      <c r="C744" s="153"/>
      <c r="D744" s="132"/>
      <c r="E744" s="132"/>
      <c r="F744" s="132"/>
      <c r="G744" s="153"/>
      <c r="H744" s="153"/>
      <c r="I744" s="153"/>
    </row>
    <row r="745" spans="2:9" ht="15.75" customHeight="1">
      <c r="B745" s="153"/>
      <c r="C745" s="153"/>
      <c r="D745" s="132"/>
      <c r="E745" s="132"/>
      <c r="F745" s="132"/>
      <c r="G745" s="153"/>
      <c r="H745" s="153"/>
      <c r="I745" s="153"/>
    </row>
    <row r="746" spans="2:9" ht="15.75" customHeight="1">
      <c r="B746" s="153"/>
      <c r="C746" s="153"/>
      <c r="D746" s="132"/>
      <c r="E746" s="132"/>
      <c r="F746" s="132"/>
      <c r="G746" s="153"/>
      <c r="H746" s="153"/>
      <c r="I746" s="153"/>
    </row>
    <row r="747" spans="2:9" ht="15.75" customHeight="1">
      <c r="B747" s="153"/>
      <c r="C747" s="153"/>
      <c r="D747" s="132"/>
      <c r="E747" s="132"/>
      <c r="F747" s="132"/>
      <c r="G747" s="153"/>
      <c r="H747" s="153"/>
      <c r="I747" s="153"/>
    </row>
    <row r="748" spans="2:9" ht="15.75" customHeight="1">
      <c r="B748" s="153"/>
      <c r="C748" s="153"/>
      <c r="D748" s="132"/>
      <c r="E748" s="132"/>
      <c r="F748" s="132"/>
      <c r="G748" s="153"/>
      <c r="H748" s="153"/>
      <c r="I748" s="153"/>
    </row>
    <row r="749" spans="2:9" ht="15.75" customHeight="1">
      <c r="B749" s="153"/>
      <c r="C749" s="153"/>
      <c r="D749" s="132"/>
      <c r="E749" s="132"/>
      <c r="F749" s="132"/>
      <c r="G749" s="153"/>
      <c r="H749" s="153"/>
      <c r="I749" s="153"/>
    </row>
    <row r="750" spans="2:9" ht="15.75" customHeight="1">
      <c r="B750" s="153"/>
      <c r="C750" s="153"/>
      <c r="D750" s="132"/>
      <c r="E750" s="132"/>
      <c r="F750" s="132"/>
      <c r="G750" s="153"/>
      <c r="H750" s="153"/>
      <c r="I750" s="153"/>
    </row>
    <row r="751" spans="2:9" ht="15.75" customHeight="1">
      <c r="B751" s="153"/>
      <c r="C751" s="153"/>
      <c r="D751" s="132"/>
      <c r="E751" s="132"/>
      <c r="F751" s="132"/>
      <c r="G751" s="153"/>
      <c r="H751" s="153"/>
      <c r="I751" s="153"/>
    </row>
    <row r="752" spans="2:9" ht="15.75" customHeight="1">
      <c r="B752" s="153"/>
      <c r="C752" s="153"/>
      <c r="D752" s="132"/>
      <c r="E752" s="132"/>
      <c r="F752" s="132"/>
      <c r="G752" s="153"/>
      <c r="H752" s="153"/>
      <c r="I752" s="153"/>
    </row>
    <row r="753" spans="2:9" ht="15.75" customHeight="1">
      <c r="B753" s="153"/>
      <c r="C753" s="153"/>
      <c r="D753" s="132"/>
      <c r="E753" s="132"/>
      <c r="F753" s="132"/>
      <c r="G753" s="153"/>
      <c r="H753" s="153"/>
      <c r="I753" s="153"/>
    </row>
    <row r="754" spans="2:9" ht="15.75" customHeight="1">
      <c r="B754" s="153"/>
      <c r="C754" s="153"/>
      <c r="D754" s="132"/>
      <c r="E754" s="132"/>
      <c r="F754" s="132"/>
      <c r="G754" s="153"/>
      <c r="H754" s="153"/>
      <c r="I754" s="153"/>
    </row>
    <row r="755" spans="2:9" ht="15.75" customHeight="1">
      <c r="B755" s="153"/>
      <c r="C755" s="153"/>
      <c r="D755" s="132"/>
      <c r="E755" s="132"/>
      <c r="F755" s="132"/>
      <c r="G755" s="153"/>
      <c r="H755" s="153"/>
      <c r="I755" s="153"/>
    </row>
    <row r="756" spans="2:9" ht="15.75" customHeight="1">
      <c r="B756" s="153"/>
      <c r="C756" s="153"/>
      <c r="D756" s="132"/>
      <c r="E756" s="132"/>
      <c r="F756" s="132"/>
      <c r="G756" s="153"/>
      <c r="H756" s="153"/>
      <c r="I756" s="153"/>
    </row>
    <row r="757" spans="2:9" ht="15.75" customHeight="1">
      <c r="B757" s="153"/>
      <c r="C757" s="153"/>
      <c r="D757" s="132"/>
      <c r="E757" s="132"/>
      <c r="F757" s="132"/>
      <c r="G757" s="153"/>
      <c r="H757" s="153"/>
      <c r="I757" s="153"/>
    </row>
    <row r="758" spans="2:9" ht="15.75" customHeight="1">
      <c r="B758" s="153"/>
      <c r="C758" s="153"/>
      <c r="D758" s="132"/>
      <c r="E758" s="132"/>
      <c r="F758" s="132"/>
      <c r="G758" s="153"/>
      <c r="H758" s="153"/>
      <c r="I758" s="153"/>
    </row>
    <row r="759" spans="2:9" ht="15.75" customHeight="1">
      <c r="B759" s="153"/>
      <c r="C759" s="153"/>
      <c r="D759" s="132"/>
      <c r="E759" s="132"/>
      <c r="F759" s="132"/>
      <c r="G759" s="153"/>
      <c r="H759" s="153"/>
      <c r="I759" s="153"/>
    </row>
    <row r="760" spans="2:9" ht="15.75" customHeight="1">
      <c r="B760" s="153"/>
      <c r="C760" s="153"/>
      <c r="D760" s="132"/>
      <c r="E760" s="132"/>
      <c r="F760" s="132"/>
      <c r="G760" s="153"/>
      <c r="H760" s="153"/>
      <c r="I760" s="153"/>
    </row>
    <row r="761" spans="2:9" ht="15.75" customHeight="1">
      <c r="B761" s="153"/>
      <c r="C761" s="153"/>
      <c r="D761" s="132"/>
      <c r="E761" s="132"/>
      <c r="F761" s="132"/>
      <c r="G761" s="153"/>
      <c r="H761" s="153"/>
      <c r="I761" s="153"/>
    </row>
    <row r="762" spans="2:9" ht="15.75" customHeight="1">
      <c r="B762" s="153"/>
      <c r="C762" s="153"/>
      <c r="D762" s="132"/>
      <c r="E762" s="132"/>
      <c r="F762" s="132"/>
      <c r="G762" s="153"/>
      <c r="H762" s="153"/>
      <c r="I762" s="153"/>
    </row>
    <row r="763" spans="2:9" ht="15.75" customHeight="1">
      <c r="B763" s="153"/>
      <c r="C763" s="153"/>
      <c r="D763" s="132"/>
      <c r="E763" s="132"/>
      <c r="F763" s="132"/>
      <c r="G763" s="153"/>
      <c r="H763" s="153"/>
      <c r="I763" s="153"/>
    </row>
    <row r="764" spans="2:9" ht="15.75" customHeight="1">
      <c r="B764" s="153"/>
      <c r="C764" s="153"/>
      <c r="D764" s="132"/>
      <c r="E764" s="132"/>
      <c r="F764" s="132"/>
      <c r="G764" s="153"/>
      <c r="H764" s="153"/>
      <c r="I764" s="153"/>
    </row>
    <row r="765" spans="2:9" ht="15.75" customHeight="1">
      <c r="B765" s="153"/>
      <c r="C765" s="153"/>
      <c r="D765" s="132"/>
      <c r="E765" s="132"/>
      <c r="F765" s="132"/>
      <c r="G765" s="153"/>
      <c r="H765" s="153"/>
      <c r="I765" s="153"/>
    </row>
    <row r="766" spans="2:9" ht="15.75" customHeight="1">
      <c r="B766" s="153"/>
      <c r="C766" s="153"/>
      <c r="D766" s="132"/>
      <c r="E766" s="132"/>
      <c r="F766" s="132"/>
      <c r="G766" s="153"/>
      <c r="H766" s="153"/>
      <c r="I766" s="153"/>
    </row>
    <row r="767" spans="2:9" ht="15.75" customHeight="1">
      <c r="B767" s="153"/>
      <c r="C767" s="153"/>
      <c r="D767" s="132"/>
      <c r="E767" s="132"/>
      <c r="F767" s="132"/>
      <c r="G767" s="153"/>
      <c r="H767" s="153"/>
      <c r="I767" s="153"/>
    </row>
    <row r="768" spans="2:9" ht="15.75" customHeight="1">
      <c r="B768" s="153"/>
      <c r="C768" s="153"/>
      <c r="D768" s="132"/>
      <c r="E768" s="132"/>
      <c r="F768" s="132"/>
      <c r="G768" s="153"/>
      <c r="H768" s="153"/>
      <c r="I768" s="153"/>
    </row>
    <row r="769" spans="2:9" ht="15.75" customHeight="1">
      <c r="B769" s="153"/>
      <c r="C769" s="153"/>
      <c r="D769" s="132"/>
      <c r="E769" s="132"/>
      <c r="F769" s="132"/>
      <c r="G769" s="153"/>
      <c r="H769" s="153"/>
      <c r="I769" s="153"/>
    </row>
    <row r="770" spans="2:9" ht="15.75" customHeight="1">
      <c r="B770" s="153"/>
      <c r="C770" s="153"/>
      <c r="D770" s="132"/>
      <c r="E770" s="132"/>
      <c r="F770" s="132"/>
      <c r="G770" s="153"/>
      <c r="H770" s="153"/>
      <c r="I770" s="153"/>
    </row>
    <row r="771" spans="2:9" ht="15.75" customHeight="1">
      <c r="B771" s="153"/>
      <c r="C771" s="153"/>
      <c r="D771" s="132"/>
      <c r="E771" s="132"/>
      <c r="F771" s="132"/>
      <c r="G771" s="153"/>
      <c r="H771" s="153"/>
      <c r="I771" s="153"/>
    </row>
    <row r="772" spans="2:9" ht="15.75" customHeight="1">
      <c r="B772" s="153"/>
      <c r="C772" s="153"/>
      <c r="D772" s="132"/>
      <c r="E772" s="132"/>
      <c r="F772" s="132"/>
      <c r="G772" s="153"/>
      <c r="H772" s="153"/>
      <c r="I772" s="153"/>
    </row>
    <row r="773" spans="2:9" ht="15.75" customHeight="1">
      <c r="B773" s="153"/>
      <c r="C773" s="153"/>
      <c r="D773" s="132"/>
      <c r="E773" s="132"/>
      <c r="F773" s="132"/>
      <c r="G773" s="153"/>
      <c r="H773" s="153"/>
      <c r="I773" s="153"/>
    </row>
    <row r="774" spans="2:9" ht="15.75" customHeight="1">
      <c r="B774" s="153"/>
      <c r="C774" s="153"/>
      <c r="D774" s="132"/>
      <c r="E774" s="132"/>
      <c r="F774" s="132"/>
      <c r="G774" s="153"/>
      <c r="H774" s="153"/>
      <c r="I774" s="153"/>
    </row>
    <row r="775" spans="2:9" ht="15.75" customHeight="1">
      <c r="B775" s="153"/>
      <c r="C775" s="153"/>
      <c r="D775" s="132"/>
      <c r="E775" s="132"/>
      <c r="F775" s="132"/>
      <c r="G775" s="153"/>
      <c r="H775" s="153"/>
      <c r="I775" s="153"/>
    </row>
    <row r="776" spans="2:9" ht="15.75" customHeight="1">
      <c r="B776" s="153"/>
      <c r="C776" s="153"/>
      <c r="D776" s="132"/>
      <c r="E776" s="132"/>
      <c r="F776" s="132"/>
      <c r="G776" s="153"/>
      <c r="H776" s="153"/>
      <c r="I776" s="153"/>
    </row>
    <row r="777" spans="2:9" ht="15.75" customHeight="1">
      <c r="B777" s="153"/>
      <c r="C777" s="153"/>
      <c r="D777" s="132"/>
      <c r="E777" s="132"/>
      <c r="F777" s="132"/>
      <c r="G777" s="153"/>
      <c r="H777" s="153"/>
      <c r="I777" s="153"/>
    </row>
    <row r="778" spans="2:9" ht="15.75" customHeight="1">
      <c r="B778" s="153"/>
      <c r="C778" s="153"/>
      <c r="D778" s="132"/>
      <c r="E778" s="132"/>
      <c r="F778" s="132"/>
      <c r="G778" s="153"/>
      <c r="H778" s="153"/>
      <c r="I778" s="153"/>
    </row>
    <row r="779" spans="2:9" ht="15.75" customHeight="1">
      <c r="B779" s="153"/>
      <c r="C779" s="153"/>
      <c r="D779" s="132"/>
      <c r="E779" s="132"/>
      <c r="F779" s="132"/>
      <c r="G779" s="153"/>
      <c r="H779" s="153"/>
      <c r="I779" s="153"/>
    </row>
    <row r="780" spans="2:9" ht="15.75" customHeight="1">
      <c r="B780" s="153"/>
      <c r="C780" s="153"/>
      <c r="D780" s="132"/>
      <c r="E780" s="132"/>
      <c r="F780" s="132"/>
      <c r="G780" s="153"/>
      <c r="H780" s="153"/>
      <c r="I780" s="153"/>
    </row>
    <row r="781" spans="2:9" ht="15.75" customHeight="1">
      <c r="B781" s="153"/>
      <c r="C781" s="153"/>
      <c r="D781" s="132"/>
      <c r="E781" s="132"/>
      <c r="F781" s="132"/>
      <c r="G781" s="153"/>
      <c r="H781" s="153"/>
      <c r="I781" s="153"/>
    </row>
    <row r="782" spans="2:9" ht="15.75" customHeight="1">
      <c r="B782" s="153"/>
      <c r="C782" s="153"/>
      <c r="D782" s="132"/>
      <c r="E782" s="132"/>
      <c r="F782" s="132"/>
      <c r="G782" s="153"/>
      <c r="H782" s="153"/>
      <c r="I782" s="153"/>
    </row>
    <row r="783" spans="2:9" ht="15.75" customHeight="1">
      <c r="B783" s="153"/>
      <c r="C783" s="153"/>
      <c r="D783" s="132"/>
      <c r="E783" s="132"/>
      <c r="F783" s="132"/>
      <c r="G783" s="153"/>
      <c r="H783" s="153"/>
      <c r="I783" s="153"/>
    </row>
    <row r="784" spans="2:9" ht="15.75" customHeight="1">
      <c r="B784" s="153"/>
      <c r="C784" s="153"/>
      <c r="D784" s="132"/>
      <c r="E784" s="132"/>
      <c r="F784" s="132"/>
      <c r="G784" s="153"/>
      <c r="H784" s="153"/>
      <c r="I784" s="153"/>
    </row>
    <row r="785" spans="2:9" ht="15.75" customHeight="1">
      <c r="B785" s="153"/>
      <c r="C785" s="153"/>
      <c r="D785" s="132"/>
      <c r="E785" s="132"/>
      <c r="F785" s="132"/>
      <c r="G785" s="153"/>
      <c r="H785" s="153"/>
      <c r="I785" s="153"/>
    </row>
    <row r="786" spans="2:9" ht="15.75" customHeight="1">
      <c r="B786" s="153"/>
      <c r="C786" s="153"/>
      <c r="D786" s="132"/>
      <c r="E786" s="132"/>
      <c r="F786" s="132"/>
      <c r="G786" s="153"/>
      <c r="H786" s="153"/>
      <c r="I786" s="153"/>
    </row>
    <row r="787" spans="2:9" ht="15.75" customHeight="1">
      <c r="B787" s="153"/>
      <c r="C787" s="153"/>
      <c r="D787" s="132"/>
      <c r="E787" s="132"/>
      <c r="F787" s="132"/>
      <c r="G787" s="153"/>
      <c r="H787" s="153"/>
      <c r="I787" s="153"/>
    </row>
    <row r="788" spans="2:9" ht="15.75" customHeight="1">
      <c r="B788" s="153"/>
      <c r="C788" s="153"/>
      <c r="D788" s="132"/>
      <c r="E788" s="132"/>
      <c r="F788" s="132"/>
      <c r="G788" s="153"/>
      <c r="H788" s="153"/>
      <c r="I788" s="153"/>
    </row>
    <row r="789" spans="2:9" ht="15.75" customHeight="1">
      <c r="B789" s="153"/>
      <c r="C789" s="153"/>
      <c r="D789" s="132"/>
      <c r="E789" s="132"/>
      <c r="F789" s="132"/>
      <c r="G789" s="153"/>
      <c r="H789" s="153"/>
      <c r="I789" s="153"/>
    </row>
    <row r="790" spans="2:9" ht="15.75" customHeight="1">
      <c r="B790" s="153"/>
      <c r="C790" s="153"/>
      <c r="D790" s="132"/>
      <c r="E790" s="132"/>
      <c r="F790" s="132"/>
      <c r="G790" s="153"/>
      <c r="H790" s="153"/>
      <c r="I790" s="153"/>
    </row>
    <row r="791" spans="2:9" ht="15.75" customHeight="1">
      <c r="B791" s="153"/>
      <c r="C791" s="153"/>
      <c r="D791" s="132"/>
      <c r="E791" s="132"/>
      <c r="F791" s="132"/>
      <c r="G791" s="153"/>
      <c r="H791" s="153"/>
      <c r="I791" s="153"/>
    </row>
    <row r="792" spans="2:9" ht="15.75" customHeight="1">
      <c r="B792" s="153"/>
      <c r="C792" s="153"/>
      <c r="D792" s="132"/>
      <c r="E792" s="132"/>
      <c r="F792" s="132"/>
      <c r="G792" s="153"/>
      <c r="H792" s="153"/>
      <c r="I792" s="153"/>
    </row>
    <row r="793" spans="2:9" ht="15.75" customHeight="1">
      <c r="B793" s="153"/>
      <c r="C793" s="153"/>
      <c r="D793" s="132"/>
      <c r="E793" s="132"/>
      <c r="F793" s="132"/>
      <c r="G793" s="153"/>
      <c r="H793" s="153"/>
      <c r="I793" s="153"/>
    </row>
    <row r="794" spans="2:9" ht="15.75" customHeight="1">
      <c r="B794" s="153"/>
      <c r="C794" s="153"/>
      <c r="D794" s="132"/>
      <c r="E794" s="132"/>
      <c r="F794" s="132"/>
      <c r="G794" s="153"/>
      <c r="H794" s="153"/>
      <c r="I794" s="153"/>
    </row>
    <row r="795" spans="2:9" ht="15.75" customHeight="1">
      <c r="B795" s="153"/>
      <c r="C795" s="153"/>
      <c r="D795" s="132"/>
      <c r="E795" s="132"/>
      <c r="F795" s="132"/>
      <c r="G795" s="153"/>
      <c r="H795" s="153"/>
      <c r="I795" s="153"/>
    </row>
    <row r="796" spans="2:9" ht="15.75" customHeight="1">
      <c r="B796" s="153"/>
      <c r="C796" s="153"/>
      <c r="D796" s="132"/>
      <c r="E796" s="132"/>
      <c r="F796" s="132"/>
      <c r="G796" s="153"/>
      <c r="H796" s="153"/>
      <c r="I796" s="153"/>
    </row>
    <row r="797" spans="2:9" ht="15.75" customHeight="1">
      <c r="B797" s="153"/>
      <c r="C797" s="153"/>
      <c r="D797" s="132"/>
      <c r="E797" s="132"/>
      <c r="F797" s="132"/>
      <c r="G797" s="153"/>
      <c r="H797" s="153"/>
      <c r="I797" s="153"/>
    </row>
    <row r="798" spans="2:9" ht="15.75" customHeight="1">
      <c r="B798" s="153"/>
      <c r="C798" s="153"/>
      <c r="D798" s="132"/>
      <c r="E798" s="132"/>
      <c r="F798" s="132"/>
      <c r="G798" s="153"/>
      <c r="H798" s="153"/>
      <c r="I798" s="153"/>
    </row>
    <row r="799" spans="2:9" ht="15.75" customHeight="1">
      <c r="B799" s="153"/>
      <c r="C799" s="153"/>
      <c r="D799" s="132"/>
      <c r="E799" s="132"/>
      <c r="F799" s="132"/>
      <c r="G799" s="153"/>
      <c r="H799" s="153"/>
      <c r="I799" s="153"/>
    </row>
    <row r="800" spans="2:9" ht="15.75" customHeight="1">
      <c r="B800" s="153"/>
      <c r="C800" s="153"/>
      <c r="D800" s="132"/>
      <c r="E800" s="132"/>
      <c r="F800" s="132"/>
      <c r="G800" s="153"/>
      <c r="H800" s="153"/>
      <c r="I800" s="153"/>
    </row>
    <row r="801" spans="2:9" ht="15.75" customHeight="1">
      <c r="B801" s="153"/>
      <c r="C801" s="153"/>
      <c r="D801" s="132"/>
      <c r="E801" s="132"/>
      <c r="F801" s="132"/>
      <c r="G801" s="153"/>
      <c r="H801" s="153"/>
      <c r="I801" s="153"/>
    </row>
    <row r="802" spans="2:9" ht="15.75" customHeight="1">
      <c r="B802" s="153"/>
      <c r="C802" s="153"/>
      <c r="D802" s="132"/>
      <c r="E802" s="132"/>
      <c r="F802" s="132"/>
      <c r="G802" s="153"/>
      <c r="H802" s="153"/>
      <c r="I802" s="153"/>
    </row>
    <row r="803" spans="2:9" ht="15.75" customHeight="1">
      <c r="B803" s="153"/>
      <c r="C803" s="153"/>
      <c r="D803" s="132"/>
      <c r="E803" s="132"/>
      <c r="F803" s="132"/>
      <c r="G803" s="153"/>
      <c r="H803" s="153"/>
      <c r="I803" s="153"/>
    </row>
    <row r="804" spans="2:9" ht="15.75" customHeight="1">
      <c r="B804" s="153"/>
      <c r="C804" s="153"/>
      <c r="D804" s="132"/>
      <c r="E804" s="132"/>
      <c r="F804" s="132"/>
      <c r="G804" s="153"/>
      <c r="H804" s="153"/>
      <c r="I804" s="153"/>
    </row>
    <row r="805" spans="2:9" ht="15.75" customHeight="1">
      <c r="B805" s="153"/>
      <c r="C805" s="153"/>
      <c r="D805" s="132"/>
      <c r="E805" s="132"/>
      <c r="F805" s="132"/>
      <c r="G805" s="153"/>
      <c r="H805" s="153"/>
      <c r="I805" s="153"/>
    </row>
    <row r="806" spans="2:9" ht="15.75" customHeight="1">
      <c r="B806" s="153"/>
      <c r="C806" s="153"/>
      <c r="D806" s="132"/>
      <c r="E806" s="132"/>
      <c r="F806" s="132"/>
      <c r="G806" s="153"/>
      <c r="H806" s="153"/>
      <c r="I806" s="153"/>
    </row>
    <row r="807" spans="2:9" ht="15.75" customHeight="1">
      <c r="B807" s="153"/>
      <c r="C807" s="153"/>
      <c r="D807" s="132"/>
      <c r="E807" s="132"/>
      <c r="F807" s="132"/>
      <c r="G807" s="153"/>
      <c r="H807" s="153"/>
      <c r="I807" s="153"/>
    </row>
    <row r="808" spans="2:9" ht="15.75" customHeight="1">
      <c r="B808" s="153"/>
      <c r="C808" s="153"/>
      <c r="D808" s="132"/>
      <c r="E808" s="132"/>
      <c r="F808" s="132"/>
      <c r="G808" s="153"/>
      <c r="H808" s="153"/>
      <c r="I808" s="153"/>
    </row>
    <row r="809" spans="2:9" ht="15.75" customHeight="1">
      <c r="B809" s="153"/>
      <c r="C809" s="153"/>
      <c r="D809" s="132"/>
      <c r="E809" s="132"/>
      <c r="F809" s="132"/>
      <c r="G809" s="153"/>
      <c r="H809" s="153"/>
      <c r="I809" s="153"/>
    </row>
    <row r="810" spans="2:9" ht="15.75" customHeight="1">
      <c r="B810" s="153"/>
      <c r="C810" s="153"/>
      <c r="D810" s="132"/>
      <c r="E810" s="132"/>
      <c r="F810" s="132"/>
      <c r="G810" s="153"/>
      <c r="H810" s="153"/>
      <c r="I810" s="153"/>
    </row>
    <row r="811" spans="2:9" ht="15.75" customHeight="1">
      <c r="B811" s="153"/>
      <c r="C811" s="153"/>
      <c r="D811" s="132"/>
      <c r="E811" s="132"/>
      <c r="F811" s="132"/>
      <c r="G811" s="153"/>
      <c r="H811" s="153"/>
      <c r="I811" s="153"/>
    </row>
    <row r="812" spans="2:9" ht="15.75" customHeight="1">
      <c r="B812" s="153"/>
      <c r="C812" s="153"/>
      <c r="D812" s="132"/>
      <c r="E812" s="132"/>
      <c r="F812" s="132"/>
      <c r="G812" s="153"/>
      <c r="H812" s="153"/>
      <c r="I812" s="153"/>
    </row>
    <row r="813" spans="2:9" ht="15.75" customHeight="1">
      <c r="B813" s="153"/>
      <c r="C813" s="153"/>
      <c r="D813" s="132"/>
      <c r="E813" s="132"/>
      <c r="F813" s="132"/>
      <c r="G813" s="153"/>
      <c r="H813" s="153"/>
      <c r="I813" s="153"/>
    </row>
    <row r="814" spans="2:9" ht="15.75" customHeight="1">
      <c r="B814" s="153"/>
      <c r="C814" s="153"/>
      <c r="D814" s="132"/>
      <c r="E814" s="132"/>
      <c r="F814" s="132"/>
      <c r="G814" s="153"/>
      <c r="H814" s="153"/>
      <c r="I814" s="153"/>
    </row>
    <row r="815" spans="2:9" ht="15.75" customHeight="1">
      <c r="B815" s="153"/>
      <c r="C815" s="153"/>
      <c r="D815" s="132"/>
      <c r="E815" s="132"/>
      <c r="F815" s="132"/>
      <c r="G815" s="153"/>
      <c r="H815" s="153"/>
      <c r="I815" s="153"/>
    </row>
    <row r="816" spans="2:9" ht="15.75" customHeight="1">
      <c r="B816" s="153"/>
      <c r="C816" s="153"/>
      <c r="D816" s="132"/>
      <c r="E816" s="132"/>
      <c r="F816" s="132"/>
      <c r="G816" s="153"/>
      <c r="H816" s="153"/>
      <c r="I816" s="153"/>
    </row>
    <row r="817" spans="2:9" ht="15.75" customHeight="1">
      <c r="B817" s="153"/>
      <c r="C817" s="153"/>
      <c r="D817" s="132"/>
      <c r="E817" s="132"/>
      <c r="F817" s="132"/>
      <c r="G817" s="153"/>
      <c r="H817" s="153"/>
      <c r="I817" s="153"/>
    </row>
    <row r="818" spans="2:9" ht="15.75" customHeight="1">
      <c r="B818" s="153"/>
      <c r="C818" s="153"/>
      <c r="D818" s="132"/>
      <c r="E818" s="132"/>
      <c r="F818" s="132"/>
      <c r="G818" s="153"/>
      <c r="H818" s="153"/>
      <c r="I818" s="153"/>
    </row>
    <row r="819" spans="2:9" ht="15.75" customHeight="1">
      <c r="B819" s="153"/>
      <c r="C819" s="153"/>
      <c r="D819" s="132"/>
      <c r="E819" s="132"/>
      <c r="F819" s="132"/>
      <c r="G819" s="153"/>
      <c r="H819" s="153"/>
      <c r="I819" s="153"/>
    </row>
    <row r="820" spans="2:9" ht="15.75" customHeight="1">
      <c r="B820" s="153"/>
      <c r="C820" s="153"/>
      <c r="D820" s="132"/>
      <c r="E820" s="132"/>
      <c r="F820" s="132"/>
      <c r="G820" s="153"/>
      <c r="H820" s="153"/>
      <c r="I820" s="153"/>
    </row>
    <row r="821" spans="2:9" ht="15.75" customHeight="1">
      <c r="B821" s="153"/>
      <c r="C821" s="153"/>
      <c r="D821" s="132"/>
      <c r="E821" s="132"/>
      <c r="F821" s="132"/>
      <c r="G821" s="153"/>
      <c r="H821" s="153"/>
      <c r="I821" s="153"/>
    </row>
    <row r="822" spans="2:9" ht="15.75" customHeight="1">
      <c r="B822" s="153"/>
      <c r="C822" s="153"/>
      <c r="D822" s="132"/>
      <c r="E822" s="132"/>
      <c r="F822" s="132"/>
      <c r="G822" s="153"/>
      <c r="H822" s="153"/>
      <c r="I822" s="153"/>
    </row>
    <row r="823" spans="2:9" ht="15.75" customHeight="1">
      <c r="B823" s="153"/>
      <c r="C823" s="153"/>
      <c r="D823" s="132"/>
      <c r="E823" s="132"/>
      <c r="F823" s="132"/>
      <c r="G823" s="153"/>
      <c r="H823" s="153"/>
      <c r="I823" s="153"/>
    </row>
    <row r="824" spans="2:9" ht="15.75" customHeight="1">
      <c r="B824" s="153"/>
      <c r="C824" s="153"/>
      <c r="D824" s="132"/>
      <c r="E824" s="132"/>
      <c r="F824" s="132"/>
      <c r="G824" s="153"/>
      <c r="H824" s="153"/>
      <c r="I824" s="153"/>
    </row>
    <row r="825" spans="2:9" ht="15.75" customHeight="1">
      <c r="B825" s="153"/>
      <c r="C825" s="153"/>
      <c r="D825" s="132"/>
      <c r="E825" s="132"/>
      <c r="F825" s="132"/>
      <c r="G825" s="153"/>
      <c r="H825" s="153"/>
      <c r="I825" s="153"/>
    </row>
    <row r="826" spans="2:9" ht="15.75" customHeight="1">
      <c r="B826" s="153"/>
      <c r="C826" s="153"/>
      <c r="D826" s="132"/>
      <c r="E826" s="132"/>
      <c r="F826" s="132"/>
      <c r="G826" s="153"/>
      <c r="H826" s="153"/>
      <c r="I826" s="153"/>
    </row>
    <row r="827" spans="2:9" ht="15.75" customHeight="1">
      <c r="B827" s="153"/>
      <c r="C827" s="153"/>
      <c r="D827" s="132"/>
      <c r="E827" s="132"/>
      <c r="F827" s="132"/>
      <c r="G827" s="153"/>
      <c r="H827" s="153"/>
      <c r="I827" s="153"/>
    </row>
    <row r="828" spans="2:9" ht="15.75" customHeight="1">
      <c r="B828" s="153"/>
      <c r="C828" s="153"/>
      <c r="D828" s="132"/>
      <c r="E828" s="132"/>
      <c r="F828" s="132"/>
      <c r="G828" s="153"/>
      <c r="H828" s="153"/>
      <c r="I828" s="153"/>
    </row>
    <row r="829" spans="2:9" ht="15.75" customHeight="1">
      <c r="B829" s="153"/>
      <c r="C829" s="153"/>
      <c r="D829" s="132"/>
      <c r="E829" s="132"/>
      <c r="F829" s="132"/>
      <c r="G829" s="153"/>
      <c r="H829" s="153"/>
      <c r="I829" s="153"/>
    </row>
    <row r="830" spans="2:9" ht="15.75" customHeight="1">
      <c r="B830" s="153"/>
      <c r="C830" s="153"/>
      <c r="D830" s="132"/>
      <c r="E830" s="132"/>
      <c r="F830" s="132"/>
      <c r="G830" s="153"/>
      <c r="H830" s="153"/>
      <c r="I830" s="153"/>
    </row>
    <row r="831" spans="2:9" ht="15.75" customHeight="1">
      <c r="B831" s="153"/>
      <c r="C831" s="153"/>
      <c r="D831" s="132"/>
      <c r="E831" s="132"/>
      <c r="F831" s="132"/>
      <c r="G831" s="153"/>
      <c r="H831" s="153"/>
      <c r="I831" s="153"/>
    </row>
    <row r="832" spans="2:9" ht="15.75" customHeight="1">
      <c r="B832" s="153"/>
      <c r="C832" s="153"/>
      <c r="D832" s="132"/>
      <c r="E832" s="132"/>
      <c r="F832" s="132"/>
      <c r="G832" s="153"/>
      <c r="H832" s="153"/>
      <c r="I832" s="153"/>
    </row>
    <row r="833" spans="2:9" ht="15.75" customHeight="1">
      <c r="B833" s="153"/>
      <c r="C833" s="153"/>
      <c r="D833" s="132"/>
      <c r="E833" s="132"/>
      <c r="F833" s="132"/>
      <c r="G833" s="153"/>
      <c r="H833" s="153"/>
      <c r="I833" s="153"/>
    </row>
    <row r="834" spans="2:9" ht="15.75" customHeight="1">
      <c r="B834" s="153"/>
      <c r="C834" s="153"/>
      <c r="D834" s="132"/>
      <c r="E834" s="132"/>
      <c r="F834" s="132"/>
      <c r="G834" s="153"/>
      <c r="H834" s="153"/>
      <c r="I834" s="153"/>
    </row>
    <row r="835" spans="2:9" ht="15.75" customHeight="1">
      <c r="B835" s="153"/>
      <c r="C835" s="153"/>
      <c r="D835" s="132"/>
      <c r="E835" s="132"/>
      <c r="F835" s="132"/>
      <c r="G835" s="153"/>
      <c r="H835" s="153"/>
      <c r="I835" s="153"/>
    </row>
    <row r="836" spans="2:9" ht="15.75" customHeight="1">
      <c r="B836" s="153"/>
      <c r="C836" s="153"/>
      <c r="D836" s="132"/>
      <c r="E836" s="132"/>
      <c r="F836" s="132"/>
      <c r="G836" s="153"/>
      <c r="H836" s="153"/>
      <c r="I836" s="153"/>
    </row>
    <row r="837" spans="2:9" ht="15.75" customHeight="1">
      <c r="B837" s="153"/>
      <c r="C837" s="153"/>
      <c r="D837" s="132"/>
      <c r="E837" s="132"/>
      <c r="F837" s="132"/>
      <c r="G837" s="153"/>
      <c r="H837" s="153"/>
      <c r="I837" s="153"/>
    </row>
    <row r="838" spans="2:9" ht="15.75" customHeight="1">
      <c r="B838" s="153"/>
      <c r="C838" s="153"/>
      <c r="D838" s="132"/>
      <c r="E838" s="132"/>
      <c r="F838" s="132"/>
      <c r="G838" s="153"/>
      <c r="H838" s="153"/>
      <c r="I838" s="153"/>
    </row>
    <row r="839" spans="2:9" ht="15.75" customHeight="1">
      <c r="B839" s="153"/>
      <c r="C839" s="153"/>
      <c r="D839" s="132"/>
      <c r="E839" s="132"/>
      <c r="F839" s="132"/>
      <c r="G839" s="153"/>
      <c r="H839" s="153"/>
      <c r="I839" s="153"/>
    </row>
    <row r="840" spans="2:9" ht="15.75" customHeight="1">
      <c r="B840" s="153"/>
      <c r="C840" s="153"/>
      <c r="D840" s="132"/>
      <c r="E840" s="132"/>
      <c r="F840" s="132"/>
      <c r="G840" s="153"/>
      <c r="H840" s="153"/>
      <c r="I840" s="153"/>
    </row>
    <row r="841" spans="2:9" ht="15.75" customHeight="1">
      <c r="B841" s="153"/>
      <c r="C841" s="153"/>
      <c r="D841" s="132"/>
      <c r="E841" s="132"/>
      <c r="F841" s="132"/>
      <c r="G841" s="153"/>
      <c r="H841" s="153"/>
      <c r="I841" s="153"/>
    </row>
    <row r="842" spans="2:9" ht="15.75" customHeight="1">
      <c r="B842" s="153"/>
      <c r="C842" s="153"/>
      <c r="D842" s="132"/>
      <c r="E842" s="132"/>
      <c r="F842" s="132"/>
      <c r="G842" s="153"/>
      <c r="H842" s="153"/>
      <c r="I842" s="153"/>
    </row>
    <row r="843" spans="2:9" ht="15.75" customHeight="1">
      <c r="B843" s="153"/>
      <c r="C843" s="153"/>
      <c r="D843" s="132"/>
      <c r="E843" s="132"/>
      <c r="F843" s="132"/>
      <c r="G843" s="153"/>
      <c r="H843" s="153"/>
      <c r="I843" s="153"/>
    </row>
    <row r="844" spans="2:9" ht="15.75" customHeight="1">
      <c r="B844" s="153"/>
      <c r="C844" s="153"/>
      <c r="D844" s="132"/>
      <c r="E844" s="132"/>
      <c r="F844" s="132"/>
      <c r="G844" s="153"/>
      <c r="H844" s="153"/>
      <c r="I844" s="153"/>
    </row>
    <row r="845" spans="2:9" ht="15.75" customHeight="1">
      <c r="B845" s="153"/>
      <c r="C845" s="153"/>
      <c r="D845" s="132"/>
      <c r="E845" s="132"/>
      <c r="F845" s="132"/>
      <c r="G845" s="153"/>
      <c r="H845" s="153"/>
      <c r="I845" s="153"/>
    </row>
    <row r="846" spans="2:9" ht="15.75" customHeight="1">
      <c r="B846" s="153"/>
      <c r="C846" s="153"/>
      <c r="D846" s="132"/>
      <c r="E846" s="132"/>
      <c r="F846" s="132"/>
      <c r="G846" s="153"/>
      <c r="H846" s="153"/>
      <c r="I846" s="153"/>
    </row>
    <row r="847" spans="2:9" ht="15.75" customHeight="1">
      <c r="B847" s="153"/>
      <c r="C847" s="153"/>
      <c r="D847" s="132"/>
      <c r="E847" s="132"/>
      <c r="F847" s="132"/>
      <c r="G847" s="153"/>
      <c r="H847" s="153"/>
      <c r="I847" s="153"/>
    </row>
    <row r="848" spans="2:9" ht="15.75" customHeight="1">
      <c r="B848" s="153"/>
      <c r="C848" s="153"/>
      <c r="D848" s="132"/>
      <c r="E848" s="132"/>
      <c r="F848" s="132"/>
      <c r="G848" s="153"/>
      <c r="H848" s="153"/>
      <c r="I848" s="153"/>
    </row>
    <row r="849" spans="2:9" ht="15.75" customHeight="1">
      <c r="B849" s="153"/>
      <c r="C849" s="153"/>
      <c r="D849" s="132"/>
      <c r="E849" s="132"/>
      <c r="F849" s="132"/>
      <c r="G849" s="153"/>
      <c r="H849" s="153"/>
      <c r="I849" s="153"/>
    </row>
    <row r="850" spans="2:9" ht="15.75" customHeight="1">
      <c r="B850" s="153"/>
      <c r="C850" s="153"/>
      <c r="D850" s="132"/>
      <c r="E850" s="132"/>
      <c r="F850" s="132"/>
      <c r="G850" s="153"/>
      <c r="H850" s="153"/>
      <c r="I850" s="153"/>
    </row>
    <row r="851" spans="2:9" ht="15.75" customHeight="1">
      <c r="B851" s="153"/>
      <c r="C851" s="153"/>
      <c r="D851" s="132"/>
      <c r="E851" s="132"/>
      <c r="F851" s="132"/>
      <c r="G851" s="153"/>
      <c r="H851" s="153"/>
      <c r="I851" s="153"/>
    </row>
    <row r="852" spans="2:9" ht="15.75" customHeight="1">
      <c r="B852" s="153"/>
      <c r="C852" s="153"/>
      <c r="D852" s="132"/>
      <c r="E852" s="132"/>
      <c r="F852" s="132"/>
      <c r="G852" s="153"/>
      <c r="H852" s="153"/>
      <c r="I852" s="153"/>
    </row>
    <row r="853" spans="2:9" ht="15.75" customHeight="1">
      <c r="B853" s="153"/>
      <c r="C853" s="153"/>
      <c r="D853" s="132"/>
      <c r="E853" s="132"/>
      <c r="F853" s="132"/>
      <c r="G853" s="153"/>
      <c r="H853" s="153"/>
      <c r="I853" s="153"/>
    </row>
    <row r="854" spans="2:9" ht="15.75" customHeight="1">
      <c r="B854" s="153"/>
      <c r="C854" s="153"/>
      <c r="D854" s="132"/>
      <c r="E854" s="132"/>
      <c r="F854" s="132"/>
      <c r="G854" s="153"/>
      <c r="H854" s="153"/>
      <c r="I854" s="153"/>
    </row>
    <row r="855" spans="2:9" ht="15.75" customHeight="1">
      <c r="B855" s="153"/>
      <c r="C855" s="153"/>
      <c r="D855" s="132"/>
      <c r="E855" s="132"/>
      <c r="F855" s="132"/>
      <c r="G855" s="153"/>
      <c r="H855" s="153"/>
      <c r="I855" s="153"/>
    </row>
    <row r="856" spans="2:9" ht="15.75" customHeight="1">
      <c r="B856" s="153"/>
      <c r="C856" s="153"/>
      <c r="D856" s="132"/>
      <c r="E856" s="132"/>
      <c r="F856" s="132"/>
      <c r="G856" s="153"/>
      <c r="H856" s="153"/>
      <c r="I856" s="153"/>
    </row>
    <row r="857" spans="2:9" ht="15.75" customHeight="1">
      <c r="B857" s="153"/>
      <c r="C857" s="153"/>
      <c r="D857" s="132"/>
      <c r="E857" s="132"/>
      <c r="F857" s="132"/>
      <c r="G857" s="153"/>
      <c r="H857" s="153"/>
      <c r="I857" s="153"/>
    </row>
    <row r="858" spans="2:9" ht="15.75" customHeight="1">
      <c r="B858" s="153"/>
      <c r="C858" s="153"/>
      <c r="D858" s="132"/>
      <c r="E858" s="132"/>
      <c r="F858" s="132"/>
      <c r="G858" s="153"/>
      <c r="H858" s="153"/>
      <c r="I858" s="153"/>
    </row>
    <row r="859" spans="2:9" ht="15.75" customHeight="1">
      <c r="B859" s="153"/>
      <c r="C859" s="153"/>
      <c r="D859" s="132"/>
      <c r="E859" s="132"/>
      <c r="F859" s="132"/>
      <c r="G859" s="153"/>
      <c r="H859" s="153"/>
      <c r="I859" s="153"/>
    </row>
    <row r="860" spans="2:9" ht="15.75" customHeight="1">
      <c r="B860" s="153"/>
      <c r="C860" s="153"/>
      <c r="D860" s="132"/>
      <c r="E860" s="132"/>
      <c r="F860" s="132"/>
      <c r="G860" s="153"/>
      <c r="H860" s="153"/>
      <c r="I860" s="153"/>
    </row>
    <row r="861" spans="2:9" ht="15.75" customHeight="1">
      <c r="B861" s="153"/>
      <c r="C861" s="153"/>
      <c r="D861" s="132"/>
      <c r="E861" s="132"/>
      <c r="F861" s="132"/>
      <c r="G861" s="153"/>
      <c r="H861" s="153"/>
      <c r="I861" s="153"/>
    </row>
    <row r="862" spans="2:9" ht="15.75" customHeight="1">
      <c r="B862" s="153"/>
      <c r="C862" s="153"/>
      <c r="D862" s="132"/>
      <c r="E862" s="132"/>
      <c r="F862" s="132"/>
      <c r="G862" s="153"/>
      <c r="H862" s="153"/>
      <c r="I862" s="153"/>
    </row>
    <row r="863" spans="2:9" ht="15.75" customHeight="1">
      <c r="B863" s="153"/>
      <c r="C863" s="153"/>
      <c r="D863" s="132"/>
      <c r="E863" s="132"/>
      <c r="F863" s="132"/>
      <c r="G863" s="153"/>
      <c r="H863" s="153"/>
      <c r="I863" s="153"/>
    </row>
    <row r="864" spans="2:9" ht="15.75" customHeight="1">
      <c r="B864" s="153"/>
      <c r="C864" s="153"/>
      <c r="D864" s="132"/>
      <c r="E864" s="132"/>
      <c r="F864" s="132"/>
      <c r="G864" s="153"/>
      <c r="H864" s="153"/>
      <c r="I864" s="153"/>
    </row>
    <row r="865" spans="2:9" ht="15.75" customHeight="1">
      <c r="B865" s="153"/>
      <c r="C865" s="153"/>
      <c r="D865" s="132"/>
      <c r="E865" s="132"/>
      <c r="F865" s="132"/>
      <c r="G865" s="153"/>
      <c r="H865" s="153"/>
      <c r="I865" s="153"/>
    </row>
    <row r="866" spans="2:9" ht="15.75" customHeight="1">
      <c r="B866" s="153"/>
      <c r="C866" s="153"/>
      <c r="D866" s="132"/>
      <c r="E866" s="132"/>
      <c r="F866" s="132"/>
      <c r="G866" s="153"/>
      <c r="H866" s="153"/>
      <c r="I866" s="153"/>
    </row>
    <row r="867" spans="2:9" ht="15.75" customHeight="1">
      <c r="B867" s="153"/>
      <c r="C867" s="153"/>
      <c r="D867" s="132"/>
      <c r="E867" s="132"/>
      <c r="F867" s="132"/>
      <c r="G867" s="153"/>
      <c r="H867" s="153"/>
      <c r="I867" s="153"/>
    </row>
    <row r="868" spans="2:9" ht="15.75" customHeight="1">
      <c r="B868" s="153"/>
      <c r="C868" s="153"/>
      <c r="D868" s="132"/>
      <c r="E868" s="132"/>
      <c r="F868" s="132"/>
      <c r="G868" s="153"/>
      <c r="H868" s="153"/>
      <c r="I868" s="153"/>
    </row>
    <row r="869" spans="2:9" ht="15.75" customHeight="1">
      <c r="B869" s="153"/>
      <c r="C869" s="153"/>
      <c r="D869" s="132"/>
      <c r="E869" s="132"/>
      <c r="F869" s="132"/>
      <c r="G869" s="153"/>
      <c r="H869" s="153"/>
      <c r="I869" s="153"/>
    </row>
    <row r="870" spans="2:9" ht="15.75" customHeight="1">
      <c r="B870" s="153"/>
      <c r="C870" s="153"/>
      <c r="D870" s="132"/>
      <c r="E870" s="132"/>
      <c r="F870" s="132"/>
      <c r="G870" s="153"/>
      <c r="H870" s="153"/>
      <c r="I870" s="153"/>
    </row>
    <row r="871" spans="2:9" ht="15.75" customHeight="1">
      <c r="B871" s="153"/>
      <c r="C871" s="153"/>
      <c r="D871" s="132"/>
      <c r="E871" s="132"/>
      <c r="F871" s="132"/>
      <c r="G871" s="153"/>
      <c r="H871" s="153"/>
      <c r="I871" s="153"/>
    </row>
    <row r="872" spans="2:9" ht="15.75" customHeight="1">
      <c r="B872" s="153"/>
      <c r="C872" s="153"/>
      <c r="D872" s="132"/>
      <c r="E872" s="132"/>
      <c r="F872" s="132"/>
      <c r="G872" s="153"/>
      <c r="H872" s="153"/>
      <c r="I872" s="153"/>
    </row>
    <row r="873" spans="2:9" ht="15.75" customHeight="1">
      <c r="B873" s="153"/>
      <c r="C873" s="153"/>
      <c r="D873" s="132"/>
      <c r="E873" s="132"/>
      <c r="F873" s="132"/>
      <c r="G873" s="153"/>
      <c r="H873" s="153"/>
      <c r="I873" s="153"/>
    </row>
    <row r="874" spans="2:9" ht="15.75" customHeight="1">
      <c r="B874" s="153"/>
      <c r="C874" s="153"/>
      <c r="D874" s="132"/>
      <c r="E874" s="132"/>
      <c r="F874" s="132"/>
      <c r="G874" s="153"/>
      <c r="H874" s="153"/>
      <c r="I874" s="153"/>
    </row>
    <row r="875" spans="2:9" ht="15.75" customHeight="1">
      <c r="B875" s="153"/>
      <c r="C875" s="153"/>
      <c r="D875" s="132"/>
      <c r="E875" s="132"/>
      <c r="F875" s="132"/>
      <c r="G875" s="153"/>
      <c r="H875" s="153"/>
      <c r="I875" s="153"/>
    </row>
    <row r="876" spans="2:9" ht="15.75" customHeight="1">
      <c r="B876" s="153"/>
      <c r="C876" s="153"/>
      <c r="D876" s="132"/>
      <c r="E876" s="132"/>
      <c r="F876" s="132"/>
      <c r="G876" s="153"/>
      <c r="H876" s="153"/>
      <c r="I876" s="153"/>
    </row>
    <row r="877" spans="2:9" ht="15.75" customHeight="1">
      <c r="B877" s="153"/>
      <c r="C877" s="153"/>
      <c r="D877" s="132"/>
      <c r="E877" s="132"/>
      <c r="F877" s="132"/>
      <c r="G877" s="153"/>
      <c r="H877" s="153"/>
      <c r="I877" s="153"/>
    </row>
    <row r="878" spans="2:9" ht="15.75" customHeight="1">
      <c r="B878" s="153"/>
      <c r="C878" s="153"/>
      <c r="D878" s="132"/>
      <c r="E878" s="132"/>
      <c r="F878" s="132"/>
      <c r="G878" s="153"/>
      <c r="H878" s="153"/>
      <c r="I878" s="153"/>
    </row>
    <row r="879" spans="2:9" ht="15.75" customHeight="1">
      <c r="B879" s="153"/>
      <c r="C879" s="153"/>
      <c r="D879" s="132"/>
      <c r="E879" s="132"/>
      <c r="F879" s="132"/>
      <c r="G879" s="153"/>
      <c r="H879" s="153"/>
      <c r="I879" s="153"/>
    </row>
    <row r="880" spans="2:9" ht="15.75" customHeight="1">
      <c r="B880" s="153"/>
      <c r="C880" s="153"/>
      <c r="D880" s="132"/>
      <c r="E880" s="132"/>
      <c r="F880" s="132"/>
      <c r="G880" s="153"/>
      <c r="H880" s="153"/>
      <c r="I880" s="153"/>
    </row>
    <row r="881" spans="2:9" ht="15.75" customHeight="1">
      <c r="B881" s="153"/>
      <c r="C881" s="153"/>
      <c r="D881" s="132"/>
      <c r="E881" s="132"/>
      <c r="F881" s="132"/>
      <c r="G881" s="153"/>
      <c r="H881" s="153"/>
      <c r="I881" s="153"/>
    </row>
    <row r="882" spans="2:9" ht="15.75" customHeight="1">
      <c r="B882" s="153"/>
      <c r="C882" s="153"/>
      <c r="D882" s="132"/>
      <c r="E882" s="132"/>
      <c r="F882" s="132"/>
      <c r="G882" s="153"/>
      <c r="H882" s="153"/>
      <c r="I882" s="153"/>
    </row>
    <row r="883" spans="2:9" ht="15.75" customHeight="1">
      <c r="B883" s="153"/>
      <c r="C883" s="153"/>
      <c r="D883" s="132"/>
      <c r="E883" s="132"/>
      <c r="F883" s="132"/>
      <c r="G883" s="153"/>
      <c r="H883" s="153"/>
      <c r="I883" s="153"/>
    </row>
    <row r="884" spans="2:9" ht="15.75" customHeight="1">
      <c r="B884" s="153"/>
      <c r="C884" s="153"/>
      <c r="D884" s="132"/>
      <c r="E884" s="132"/>
      <c r="F884" s="132"/>
      <c r="G884" s="153"/>
      <c r="H884" s="153"/>
      <c r="I884" s="153"/>
    </row>
    <row r="885" spans="2:9" ht="15.75" customHeight="1">
      <c r="B885" s="153"/>
      <c r="C885" s="153"/>
      <c r="D885" s="132"/>
      <c r="E885" s="132"/>
      <c r="F885" s="132"/>
      <c r="G885" s="153"/>
      <c r="H885" s="153"/>
      <c r="I885" s="153"/>
    </row>
    <row r="886" spans="2:9" ht="15.75" customHeight="1">
      <c r="B886" s="153"/>
      <c r="C886" s="153"/>
      <c r="D886" s="132"/>
      <c r="E886" s="132"/>
      <c r="F886" s="132"/>
      <c r="G886" s="153"/>
      <c r="H886" s="153"/>
      <c r="I886" s="153"/>
    </row>
    <row r="887" spans="2:9" ht="15.75" customHeight="1">
      <c r="B887" s="153"/>
      <c r="C887" s="153"/>
      <c r="D887" s="132"/>
      <c r="E887" s="132"/>
      <c r="F887" s="132"/>
      <c r="G887" s="153"/>
      <c r="H887" s="153"/>
      <c r="I887" s="153"/>
    </row>
    <row r="888" spans="2:9" ht="15.75" customHeight="1">
      <c r="B888" s="153"/>
      <c r="C888" s="153"/>
      <c r="D888" s="132"/>
      <c r="E888" s="132"/>
      <c r="F888" s="132"/>
      <c r="G888" s="153"/>
      <c r="H888" s="153"/>
      <c r="I888" s="153"/>
    </row>
    <row r="889" spans="2:9" ht="15.75" customHeight="1">
      <c r="B889" s="153"/>
      <c r="C889" s="153"/>
      <c r="D889" s="132"/>
      <c r="E889" s="132"/>
      <c r="F889" s="132"/>
      <c r="G889" s="153"/>
      <c r="H889" s="153"/>
      <c r="I889" s="153"/>
    </row>
    <row r="890" spans="2:9" ht="15.75" customHeight="1">
      <c r="B890" s="153"/>
      <c r="C890" s="153"/>
      <c r="D890" s="132"/>
      <c r="E890" s="132"/>
      <c r="F890" s="132"/>
      <c r="G890" s="153"/>
      <c r="H890" s="153"/>
      <c r="I890" s="153"/>
    </row>
    <row r="891" spans="2:9" ht="15.75" customHeight="1">
      <c r="B891" s="153"/>
      <c r="C891" s="153"/>
      <c r="D891" s="132"/>
      <c r="E891" s="132"/>
      <c r="F891" s="132"/>
      <c r="G891" s="153"/>
      <c r="H891" s="153"/>
      <c r="I891" s="153"/>
    </row>
    <row r="892" spans="2:9" ht="15.75" customHeight="1">
      <c r="B892" s="153"/>
      <c r="C892" s="153"/>
      <c r="D892" s="132"/>
      <c r="E892" s="132"/>
      <c r="F892" s="132"/>
      <c r="G892" s="153"/>
      <c r="H892" s="153"/>
      <c r="I892" s="153"/>
    </row>
    <row r="893" spans="2:9" ht="15.75" customHeight="1">
      <c r="B893" s="153"/>
      <c r="C893" s="153"/>
      <c r="D893" s="132"/>
      <c r="E893" s="132"/>
      <c r="F893" s="132"/>
      <c r="G893" s="153"/>
      <c r="H893" s="153"/>
      <c r="I893" s="153"/>
    </row>
    <row r="894" spans="2:9" ht="15.75" customHeight="1">
      <c r="B894" s="153"/>
      <c r="C894" s="153"/>
      <c r="D894" s="132"/>
      <c r="E894" s="132"/>
      <c r="F894" s="132"/>
      <c r="G894" s="153"/>
      <c r="H894" s="153"/>
      <c r="I894" s="153"/>
    </row>
    <row r="895" spans="2:9" ht="15.75" customHeight="1">
      <c r="B895" s="153"/>
      <c r="C895" s="153"/>
      <c r="D895" s="132"/>
      <c r="E895" s="132"/>
      <c r="F895" s="132"/>
      <c r="G895" s="153"/>
      <c r="H895" s="153"/>
      <c r="I895" s="153"/>
    </row>
    <row r="896" spans="2:9" ht="15.75" customHeight="1">
      <c r="B896" s="153"/>
      <c r="C896" s="153"/>
      <c r="D896" s="132"/>
      <c r="E896" s="132"/>
      <c r="F896" s="132"/>
      <c r="G896" s="153"/>
      <c r="H896" s="153"/>
      <c r="I896" s="153"/>
    </row>
    <row r="897" spans="2:9" ht="15.75" customHeight="1">
      <c r="B897" s="153"/>
      <c r="C897" s="153"/>
      <c r="D897" s="132"/>
      <c r="E897" s="132"/>
      <c r="F897" s="132"/>
      <c r="G897" s="153"/>
      <c r="H897" s="153"/>
      <c r="I897" s="153"/>
    </row>
    <row r="898" spans="2:9" ht="15.75" customHeight="1">
      <c r="B898" s="153"/>
      <c r="C898" s="153"/>
      <c r="D898" s="132"/>
      <c r="E898" s="132"/>
      <c r="F898" s="132"/>
      <c r="G898" s="153"/>
      <c r="H898" s="153"/>
      <c r="I898" s="153"/>
    </row>
    <row r="899" spans="2:9" ht="15.75" customHeight="1">
      <c r="B899" s="153"/>
      <c r="C899" s="153"/>
      <c r="D899" s="132"/>
      <c r="E899" s="132"/>
      <c r="F899" s="132"/>
      <c r="G899" s="153"/>
      <c r="H899" s="153"/>
      <c r="I899" s="153"/>
    </row>
    <row r="900" spans="2:9" ht="15.75" customHeight="1">
      <c r="B900" s="153"/>
      <c r="C900" s="153"/>
      <c r="D900" s="132"/>
      <c r="E900" s="132"/>
      <c r="F900" s="132"/>
      <c r="G900" s="153"/>
      <c r="H900" s="153"/>
      <c r="I900" s="153"/>
    </row>
    <row r="901" spans="2:9" ht="15.75" customHeight="1">
      <c r="B901" s="153"/>
      <c r="C901" s="153"/>
      <c r="D901" s="132"/>
      <c r="E901" s="132"/>
      <c r="F901" s="132"/>
      <c r="G901" s="153"/>
      <c r="H901" s="153"/>
      <c r="I901" s="153"/>
    </row>
    <row r="902" spans="2:9" ht="15.75" customHeight="1">
      <c r="B902" s="153"/>
      <c r="C902" s="153"/>
      <c r="D902" s="132"/>
      <c r="E902" s="132"/>
      <c r="F902" s="132"/>
      <c r="G902" s="153"/>
      <c r="H902" s="153"/>
      <c r="I902" s="153"/>
    </row>
    <row r="903" spans="2:9" ht="15.75" customHeight="1">
      <c r="B903" s="153"/>
      <c r="C903" s="153"/>
      <c r="D903" s="132"/>
      <c r="E903" s="132"/>
      <c r="F903" s="132"/>
      <c r="G903" s="153"/>
      <c r="H903" s="153"/>
      <c r="I903" s="153"/>
    </row>
    <row r="904" spans="2:9" ht="15.75" customHeight="1">
      <c r="B904" s="153"/>
      <c r="C904" s="153"/>
      <c r="D904" s="132"/>
      <c r="E904" s="132"/>
      <c r="F904" s="132"/>
      <c r="G904" s="153"/>
      <c r="H904" s="153"/>
      <c r="I904" s="153"/>
    </row>
    <row r="905" spans="2:9" ht="15.75" customHeight="1">
      <c r="B905" s="153"/>
      <c r="C905" s="153"/>
      <c r="D905" s="132"/>
      <c r="E905" s="132"/>
      <c r="F905" s="132"/>
      <c r="G905" s="153"/>
      <c r="H905" s="153"/>
      <c r="I905" s="153"/>
    </row>
    <row r="906" spans="2:9" ht="15.75" customHeight="1">
      <c r="B906" s="153"/>
      <c r="C906" s="153"/>
      <c r="D906" s="132"/>
      <c r="E906" s="132"/>
      <c r="F906" s="132"/>
      <c r="G906" s="153"/>
      <c r="H906" s="153"/>
      <c r="I906" s="153"/>
    </row>
    <row r="907" spans="2:9" ht="15.75" customHeight="1">
      <c r="B907" s="153"/>
      <c r="C907" s="153"/>
      <c r="D907" s="132"/>
      <c r="E907" s="132"/>
      <c r="F907" s="132"/>
      <c r="G907" s="153"/>
      <c r="H907" s="153"/>
      <c r="I907" s="153"/>
    </row>
    <row r="908" spans="2:9" ht="15.75" customHeight="1">
      <c r="B908" s="153"/>
      <c r="C908" s="153"/>
      <c r="D908" s="132"/>
      <c r="E908" s="132"/>
      <c r="F908" s="132"/>
      <c r="G908" s="153"/>
      <c r="H908" s="153"/>
      <c r="I908" s="153"/>
    </row>
    <row r="909" spans="2:9" ht="15.75" customHeight="1">
      <c r="B909" s="153"/>
      <c r="C909" s="153"/>
      <c r="D909" s="132"/>
      <c r="E909" s="132"/>
      <c r="F909" s="132"/>
      <c r="G909" s="153"/>
      <c r="H909" s="153"/>
      <c r="I909" s="153"/>
    </row>
    <row r="910" spans="2:9" ht="15.75" customHeight="1">
      <c r="B910" s="153"/>
      <c r="C910" s="153"/>
      <c r="D910" s="132"/>
      <c r="E910" s="132"/>
      <c r="F910" s="132"/>
      <c r="G910" s="153"/>
      <c r="H910" s="153"/>
      <c r="I910" s="153"/>
    </row>
    <row r="911" spans="2:9" ht="15.75" customHeight="1">
      <c r="B911" s="153"/>
      <c r="C911" s="153"/>
      <c r="D911" s="132"/>
      <c r="E911" s="132"/>
      <c r="F911" s="132"/>
      <c r="G911" s="153"/>
      <c r="H911" s="153"/>
      <c r="I911" s="153"/>
    </row>
    <row r="912" spans="2:9" ht="15.75" customHeight="1">
      <c r="B912" s="153"/>
      <c r="C912" s="153"/>
      <c r="D912" s="132"/>
      <c r="E912" s="132"/>
      <c r="F912" s="132"/>
      <c r="G912" s="153"/>
      <c r="H912" s="153"/>
      <c r="I912" s="153"/>
    </row>
    <row r="913" spans="2:9" ht="15.75" customHeight="1">
      <c r="B913" s="153"/>
      <c r="C913" s="153"/>
      <c r="D913" s="132"/>
      <c r="E913" s="132"/>
      <c r="F913" s="132"/>
      <c r="G913" s="153"/>
      <c r="H913" s="153"/>
      <c r="I913" s="153"/>
    </row>
    <row r="914" spans="2:9" ht="15.75" customHeight="1">
      <c r="B914" s="153"/>
      <c r="C914" s="153"/>
      <c r="D914" s="132"/>
      <c r="E914" s="132"/>
      <c r="F914" s="132"/>
      <c r="G914" s="153"/>
      <c r="H914" s="153"/>
      <c r="I914" s="153"/>
    </row>
    <row r="915" spans="2:9" ht="15.75" customHeight="1">
      <c r="B915" s="153"/>
      <c r="C915" s="153"/>
      <c r="D915" s="132"/>
      <c r="E915" s="132"/>
      <c r="F915" s="132"/>
      <c r="G915" s="153"/>
      <c r="H915" s="153"/>
      <c r="I915" s="153"/>
    </row>
    <row r="916" spans="2:9" ht="15.75" customHeight="1">
      <c r="B916" s="153"/>
      <c r="C916" s="153"/>
      <c r="D916" s="132"/>
      <c r="E916" s="132"/>
      <c r="F916" s="132"/>
      <c r="G916" s="153"/>
      <c r="H916" s="153"/>
      <c r="I916" s="153"/>
    </row>
    <row r="917" spans="2:9" ht="15.75" customHeight="1">
      <c r="B917" s="153"/>
      <c r="C917" s="153"/>
      <c r="D917" s="132"/>
      <c r="E917" s="132"/>
      <c r="F917" s="132"/>
      <c r="G917" s="153"/>
      <c r="H917" s="153"/>
      <c r="I917" s="153"/>
    </row>
    <row r="918" spans="2:9" ht="15.75" customHeight="1">
      <c r="B918" s="153"/>
      <c r="C918" s="153"/>
      <c r="D918" s="132"/>
      <c r="E918" s="132"/>
      <c r="F918" s="132"/>
      <c r="G918" s="153"/>
      <c r="H918" s="153"/>
      <c r="I918" s="153"/>
    </row>
    <row r="919" spans="2:9" ht="15.75" customHeight="1">
      <c r="B919" s="153"/>
      <c r="C919" s="153"/>
      <c r="D919" s="132"/>
      <c r="E919" s="132"/>
      <c r="F919" s="132"/>
      <c r="G919" s="153"/>
      <c r="H919" s="153"/>
      <c r="I919" s="153"/>
    </row>
    <row r="920" spans="2:9" ht="15.75" customHeight="1">
      <c r="B920" s="153"/>
      <c r="C920" s="153"/>
      <c r="D920" s="132"/>
      <c r="E920" s="132"/>
      <c r="F920" s="132"/>
      <c r="G920" s="153"/>
      <c r="H920" s="153"/>
      <c r="I920" s="153"/>
    </row>
    <row r="921" spans="2:9" ht="15.75" customHeight="1">
      <c r="B921" s="153"/>
      <c r="C921" s="153"/>
      <c r="D921" s="132"/>
      <c r="E921" s="132"/>
      <c r="F921" s="132"/>
      <c r="G921" s="153"/>
      <c r="H921" s="153"/>
      <c r="I921" s="153"/>
    </row>
    <row r="922" spans="2:9" ht="15.75" customHeight="1">
      <c r="B922" s="153"/>
      <c r="C922" s="153"/>
      <c r="D922" s="132"/>
      <c r="E922" s="132"/>
      <c r="F922" s="132"/>
      <c r="G922" s="153"/>
      <c r="H922" s="153"/>
      <c r="I922" s="153"/>
    </row>
    <row r="923" spans="2:9" ht="15.75" customHeight="1">
      <c r="B923" s="153"/>
      <c r="C923" s="153"/>
      <c r="D923" s="132"/>
      <c r="E923" s="132"/>
      <c r="F923" s="132"/>
      <c r="G923" s="153"/>
      <c r="H923" s="153"/>
      <c r="I923" s="153"/>
    </row>
    <row r="924" spans="2:9" ht="15.75" customHeight="1">
      <c r="B924" s="153"/>
      <c r="C924" s="153"/>
      <c r="D924" s="132"/>
      <c r="E924" s="132"/>
      <c r="F924" s="132"/>
      <c r="G924" s="153"/>
      <c r="H924" s="153"/>
      <c r="I924" s="153"/>
    </row>
    <row r="925" spans="2:9" ht="15.75" customHeight="1">
      <c r="B925" s="153"/>
      <c r="C925" s="153"/>
      <c r="D925" s="132"/>
      <c r="E925" s="132"/>
      <c r="F925" s="132"/>
      <c r="G925" s="153"/>
      <c r="H925" s="153"/>
      <c r="I925" s="153"/>
    </row>
    <row r="926" spans="2:9" ht="15.75" customHeight="1">
      <c r="B926" s="153"/>
      <c r="C926" s="153"/>
      <c r="D926" s="132"/>
      <c r="E926" s="132"/>
      <c r="F926" s="132"/>
      <c r="G926" s="153"/>
      <c r="H926" s="153"/>
      <c r="I926" s="153"/>
    </row>
    <row r="927" spans="2:9" ht="15.75" customHeight="1">
      <c r="B927" s="153"/>
      <c r="C927" s="153"/>
      <c r="D927" s="132"/>
      <c r="E927" s="132"/>
      <c r="F927" s="132"/>
      <c r="G927" s="153"/>
      <c r="H927" s="153"/>
      <c r="I927" s="153"/>
    </row>
    <row r="928" spans="2:9" ht="15.75" customHeight="1">
      <c r="B928" s="153"/>
      <c r="C928" s="153"/>
      <c r="D928" s="132"/>
      <c r="E928" s="132"/>
      <c r="F928" s="132"/>
      <c r="G928" s="153"/>
      <c r="H928" s="153"/>
      <c r="I928" s="153"/>
    </row>
    <row r="929" spans="2:9" ht="15.75" customHeight="1">
      <c r="B929" s="153"/>
      <c r="C929" s="153"/>
      <c r="D929" s="132"/>
      <c r="E929" s="132"/>
      <c r="F929" s="132"/>
      <c r="G929" s="153"/>
      <c r="H929" s="153"/>
      <c r="I929" s="153"/>
    </row>
    <row r="930" spans="2:9" ht="15.75" customHeight="1">
      <c r="B930" s="153"/>
      <c r="C930" s="153"/>
      <c r="D930" s="132"/>
      <c r="E930" s="132"/>
      <c r="F930" s="132"/>
      <c r="G930" s="153"/>
      <c r="H930" s="153"/>
      <c r="I930" s="153"/>
    </row>
    <row r="931" spans="2:9" ht="15.75" customHeight="1">
      <c r="B931" s="153"/>
      <c r="C931" s="153"/>
      <c r="D931" s="132"/>
      <c r="E931" s="132"/>
      <c r="F931" s="132"/>
      <c r="G931" s="153"/>
      <c r="H931" s="153"/>
      <c r="I931" s="153"/>
    </row>
    <row r="932" spans="2:9" ht="15.75" customHeight="1">
      <c r="B932" s="153"/>
      <c r="C932" s="153"/>
      <c r="D932" s="132"/>
      <c r="E932" s="132"/>
      <c r="F932" s="132"/>
      <c r="G932" s="153"/>
      <c r="H932" s="153"/>
      <c r="I932" s="153"/>
    </row>
    <row r="933" spans="2:9" ht="15.75" customHeight="1">
      <c r="B933" s="153"/>
      <c r="C933" s="153"/>
      <c r="D933" s="132"/>
      <c r="E933" s="132"/>
      <c r="F933" s="132"/>
      <c r="G933" s="153"/>
      <c r="H933" s="153"/>
      <c r="I933" s="153"/>
    </row>
    <row r="934" spans="2:9" ht="15.75" customHeight="1">
      <c r="B934" s="153"/>
      <c r="C934" s="153"/>
      <c r="D934" s="132"/>
      <c r="E934" s="132"/>
      <c r="F934" s="132"/>
      <c r="G934" s="153"/>
      <c r="H934" s="153"/>
      <c r="I934" s="153"/>
    </row>
    <row r="935" spans="2:9" ht="15.75" customHeight="1">
      <c r="B935" s="153"/>
      <c r="C935" s="153"/>
      <c r="D935" s="132"/>
      <c r="E935" s="132"/>
      <c r="F935" s="132"/>
      <c r="G935" s="153"/>
      <c r="H935" s="153"/>
      <c r="I935" s="153"/>
    </row>
    <row r="936" spans="2:9" ht="15.75" customHeight="1">
      <c r="B936" s="153"/>
      <c r="C936" s="153"/>
      <c r="D936" s="132"/>
      <c r="E936" s="132"/>
      <c r="F936" s="132"/>
      <c r="G936" s="153"/>
      <c r="H936" s="153"/>
      <c r="I936" s="153"/>
    </row>
    <row r="937" spans="2:9" ht="15.75" customHeight="1">
      <c r="B937" s="153"/>
      <c r="C937" s="153"/>
      <c r="D937" s="132"/>
      <c r="E937" s="132"/>
      <c r="F937" s="132"/>
      <c r="G937" s="153"/>
      <c r="H937" s="153"/>
      <c r="I937" s="153"/>
    </row>
    <row r="938" spans="2:9" ht="15.75" customHeight="1">
      <c r="B938" s="153"/>
      <c r="C938" s="153"/>
      <c r="D938" s="132"/>
      <c r="E938" s="132"/>
      <c r="F938" s="132"/>
      <c r="G938" s="153"/>
      <c r="H938" s="153"/>
      <c r="I938" s="153"/>
    </row>
    <row r="939" spans="2:9" ht="15.75" customHeight="1">
      <c r="B939" s="153"/>
      <c r="C939" s="153"/>
      <c r="D939" s="132"/>
      <c r="E939" s="132"/>
      <c r="F939" s="132"/>
      <c r="G939" s="153"/>
      <c r="H939" s="153"/>
      <c r="I939" s="153"/>
    </row>
    <row r="940" spans="2:9" ht="15.75" customHeight="1">
      <c r="B940" s="153"/>
      <c r="C940" s="153"/>
      <c r="D940" s="132"/>
      <c r="E940" s="132"/>
      <c r="F940" s="132"/>
      <c r="G940" s="153"/>
      <c r="H940" s="153"/>
      <c r="I940" s="153"/>
    </row>
    <row r="941" spans="2:9" ht="15.75" customHeight="1">
      <c r="B941" s="153"/>
      <c r="C941" s="153"/>
      <c r="D941" s="132"/>
      <c r="E941" s="132"/>
      <c r="F941" s="132"/>
      <c r="G941" s="153"/>
      <c r="H941" s="153"/>
      <c r="I941" s="153"/>
    </row>
    <row r="942" spans="2:9" ht="15.75" customHeight="1">
      <c r="B942" s="153"/>
      <c r="C942" s="153"/>
      <c r="D942" s="132"/>
      <c r="E942" s="132"/>
      <c r="F942" s="132"/>
      <c r="G942" s="153"/>
      <c r="H942" s="153"/>
      <c r="I942" s="153"/>
    </row>
    <row r="943" spans="2:9" ht="15.75" customHeight="1">
      <c r="B943" s="153"/>
      <c r="C943" s="153"/>
      <c r="D943" s="132"/>
      <c r="E943" s="132"/>
      <c r="F943" s="132"/>
      <c r="G943" s="153"/>
      <c r="H943" s="153"/>
      <c r="I943" s="153"/>
    </row>
    <row r="944" spans="2:9" ht="15.75" customHeight="1">
      <c r="B944" s="153"/>
      <c r="C944" s="153"/>
      <c r="D944" s="132"/>
      <c r="E944" s="132"/>
      <c r="F944" s="132"/>
      <c r="G944" s="153"/>
      <c r="H944" s="153"/>
      <c r="I944" s="153"/>
    </row>
    <row r="945" spans="2:9" ht="15.75" customHeight="1">
      <c r="B945" s="153"/>
      <c r="C945" s="153"/>
      <c r="D945" s="132"/>
      <c r="E945" s="132"/>
      <c r="F945" s="132"/>
      <c r="G945" s="153"/>
      <c r="H945" s="153"/>
      <c r="I945" s="153"/>
    </row>
    <row r="946" spans="2:9" ht="15.75" customHeight="1">
      <c r="B946" s="153"/>
      <c r="C946" s="153"/>
      <c r="D946" s="132"/>
      <c r="E946" s="132"/>
      <c r="F946" s="132"/>
      <c r="G946" s="153"/>
      <c r="H946" s="153"/>
      <c r="I946" s="153"/>
    </row>
    <row r="947" spans="2:9" ht="15.75" customHeight="1">
      <c r="B947" s="153"/>
      <c r="C947" s="153"/>
      <c r="D947" s="132"/>
      <c r="E947" s="132"/>
      <c r="F947" s="132"/>
      <c r="G947" s="153"/>
      <c r="H947" s="153"/>
      <c r="I947" s="153"/>
    </row>
    <row r="948" spans="2:9" ht="15.75" customHeight="1">
      <c r="B948" s="153"/>
      <c r="C948" s="153"/>
      <c r="D948" s="132"/>
      <c r="E948" s="132"/>
      <c r="F948" s="132"/>
      <c r="G948" s="153"/>
      <c r="H948" s="153"/>
      <c r="I948" s="153"/>
    </row>
    <row r="949" spans="2:9" ht="15.75" customHeight="1">
      <c r="B949" s="153"/>
      <c r="C949" s="153"/>
      <c r="D949" s="132"/>
      <c r="E949" s="132"/>
      <c r="F949" s="132"/>
      <c r="G949" s="153"/>
      <c r="H949" s="153"/>
      <c r="I949" s="153"/>
    </row>
    <row r="950" spans="2:9" ht="15.75" customHeight="1">
      <c r="B950" s="153"/>
      <c r="C950" s="153"/>
      <c r="D950" s="132"/>
      <c r="E950" s="132"/>
      <c r="F950" s="132"/>
      <c r="G950" s="153"/>
      <c r="H950" s="153"/>
      <c r="I950" s="153"/>
    </row>
    <row r="951" spans="2:9" ht="15.75" customHeight="1">
      <c r="B951" s="153"/>
      <c r="C951" s="153"/>
      <c r="D951" s="132"/>
      <c r="E951" s="132"/>
      <c r="F951" s="132"/>
      <c r="G951" s="153"/>
      <c r="H951" s="153"/>
      <c r="I951" s="153"/>
    </row>
    <row r="952" spans="2:9" ht="15.75" customHeight="1">
      <c r="B952" s="153"/>
      <c r="C952" s="153"/>
      <c r="D952" s="132"/>
      <c r="E952" s="132"/>
      <c r="F952" s="132"/>
      <c r="G952" s="153"/>
      <c r="H952" s="153"/>
      <c r="I952" s="153"/>
    </row>
    <row r="953" spans="2:9" ht="15.75" customHeight="1">
      <c r="B953" s="153"/>
      <c r="C953" s="153"/>
      <c r="D953" s="132"/>
      <c r="E953" s="132"/>
      <c r="F953" s="132"/>
      <c r="G953" s="153"/>
      <c r="H953" s="153"/>
      <c r="I953" s="153"/>
    </row>
    <row r="954" spans="2:9" ht="15.75" customHeight="1">
      <c r="B954" s="153"/>
      <c r="C954" s="153"/>
      <c r="D954" s="132"/>
      <c r="E954" s="132"/>
      <c r="F954" s="132"/>
      <c r="G954" s="153"/>
      <c r="H954" s="153"/>
      <c r="I954" s="153"/>
    </row>
    <row r="955" spans="2:9" ht="15.75" customHeight="1">
      <c r="B955" s="153"/>
      <c r="C955" s="153"/>
      <c r="D955" s="132"/>
      <c r="E955" s="132"/>
      <c r="F955" s="132"/>
      <c r="G955" s="153"/>
      <c r="H955" s="153"/>
      <c r="I955" s="153"/>
    </row>
    <row r="956" spans="2:9" ht="15.75" customHeight="1">
      <c r="B956" s="153"/>
      <c r="C956" s="153"/>
      <c r="D956" s="132"/>
      <c r="E956" s="132"/>
      <c r="F956" s="132"/>
      <c r="G956" s="153"/>
      <c r="H956" s="153"/>
      <c r="I956" s="153"/>
    </row>
    <row r="957" spans="2:9" ht="15.75" customHeight="1">
      <c r="B957" s="153"/>
      <c r="C957" s="153"/>
      <c r="D957" s="132"/>
      <c r="E957" s="132"/>
      <c r="F957" s="132"/>
      <c r="G957" s="153"/>
      <c r="H957" s="153"/>
      <c r="I957" s="153"/>
    </row>
    <row r="958" spans="2:9" ht="15.75" customHeight="1">
      <c r="B958" s="153"/>
      <c r="C958" s="153"/>
      <c r="D958" s="132"/>
      <c r="E958" s="132"/>
      <c r="F958" s="132"/>
      <c r="G958" s="153"/>
      <c r="H958" s="153"/>
      <c r="I958" s="153"/>
    </row>
    <row r="959" spans="2:9" ht="15.75" customHeight="1">
      <c r="B959" s="153"/>
      <c r="C959" s="153"/>
      <c r="D959" s="132"/>
      <c r="E959" s="132"/>
      <c r="F959" s="132"/>
      <c r="G959" s="153"/>
      <c r="H959" s="153"/>
      <c r="I959" s="153"/>
    </row>
    <row r="960" spans="2:9" ht="15.75" customHeight="1">
      <c r="B960" s="153"/>
      <c r="C960" s="153"/>
      <c r="D960" s="132"/>
      <c r="E960" s="132"/>
      <c r="F960" s="132"/>
      <c r="G960" s="153"/>
      <c r="H960" s="153"/>
      <c r="I960" s="153"/>
    </row>
    <row r="961" spans="2:9" ht="15.75" customHeight="1">
      <c r="B961" s="153"/>
      <c r="C961" s="153"/>
      <c r="D961" s="132"/>
      <c r="E961" s="132"/>
      <c r="F961" s="132"/>
      <c r="G961" s="153"/>
      <c r="H961" s="153"/>
      <c r="I961" s="153"/>
    </row>
    <row r="962" spans="2:9" ht="15.75" customHeight="1">
      <c r="B962" s="153"/>
      <c r="C962" s="153"/>
      <c r="D962" s="132"/>
      <c r="E962" s="132"/>
      <c r="F962" s="132"/>
      <c r="G962" s="153"/>
      <c r="H962" s="153"/>
      <c r="I962" s="153"/>
    </row>
    <row r="963" spans="2:9" ht="15.75" customHeight="1">
      <c r="B963" s="153"/>
      <c r="C963" s="153"/>
      <c r="D963" s="132"/>
      <c r="E963" s="132"/>
      <c r="F963" s="132"/>
      <c r="G963" s="153"/>
      <c r="H963" s="153"/>
      <c r="I963" s="153"/>
    </row>
    <row r="964" spans="2:9" ht="15.75" customHeight="1">
      <c r="B964" s="153"/>
      <c r="C964" s="153"/>
      <c r="D964" s="132"/>
      <c r="E964" s="132"/>
      <c r="F964" s="132"/>
      <c r="G964" s="153"/>
      <c r="H964" s="153"/>
      <c r="I964" s="153"/>
    </row>
    <row r="965" spans="2:9" ht="15.75" customHeight="1">
      <c r="B965" s="153"/>
      <c r="C965" s="153"/>
      <c r="D965" s="132"/>
      <c r="E965" s="132"/>
      <c r="F965" s="132"/>
      <c r="G965" s="153"/>
      <c r="H965" s="153"/>
      <c r="I965" s="153"/>
    </row>
    <row r="966" spans="2:9" ht="15.75" customHeight="1">
      <c r="B966" s="153"/>
      <c r="C966" s="153"/>
      <c r="D966" s="132"/>
      <c r="E966" s="132"/>
      <c r="F966" s="132"/>
      <c r="G966" s="153"/>
      <c r="H966" s="153"/>
      <c r="I966" s="153"/>
    </row>
    <row r="967" spans="2:9" ht="15.75" customHeight="1">
      <c r="B967" s="153"/>
      <c r="C967" s="153"/>
      <c r="D967" s="132"/>
      <c r="E967" s="132"/>
      <c r="F967" s="132"/>
      <c r="G967" s="153"/>
      <c r="H967" s="153"/>
      <c r="I967" s="153"/>
    </row>
    <row r="968" spans="2:9" ht="15.75" customHeight="1">
      <c r="B968" s="153"/>
      <c r="C968" s="153"/>
      <c r="D968" s="132"/>
      <c r="E968" s="132"/>
      <c r="F968" s="132"/>
      <c r="G968" s="153"/>
      <c r="H968" s="153"/>
      <c r="I968" s="153"/>
    </row>
    <row r="969" spans="2:9" ht="15.75" customHeight="1">
      <c r="B969" s="153"/>
      <c r="C969" s="153"/>
      <c r="D969" s="132"/>
      <c r="E969" s="132"/>
      <c r="F969" s="132"/>
      <c r="G969" s="153"/>
      <c r="H969" s="153"/>
      <c r="I969" s="153"/>
    </row>
    <row r="970" spans="2:9" ht="15.75" customHeight="1">
      <c r="B970" s="153"/>
      <c r="C970" s="153"/>
      <c r="D970" s="132"/>
      <c r="E970" s="132"/>
      <c r="F970" s="132"/>
      <c r="G970" s="153"/>
      <c r="H970" s="153"/>
      <c r="I970" s="153"/>
    </row>
    <row r="971" spans="2:9" ht="15.75" customHeight="1">
      <c r="B971" s="153"/>
      <c r="C971" s="153"/>
      <c r="D971" s="132"/>
      <c r="E971" s="132"/>
      <c r="F971" s="132"/>
      <c r="G971" s="153"/>
      <c r="H971" s="153"/>
      <c r="I971" s="153"/>
    </row>
    <row r="972" spans="2:9" ht="15.75" customHeight="1">
      <c r="B972" s="153"/>
      <c r="C972" s="153"/>
      <c r="D972" s="132"/>
      <c r="E972" s="132"/>
      <c r="F972" s="132"/>
      <c r="G972" s="153"/>
      <c r="H972" s="153"/>
      <c r="I972" s="153"/>
    </row>
    <row r="973" spans="2:9" ht="15.75" customHeight="1">
      <c r="B973" s="153"/>
      <c r="C973" s="153"/>
      <c r="D973" s="132"/>
      <c r="E973" s="132"/>
      <c r="F973" s="132"/>
      <c r="G973" s="153"/>
      <c r="H973" s="153"/>
      <c r="I973" s="153"/>
    </row>
    <row r="974" spans="2:9" ht="15.75" customHeight="1">
      <c r="B974" s="153"/>
      <c r="C974" s="153"/>
      <c r="D974" s="132"/>
      <c r="E974" s="132"/>
      <c r="F974" s="132"/>
      <c r="G974" s="153"/>
      <c r="H974" s="153"/>
      <c r="I974" s="153"/>
    </row>
    <row r="975" spans="2:9" ht="15.75" customHeight="1">
      <c r="B975" s="153"/>
      <c r="C975" s="153"/>
      <c r="D975" s="132"/>
      <c r="E975" s="132"/>
      <c r="F975" s="132"/>
      <c r="G975" s="153"/>
      <c r="H975" s="153"/>
      <c r="I975" s="153"/>
    </row>
    <row r="976" spans="2:9" ht="15.75" customHeight="1">
      <c r="B976" s="153"/>
      <c r="C976" s="153"/>
      <c r="D976" s="132"/>
      <c r="E976" s="132"/>
      <c r="F976" s="132"/>
      <c r="G976" s="153"/>
      <c r="H976" s="153"/>
      <c r="I976" s="153"/>
    </row>
    <row r="977" spans="2:9" ht="15.75" customHeight="1">
      <c r="B977" s="153"/>
      <c r="C977" s="153"/>
      <c r="D977" s="132"/>
      <c r="E977" s="132"/>
      <c r="F977" s="132"/>
      <c r="G977" s="153"/>
      <c r="H977" s="153"/>
      <c r="I977" s="153"/>
    </row>
    <row r="978" spans="2:9" ht="15.75" customHeight="1">
      <c r="B978" s="153"/>
      <c r="C978" s="153"/>
      <c r="D978" s="132"/>
      <c r="E978" s="132"/>
      <c r="F978" s="132"/>
      <c r="G978" s="153"/>
      <c r="H978" s="153"/>
      <c r="I978" s="153"/>
    </row>
    <row r="979" spans="2:9" ht="15.75" customHeight="1">
      <c r="B979" s="153"/>
      <c r="C979" s="153"/>
      <c r="D979" s="132"/>
      <c r="E979" s="132"/>
      <c r="F979" s="132"/>
      <c r="G979" s="153"/>
      <c r="H979" s="153"/>
      <c r="I979" s="153"/>
    </row>
    <row r="980" spans="2:9" ht="15.75" customHeight="1">
      <c r="B980" s="153"/>
      <c r="C980" s="153"/>
      <c r="D980" s="132"/>
      <c r="E980" s="132"/>
      <c r="F980" s="132"/>
      <c r="G980" s="153"/>
      <c r="H980" s="153"/>
      <c r="I980" s="153"/>
    </row>
    <row r="981" spans="2:9" ht="15.75" customHeight="1">
      <c r="B981" s="153"/>
      <c r="C981" s="153"/>
      <c r="D981" s="132"/>
      <c r="E981" s="132"/>
      <c r="F981" s="132"/>
      <c r="G981" s="153"/>
      <c r="H981" s="153"/>
      <c r="I981" s="153"/>
    </row>
    <row r="982" spans="2:9" ht="15.75" customHeight="1">
      <c r="B982" s="153"/>
      <c r="C982" s="153"/>
      <c r="D982" s="132"/>
      <c r="E982" s="132"/>
      <c r="F982" s="132"/>
      <c r="G982" s="153"/>
      <c r="H982" s="153"/>
      <c r="I982" s="153"/>
    </row>
    <row r="983" spans="2:9" ht="15.75" customHeight="1">
      <c r="B983" s="153"/>
      <c r="C983" s="153"/>
      <c r="D983" s="132"/>
      <c r="E983" s="132"/>
      <c r="F983" s="132"/>
      <c r="G983" s="153"/>
      <c r="H983" s="153"/>
      <c r="I983" s="153"/>
    </row>
    <row r="984" spans="2:9" ht="15.75" customHeight="1">
      <c r="B984" s="153"/>
      <c r="C984" s="153"/>
      <c r="D984" s="132"/>
      <c r="E984" s="132"/>
      <c r="F984" s="132"/>
      <c r="G984" s="153"/>
      <c r="H984" s="153"/>
      <c r="I984" s="153"/>
    </row>
    <row r="985" spans="2:9" ht="15.75" customHeight="1">
      <c r="B985" s="153"/>
      <c r="C985" s="153"/>
      <c r="D985" s="132"/>
      <c r="E985" s="132"/>
      <c r="F985" s="132"/>
      <c r="G985" s="153"/>
      <c r="H985" s="153"/>
      <c r="I985" s="153"/>
    </row>
    <row r="986" spans="2:9" ht="15.75" customHeight="1">
      <c r="B986" s="153"/>
      <c r="C986" s="153"/>
      <c r="D986" s="132"/>
      <c r="E986" s="132"/>
      <c r="F986" s="132"/>
      <c r="G986" s="153"/>
      <c r="H986" s="153"/>
      <c r="I986" s="153"/>
    </row>
    <row r="987" spans="2:9" ht="15.75" customHeight="1">
      <c r="B987" s="153"/>
      <c r="C987" s="153"/>
      <c r="D987" s="132"/>
      <c r="E987" s="132"/>
      <c r="F987" s="132"/>
      <c r="G987" s="153"/>
      <c r="H987" s="153"/>
      <c r="I987" s="153"/>
    </row>
    <row r="988" spans="2:9" ht="15.75" customHeight="1">
      <c r="B988" s="153"/>
      <c r="C988" s="153"/>
      <c r="D988" s="132"/>
      <c r="E988" s="132"/>
      <c r="F988" s="132"/>
      <c r="G988" s="153"/>
      <c r="H988" s="153"/>
      <c r="I988" s="153"/>
    </row>
    <row r="989" spans="2:9" ht="15.75" customHeight="1">
      <c r="B989" s="153"/>
      <c r="C989" s="153"/>
      <c r="D989" s="132"/>
      <c r="E989" s="132"/>
      <c r="F989" s="132"/>
      <c r="G989" s="153"/>
      <c r="H989" s="153"/>
      <c r="I989" s="153"/>
    </row>
    <row r="990" spans="2:9" ht="15.75" customHeight="1">
      <c r="B990" s="153"/>
      <c r="C990" s="153"/>
      <c r="D990" s="132"/>
      <c r="E990" s="132"/>
      <c r="F990" s="132"/>
      <c r="G990" s="153"/>
      <c r="H990" s="153"/>
      <c r="I990" s="153"/>
    </row>
    <row r="991" spans="2:9" ht="15.75" customHeight="1">
      <c r="B991" s="153"/>
      <c r="C991" s="153"/>
      <c r="D991" s="132"/>
      <c r="E991" s="132"/>
      <c r="F991" s="132"/>
      <c r="G991" s="153"/>
      <c r="H991" s="153"/>
      <c r="I991" s="153"/>
    </row>
    <row r="992" spans="2:9" ht="15.75" customHeight="1">
      <c r="B992" s="153"/>
      <c r="C992" s="153"/>
      <c r="D992" s="132"/>
      <c r="E992" s="132"/>
      <c r="F992" s="132"/>
      <c r="G992" s="153"/>
      <c r="H992" s="153"/>
      <c r="I992" s="153"/>
    </row>
    <row r="993" spans="2:9" ht="15.75" customHeight="1">
      <c r="B993" s="153"/>
      <c r="C993" s="153"/>
      <c r="D993" s="132"/>
      <c r="E993" s="132"/>
      <c r="F993" s="132"/>
      <c r="G993" s="153"/>
      <c r="H993" s="153"/>
      <c r="I993" s="153"/>
    </row>
    <row r="994" spans="2:9" ht="15.75" customHeight="1">
      <c r="B994" s="153"/>
      <c r="C994" s="153"/>
      <c r="D994" s="132"/>
      <c r="E994" s="132"/>
      <c r="F994" s="132"/>
      <c r="G994" s="153"/>
      <c r="H994" s="153"/>
      <c r="I994" s="153"/>
    </row>
    <row r="995" spans="2:9" ht="15.75" customHeight="1">
      <c r="B995" s="153"/>
      <c r="C995" s="153"/>
      <c r="D995" s="132"/>
      <c r="E995" s="132"/>
      <c r="F995" s="132"/>
      <c r="G995" s="153"/>
      <c r="H995" s="153"/>
      <c r="I995" s="153"/>
    </row>
    <row r="996" spans="2:9" ht="15.75" customHeight="1">
      <c r="B996" s="153"/>
      <c r="C996" s="153"/>
      <c r="D996" s="132"/>
      <c r="E996" s="132"/>
      <c r="F996" s="132"/>
      <c r="G996" s="153"/>
      <c r="H996" s="153"/>
      <c r="I996" s="153"/>
    </row>
    <row r="997" spans="2:9" ht="15.75" customHeight="1">
      <c r="B997" s="153"/>
      <c r="C997" s="153"/>
      <c r="D997" s="132"/>
      <c r="E997" s="132"/>
      <c r="F997" s="132"/>
      <c r="G997" s="153"/>
      <c r="H997" s="153"/>
      <c r="I997" s="153"/>
    </row>
    <row r="998" spans="2:9" ht="15.75" customHeight="1">
      <c r="B998" s="153"/>
      <c r="C998" s="153"/>
      <c r="D998" s="132"/>
      <c r="E998" s="132"/>
      <c r="F998" s="132"/>
      <c r="G998" s="153"/>
      <c r="H998" s="153"/>
      <c r="I998" s="153"/>
    </row>
    <row r="999" spans="2:9" ht="15.75" customHeight="1">
      <c r="B999" s="153"/>
      <c r="C999" s="153"/>
      <c r="D999" s="132"/>
      <c r="E999" s="132"/>
      <c r="F999" s="132"/>
      <c r="G999" s="153"/>
      <c r="H999" s="153"/>
      <c r="I999" s="153"/>
    </row>
    <row r="1000" spans="2:9" ht="15.75" customHeight="1">
      <c r="B1000" s="153"/>
      <c r="C1000" s="153"/>
      <c r="D1000" s="132"/>
      <c r="E1000" s="132"/>
      <c r="F1000" s="132"/>
      <c r="G1000" s="153"/>
      <c r="H1000" s="153"/>
      <c r="I1000" s="153"/>
    </row>
    <row r="1001" spans="2:9" ht="15.75" customHeight="1">
      <c r="B1001" s="153"/>
      <c r="C1001" s="153"/>
      <c r="D1001" s="132"/>
      <c r="E1001" s="132"/>
      <c r="F1001" s="132"/>
      <c r="G1001" s="153"/>
      <c r="H1001" s="153"/>
      <c r="I1001" s="153"/>
    </row>
    <row r="1002" spans="2:9" ht="15.75" customHeight="1">
      <c r="B1002" s="153"/>
      <c r="C1002" s="153"/>
      <c r="D1002" s="132"/>
      <c r="E1002" s="132"/>
      <c r="F1002" s="132"/>
      <c r="G1002" s="153"/>
      <c r="H1002" s="153"/>
      <c r="I1002" s="153"/>
    </row>
    <row r="1003" spans="2:9" ht="15.75" customHeight="1">
      <c r="B1003" s="153"/>
      <c r="C1003" s="153"/>
      <c r="D1003" s="132"/>
      <c r="E1003" s="132"/>
      <c r="F1003" s="132"/>
      <c r="G1003" s="153"/>
      <c r="H1003" s="153"/>
      <c r="I1003" s="153"/>
    </row>
    <row r="1004" spans="2:9" ht="15.75" customHeight="1">
      <c r="B1004" s="153"/>
      <c r="C1004" s="153"/>
      <c r="D1004" s="132"/>
      <c r="E1004" s="132"/>
      <c r="F1004" s="132"/>
      <c r="G1004" s="153"/>
      <c r="H1004" s="153"/>
      <c r="I1004" s="153"/>
    </row>
    <row r="1005" spans="2:9" ht="15.75" customHeight="1">
      <c r="B1005" s="153"/>
      <c r="C1005" s="153"/>
      <c r="D1005" s="132"/>
      <c r="E1005" s="132"/>
      <c r="F1005" s="132"/>
      <c r="G1005" s="153"/>
      <c r="H1005" s="153"/>
      <c r="I1005" s="153"/>
    </row>
    <row r="1006" spans="2:9" ht="15.75" customHeight="1">
      <c r="B1006" s="153"/>
      <c r="C1006" s="153"/>
      <c r="D1006" s="132"/>
      <c r="E1006" s="132"/>
      <c r="F1006" s="132"/>
      <c r="G1006" s="153"/>
      <c r="H1006" s="153"/>
      <c r="I1006" s="153"/>
    </row>
    <row r="1007" spans="2:9" ht="15.75" customHeight="1">
      <c r="B1007" s="153"/>
      <c r="C1007" s="153"/>
      <c r="D1007" s="132"/>
      <c r="E1007" s="132"/>
      <c r="F1007" s="132"/>
      <c r="G1007" s="153"/>
      <c r="H1007" s="153"/>
      <c r="I1007" s="153"/>
    </row>
    <row r="1008" spans="2:9" ht="15.75" customHeight="1">
      <c r="B1008" s="153"/>
      <c r="C1008" s="153"/>
      <c r="D1008" s="132"/>
      <c r="E1008" s="132"/>
      <c r="F1008" s="132"/>
      <c r="G1008" s="153"/>
      <c r="H1008" s="153"/>
      <c r="I1008" s="153"/>
    </row>
    <row r="1009" spans="2:9" ht="15.75" customHeight="1">
      <c r="B1009" s="153"/>
      <c r="C1009" s="153"/>
      <c r="D1009" s="132"/>
      <c r="E1009" s="132"/>
      <c r="F1009" s="132"/>
      <c r="G1009" s="153"/>
      <c r="H1009" s="153"/>
      <c r="I1009" s="153"/>
    </row>
    <row r="1010" spans="2:9" ht="15.75" customHeight="1">
      <c r="B1010" s="153"/>
      <c r="C1010" s="153"/>
      <c r="D1010" s="132"/>
      <c r="E1010" s="132"/>
      <c r="F1010" s="132"/>
      <c r="G1010" s="153"/>
      <c r="H1010" s="153"/>
      <c r="I1010" s="153"/>
    </row>
    <row r="1011" spans="2:9" ht="15.75" customHeight="1">
      <c r="B1011" s="153"/>
      <c r="C1011" s="153"/>
      <c r="D1011" s="132"/>
      <c r="E1011" s="132"/>
      <c r="F1011" s="132"/>
      <c r="G1011" s="153"/>
      <c r="H1011" s="153"/>
      <c r="I1011" s="153"/>
    </row>
    <row r="1012" spans="2:9" ht="15.75" customHeight="1">
      <c r="B1012" s="153"/>
      <c r="C1012" s="153"/>
      <c r="D1012" s="132"/>
      <c r="E1012" s="132"/>
      <c r="F1012" s="132"/>
      <c r="G1012" s="153"/>
      <c r="H1012" s="153"/>
      <c r="I1012" s="153"/>
    </row>
    <row r="1013" spans="2:9" ht="15.75" customHeight="1">
      <c r="B1013" s="153"/>
      <c r="C1013" s="153"/>
      <c r="D1013" s="132"/>
      <c r="E1013" s="132"/>
      <c r="F1013" s="132"/>
      <c r="G1013" s="153"/>
      <c r="H1013" s="153"/>
      <c r="I1013" s="153"/>
    </row>
    <row r="1014" spans="2:9" ht="15.75" customHeight="1">
      <c r="B1014" s="153"/>
      <c r="C1014" s="153"/>
      <c r="D1014" s="132"/>
      <c r="E1014" s="132"/>
      <c r="F1014" s="132"/>
      <c r="G1014" s="153"/>
      <c r="H1014" s="153"/>
      <c r="I1014" s="153"/>
    </row>
    <row r="1015" spans="2:9" ht="15.75" customHeight="1">
      <c r="B1015" s="153"/>
      <c r="C1015" s="153"/>
      <c r="D1015" s="132"/>
      <c r="E1015" s="132"/>
      <c r="F1015" s="132"/>
      <c r="G1015" s="153"/>
      <c r="H1015" s="153"/>
      <c r="I1015" s="153"/>
    </row>
    <row r="1016" spans="2:9" ht="15.75" customHeight="1">
      <c r="B1016" s="153"/>
      <c r="C1016" s="153"/>
      <c r="D1016" s="132"/>
      <c r="E1016" s="132"/>
      <c r="F1016" s="132"/>
      <c r="G1016" s="153"/>
      <c r="H1016" s="153"/>
      <c r="I1016" s="153"/>
    </row>
    <row r="1017" spans="2:9" ht="15.75" customHeight="1">
      <c r="B1017" s="153"/>
      <c r="C1017" s="153"/>
      <c r="D1017" s="132"/>
      <c r="E1017" s="132"/>
      <c r="F1017" s="132"/>
      <c r="G1017" s="153"/>
      <c r="H1017" s="153"/>
      <c r="I1017" s="153"/>
    </row>
    <row r="1018" spans="2:9" ht="15.75" customHeight="1">
      <c r="B1018" s="153"/>
      <c r="C1018" s="153"/>
      <c r="D1018" s="132"/>
      <c r="E1018" s="132"/>
      <c r="F1018" s="132"/>
      <c r="G1018" s="153"/>
      <c r="H1018" s="153"/>
      <c r="I1018" s="153"/>
    </row>
    <row r="1019" spans="2:9" ht="15.75" customHeight="1">
      <c r="B1019" s="153"/>
      <c r="C1019" s="153"/>
      <c r="D1019" s="132"/>
      <c r="E1019" s="132"/>
      <c r="F1019" s="132"/>
      <c r="G1019" s="153"/>
      <c r="H1019" s="153"/>
      <c r="I1019" s="153"/>
    </row>
    <row r="1020" spans="2:9" ht="15.75" customHeight="1">
      <c r="B1020" s="153"/>
      <c r="C1020" s="153"/>
      <c r="D1020" s="132"/>
      <c r="E1020" s="132"/>
      <c r="F1020" s="132"/>
      <c r="G1020" s="153"/>
      <c r="H1020" s="153"/>
      <c r="I1020" s="153"/>
    </row>
    <row r="1021" spans="2:9" ht="15.75" customHeight="1">
      <c r="B1021" s="153"/>
      <c r="C1021" s="153"/>
      <c r="D1021" s="132"/>
      <c r="E1021" s="132"/>
      <c r="F1021" s="132"/>
      <c r="G1021" s="153"/>
      <c r="H1021" s="153"/>
      <c r="I1021" s="153"/>
    </row>
    <row r="1022" spans="2:9" ht="15.75" customHeight="1">
      <c r="B1022" s="153"/>
      <c r="C1022" s="153"/>
      <c r="D1022" s="132"/>
      <c r="E1022" s="132"/>
      <c r="F1022" s="132"/>
      <c r="G1022" s="153"/>
      <c r="H1022" s="153"/>
      <c r="I1022" s="153"/>
    </row>
    <row r="1023" spans="2:9" ht="15.75" customHeight="1">
      <c r="B1023" s="153"/>
      <c r="C1023" s="153"/>
      <c r="D1023" s="132"/>
      <c r="E1023" s="132"/>
      <c r="F1023" s="132"/>
      <c r="G1023" s="153"/>
      <c r="H1023" s="153"/>
      <c r="I1023" s="153"/>
    </row>
    <row r="1024" spans="2:9" ht="15.75" customHeight="1">
      <c r="B1024" s="153"/>
      <c r="C1024" s="153"/>
      <c r="D1024" s="132"/>
      <c r="E1024" s="132"/>
      <c r="F1024" s="132"/>
      <c r="G1024" s="153"/>
      <c r="H1024" s="153"/>
      <c r="I1024" s="153"/>
    </row>
    <row r="1025" spans="2:9" ht="15.75" customHeight="1">
      <c r="B1025" s="153"/>
      <c r="C1025" s="153"/>
      <c r="D1025" s="132"/>
      <c r="E1025" s="132"/>
      <c r="F1025" s="132"/>
      <c r="G1025" s="153"/>
      <c r="H1025" s="153"/>
      <c r="I1025" s="153"/>
    </row>
    <row r="1026" spans="2:9" ht="15.75" customHeight="1">
      <c r="B1026" s="153"/>
      <c r="C1026" s="153"/>
      <c r="D1026" s="132"/>
      <c r="E1026" s="132"/>
      <c r="F1026" s="132"/>
      <c r="G1026" s="153"/>
      <c r="H1026" s="153"/>
      <c r="I1026" s="153"/>
    </row>
  </sheetData>
  <phoneticPr fontId="85" type="noConversion"/>
  <dataValidations count="6">
    <dataValidation type="list" allowBlank="1" sqref="H2:H123 H129:H1026" xr:uid="{00000000-0002-0000-1200-000000000000}">
      <formula1>"Hepeng Wang,Da Xu,Lingyu Meng,Zhiang Shen,Zhiwen Wang,Wei Jin,Han Shen,Huajia Nie,Shuo Cheng,Nanshu Zhao"</formula1>
    </dataValidation>
    <dataValidation type="list" allowBlank="1" sqref="I2:I123 H124:I128 I129:I1026" xr:uid="{00000000-0002-0000-1200-000001000000}">
      <formula1>"Hepeng Wang,Da Xu,Lingyu Meng,Zhiang Shen,Zhiwen Wang,Wei Jin,"</formula1>
    </dataValidation>
    <dataValidation type="list" allowBlank="1" sqref="F2:F1026" xr:uid="{00000000-0002-0000-1200-000002000000}">
      <formula1>"Good,Bad"</formula1>
    </dataValidation>
    <dataValidation type="list" allowBlank="1" sqref="G2:G1026" xr:uid="{00000000-0002-0000-1200-000003000000}">
      <formula1>"Hepeng Wang,Da Xu,Lingyu Meng,Zhiang Shen,Zhiwen Wang,Wei Jin,Nanshu Zhao"</formula1>
    </dataValidation>
    <dataValidation type="list" allowBlank="1" sqref="E2:E1026" xr:uid="{00000000-0002-0000-1200-000004000000}">
      <formula1>"none,little,much"</formula1>
    </dataValidation>
    <dataValidation type="list" allowBlank="1" sqref="C2:C1026" xr:uid="{00000000-0002-0000-1200-000005000000}">
      <formula1>"commited,reviewing,fixing,done,skip"</formula1>
    </dataValidation>
  </dataValidations>
  <hyperlinks>
    <hyperlink ref="J26" r:id="rId1" xr:uid="{00000000-0004-0000-12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21</vt:i4>
      </vt:variant>
    </vt:vector>
  </HeadingPairs>
  <TitlesOfParts>
    <vt:vector size="21" baseType="lpstr">
      <vt:lpstr>Sheet29 (2)</vt:lpstr>
      <vt:lpstr>Sheet29</vt:lpstr>
      <vt:lpstr>Scenario Naming</vt:lpstr>
      <vt:lpstr>Summary</vt:lpstr>
      <vt:lpstr>Classification</vt:lpstr>
      <vt:lpstr>TAADS Result URL </vt:lpstr>
      <vt:lpstr>TAADS SimResult Review</vt:lpstr>
      <vt:lpstr>Scenarios Need Tuning</vt:lpstr>
      <vt:lpstr>TAADS Test Issues From AI Regre</vt:lpstr>
      <vt:lpstr>copy</vt:lpstr>
      <vt:lpstr>New Scenarios Review</vt:lpstr>
      <vt:lpstr>2022W01-Today</vt:lpstr>
      <vt:lpstr>2021W42-2021W52</vt:lpstr>
      <vt:lpstr>Statistical_table</vt:lpstr>
      <vt:lpstr>Deprecated</vt:lpstr>
      <vt:lpstr>Sheet1</vt:lpstr>
      <vt:lpstr>Vedio List</vt:lpstr>
      <vt:lpstr>Sheet12</vt:lpstr>
      <vt:lpstr>TAADS Sce List</vt:lpstr>
      <vt:lpstr>TAADS_feature</vt:lpstr>
      <vt:lpstr>Copy of 2021W42-2022W02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xuda</cp:lastModifiedBy>
  <dcterms:modified xsi:type="dcterms:W3CDTF">2022-04-05T16:33:52Z</dcterms:modified>
</cp:coreProperties>
</file>