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30" windowWidth="19440" windowHeight="8340" tabRatio="866" activeTab="1"/>
  </bookViews>
  <sheets>
    <sheet name="Non open报价" sheetId="34" r:id="rId1"/>
    <sheet name="open报价" sheetId="33" r:id="rId2"/>
    <sheet name="GIL BBU报价" sheetId="31" r:id="rId3"/>
    <sheet name="Agency Quotation Header-GIL BBU" sheetId="1" r:id="rId4"/>
    <sheet name="HC BBU报价" sheetId="30" r:id="rId5"/>
    <sheet name="Agency Quotation Header-HC BBU" sheetId="24" r:id="rId6"/>
    <sheet name="My Castle报价" sheetId="28" r:id="rId7"/>
    <sheet name="Agency Quotation Header-MC" sheetId="27" r:id="rId8"/>
    <sheet name="矮柜旗舰端架-灯" sheetId="9" state="hidden" r:id="rId9"/>
    <sheet name="大润发高柜" sheetId="10" state="hidden" r:id="rId10"/>
    <sheet name="大润发高柜-灯" sheetId="11" state="hidden" r:id="rId11"/>
    <sheet name="高柜经济" sheetId="12" state="hidden" r:id="rId12"/>
    <sheet name="高柜经济-灯" sheetId="13" state="hidden" r:id="rId13"/>
    <sheet name="高柜旗舰" sheetId="14" state="hidden" r:id="rId14"/>
    <sheet name="高柜旗舰-灯" sheetId="15" state="hidden" r:id="rId15"/>
    <sheet name="运输-矮柜" sheetId="18" state="hidden" r:id="rId16"/>
    <sheet name="运输-高柜" sheetId="19" state="hidden" r:id="rId17"/>
    <sheet name="安装" sheetId="20" state="hidden" r:id="rId18"/>
    <sheet name="高柜支撑件" sheetId="21" state="hidden" r:id="rId19"/>
    <sheet name="矮柜支撑件" sheetId="22" state="hidden"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4" hidden="1">'HC BBU报价'!$A$1:$J$21</definedName>
    <definedName name="_xlnm._FilterDatabase" localSheetId="6" hidden="1">'My Castle报价'!$A$1:$J$21</definedName>
    <definedName name="_xlnm._FilterDatabase" localSheetId="0" hidden="1">'Non open报价'!$A$1:$J$26</definedName>
    <definedName name="_xlnm._FilterDatabase" localSheetId="1" hidden="1">open报价!$A$1:$J$21</definedName>
    <definedName name="_xlnm._FilterDatabase" localSheetId="15" hidden="1">'运输-矮柜'!$A$3:$T$44</definedName>
    <definedName name="_xlnm._FilterDatabase" localSheetId="16" hidden="1">'运输-高柜'!$A$3:$S$65</definedName>
    <definedName name="data">[1]Sheet2!$B$4:$B$276</definedName>
    <definedName name="dfafda" localSheetId="7">[2]Data!#REF!</definedName>
    <definedName name="dfafda" localSheetId="6">[2]Data!#REF!</definedName>
    <definedName name="dfafda">[2]Data!#REF!</definedName>
    <definedName name="Header1" localSheetId="4">#REF!</definedName>
    <definedName name="Header1">#REF!</definedName>
    <definedName name="List1" localSheetId="7">#REF!</definedName>
    <definedName name="List1" localSheetId="4">[3]Data!#REF!</definedName>
    <definedName name="List1" localSheetId="6">[3]Data!#REF!</definedName>
    <definedName name="List1" localSheetId="0">[3]Data!#REF!</definedName>
    <definedName name="List1" localSheetId="1">[3]Data!#REF!</definedName>
    <definedName name="List1">[4]Data!#REF!</definedName>
    <definedName name="List2" localSheetId="7">#REF!</definedName>
    <definedName name="List2" localSheetId="4">[3]Data!#REF!</definedName>
    <definedName name="List2" localSheetId="6">[3]Data!#REF!</definedName>
    <definedName name="List2" localSheetId="0">[3]Data!#REF!</definedName>
    <definedName name="List2" localSheetId="1">[3]Data!#REF!</definedName>
    <definedName name="List2">[4]Data!#REF!</definedName>
    <definedName name="List3" localSheetId="7">#REF!</definedName>
    <definedName name="List3" localSheetId="4">#REF!</definedName>
    <definedName name="List3" localSheetId="6">#REF!</definedName>
    <definedName name="List3" localSheetId="0">#REF!</definedName>
    <definedName name="List3" localSheetId="1">#REF!</definedName>
    <definedName name="List3">#REF!</definedName>
    <definedName name="List4" localSheetId="7">#REF!</definedName>
    <definedName name="List4" localSheetId="4">#REF!</definedName>
    <definedName name="List4" localSheetId="6">#REF!</definedName>
    <definedName name="List4" localSheetId="0">#REF!</definedName>
    <definedName name="List4" localSheetId="1">#REF!</definedName>
    <definedName name="List4">#REF!</definedName>
    <definedName name="list5" localSheetId="7">#REF!</definedName>
    <definedName name="list5" localSheetId="6">#REF!</definedName>
    <definedName name="list5">#REF!</definedName>
    <definedName name="listd" localSheetId="7">#REF!</definedName>
    <definedName name="listd" localSheetId="6">#REF!</definedName>
    <definedName name="listd">#REF!</definedName>
    <definedName name="liste" localSheetId="7">#REF!</definedName>
    <definedName name="liste" localSheetId="6">#REF!</definedName>
    <definedName name="liste">#REF!</definedName>
    <definedName name="listn" localSheetId="7">#REF!</definedName>
    <definedName name="listn" localSheetId="6">#REF!</definedName>
    <definedName name="listn">#REF!</definedName>
    <definedName name="listr" localSheetId="7">#REF!</definedName>
    <definedName name="listr" localSheetId="6">#REF!</definedName>
    <definedName name="listr">#REF!</definedName>
    <definedName name="_xlnm.Print_Titles" localSheetId="7">'Agency Quotation Header-MC'!$28:$28</definedName>
    <definedName name="Table1" localSheetId="7">[2]Data!#REF!</definedName>
    <definedName name="Table1" localSheetId="4">[3]Data!#REF!</definedName>
    <definedName name="Table1" localSheetId="6">[3]Data!#REF!</definedName>
    <definedName name="Table1" localSheetId="0">[3]Data!#REF!</definedName>
    <definedName name="Table1" localSheetId="1">[3]Data!#REF!</definedName>
    <definedName name="Table1">[4]Data!#REF!</definedName>
    <definedName name="tablen" localSheetId="7">[2]Data!#REF!</definedName>
    <definedName name="tablen" localSheetId="6">[2]Data!#REF!</definedName>
    <definedName name="tablen">[2]Data!#REF!</definedName>
    <definedName name="表头" localSheetId="4">[5]Data!#REF!</definedName>
    <definedName name="表头" localSheetId="6">[5]Data!#REF!</definedName>
    <definedName name="表头" localSheetId="0">[5]Data!#REF!</definedName>
    <definedName name="表头">[5]Data!#REF!</definedName>
    <definedName name="不含税单价" localSheetId="4">#REF!</definedName>
    <definedName name="不含税单价">#REF!</definedName>
    <definedName name="是是是" localSheetId="4">[6]Sheet2!$AB$90:$AB$563</definedName>
    <definedName name="是是是">[7]Sheet2!$AB$90:$AB$563</definedName>
    <definedName name="台灣寶僑項目報價單" localSheetId="4">#REF!</definedName>
    <definedName name="台灣寶僑項目報價單">#REF!</definedName>
  </definedNames>
  <calcPr calcId="145621"/>
</workbook>
</file>

<file path=xl/calcChain.xml><?xml version="1.0" encoding="utf-8"?>
<calcChain xmlns="http://schemas.openxmlformats.org/spreadsheetml/2006/main">
  <c r="F35" i="24" l="1"/>
  <c r="C9" i="34" l="1"/>
  <c r="C36" i="34"/>
  <c r="C9" i="33"/>
  <c r="C31" i="33"/>
  <c r="G31" i="33" s="1"/>
  <c r="H31" i="33" s="1"/>
  <c r="I31" i="33" s="1"/>
  <c r="G36" i="34"/>
  <c r="H36" i="34" s="1"/>
  <c r="C7" i="34"/>
  <c r="C6" i="34"/>
  <c r="C7" i="33"/>
  <c r="C6" i="33"/>
  <c r="I36" i="34" l="1"/>
  <c r="J36" i="34" s="1"/>
  <c r="C10" i="34" s="1"/>
  <c r="J31" i="33"/>
  <c r="C10" i="33" s="1"/>
  <c r="C9" i="31"/>
  <c r="F45" i="31"/>
  <c r="F46" i="31"/>
  <c r="F47" i="31"/>
  <c r="F44" i="31"/>
  <c r="F43" i="31"/>
  <c r="F42" i="31"/>
  <c r="F41" i="31"/>
  <c r="M33" i="31"/>
  <c r="M34" i="31"/>
  <c r="M35" i="31"/>
  <c r="M36" i="31"/>
  <c r="M32" i="31"/>
  <c r="H33" i="31"/>
  <c r="H34" i="31"/>
  <c r="H35" i="31"/>
  <c r="H36" i="31"/>
  <c r="H32" i="31"/>
  <c r="N37" i="31"/>
  <c r="F36" i="31"/>
  <c r="F35" i="31"/>
  <c r="F34" i="31"/>
  <c r="F33" i="31"/>
  <c r="O33" i="31" s="1"/>
  <c r="F32" i="31"/>
  <c r="C12" i="34" l="1"/>
  <c r="C13" i="34" s="1"/>
  <c r="C11" i="34"/>
  <c r="C12" i="33"/>
  <c r="C13" i="33" s="1"/>
  <c r="C11" i="33"/>
  <c r="O34" i="31"/>
  <c r="O35" i="31"/>
  <c r="O36" i="31"/>
  <c r="P36" i="31" s="1"/>
  <c r="Q36" i="31" s="1"/>
  <c r="O32" i="31"/>
  <c r="P33" i="31"/>
  <c r="Q33" i="31" s="1"/>
  <c r="P34" i="31"/>
  <c r="Q34" i="31" s="1"/>
  <c r="O37" i="31"/>
  <c r="P32" i="31"/>
  <c r="Q32" i="31" s="1"/>
  <c r="P35" i="31"/>
  <c r="Q35" i="31" s="1"/>
  <c r="C12" i="31"/>
  <c r="C13" i="31" s="1"/>
  <c r="C11" i="31"/>
  <c r="Q37" i="31" l="1"/>
  <c r="P37" i="31"/>
  <c r="C10" i="30" l="1"/>
  <c r="C9" i="30"/>
  <c r="F35" i="30"/>
  <c r="K30" i="30"/>
  <c r="F30" i="30"/>
  <c r="E35" i="30"/>
  <c r="L31" i="30"/>
  <c r="M30" i="30"/>
  <c r="C10" i="24"/>
  <c r="C16" i="30"/>
  <c r="N30" i="30" l="1"/>
  <c r="N31" i="30" s="1"/>
  <c r="M31" i="30"/>
  <c r="C11" i="30"/>
  <c r="O30" i="30" l="1"/>
  <c r="O31" i="30" s="1"/>
  <c r="C12" i="30"/>
  <c r="C13" i="30" s="1"/>
  <c r="C9" i="28" l="1"/>
  <c r="C31" i="28"/>
  <c r="G35" i="27"/>
  <c r="G33" i="27"/>
  <c r="D12" i="27" l="1"/>
  <c r="D31" i="28"/>
  <c r="G31" i="28" s="1"/>
  <c r="H31" i="28" s="1"/>
  <c r="C7" i="28"/>
  <c r="C6" i="28"/>
  <c r="I31" i="28" l="1"/>
  <c r="J31" i="28" s="1"/>
  <c r="C12" i="28" l="1"/>
  <c r="C13" i="28" s="1"/>
  <c r="C11" i="28"/>
  <c r="C13" i="24" l="1"/>
  <c r="C11" i="24"/>
  <c r="F34" i="27"/>
  <c r="E34" i="27" s="1"/>
  <c r="F32" i="27"/>
  <c r="E32" i="27" s="1"/>
  <c r="F31" i="27"/>
  <c r="E31" i="27" s="1"/>
  <c r="F30" i="27"/>
  <c r="F29" i="27"/>
  <c r="E29" i="27" s="1"/>
  <c r="F35" i="27" l="1"/>
  <c r="E30" i="27"/>
  <c r="D9" i="27"/>
  <c r="D11" i="27" s="1"/>
  <c r="D13" i="27" s="1"/>
  <c r="G36" i="27" l="1"/>
  <c r="G37" i="27" s="1"/>
  <c r="E35" i="24" l="1"/>
  <c r="C23" i="24" l="1"/>
  <c r="C17" i="24"/>
  <c r="C14" i="24"/>
  <c r="C12" i="24"/>
  <c r="J31" i="24"/>
  <c r="I30" i="24"/>
  <c r="K30" i="24" s="1"/>
  <c r="L35" i="1"/>
  <c r="F34" i="1"/>
  <c r="F33" i="1"/>
  <c r="F32" i="1"/>
  <c r="F42" i="1"/>
  <c r="F41" i="1"/>
  <c r="L30" i="24" l="1"/>
  <c r="M30" i="24" s="1"/>
  <c r="K31" i="24"/>
  <c r="F44" i="1"/>
  <c r="F45" i="1"/>
  <c r="F43" i="1"/>
  <c r="K34" i="1"/>
  <c r="M34" i="1" s="1"/>
  <c r="N34" i="1" s="1"/>
  <c r="O34" i="1" s="1"/>
  <c r="F31" i="1"/>
  <c r="K33" i="1"/>
  <c r="M33" i="1" s="1"/>
  <c r="N33" i="1" s="1"/>
  <c r="O33" i="1" s="1"/>
  <c r="K32" i="1"/>
  <c r="M32" i="1" s="1"/>
  <c r="N32" i="1" s="1"/>
  <c r="O32" i="1" s="1"/>
  <c r="M31" i="24" l="1"/>
  <c r="L31" i="24"/>
  <c r="C17" i="1" l="1"/>
  <c r="C31" i="22"/>
  <c r="C32" i="22" s="1"/>
  <c r="G20" i="22"/>
  <c r="G7" i="22"/>
  <c r="G6" i="22"/>
  <c r="F5" i="22"/>
  <c r="G5" i="22" s="1"/>
  <c r="G11" i="22" s="1"/>
  <c r="G13" i="22" s="1"/>
  <c r="F4" i="22"/>
  <c r="G4" i="22" s="1"/>
  <c r="G20" i="21"/>
  <c r="G7" i="21"/>
  <c r="C31" i="21" s="1"/>
  <c r="G6" i="21"/>
  <c r="F5" i="21"/>
  <c r="G5" i="21" s="1"/>
  <c r="F4" i="21"/>
  <c r="G4" i="21" s="1"/>
  <c r="AC44" i="20"/>
  <c r="AD44" i="20" s="1"/>
  <c r="AF44" i="20" s="1"/>
  <c r="P44" i="20"/>
  <c r="S44" i="20" s="1"/>
  <c r="M44" i="20"/>
  <c r="AC43" i="20"/>
  <c r="AD43" i="20" s="1"/>
  <c r="AF43" i="20" s="1"/>
  <c r="P43" i="20"/>
  <c r="S43" i="20" s="1"/>
  <c r="T43" i="20" s="1"/>
  <c r="V43" i="20" s="1"/>
  <c r="X43" i="20" s="1"/>
  <c r="M43" i="20"/>
  <c r="AD42" i="20"/>
  <c r="AF42" i="20" s="1"/>
  <c r="AC42" i="20"/>
  <c r="P42" i="20"/>
  <c r="S42" i="20" s="1"/>
  <c r="T42" i="20" s="1"/>
  <c r="V42" i="20" s="1"/>
  <c r="X42" i="20" s="1"/>
  <c r="M42" i="20"/>
  <c r="AC41" i="20"/>
  <c r="AD41" i="20" s="1"/>
  <c r="AF41" i="20" s="1"/>
  <c r="T41" i="20"/>
  <c r="V41" i="20" s="1"/>
  <c r="X41" i="20" s="1"/>
  <c r="AG41" i="20" s="1"/>
  <c r="AI41" i="20" s="1"/>
  <c r="S41" i="20"/>
  <c r="P41" i="20"/>
  <c r="M41" i="20"/>
  <c r="AC40" i="20"/>
  <c r="AD40" i="20" s="1"/>
  <c r="AF40" i="20" s="1"/>
  <c r="P40" i="20"/>
  <c r="S40" i="20" s="1"/>
  <c r="T40" i="20" s="1"/>
  <c r="V40" i="20" s="1"/>
  <c r="X40" i="20" s="1"/>
  <c r="M40" i="20"/>
  <c r="AC39" i="20"/>
  <c r="AD39" i="20" s="1"/>
  <c r="AF39" i="20" s="1"/>
  <c r="P39" i="20"/>
  <c r="S39" i="20" s="1"/>
  <c r="T39" i="20" s="1"/>
  <c r="V39" i="20" s="1"/>
  <c r="X39" i="20" s="1"/>
  <c r="AG39" i="20" s="1"/>
  <c r="AI39" i="20" s="1"/>
  <c r="M39" i="20"/>
  <c r="AC38" i="20"/>
  <c r="AD38" i="20" s="1"/>
  <c r="AF38" i="20" s="1"/>
  <c r="S38" i="20"/>
  <c r="T38" i="20" s="1"/>
  <c r="V38" i="20" s="1"/>
  <c r="X38" i="20" s="1"/>
  <c r="P38" i="20"/>
  <c r="M38" i="20"/>
  <c r="AC37" i="20"/>
  <c r="AD37" i="20" s="1"/>
  <c r="AF37" i="20" s="1"/>
  <c r="P37" i="20"/>
  <c r="S37" i="20" s="1"/>
  <c r="T37" i="20" s="1"/>
  <c r="V37" i="20" s="1"/>
  <c r="X37" i="20" s="1"/>
  <c r="AG37" i="20" s="1"/>
  <c r="AI37" i="20" s="1"/>
  <c r="M37" i="20"/>
  <c r="AC36" i="20"/>
  <c r="AD36" i="20" s="1"/>
  <c r="AF36" i="20" s="1"/>
  <c r="P36" i="20"/>
  <c r="S36" i="20" s="1"/>
  <c r="M36" i="20"/>
  <c r="AD35" i="20"/>
  <c r="AF35" i="20" s="1"/>
  <c r="AC35" i="20"/>
  <c r="P35" i="20"/>
  <c r="S35" i="20" s="1"/>
  <c r="M35" i="20"/>
  <c r="AC34" i="20"/>
  <c r="AD34" i="20" s="1"/>
  <c r="AF34" i="20" s="1"/>
  <c r="S34" i="20"/>
  <c r="T34" i="20" s="1"/>
  <c r="V34" i="20" s="1"/>
  <c r="X34" i="20" s="1"/>
  <c r="P34" i="20"/>
  <c r="M34" i="20"/>
  <c r="AD33" i="20"/>
  <c r="AF33" i="20" s="1"/>
  <c r="AC33" i="20"/>
  <c r="P33" i="20"/>
  <c r="S33" i="20" s="1"/>
  <c r="M33" i="20"/>
  <c r="AC32" i="20"/>
  <c r="AD32" i="20" s="1"/>
  <c r="AF32" i="20" s="1"/>
  <c r="P32" i="20"/>
  <c r="S32" i="20" s="1"/>
  <c r="M32" i="20"/>
  <c r="AD31" i="20"/>
  <c r="AF31" i="20" s="1"/>
  <c r="AC31" i="20"/>
  <c r="P31" i="20"/>
  <c r="S31" i="20" s="1"/>
  <c r="M31" i="20"/>
  <c r="AC30" i="20"/>
  <c r="AD30" i="20" s="1"/>
  <c r="AF30" i="20" s="1"/>
  <c r="P30" i="20"/>
  <c r="S30" i="20" s="1"/>
  <c r="T30" i="20" s="1"/>
  <c r="V30" i="20" s="1"/>
  <c r="X30" i="20" s="1"/>
  <c r="M30" i="20"/>
  <c r="AC29" i="20"/>
  <c r="AD29" i="20" s="1"/>
  <c r="AF29" i="20" s="1"/>
  <c r="X29" i="20"/>
  <c r="AG29" i="20" s="1"/>
  <c r="AI29" i="20" s="1"/>
  <c r="S29" i="20"/>
  <c r="T29" i="20" s="1"/>
  <c r="V29" i="20" s="1"/>
  <c r="P29" i="20"/>
  <c r="M29" i="20"/>
  <c r="AC28" i="20"/>
  <c r="AD28" i="20" s="1"/>
  <c r="AF28" i="20" s="1"/>
  <c r="P28" i="20"/>
  <c r="S28" i="20" s="1"/>
  <c r="M28" i="20"/>
  <c r="AC27" i="20"/>
  <c r="AD27" i="20" s="1"/>
  <c r="AF27" i="20" s="1"/>
  <c r="P27" i="20"/>
  <c r="S27" i="20" s="1"/>
  <c r="T27" i="20" s="1"/>
  <c r="V27" i="20" s="1"/>
  <c r="X27" i="20" s="1"/>
  <c r="M27" i="20"/>
  <c r="AD26" i="20"/>
  <c r="AF26" i="20" s="1"/>
  <c r="AC26" i="20"/>
  <c r="P26" i="20"/>
  <c r="S26" i="20" s="1"/>
  <c r="T26" i="20" s="1"/>
  <c r="V26" i="20" s="1"/>
  <c r="X26" i="20" s="1"/>
  <c r="M26" i="20"/>
  <c r="AC25" i="20"/>
  <c r="AD25" i="20" s="1"/>
  <c r="AF25" i="20" s="1"/>
  <c r="S25" i="20"/>
  <c r="T25" i="20" s="1"/>
  <c r="V25" i="20" s="1"/>
  <c r="X25" i="20" s="1"/>
  <c r="AG25" i="20" s="1"/>
  <c r="AI25" i="20" s="1"/>
  <c r="P25" i="20"/>
  <c r="M25" i="20"/>
  <c r="AC24" i="20"/>
  <c r="AD24" i="20" s="1"/>
  <c r="AF24" i="20" s="1"/>
  <c r="P24" i="20"/>
  <c r="S24" i="20" s="1"/>
  <c r="T24" i="20" s="1"/>
  <c r="V24" i="20" s="1"/>
  <c r="X24" i="20" s="1"/>
  <c r="AG24" i="20" s="1"/>
  <c r="AI24" i="20" s="1"/>
  <c r="M24" i="20"/>
  <c r="AC23" i="20"/>
  <c r="AD23" i="20" s="1"/>
  <c r="AF23" i="20" s="1"/>
  <c r="P23" i="20"/>
  <c r="S23" i="20" s="1"/>
  <c r="T23" i="20" s="1"/>
  <c r="V23" i="20" s="1"/>
  <c r="X23" i="20" s="1"/>
  <c r="AG23" i="20" s="1"/>
  <c r="AI23" i="20" s="1"/>
  <c r="M23" i="20"/>
  <c r="AC22" i="20"/>
  <c r="AD22" i="20" s="1"/>
  <c r="AF22" i="20" s="1"/>
  <c r="S22" i="20"/>
  <c r="T22" i="20" s="1"/>
  <c r="V22" i="20" s="1"/>
  <c r="X22" i="20" s="1"/>
  <c r="P22" i="20"/>
  <c r="M22" i="20"/>
  <c r="AC21" i="20"/>
  <c r="AD21" i="20" s="1"/>
  <c r="AF21" i="20" s="1"/>
  <c r="P21" i="20"/>
  <c r="S21" i="20" s="1"/>
  <c r="T21" i="20" s="1"/>
  <c r="V21" i="20" s="1"/>
  <c r="X21" i="20" s="1"/>
  <c r="M21" i="20"/>
  <c r="AC20" i="20"/>
  <c r="AD20" i="20" s="1"/>
  <c r="AF20" i="20" s="1"/>
  <c r="P20" i="20"/>
  <c r="S20" i="20" s="1"/>
  <c r="M20" i="20"/>
  <c r="AD19" i="20"/>
  <c r="AF19" i="20" s="1"/>
  <c r="AC19" i="20"/>
  <c r="T19" i="20"/>
  <c r="V19" i="20" s="1"/>
  <c r="X19" i="20" s="1"/>
  <c r="AG19" i="20" s="1"/>
  <c r="AI19" i="20" s="1"/>
  <c r="P19" i="20"/>
  <c r="S19" i="20" s="1"/>
  <c r="M19" i="20"/>
  <c r="AC18" i="20"/>
  <c r="AD18" i="20" s="1"/>
  <c r="AF18" i="20" s="1"/>
  <c r="P18" i="20"/>
  <c r="S18" i="20" s="1"/>
  <c r="T18" i="20" s="1"/>
  <c r="V18" i="20" s="1"/>
  <c r="X18" i="20" s="1"/>
  <c r="M18" i="20"/>
  <c r="AD17" i="20"/>
  <c r="AF17" i="20" s="1"/>
  <c r="AC17" i="20"/>
  <c r="S17" i="20"/>
  <c r="T17" i="20" s="1"/>
  <c r="V17" i="20" s="1"/>
  <c r="X17" i="20" s="1"/>
  <c r="AG17" i="20" s="1"/>
  <c r="AI17" i="20" s="1"/>
  <c r="P17" i="20"/>
  <c r="M17" i="20"/>
  <c r="AC16" i="20"/>
  <c r="AD16" i="20" s="1"/>
  <c r="AF16" i="20" s="1"/>
  <c r="V16" i="20"/>
  <c r="X16" i="20" s="1"/>
  <c r="AG16" i="20" s="1"/>
  <c r="AI16" i="20" s="1"/>
  <c r="P16" i="20"/>
  <c r="S16" i="20" s="1"/>
  <c r="T16" i="20" s="1"/>
  <c r="M16" i="20"/>
  <c r="AC15" i="20"/>
  <c r="AD15" i="20" s="1"/>
  <c r="AF15" i="20" s="1"/>
  <c r="P15" i="20"/>
  <c r="S15" i="20" s="1"/>
  <c r="T15" i="20" s="1"/>
  <c r="V15" i="20" s="1"/>
  <c r="X15" i="20" s="1"/>
  <c r="M15" i="20"/>
  <c r="AC14" i="20"/>
  <c r="AD14" i="20" s="1"/>
  <c r="AF14" i="20" s="1"/>
  <c r="T14" i="20"/>
  <c r="V14" i="20" s="1"/>
  <c r="X14" i="20" s="1"/>
  <c r="AG14" i="20" s="1"/>
  <c r="AI14" i="20" s="1"/>
  <c r="S14" i="20"/>
  <c r="P14" i="20"/>
  <c r="M14" i="20"/>
  <c r="AD13" i="20"/>
  <c r="AF13" i="20" s="1"/>
  <c r="AC13" i="20"/>
  <c r="P13" i="20"/>
  <c r="S13" i="20" s="1"/>
  <c r="T13" i="20" s="1"/>
  <c r="V13" i="20" s="1"/>
  <c r="X13" i="20" s="1"/>
  <c r="M13" i="20"/>
  <c r="AC12" i="20"/>
  <c r="AD12" i="20" s="1"/>
  <c r="AF12" i="20" s="1"/>
  <c r="P12" i="20"/>
  <c r="S12" i="20" s="1"/>
  <c r="M12" i="20"/>
  <c r="AD11" i="20"/>
  <c r="AF11" i="20" s="1"/>
  <c r="AC11" i="20"/>
  <c r="P11" i="20"/>
  <c r="S11" i="20" s="1"/>
  <c r="T11" i="20" s="1"/>
  <c r="V11" i="20" s="1"/>
  <c r="X11" i="20" s="1"/>
  <c r="AG11" i="20" s="1"/>
  <c r="AI11" i="20" s="1"/>
  <c r="M11" i="20"/>
  <c r="AC10" i="20"/>
  <c r="AD10" i="20" s="1"/>
  <c r="AF10" i="20" s="1"/>
  <c r="S10" i="20"/>
  <c r="T10" i="20" s="1"/>
  <c r="V10" i="20" s="1"/>
  <c r="X10" i="20" s="1"/>
  <c r="P10" i="20"/>
  <c r="M10" i="20"/>
  <c r="AC9" i="20"/>
  <c r="AD9" i="20" s="1"/>
  <c r="AF9" i="20" s="1"/>
  <c r="T9" i="20"/>
  <c r="V9" i="20" s="1"/>
  <c r="X9" i="20" s="1"/>
  <c r="AG9" i="20" s="1"/>
  <c r="AI9" i="20" s="1"/>
  <c r="P9" i="20"/>
  <c r="S9" i="20" s="1"/>
  <c r="M9" i="20"/>
  <c r="AC8" i="20"/>
  <c r="AD8" i="20" s="1"/>
  <c r="AF8" i="20" s="1"/>
  <c r="P8" i="20"/>
  <c r="S8" i="20" s="1"/>
  <c r="M8" i="20"/>
  <c r="AC7" i="20"/>
  <c r="AD7" i="20" s="1"/>
  <c r="AF7" i="20" s="1"/>
  <c r="P7" i="20"/>
  <c r="S7" i="20" s="1"/>
  <c r="T7" i="20" s="1"/>
  <c r="V7" i="20" s="1"/>
  <c r="X7" i="20" s="1"/>
  <c r="AG7" i="20" s="1"/>
  <c r="AI7" i="20" s="1"/>
  <c r="M7" i="20"/>
  <c r="AF6" i="20"/>
  <c r="AC6" i="20"/>
  <c r="AD6" i="20" s="1"/>
  <c r="S6" i="20"/>
  <c r="T6" i="20" s="1"/>
  <c r="V6" i="20" s="1"/>
  <c r="X6" i="20" s="1"/>
  <c r="P6" i="20"/>
  <c r="M6" i="20"/>
  <c r="AC5" i="20"/>
  <c r="AD5" i="20" s="1"/>
  <c r="AF5" i="20" s="1"/>
  <c r="P5" i="20"/>
  <c r="S5" i="20" s="1"/>
  <c r="M5" i="20"/>
  <c r="L64" i="19"/>
  <c r="N64" i="19" s="1"/>
  <c r="P64" i="19" s="1"/>
  <c r="R64" i="19" s="1"/>
  <c r="K64" i="19"/>
  <c r="H64" i="19"/>
  <c r="L63" i="19"/>
  <c r="N63" i="19" s="1"/>
  <c r="P63" i="19" s="1"/>
  <c r="R63" i="19" s="1"/>
  <c r="K63" i="19"/>
  <c r="H63" i="19"/>
  <c r="K62" i="19"/>
  <c r="H62" i="19"/>
  <c r="L62" i="19" s="1"/>
  <c r="N62" i="19" s="1"/>
  <c r="P62" i="19" s="1"/>
  <c r="R62" i="19" s="1"/>
  <c r="K61" i="19"/>
  <c r="H61" i="19"/>
  <c r="L61" i="19" s="1"/>
  <c r="N61" i="19" s="1"/>
  <c r="P61" i="19" s="1"/>
  <c r="R61" i="19" s="1"/>
  <c r="K60" i="19"/>
  <c r="H60" i="19"/>
  <c r="L60" i="19" s="1"/>
  <c r="N60" i="19" s="1"/>
  <c r="P60" i="19" s="1"/>
  <c r="R60" i="19" s="1"/>
  <c r="K59" i="19"/>
  <c r="H59" i="19"/>
  <c r="L59" i="19" s="1"/>
  <c r="N59" i="19" s="1"/>
  <c r="P59" i="19" s="1"/>
  <c r="R59" i="19" s="1"/>
  <c r="K58" i="19"/>
  <c r="H58" i="19"/>
  <c r="L58" i="19" s="1"/>
  <c r="N58" i="19" s="1"/>
  <c r="P58" i="19" s="1"/>
  <c r="R58" i="19" s="1"/>
  <c r="K57" i="19"/>
  <c r="H57" i="19"/>
  <c r="L57" i="19" s="1"/>
  <c r="N57" i="19" s="1"/>
  <c r="P57" i="19" s="1"/>
  <c r="R57" i="19" s="1"/>
  <c r="L56" i="19"/>
  <c r="N56" i="19" s="1"/>
  <c r="P56" i="19" s="1"/>
  <c r="R56" i="19" s="1"/>
  <c r="K56" i="19"/>
  <c r="H56" i="19"/>
  <c r="P55" i="19"/>
  <c r="R55" i="19" s="1"/>
  <c r="L55" i="19"/>
  <c r="N55" i="19" s="1"/>
  <c r="K55" i="19"/>
  <c r="H55" i="19"/>
  <c r="K54" i="19"/>
  <c r="H54" i="19"/>
  <c r="L54" i="19" s="1"/>
  <c r="N54" i="19" s="1"/>
  <c r="P54" i="19" s="1"/>
  <c r="R54" i="19" s="1"/>
  <c r="K53" i="19"/>
  <c r="H53" i="19"/>
  <c r="L53" i="19" s="1"/>
  <c r="N53" i="19" s="1"/>
  <c r="P53" i="19" s="1"/>
  <c r="R53" i="19" s="1"/>
  <c r="L52" i="19"/>
  <c r="N52" i="19" s="1"/>
  <c r="P52" i="19" s="1"/>
  <c r="R52" i="19" s="1"/>
  <c r="K52" i="19"/>
  <c r="H52" i="19"/>
  <c r="L51" i="19"/>
  <c r="N51" i="19" s="1"/>
  <c r="P51" i="19" s="1"/>
  <c r="R51" i="19" s="1"/>
  <c r="K51" i="19"/>
  <c r="H51" i="19"/>
  <c r="N50" i="19"/>
  <c r="P50" i="19" s="1"/>
  <c r="R50" i="19" s="1"/>
  <c r="K50" i="19"/>
  <c r="H50" i="19"/>
  <c r="L50" i="19" s="1"/>
  <c r="K49" i="19"/>
  <c r="H49" i="19"/>
  <c r="L49" i="19" s="1"/>
  <c r="N49" i="19" s="1"/>
  <c r="P49" i="19" s="1"/>
  <c r="R49" i="19" s="1"/>
  <c r="K48" i="19"/>
  <c r="H48" i="19"/>
  <c r="L48" i="19" s="1"/>
  <c r="N48" i="19" s="1"/>
  <c r="P48" i="19" s="1"/>
  <c r="R48" i="19" s="1"/>
  <c r="P47" i="19"/>
  <c r="R47" i="19" s="1"/>
  <c r="K47" i="19"/>
  <c r="H47" i="19"/>
  <c r="L47" i="19" s="1"/>
  <c r="N47" i="19" s="1"/>
  <c r="L46" i="19"/>
  <c r="N46" i="19" s="1"/>
  <c r="P46" i="19" s="1"/>
  <c r="R46" i="19" s="1"/>
  <c r="K46" i="19"/>
  <c r="H46" i="19"/>
  <c r="K45" i="19"/>
  <c r="H45" i="19"/>
  <c r="L45" i="19" s="1"/>
  <c r="N45" i="19" s="1"/>
  <c r="P45" i="19" s="1"/>
  <c r="R45" i="19" s="1"/>
  <c r="K44" i="19"/>
  <c r="H44" i="19"/>
  <c r="L44" i="19" s="1"/>
  <c r="N44" i="19" s="1"/>
  <c r="P44" i="19" s="1"/>
  <c r="R44" i="19" s="1"/>
  <c r="P43" i="19"/>
  <c r="R43" i="19" s="1"/>
  <c r="K43" i="19"/>
  <c r="H43" i="19"/>
  <c r="L43" i="19" s="1"/>
  <c r="N43" i="19" s="1"/>
  <c r="L42" i="19"/>
  <c r="N42" i="19" s="1"/>
  <c r="P42" i="19" s="1"/>
  <c r="R42" i="19" s="1"/>
  <c r="K42" i="19"/>
  <c r="H42" i="19"/>
  <c r="K41" i="19"/>
  <c r="H41" i="19"/>
  <c r="L41" i="19" s="1"/>
  <c r="N41" i="19" s="1"/>
  <c r="P41" i="19" s="1"/>
  <c r="R41" i="19" s="1"/>
  <c r="K40" i="19"/>
  <c r="H40" i="19"/>
  <c r="L40" i="19" s="1"/>
  <c r="N40" i="19" s="1"/>
  <c r="P40" i="19" s="1"/>
  <c r="R40" i="19" s="1"/>
  <c r="P39" i="19"/>
  <c r="R39" i="19" s="1"/>
  <c r="K39" i="19"/>
  <c r="H39" i="19"/>
  <c r="L39" i="19" s="1"/>
  <c r="N39" i="19" s="1"/>
  <c r="L38" i="19"/>
  <c r="N38" i="19" s="1"/>
  <c r="P38" i="19" s="1"/>
  <c r="R38" i="19" s="1"/>
  <c r="K38" i="19"/>
  <c r="H38" i="19"/>
  <c r="K37" i="19"/>
  <c r="H37" i="19"/>
  <c r="L37" i="19" s="1"/>
  <c r="N37" i="19" s="1"/>
  <c r="P37" i="19" s="1"/>
  <c r="R37" i="19" s="1"/>
  <c r="K36" i="19"/>
  <c r="H36" i="19"/>
  <c r="L36" i="19" s="1"/>
  <c r="N36" i="19" s="1"/>
  <c r="P36" i="19" s="1"/>
  <c r="R36" i="19" s="1"/>
  <c r="P35" i="19"/>
  <c r="R35" i="19" s="1"/>
  <c r="K35" i="19"/>
  <c r="H35" i="19"/>
  <c r="L35" i="19" s="1"/>
  <c r="N35" i="19" s="1"/>
  <c r="L34" i="19"/>
  <c r="N34" i="19" s="1"/>
  <c r="P34" i="19" s="1"/>
  <c r="R34" i="19" s="1"/>
  <c r="K34" i="19"/>
  <c r="H34" i="19"/>
  <c r="K33" i="19"/>
  <c r="H33" i="19"/>
  <c r="L33" i="19" s="1"/>
  <c r="N33" i="19" s="1"/>
  <c r="P33" i="19" s="1"/>
  <c r="R33" i="19" s="1"/>
  <c r="K32" i="19"/>
  <c r="H32" i="19"/>
  <c r="L32" i="19" s="1"/>
  <c r="N32" i="19" s="1"/>
  <c r="P32" i="19" s="1"/>
  <c r="R32" i="19" s="1"/>
  <c r="P31" i="19"/>
  <c r="R31" i="19" s="1"/>
  <c r="K31" i="19"/>
  <c r="H31" i="19"/>
  <c r="L31" i="19" s="1"/>
  <c r="N31" i="19" s="1"/>
  <c r="L30" i="19"/>
  <c r="N30" i="19" s="1"/>
  <c r="P30" i="19" s="1"/>
  <c r="R30" i="19" s="1"/>
  <c r="K30" i="19"/>
  <c r="H30" i="19"/>
  <c r="K29" i="19"/>
  <c r="H29" i="19"/>
  <c r="L29" i="19" s="1"/>
  <c r="N29" i="19" s="1"/>
  <c r="P29" i="19" s="1"/>
  <c r="R29" i="19" s="1"/>
  <c r="K28" i="19"/>
  <c r="H28" i="19"/>
  <c r="L28" i="19" s="1"/>
  <c r="N28" i="19" s="1"/>
  <c r="P28" i="19" s="1"/>
  <c r="R28" i="19" s="1"/>
  <c r="P27" i="19"/>
  <c r="R27" i="19" s="1"/>
  <c r="K27" i="19"/>
  <c r="H27" i="19"/>
  <c r="L27" i="19" s="1"/>
  <c r="N27" i="19" s="1"/>
  <c r="L26" i="19"/>
  <c r="N26" i="19" s="1"/>
  <c r="P26" i="19" s="1"/>
  <c r="R26" i="19" s="1"/>
  <c r="K26" i="19"/>
  <c r="H26" i="19"/>
  <c r="K25" i="19"/>
  <c r="H25" i="19"/>
  <c r="L25" i="19" s="1"/>
  <c r="N25" i="19" s="1"/>
  <c r="P25" i="19" s="1"/>
  <c r="L24" i="19"/>
  <c r="N24" i="19" s="1"/>
  <c r="P24" i="19" s="1"/>
  <c r="R24" i="19" s="1"/>
  <c r="K24" i="19"/>
  <c r="P23" i="19"/>
  <c r="R23" i="19" s="1"/>
  <c r="N23" i="19"/>
  <c r="L23" i="19"/>
  <c r="K23" i="19"/>
  <c r="L22" i="19"/>
  <c r="N22" i="19" s="1"/>
  <c r="P22" i="19" s="1"/>
  <c r="R22" i="19" s="1"/>
  <c r="K22" i="19"/>
  <c r="L21" i="19"/>
  <c r="N21" i="19" s="1"/>
  <c r="P21" i="19" s="1"/>
  <c r="R21" i="19" s="1"/>
  <c r="K21" i="19"/>
  <c r="N20" i="19"/>
  <c r="P20" i="19" s="1"/>
  <c r="R20" i="19" s="1"/>
  <c r="L20" i="19"/>
  <c r="K20" i="19"/>
  <c r="N19" i="19"/>
  <c r="P19" i="19" s="1"/>
  <c r="R19" i="19" s="1"/>
  <c r="L19" i="19"/>
  <c r="K19" i="19"/>
  <c r="L18" i="19"/>
  <c r="N18" i="19" s="1"/>
  <c r="P18" i="19" s="1"/>
  <c r="R18" i="19" s="1"/>
  <c r="K18" i="19"/>
  <c r="L17" i="19"/>
  <c r="N17" i="19" s="1"/>
  <c r="P17" i="19" s="1"/>
  <c r="R17" i="19" s="1"/>
  <c r="K17" i="19"/>
  <c r="L16" i="19"/>
  <c r="N16" i="19" s="1"/>
  <c r="P16" i="19" s="1"/>
  <c r="R16" i="19" s="1"/>
  <c r="K16" i="19"/>
  <c r="L15" i="19"/>
  <c r="N15" i="19" s="1"/>
  <c r="P15" i="19" s="1"/>
  <c r="R15" i="19" s="1"/>
  <c r="K15" i="19"/>
  <c r="L14" i="19"/>
  <c r="N14" i="19" s="1"/>
  <c r="P14" i="19" s="1"/>
  <c r="R14" i="19" s="1"/>
  <c r="K14" i="19"/>
  <c r="R13" i="19"/>
  <c r="L13" i="19"/>
  <c r="N13" i="19" s="1"/>
  <c r="P13" i="19" s="1"/>
  <c r="K13" i="19"/>
  <c r="L12" i="19"/>
  <c r="N12" i="19" s="1"/>
  <c r="P12" i="19" s="1"/>
  <c r="R12" i="19" s="1"/>
  <c r="K12" i="19"/>
  <c r="L11" i="19"/>
  <c r="N11" i="19" s="1"/>
  <c r="P11" i="19" s="1"/>
  <c r="R11" i="19" s="1"/>
  <c r="K11" i="19"/>
  <c r="P10" i="19"/>
  <c r="R10" i="19" s="1"/>
  <c r="L10" i="19"/>
  <c r="N10" i="19" s="1"/>
  <c r="K10" i="19"/>
  <c r="L9" i="19"/>
  <c r="N9" i="19" s="1"/>
  <c r="P9" i="19" s="1"/>
  <c r="R9" i="19" s="1"/>
  <c r="K9" i="19"/>
  <c r="L8" i="19"/>
  <c r="N8" i="19" s="1"/>
  <c r="P8" i="19" s="1"/>
  <c r="R8" i="19" s="1"/>
  <c r="K8" i="19"/>
  <c r="N7" i="19"/>
  <c r="P7" i="19" s="1"/>
  <c r="R7" i="19" s="1"/>
  <c r="L7" i="19"/>
  <c r="K7" i="19"/>
  <c r="L6" i="19"/>
  <c r="N6" i="19" s="1"/>
  <c r="P6" i="19" s="1"/>
  <c r="R6" i="19" s="1"/>
  <c r="K6" i="19"/>
  <c r="R5" i="19"/>
  <c r="L5" i="19"/>
  <c r="N5" i="19" s="1"/>
  <c r="P5" i="19" s="1"/>
  <c r="K5" i="19"/>
  <c r="N4" i="19"/>
  <c r="P4" i="19" s="1"/>
  <c r="R4" i="19" s="1"/>
  <c r="L4" i="19"/>
  <c r="K4" i="19"/>
  <c r="K43" i="18"/>
  <c r="J43" i="18"/>
  <c r="H43" i="18"/>
  <c r="F43" i="18"/>
  <c r="K42" i="18"/>
  <c r="J42" i="18"/>
  <c r="H42" i="18"/>
  <c r="F42" i="18"/>
  <c r="K41" i="18"/>
  <c r="J41" i="18"/>
  <c r="H41" i="18"/>
  <c r="F41" i="18"/>
  <c r="K40" i="18"/>
  <c r="J40" i="18"/>
  <c r="H40" i="18"/>
  <c r="F40" i="18"/>
  <c r="K39" i="18"/>
  <c r="J39" i="18"/>
  <c r="H39" i="18"/>
  <c r="F39" i="18"/>
  <c r="K38" i="18"/>
  <c r="J38" i="18"/>
  <c r="H38" i="18"/>
  <c r="F38" i="18"/>
  <c r="K37" i="18"/>
  <c r="J37" i="18"/>
  <c r="H37" i="18"/>
  <c r="F37" i="18"/>
  <c r="K36" i="18"/>
  <c r="J36" i="18"/>
  <c r="H36" i="18"/>
  <c r="F36" i="18"/>
  <c r="K35" i="18"/>
  <c r="J35" i="18"/>
  <c r="H35" i="18"/>
  <c r="F35" i="18"/>
  <c r="K34" i="18"/>
  <c r="J34" i="18"/>
  <c r="H34" i="18"/>
  <c r="F34" i="18"/>
  <c r="K33" i="18"/>
  <c r="J33" i="18"/>
  <c r="H33" i="18"/>
  <c r="F33" i="18"/>
  <c r="K32" i="18"/>
  <c r="J32" i="18"/>
  <c r="H32" i="18"/>
  <c r="F32" i="18"/>
  <c r="K31" i="18"/>
  <c r="J31" i="18"/>
  <c r="H31" i="18"/>
  <c r="F31" i="18"/>
  <c r="K30" i="18"/>
  <c r="J30" i="18"/>
  <c r="H30" i="18"/>
  <c r="F30" i="18"/>
  <c r="K29" i="18"/>
  <c r="J29" i="18"/>
  <c r="H29" i="18"/>
  <c r="F29" i="18"/>
  <c r="K28" i="18"/>
  <c r="J28" i="18"/>
  <c r="H28" i="18"/>
  <c r="F28" i="18"/>
  <c r="K27" i="18"/>
  <c r="J27" i="18"/>
  <c r="H27" i="18"/>
  <c r="F27" i="18"/>
  <c r="K26" i="18"/>
  <c r="J26" i="18"/>
  <c r="H26" i="18"/>
  <c r="F26" i="18"/>
  <c r="K25" i="18"/>
  <c r="J25" i="18"/>
  <c r="H25" i="18"/>
  <c r="F25" i="18"/>
  <c r="K24" i="18"/>
  <c r="J24" i="18"/>
  <c r="H24" i="18"/>
  <c r="F24" i="18"/>
  <c r="K23" i="18"/>
  <c r="J23" i="18"/>
  <c r="H23" i="18"/>
  <c r="F23" i="18"/>
  <c r="K22" i="18"/>
  <c r="J22" i="18"/>
  <c r="H22" i="18"/>
  <c r="F22" i="18"/>
  <c r="K21" i="18"/>
  <c r="J21" i="18"/>
  <c r="H21" i="18"/>
  <c r="F21" i="18"/>
  <c r="K20" i="18"/>
  <c r="J20" i="18"/>
  <c r="H20" i="18"/>
  <c r="F20" i="18"/>
  <c r="K19" i="18"/>
  <c r="J19" i="18"/>
  <c r="H19" i="18"/>
  <c r="F19" i="18"/>
  <c r="K18" i="18"/>
  <c r="J18" i="18"/>
  <c r="H18" i="18"/>
  <c r="F18" i="18"/>
  <c r="K17" i="18"/>
  <c r="J17" i="18"/>
  <c r="H17" i="18"/>
  <c r="F17" i="18"/>
  <c r="K16" i="18"/>
  <c r="J16" i="18"/>
  <c r="H16" i="18"/>
  <c r="F16" i="18"/>
  <c r="K15" i="18"/>
  <c r="J15" i="18"/>
  <c r="H15" i="18"/>
  <c r="F15" i="18"/>
  <c r="K14" i="18"/>
  <c r="J14" i="18"/>
  <c r="H14" i="18"/>
  <c r="F14" i="18"/>
  <c r="K13" i="18"/>
  <c r="J13" i="18"/>
  <c r="H13" i="18"/>
  <c r="F13" i="18"/>
  <c r="K12" i="18"/>
  <c r="J12" i="18"/>
  <c r="H12" i="18"/>
  <c r="F12" i="18"/>
  <c r="K11" i="18"/>
  <c r="J11" i="18"/>
  <c r="H11" i="18"/>
  <c r="F11" i="18"/>
  <c r="K10" i="18"/>
  <c r="J10" i="18"/>
  <c r="H10" i="18"/>
  <c r="F10" i="18"/>
  <c r="K9" i="18"/>
  <c r="J9" i="18"/>
  <c r="H9" i="18"/>
  <c r="F9" i="18"/>
  <c r="K8" i="18"/>
  <c r="J8" i="18"/>
  <c r="H8" i="18"/>
  <c r="F8" i="18"/>
  <c r="K7" i="18"/>
  <c r="J7" i="18"/>
  <c r="H7" i="18"/>
  <c r="F7" i="18"/>
  <c r="K6" i="18"/>
  <c r="J6" i="18"/>
  <c r="H6" i="18"/>
  <c r="F6" i="18"/>
  <c r="K5" i="18"/>
  <c r="J5" i="18"/>
  <c r="H5" i="18"/>
  <c r="F5" i="18"/>
  <c r="K4" i="18"/>
  <c r="J4" i="18"/>
  <c r="H4" i="18"/>
  <c r="F4" i="18"/>
  <c r="L27" i="15"/>
  <c r="K27" i="15"/>
  <c r="J27" i="15"/>
  <c r="E27" i="15"/>
  <c r="D27" i="15"/>
  <c r="C27" i="15"/>
  <c r="B27" i="15"/>
  <c r="H26" i="15"/>
  <c r="H27" i="15" s="1"/>
  <c r="F26" i="15"/>
  <c r="F27" i="15" s="1"/>
  <c r="L25" i="15"/>
  <c r="K25" i="15"/>
  <c r="J25" i="15"/>
  <c r="M12" i="15"/>
  <c r="L12" i="15"/>
  <c r="K12" i="15"/>
  <c r="J12" i="15"/>
  <c r="I12" i="15"/>
  <c r="H12" i="15"/>
  <c r="G12" i="15"/>
  <c r="F12" i="15"/>
  <c r="E11" i="15"/>
  <c r="E12" i="15" s="1"/>
  <c r="B11" i="15"/>
  <c r="B12" i="15" s="1"/>
  <c r="M10" i="15"/>
  <c r="L10" i="15"/>
  <c r="K10" i="15"/>
  <c r="J10" i="15"/>
  <c r="I10" i="15"/>
  <c r="H10" i="15"/>
  <c r="G10" i="15"/>
  <c r="F9" i="15"/>
  <c r="F10" i="15" s="1"/>
  <c r="E9" i="15"/>
  <c r="E10" i="15" s="1"/>
  <c r="D9" i="15"/>
  <c r="D12" i="15" s="1"/>
  <c r="C9" i="15"/>
  <c r="C12" i="15" s="1"/>
  <c r="B9" i="15"/>
  <c r="B10" i="15" s="1"/>
  <c r="F3" i="15"/>
  <c r="E3" i="15"/>
  <c r="D3" i="15"/>
  <c r="C3" i="15"/>
  <c r="B3" i="15"/>
  <c r="C233" i="14"/>
  <c r="G216" i="14"/>
  <c r="G217" i="14" s="1"/>
  <c r="F206" i="14"/>
  <c r="G206" i="14" s="1"/>
  <c r="C237" i="14" s="1"/>
  <c r="G205" i="14"/>
  <c r="F205" i="14"/>
  <c r="F204" i="14"/>
  <c r="G204" i="14" s="1"/>
  <c r="G203" i="14"/>
  <c r="F203" i="14"/>
  <c r="F202" i="14"/>
  <c r="G202" i="14" s="1"/>
  <c r="C236" i="14" s="1"/>
  <c r="G201" i="14"/>
  <c r="F201" i="14"/>
  <c r="F200" i="14"/>
  <c r="G200" i="14" s="1"/>
  <c r="F199" i="14"/>
  <c r="G199" i="14" s="1"/>
  <c r="F198" i="14"/>
  <c r="G198" i="14" s="1"/>
  <c r="G197" i="14"/>
  <c r="F197" i="14"/>
  <c r="F196" i="14"/>
  <c r="G196" i="14" s="1"/>
  <c r="G195" i="14"/>
  <c r="F195" i="14"/>
  <c r="F194" i="14"/>
  <c r="G194" i="14" s="1"/>
  <c r="F193" i="14"/>
  <c r="G193" i="14" s="1"/>
  <c r="F192" i="14"/>
  <c r="G192" i="14" s="1"/>
  <c r="F191" i="14"/>
  <c r="G191" i="14" s="1"/>
  <c r="F190" i="14"/>
  <c r="G190" i="14" s="1"/>
  <c r="G189" i="14"/>
  <c r="F189" i="14"/>
  <c r="F188" i="14"/>
  <c r="G188" i="14" s="1"/>
  <c r="G187" i="14"/>
  <c r="F187" i="14"/>
  <c r="F186" i="14"/>
  <c r="G186" i="14" s="1"/>
  <c r="F185" i="14"/>
  <c r="G185" i="14" s="1"/>
  <c r="F184" i="14"/>
  <c r="G184" i="14" s="1"/>
  <c r="F183" i="14"/>
  <c r="G183" i="14" s="1"/>
  <c r="F182" i="14"/>
  <c r="G182" i="14" s="1"/>
  <c r="G181" i="14"/>
  <c r="F181" i="14"/>
  <c r="F180" i="14"/>
  <c r="G180" i="14" s="1"/>
  <c r="G179" i="14"/>
  <c r="F179" i="14"/>
  <c r="F178" i="14"/>
  <c r="G178" i="14" s="1"/>
  <c r="G177" i="14"/>
  <c r="F177" i="14"/>
  <c r="F176" i="14"/>
  <c r="G176" i="14" s="1"/>
  <c r="F175" i="14"/>
  <c r="G175" i="14" s="1"/>
  <c r="F174" i="14"/>
  <c r="G174" i="14" s="1"/>
  <c r="G173" i="14"/>
  <c r="F173" i="14"/>
  <c r="F172" i="14"/>
  <c r="G172" i="14" s="1"/>
  <c r="G171" i="14"/>
  <c r="C234" i="14" s="1"/>
  <c r="F171" i="14"/>
  <c r="F170" i="14"/>
  <c r="G170" i="14" s="1"/>
  <c r="G169" i="14"/>
  <c r="F169" i="14"/>
  <c r="F168" i="14"/>
  <c r="G168" i="14" s="1"/>
  <c r="F167" i="14"/>
  <c r="G167" i="14" s="1"/>
  <c r="F166" i="14"/>
  <c r="G166" i="14" s="1"/>
  <c r="G165" i="14"/>
  <c r="F165" i="14"/>
  <c r="F164" i="14"/>
  <c r="G164" i="14" s="1"/>
  <c r="G163" i="14"/>
  <c r="F163" i="14"/>
  <c r="F162" i="14"/>
  <c r="G162" i="14" s="1"/>
  <c r="F161" i="14"/>
  <c r="G161" i="14" s="1"/>
  <c r="F160" i="14"/>
  <c r="G160" i="14" s="1"/>
  <c r="F159" i="14"/>
  <c r="G159" i="14" s="1"/>
  <c r="F158" i="14"/>
  <c r="G158" i="14" s="1"/>
  <c r="G157" i="14"/>
  <c r="F157" i="14"/>
  <c r="F156" i="14"/>
  <c r="G156" i="14" s="1"/>
  <c r="F155" i="14"/>
  <c r="G155" i="14" s="1"/>
  <c r="F154" i="14"/>
  <c r="G154" i="14" s="1"/>
  <c r="F153" i="14"/>
  <c r="G153" i="14" s="1"/>
  <c r="F152" i="14"/>
  <c r="G152" i="14" s="1"/>
  <c r="F151" i="14"/>
  <c r="G151" i="14" s="1"/>
  <c r="F150" i="14"/>
  <c r="G150" i="14" s="1"/>
  <c r="G149" i="14"/>
  <c r="F149" i="14"/>
  <c r="F148" i="14"/>
  <c r="G148" i="14" s="1"/>
  <c r="F147" i="14"/>
  <c r="G147" i="14" s="1"/>
  <c r="F146" i="14"/>
  <c r="G146" i="14" s="1"/>
  <c r="G145" i="14"/>
  <c r="F145" i="14"/>
  <c r="F144" i="14"/>
  <c r="G144" i="14" s="1"/>
  <c r="F143" i="14"/>
  <c r="G143" i="14" s="1"/>
  <c r="F142" i="14"/>
  <c r="G142" i="14" s="1"/>
  <c r="G141" i="14"/>
  <c r="F141" i="14"/>
  <c r="F140" i="14"/>
  <c r="G140" i="14" s="1"/>
  <c r="G139" i="14"/>
  <c r="F139" i="14"/>
  <c r="F138" i="14"/>
  <c r="G138" i="14" s="1"/>
  <c r="G137" i="14"/>
  <c r="F137" i="14"/>
  <c r="F136" i="14"/>
  <c r="G136" i="14" s="1"/>
  <c r="F135" i="14"/>
  <c r="G135" i="14" s="1"/>
  <c r="F134" i="14"/>
  <c r="G134" i="14" s="1"/>
  <c r="G133" i="14"/>
  <c r="F133" i="14"/>
  <c r="G132" i="14"/>
  <c r="F131" i="14"/>
  <c r="G131" i="14" s="1"/>
  <c r="G130" i="14"/>
  <c r="F130" i="14"/>
  <c r="F129" i="14"/>
  <c r="G129" i="14" s="1"/>
  <c r="F128" i="14"/>
  <c r="G128" i="14" s="1"/>
  <c r="F127" i="14"/>
  <c r="G127" i="14" s="1"/>
  <c r="F126" i="14"/>
  <c r="G126" i="14" s="1"/>
  <c r="F125" i="14"/>
  <c r="G125" i="14" s="1"/>
  <c r="F124" i="14"/>
  <c r="G124" i="14" s="1"/>
  <c r="F123" i="14"/>
  <c r="G123" i="14" s="1"/>
  <c r="F122" i="14"/>
  <c r="G122" i="14" s="1"/>
  <c r="F121" i="14"/>
  <c r="G121" i="14" s="1"/>
  <c r="F120" i="14"/>
  <c r="G120" i="14" s="1"/>
  <c r="F119" i="14"/>
  <c r="G119" i="14" s="1"/>
  <c r="F118" i="14"/>
  <c r="G118" i="14" s="1"/>
  <c r="F117" i="14"/>
  <c r="G117" i="14" s="1"/>
  <c r="F116" i="14"/>
  <c r="G116" i="14" s="1"/>
  <c r="F115" i="14"/>
  <c r="G115" i="14" s="1"/>
  <c r="F114" i="14"/>
  <c r="G114" i="14" s="1"/>
  <c r="F113" i="14"/>
  <c r="G113" i="14" s="1"/>
  <c r="F112" i="14"/>
  <c r="G112" i="14" s="1"/>
  <c r="F111" i="14"/>
  <c r="G111" i="14" s="1"/>
  <c r="F110" i="14"/>
  <c r="G110" i="14" s="1"/>
  <c r="F109" i="14"/>
  <c r="G109" i="14" s="1"/>
  <c r="F108" i="14"/>
  <c r="G108" i="14" s="1"/>
  <c r="F107" i="14"/>
  <c r="G107" i="14" s="1"/>
  <c r="G106" i="14"/>
  <c r="G105" i="14"/>
  <c r="F105" i="14"/>
  <c r="F104" i="14"/>
  <c r="G104" i="14" s="1"/>
  <c r="F103" i="14"/>
  <c r="G103" i="14" s="1"/>
  <c r="F102" i="14"/>
  <c r="G102" i="14" s="1"/>
  <c r="G101" i="14"/>
  <c r="F101" i="14"/>
  <c r="F100" i="14"/>
  <c r="G100" i="14" s="1"/>
  <c r="F99" i="14"/>
  <c r="G99" i="14" s="1"/>
  <c r="F98" i="14"/>
  <c r="G98" i="14" s="1"/>
  <c r="C232" i="14" s="1"/>
  <c r="G97" i="14"/>
  <c r="F97" i="14"/>
  <c r="F96" i="14"/>
  <c r="G96" i="14" s="1"/>
  <c r="G95" i="14"/>
  <c r="F95" i="14"/>
  <c r="F94" i="14"/>
  <c r="G94" i="14" s="1"/>
  <c r="F93" i="14"/>
  <c r="G93" i="14" s="1"/>
  <c r="F92" i="14"/>
  <c r="G92" i="14" s="1"/>
  <c r="F91" i="14"/>
  <c r="G91" i="14" s="1"/>
  <c r="F90" i="14"/>
  <c r="G90" i="14" s="1"/>
  <c r="G89" i="14"/>
  <c r="F89" i="14"/>
  <c r="F88" i="14"/>
  <c r="G88" i="14" s="1"/>
  <c r="F87" i="14"/>
  <c r="G87" i="14" s="1"/>
  <c r="F86" i="14"/>
  <c r="G86" i="14" s="1"/>
  <c r="F85" i="14"/>
  <c r="G85" i="14" s="1"/>
  <c r="F84" i="14"/>
  <c r="G84" i="14" s="1"/>
  <c r="F83" i="14"/>
  <c r="G83" i="14" s="1"/>
  <c r="C231" i="14" s="1"/>
  <c r="F82" i="14"/>
  <c r="G82" i="14" s="1"/>
  <c r="G81" i="14"/>
  <c r="F81" i="14"/>
  <c r="F80" i="14"/>
  <c r="G80" i="14" s="1"/>
  <c r="F79" i="14"/>
  <c r="G79" i="14" s="1"/>
  <c r="F78" i="14"/>
  <c r="G78" i="14" s="1"/>
  <c r="F77" i="14"/>
  <c r="G77" i="14" s="1"/>
  <c r="F76" i="14"/>
  <c r="G76" i="14" s="1"/>
  <c r="F75" i="14"/>
  <c r="G75" i="14" s="1"/>
  <c r="F74" i="14"/>
  <c r="G74" i="14" s="1"/>
  <c r="G73" i="14"/>
  <c r="F73" i="14"/>
  <c r="F72" i="14"/>
  <c r="G72" i="14" s="1"/>
  <c r="F71" i="14"/>
  <c r="G71" i="14" s="1"/>
  <c r="F70" i="14"/>
  <c r="G70" i="14" s="1"/>
  <c r="G69" i="14"/>
  <c r="F69" i="14"/>
  <c r="F68" i="14"/>
  <c r="G68" i="14" s="1"/>
  <c r="F67" i="14"/>
  <c r="G67" i="14" s="1"/>
  <c r="F66" i="14"/>
  <c r="G66" i="14" s="1"/>
  <c r="G65" i="14"/>
  <c r="F65" i="14"/>
  <c r="F64" i="14"/>
  <c r="G64" i="14" s="1"/>
  <c r="G63" i="14"/>
  <c r="F63" i="14"/>
  <c r="F62" i="14"/>
  <c r="G62" i="14" s="1"/>
  <c r="G61" i="14"/>
  <c r="F61" i="14"/>
  <c r="F60" i="14"/>
  <c r="G60" i="14" s="1"/>
  <c r="F59" i="14"/>
  <c r="G59" i="14" s="1"/>
  <c r="F58" i="14"/>
  <c r="G58" i="14" s="1"/>
  <c r="G57" i="14"/>
  <c r="F57" i="14"/>
  <c r="F56" i="14"/>
  <c r="G56" i="14" s="1"/>
  <c r="G55" i="14"/>
  <c r="F55" i="14"/>
  <c r="F54" i="14"/>
  <c r="G54" i="14" s="1"/>
  <c r="G53" i="14"/>
  <c r="F53" i="14"/>
  <c r="F52" i="14"/>
  <c r="G52" i="14" s="1"/>
  <c r="F51" i="14"/>
  <c r="G51" i="14" s="1"/>
  <c r="F50" i="14"/>
  <c r="G50" i="14" s="1"/>
  <c r="G49" i="14"/>
  <c r="F49" i="14"/>
  <c r="F48" i="14"/>
  <c r="G48" i="14" s="1"/>
  <c r="G47" i="14"/>
  <c r="F47" i="14"/>
  <c r="F46" i="14"/>
  <c r="G46" i="14" s="1"/>
  <c r="F45" i="14"/>
  <c r="G45" i="14" s="1"/>
  <c r="F44" i="14"/>
  <c r="G44" i="14" s="1"/>
  <c r="F43" i="14"/>
  <c r="G43" i="14" s="1"/>
  <c r="F42" i="14"/>
  <c r="G42" i="14" s="1"/>
  <c r="G41" i="14"/>
  <c r="F41" i="14"/>
  <c r="F40" i="14"/>
  <c r="G40" i="14" s="1"/>
  <c r="F39" i="14"/>
  <c r="G39" i="14" s="1"/>
  <c r="F38" i="14"/>
  <c r="G38" i="14" s="1"/>
  <c r="G37" i="14"/>
  <c r="F37" i="14"/>
  <c r="F36" i="14"/>
  <c r="G36" i="14" s="1"/>
  <c r="F35" i="14"/>
  <c r="G35" i="14" s="1"/>
  <c r="F34" i="14"/>
  <c r="G34" i="14" s="1"/>
  <c r="G33" i="14"/>
  <c r="F33" i="14"/>
  <c r="F32" i="14"/>
  <c r="G32" i="14" s="1"/>
  <c r="G31" i="14"/>
  <c r="F31" i="14"/>
  <c r="F30" i="14"/>
  <c r="G30" i="14" s="1"/>
  <c r="F29" i="14"/>
  <c r="G29" i="14" s="1"/>
  <c r="F28" i="14"/>
  <c r="G28" i="14" s="1"/>
  <c r="F27" i="14"/>
  <c r="G27" i="14" s="1"/>
  <c r="F26" i="14"/>
  <c r="G26" i="14" s="1"/>
  <c r="G25" i="14"/>
  <c r="F25" i="14"/>
  <c r="F24" i="14"/>
  <c r="G24" i="14" s="1"/>
  <c r="F23" i="14"/>
  <c r="G23" i="14" s="1"/>
  <c r="F22" i="14"/>
  <c r="G22" i="14" s="1"/>
  <c r="F21" i="14"/>
  <c r="G21" i="14" s="1"/>
  <c r="F20" i="14"/>
  <c r="G20" i="14" s="1"/>
  <c r="F19" i="14"/>
  <c r="G19" i="14" s="1"/>
  <c r="F18" i="14"/>
  <c r="G18" i="14" s="1"/>
  <c r="G17" i="14"/>
  <c r="F17" i="14"/>
  <c r="F16" i="14"/>
  <c r="G16" i="14" s="1"/>
  <c r="F15" i="14"/>
  <c r="G15" i="14" s="1"/>
  <c r="F14" i="14"/>
  <c r="G14" i="14" s="1"/>
  <c r="F13" i="14"/>
  <c r="G13" i="14" s="1"/>
  <c r="F12" i="14"/>
  <c r="G12" i="14" s="1"/>
  <c r="F11" i="14"/>
  <c r="G11" i="14" s="1"/>
  <c r="F10" i="14"/>
  <c r="G10" i="14" s="1"/>
  <c r="G9" i="14"/>
  <c r="F9" i="14"/>
  <c r="F8" i="14"/>
  <c r="G8" i="14" s="1"/>
  <c r="F7" i="14"/>
  <c r="G7" i="14" s="1"/>
  <c r="F6" i="14"/>
  <c r="G6" i="14" s="1"/>
  <c r="G5" i="14"/>
  <c r="F5" i="14"/>
  <c r="F4" i="14"/>
  <c r="G4" i="14" s="1"/>
  <c r="L27" i="13"/>
  <c r="K27" i="13"/>
  <c r="J27" i="13"/>
  <c r="H27" i="13"/>
  <c r="F27" i="13"/>
  <c r="E27" i="13"/>
  <c r="D27" i="13"/>
  <c r="C27" i="13"/>
  <c r="B27" i="13"/>
  <c r="L25" i="13"/>
  <c r="K25" i="13"/>
  <c r="J25" i="13"/>
  <c r="M12" i="13"/>
  <c r="L12" i="13"/>
  <c r="K12" i="13"/>
  <c r="J12" i="13"/>
  <c r="I12" i="13"/>
  <c r="H12" i="13"/>
  <c r="G12" i="13"/>
  <c r="F12" i="13"/>
  <c r="M10" i="13"/>
  <c r="L10" i="13"/>
  <c r="K10" i="13"/>
  <c r="J10" i="13"/>
  <c r="I10" i="13"/>
  <c r="H10" i="13"/>
  <c r="G10" i="13"/>
  <c r="B10" i="13"/>
  <c r="F9" i="13"/>
  <c r="F10" i="13" s="1"/>
  <c r="E9" i="13"/>
  <c r="E10" i="13" s="1"/>
  <c r="D9" i="13"/>
  <c r="D12" i="13" s="1"/>
  <c r="C9" i="13"/>
  <c r="B9" i="13"/>
  <c r="B12" i="13" s="1"/>
  <c r="F3" i="13"/>
  <c r="E3" i="13"/>
  <c r="D3" i="13"/>
  <c r="C3" i="13"/>
  <c r="B3" i="13"/>
  <c r="C226" i="12"/>
  <c r="G209" i="12"/>
  <c r="G210" i="12" s="1"/>
  <c r="F199" i="12"/>
  <c r="G199" i="12" s="1"/>
  <c r="C230" i="12" s="1"/>
  <c r="G198" i="12"/>
  <c r="F198" i="12"/>
  <c r="F197" i="12"/>
  <c r="G197" i="12" s="1"/>
  <c r="G196" i="12"/>
  <c r="F196" i="12"/>
  <c r="F195" i="12"/>
  <c r="G195" i="12" s="1"/>
  <c r="C229" i="12" s="1"/>
  <c r="F194" i="12"/>
  <c r="G194" i="12" s="1"/>
  <c r="F193" i="12"/>
  <c r="G193" i="12" s="1"/>
  <c r="G192" i="12"/>
  <c r="F192" i="12"/>
  <c r="F191" i="12"/>
  <c r="G191" i="12" s="1"/>
  <c r="G190" i="12"/>
  <c r="F190" i="12"/>
  <c r="F189" i="12"/>
  <c r="G189" i="12" s="1"/>
  <c r="F188" i="12"/>
  <c r="G188" i="12" s="1"/>
  <c r="F187" i="12"/>
  <c r="G187" i="12" s="1"/>
  <c r="F186" i="12"/>
  <c r="G186" i="12" s="1"/>
  <c r="F185" i="12"/>
  <c r="G185" i="12" s="1"/>
  <c r="G184" i="12"/>
  <c r="F184" i="12"/>
  <c r="F183" i="12"/>
  <c r="G183" i="12" s="1"/>
  <c r="F182" i="12"/>
  <c r="G182" i="12" s="1"/>
  <c r="F181" i="12"/>
  <c r="G181" i="12" s="1"/>
  <c r="F180" i="12"/>
  <c r="G180" i="12" s="1"/>
  <c r="F179" i="12"/>
  <c r="G179" i="12" s="1"/>
  <c r="G178" i="12"/>
  <c r="F178" i="12"/>
  <c r="F177" i="12"/>
  <c r="G177" i="12" s="1"/>
  <c r="G176" i="12"/>
  <c r="F176" i="12"/>
  <c r="F175" i="12"/>
  <c r="G175" i="12" s="1"/>
  <c r="F174" i="12"/>
  <c r="G174" i="12" s="1"/>
  <c r="F173" i="12"/>
  <c r="G173" i="12" s="1"/>
  <c r="F172" i="12"/>
  <c r="G172" i="12" s="1"/>
  <c r="F171" i="12"/>
  <c r="G171" i="12" s="1"/>
  <c r="G170" i="12"/>
  <c r="F170" i="12"/>
  <c r="F169" i="12"/>
  <c r="G169" i="12" s="1"/>
  <c r="G168" i="12"/>
  <c r="F168" i="12"/>
  <c r="F167" i="12"/>
  <c r="G167" i="12" s="1"/>
  <c r="F166" i="12"/>
  <c r="G166" i="12" s="1"/>
  <c r="F165" i="12"/>
  <c r="G165" i="12" s="1"/>
  <c r="F164" i="12"/>
  <c r="G164" i="12" s="1"/>
  <c r="F163" i="12"/>
  <c r="G163" i="12" s="1"/>
  <c r="G162" i="12"/>
  <c r="F162" i="12"/>
  <c r="F161" i="12"/>
  <c r="G161" i="12" s="1"/>
  <c r="G160" i="12"/>
  <c r="F160" i="12"/>
  <c r="F159" i="12"/>
  <c r="G159" i="12" s="1"/>
  <c r="F158" i="12"/>
  <c r="G158" i="12" s="1"/>
  <c r="F157" i="12"/>
  <c r="G157" i="12" s="1"/>
  <c r="F156" i="12"/>
  <c r="G156" i="12" s="1"/>
  <c r="F155" i="12"/>
  <c r="G155" i="12" s="1"/>
  <c r="G154" i="12"/>
  <c r="F154" i="12"/>
  <c r="F153" i="12"/>
  <c r="G153" i="12" s="1"/>
  <c r="G152" i="12"/>
  <c r="F152" i="12"/>
  <c r="F151" i="12"/>
  <c r="G151" i="12" s="1"/>
  <c r="F150" i="12"/>
  <c r="G150" i="12" s="1"/>
  <c r="F149" i="12"/>
  <c r="G149" i="12" s="1"/>
  <c r="F148" i="12"/>
  <c r="G148" i="12" s="1"/>
  <c r="F147" i="12"/>
  <c r="G147" i="12" s="1"/>
  <c r="G146" i="12"/>
  <c r="F146" i="12"/>
  <c r="F145" i="12"/>
  <c r="G145" i="12" s="1"/>
  <c r="G144" i="12"/>
  <c r="F144" i="12"/>
  <c r="F143" i="12"/>
  <c r="G143" i="12" s="1"/>
  <c r="F142" i="12"/>
  <c r="G142" i="12" s="1"/>
  <c r="F141" i="12"/>
  <c r="G141" i="12" s="1"/>
  <c r="F140" i="12"/>
  <c r="G140" i="12" s="1"/>
  <c r="F139" i="12"/>
  <c r="G139" i="12" s="1"/>
  <c r="G138" i="12"/>
  <c r="F138" i="12"/>
  <c r="F137" i="12"/>
  <c r="G137" i="12" s="1"/>
  <c r="G136" i="12"/>
  <c r="F136" i="12"/>
  <c r="F135" i="12"/>
  <c r="G135" i="12" s="1"/>
  <c r="F134" i="12"/>
  <c r="G134" i="12" s="1"/>
  <c r="F133" i="12"/>
  <c r="G133" i="12" s="1"/>
  <c r="F132" i="12"/>
  <c r="G132" i="12" s="1"/>
  <c r="F131" i="12"/>
  <c r="G131" i="12" s="1"/>
  <c r="G130" i="12"/>
  <c r="F130" i="12"/>
  <c r="G129" i="12"/>
  <c r="G128" i="12"/>
  <c r="F128" i="12"/>
  <c r="F127" i="12"/>
  <c r="G127" i="12" s="1"/>
  <c r="F126" i="12"/>
  <c r="G126" i="12" s="1"/>
  <c r="F125" i="12"/>
  <c r="G125" i="12" s="1"/>
  <c r="F124" i="12"/>
  <c r="G124" i="12" s="1"/>
  <c r="F123" i="12"/>
  <c r="G123" i="12" s="1"/>
  <c r="F122" i="12"/>
  <c r="G122" i="12" s="1"/>
  <c r="F121" i="12"/>
  <c r="G121" i="12" s="1"/>
  <c r="G120" i="12"/>
  <c r="F120" i="12"/>
  <c r="F119" i="12"/>
  <c r="G119" i="12" s="1"/>
  <c r="G118" i="12"/>
  <c r="F118" i="12"/>
  <c r="F117" i="12"/>
  <c r="G117" i="12" s="1"/>
  <c r="F116" i="12"/>
  <c r="G116" i="12" s="1"/>
  <c r="F115" i="12"/>
  <c r="G115" i="12" s="1"/>
  <c r="F114" i="12"/>
  <c r="G114" i="12" s="1"/>
  <c r="F113" i="12"/>
  <c r="G113" i="12" s="1"/>
  <c r="F112" i="12"/>
  <c r="G112" i="12" s="1"/>
  <c r="F111" i="12"/>
  <c r="G111" i="12" s="1"/>
  <c r="F110" i="12"/>
  <c r="G110" i="12" s="1"/>
  <c r="F109" i="12"/>
  <c r="G109" i="12" s="1"/>
  <c r="F108" i="12"/>
  <c r="G108" i="12" s="1"/>
  <c r="F107" i="12"/>
  <c r="G107" i="12" s="1"/>
  <c r="G106" i="12"/>
  <c r="F105" i="12"/>
  <c r="G105" i="12" s="1"/>
  <c r="F104" i="12"/>
  <c r="G104" i="12" s="1"/>
  <c r="F103" i="12"/>
  <c r="G103" i="12" s="1"/>
  <c r="F102" i="12"/>
  <c r="G102" i="12" s="1"/>
  <c r="G101" i="12"/>
  <c r="F101" i="12"/>
  <c r="F100" i="12"/>
  <c r="G100" i="12" s="1"/>
  <c r="G99" i="12"/>
  <c r="F99" i="12"/>
  <c r="F98" i="12"/>
  <c r="G98" i="12" s="1"/>
  <c r="C225" i="12" s="1"/>
  <c r="F97" i="12"/>
  <c r="G97" i="12" s="1"/>
  <c r="F96" i="12"/>
  <c r="G96" i="12" s="1"/>
  <c r="F95" i="12"/>
  <c r="G95" i="12" s="1"/>
  <c r="F94" i="12"/>
  <c r="G94" i="12" s="1"/>
  <c r="G93" i="12"/>
  <c r="F93" i="12"/>
  <c r="F92" i="12"/>
  <c r="G92" i="12" s="1"/>
  <c r="G91" i="12"/>
  <c r="F91" i="12"/>
  <c r="F90" i="12"/>
  <c r="G90" i="12" s="1"/>
  <c r="F89" i="12"/>
  <c r="G89" i="12" s="1"/>
  <c r="F88" i="12"/>
  <c r="G88" i="12" s="1"/>
  <c r="F87" i="12"/>
  <c r="G87" i="12" s="1"/>
  <c r="F86" i="12"/>
  <c r="G86" i="12" s="1"/>
  <c r="G85" i="12"/>
  <c r="F85" i="12"/>
  <c r="F84" i="12"/>
  <c r="G84" i="12" s="1"/>
  <c r="G83" i="12"/>
  <c r="C224" i="12" s="1"/>
  <c r="F83" i="12"/>
  <c r="F82" i="12"/>
  <c r="G82" i="12" s="1"/>
  <c r="F81" i="12"/>
  <c r="G81" i="12" s="1"/>
  <c r="F80" i="12"/>
  <c r="G80" i="12" s="1"/>
  <c r="F79" i="12"/>
  <c r="G79" i="12" s="1"/>
  <c r="F78" i="12"/>
  <c r="G78" i="12" s="1"/>
  <c r="G77" i="12"/>
  <c r="F77" i="12"/>
  <c r="F76" i="12"/>
  <c r="G76" i="12" s="1"/>
  <c r="G75" i="12"/>
  <c r="F75" i="12"/>
  <c r="F74" i="12"/>
  <c r="G74" i="12" s="1"/>
  <c r="F73" i="12"/>
  <c r="G73" i="12" s="1"/>
  <c r="F72" i="12"/>
  <c r="G72" i="12" s="1"/>
  <c r="F71" i="12"/>
  <c r="G71" i="12" s="1"/>
  <c r="F70" i="12"/>
  <c r="G70" i="12" s="1"/>
  <c r="G69" i="12"/>
  <c r="F69" i="12"/>
  <c r="F68" i="12"/>
  <c r="G68" i="12" s="1"/>
  <c r="G67" i="12"/>
  <c r="F67" i="12"/>
  <c r="F66" i="12"/>
  <c r="G66" i="12" s="1"/>
  <c r="F65" i="12"/>
  <c r="G65" i="12" s="1"/>
  <c r="F64" i="12"/>
  <c r="G64" i="12" s="1"/>
  <c r="F63" i="12"/>
  <c r="G63" i="12" s="1"/>
  <c r="F62" i="12"/>
  <c r="G62" i="12" s="1"/>
  <c r="G61" i="12"/>
  <c r="F61" i="12"/>
  <c r="F60" i="12"/>
  <c r="G60" i="12" s="1"/>
  <c r="G59" i="12"/>
  <c r="F59" i="12"/>
  <c r="F58" i="12"/>
  <c r="G58" i="12" s="1"/>
  <c r="F57" i="12"/>
  <c r="G57" i="12" s="1"/>
  <c r="F56" i="12"/>
  <c r="G56" i="12" s="1"/>
  <c r="F55" i="12"/>
  <c r="G55" i="12" s="1"/>
  <c r="F54" i="12"/>
  <c r="G54" i="12" s="1"/>
  <c r="G53" i="12"/>
  <c r="F53" i="12"/>
  <c r="F52" i="12"/>
  <c r="G52" i="12" s="1"/>
  <c r="G51" i="12"/>
  <c r="F51" i="12"/>
  <c r="F50" i="12"/>
  <c r="G50" i="12" s="1"/>
  <c r="F49" i="12"/>
  <c r="G49" i="12" s="1"/>
  <c r="F48" i="12"/>
  <c r="G48" i="12" s="1"/>
  <c r="F47" i="12"/>
  <c r="G47" i="12" s="1"/>
  <c r="G46" i="12"/>
  <c r="F46" i="12"/>
  <c r="F45" i="12"/>
  <c r="G45" i="12" s="1"/>
  <c r="G44" i="12"/>
  <c r="F44" i="12"/>
  <c r="F43" i="12"/>
  <c r="G43" i="12" s="1"/>
  <c r="G42" i="12"/>
  <c r="F42" i="12"/>
  <c r="F41" i="12"/>
  <c r="G41" i="12" s="1"/>
  <c r="G40" i="12"/>
  <c r="F40" i="12"/>
  <c r="F39" i="12"/>
  <c r="G39" i="12" s="1"/>
  <c r="G38" i="12"/>
  <c r="F38" i="12"/>
  <c r="F37" i="12"/>
  <c r="G37" i="12" s="1"/>
  <c r="G36" i="12"/>
  <c r="F36" i="12"/>
  <c r="F35" i="12"/>
  <c r="G35" i="12" s="1"/>
  <c r="G34" i="12"/>
  <c r="F34" i="12"/>
  <c r="F33" i="12"/>
  <c r="G33" i="12" s="1"/>
  <c r="G32" i="12"/>
  <c r="F32" i="12"/>
  <c r="F31" i="12"/>
  <c r="G31" i="12" s="1"/>
  <c r="G30" i="12"/>
  <c r="F30" i="12"/>
  <c r="F29" i="12"/>
  <c r="G29" i="12" s="1"/>
  <c r="G28" i="12"/>
  <c r="F28" i="12"/>
  <c r="F27" i="12"/>
  <c r="G27" i="12" s="1"/>
  <c r="G26" i="12"/>
  <c r="F26" i="12"/>
  <c r="F25" i="12"/>
  <c r="G25" i="12" s="1"/>
  <c r="G24" i="12"/>
  <c r="F24" i="12"/>
  <c r="F23" i="12"/>
  <c r="G23" i="12" s="1"/>
  <c r="G22" i="12"/>
  <c r="F22" i="12"/>
  <c r="F21" i="12"/>
  <c r="G21" i="12" s="1"/>
  <c r="G20" i="12"/>
  <c r="F20" i="12"/>
  <c r="F19" i="12"/>
  <c r="G19" i="12" s="1"/>
  <c r="G18" i="12"/>
  <c r="F18" i="12"/>
  <c r="F17" i="12"/>
  <c r="G17" i="12" s="1"/>
  <c r="G16" i="12"/>
  <c r="F16" i="12"/>
  <c r="F15" i="12"/>
  <c r="G15" i="12" s="1"/>
  <c r="G14" i="12"/>
  <c r="F14" i="12"/>
  <c r="F13" i="12"/>
  <c r="G13" i="12" s="1"/>
  <c r="G12" i="12"/>
  <c r="F12" i="12"/>
  <c r="F11" i="12"/>
  <c r="G11" i="12" s="1"/>
  <c r="G10" i="12"/>
  <c r="F10" i="12"/>
  <c r="F9" i="12"/>
  <c r="G9" i="12" s="1"/>
  <c r="G8" i="12"/>
  <c r="F8" i="12"/>
  <c r="F7" i="12"/>
  <c r="G7" i="12" s="1"/>
  <c r="G6" i="12"/>
  <c r="F6" i="12"/>
  <c r="F5" i="12"/>
  <c r="G5" i="12" s="1"/>
  <c r="G4" i="12"/>
  <c r="F4" i="12"/>
  <c r="L27" i="11"/>
  <c r="K27" i="11"/>
  <c r="J27" i="11"/>
  <c r="E27" i="11"/>
  <c r="D27" i="11"/>
  <c r="C27" i="11"/>
  <c r="B27" i="11"/>
  <c r="H26" i="11"/>
  <c r="H27" i="11" s="1"/>
  <c r="F26" i="11"/>
  <c r="F27" i="11" s="1"/>
  <c r="L25" i="11"/>
  <c r="K25" i="11"/>
  <c r="J25" i="11"/>
  <c r="M12" i="11"/>
  <c r="L12" i="11"/>
  <c r="K12" i="11"/>
  <c r="J12" i="11"/>
  <c r="I12" i="11"/>
  <c r="H12" i="11"/>
  <c r="G12" i="11"/>
  <c r="F12" i="11"/>
  <c r="E11" i="11"/>
  <c r="B11" i="11"/>
  <c r="B12" i="11" s="1"/>
  <c r="M10" i="11"/>
  <c r="L10" i="11"/>
  <c r="K10" i="11"/>
  <c r="J10" i="11"/>
  <c r="I10" i="11"/>
  <c r="H10" i="11"/>
  <c r="G10" i="11"/>
  <c r="F9" i="11"/>
  <c r="F10" i="11" s="1"/>
  <c r="E9" i="11"/>
  <c r="E10" i="11" s="1"/>
  <c r="D9" i="11"/>
  <c r="D10" i="11" s="1"/>
  <c r="C9" i="11"/>
  <c r="C10" i="11" s="1"/>
  <c r="B9" i="11"/>
  <c r="B10" i="11" s="1"/>
  <c r="F3" i="11"/>
  <c r="E3" i="11"/>
  <c r="D3" i="11"/>
  <c r="C3" i="11"/>
  <c r="B3" i="11"/>
  <c r="C233" i="10"/>
  <c r="G216" i="10"/>
  <c r="G217" i="10" s="1"/>
  <c r="F206" i="10"/>
  <c r="G206" i="10" s="1"/>
  <c r="C237" i="10" s="1"/>
  <c r="F205" i="10"/>
  <c r="G205" i="10" s="1"/>
  <c r="F204" i="10"/>
  <c r="G204" i="10" s="1"/>
  <c r="F203" i="10"/>
  <c r="G203" i="10" s="1"/>
  <c r="F202" i="10"/>
  <c r="G202" i="10" s="1"/>
  <c r="C236" i="10" s="1"/>
  <c r="F201" i="10"/>
  <c r="G201" i="10" s="1"/>
  <c r="F200" i="10"/>
  <c r="G200" i="10" s="1"/>
  <c r="F199" i="10"/>
  <c r="G199" i="10" s="1"/>
  <c r="G198" i="10"/>
  <c r="F198" i="10"/>
  <c r="F197" i="10"/>
  <c r="G197" i="10" s="1"/>
  <c r="G196" i="10"/>
  <c r="F196" i="10"/>
  <c r="F195" i="10"/>
  <c r="G195" i="10" s="1"/>
  <c r="F194" i="10"/>
  <c r="G194" i="10" s="1"/>
  <c r="F193" i="10"/>
  <c r="F192" i="10"/>
  <c r="F191" i="10"/>
  <c r="F190" i="10"/>
  <c r="F189" i="10"/>
  <c r="G189" i="10" s="1"/>
  <c r="F188" i="10"/>
  <c r="G188" i="10" s="1"/>
  <c r="F187" i="10"/>
  <c r="G187" i="10" s="1"/>
  <c r="F186" i="10"/>
  <c r="G186" i="10" s="1"/>
  <c r="F185" i="10"/>
  <c r="G185" i="10" s="1"/>
  <c r="F184" i="10"/>
  <c r="G184" i="10" s="1"/>
  <c r="F183" i="10"/>
  <c r="G183" i="10" s="1"/>
  <c r="F182" i="10"/>
  <c r="G182" i="10" s="1"/>
  <c r="F181" i="10"/>
  <c r="G181" i="10" s="1"/>
  <c r="F180" i="10"/>
  <c r="G180" i="10" s="1"/>
  <c r="F179" i="10"/>
  <c r="G179" i="10" s="1"/>
  <c r="G178" i="10"/>
  <c r="F178" i="10"/>
  <c r="F177" i="10"/>
  <c r="G177" i="10" s="1"/>
  <c r="G176" i="10"/>
  <c r="F176" i="10"/>
  <c r="F175" i="10"/>
  <c r="G175" i="10" s="1"/>
  <c r="F174" i="10"/>
  <c r="G174" i="10" s="1"/>
  <c r="F173" i="10"/>
  <c r="G173" i="10" s="1"/>
  <c r="F172" i="10"/>
  <c r="G172" i="10" s="1"/>
  <c r="F171" i="10"/>
  <c r="G171" i="10" s="1"/>
  <c r="F170" i="10"/>
  <c r="G170" i="10" s="1"/>
  <c r="F169" i="10"/>
  <c r="G169" i="10" s="1"/>
  <c r="G168" i="10"/>
  <c r="F168" i="10"/>
  <c r="F167" i="10"/>
  <c r="G167" i="10" s="1"/>
  <c r="F166" i="10"/>
  <c r="G166" i="10" s="1"/>
  <c r="F165" i="10"/>
  <c r="G165" i="10" s="1"/>
  <c r="F164" i="10"/>
  <c r="G164" i="10" s="1"/>
  <c r="F163" i="10"/>
  <c r="G163" i="10" s="1"/>
  <c r="G162" i="10"/>
  <c r="F162" i="10"/>
  <c r="F161" i="10"/>
  <c r="G161" i="10" s="1"/>
  <c r="G160" i="10"/>
  <c r="F160" i="10"/>
  <c r="F159" i="10"/>
  <c r="G159" i="10" s="1"/>
  <c r="F158" i="10"/>
  <c r="G158" i="10" s="1"/>
  <c r="F157" i="10"/>
  <c r="G157" i="10" s="1"/>
  <c r="F156" i="10"/>
  <c r="G156" i="10" s="1"/>
  <c r="F155" i="10"/>
  <c r="G155" i="10" s="1"/>
  <c r="F154" i="10"/>
  <c r="G154" i="10" s="1"/>
  <c r="F153" i="10"/>
  <c r="G153" i="10" s="1"/>
  <c r="G152" i="10"/>
  <c r="F152" i="10"/>
  <c r="F151" i="10"/>
  <c r="G151" i="10" s="1"/>
  <c r="F150" i="10"/>
  <c r="G150" i="10" s="1"/>
  <c r="F149" i="10"/>
  <c r="G149" i="10" s="1"/>
  <c r="F148" i="10"/>
  <c r="G148" i="10" s="1"/>
  <c r="F147" i="10"/>
  <c r="G147" i="10" s="1"/>
  <c r="G146" i="10"/>
  <c r="F146" i="10"/>
  <c r="F145" i="10"/>
  <c r="G145" i="10" s="1"/>
  <c r="G144" i="10"/>
  <c r="F144" i="10"/>
  <c r="F143" i="10"/>
  <c r="G143" i="10" s="1"/>
  <c r="F142" i="10"/>
  <c r="G142" i="10" s="1"/>
  <c r="F141" i="10"/>
  <c r="G141" i="10" s="1"/>
  <c r="F140" i="10"/>
  <c r="G140" i="10" s="1"/>
  <c r="F139" i="10"/>
  <c r="G139" i="10" s="1"/>
  <c r="F138" i="10"/>
  <c r="G138" i="10" s="1"/>
  <c r="F137" i="10"/>
  <c r="G137" i="10" s="1"/>
  <c r="G136" i="10"/>
  <c r="F136" i="10"/>
  <c r="F135" i="10"/>
  <c r="G135" i="10" s="1"/>
  <c r="F134" i="10"/>
  <c r="G134" i="10" s="1"/>
  <c r="F133" i="10"/>
  <c r="G133" i="10" s="1"/>
  <c r="G132" i="10"/>
  <c r="G131" i="10"/>
  <c r="F131" i="10"/>
  <c r="G130" i="10"/>
  <c r="F130" i="10"/>
  <c r="G129" i="10"/>
  <c r="F129" i="10"/>
  <c r="G128" i="10"/>
  <c r="F128" i="10"/>
  <c r="G127" i="10"/>
  <c r="F127" i="10"/>
  <c r="G126" i="10"/>
  <c r="F126" i="10"/>
  <c r="G125" i="10"/>
  <c r="F125" i="10"/>
  <c r="G124" i="10"/>
  <c r="F124" i="10"/>
  <c r="G123" i="10"/>
  <c r="F123" i="10"/>
  <c r="G122" i="10"/>
  <c r="F122" i="10"/>
  <c r="G121" i="10"/>
  <c r="F121" i="10"/>
  <c r="G120" i="10"/>
  <c r="F120" i="10"/>
  <c r="G119" i="10"/>
  <c r="F119" i="10"/>
  <c r="G118" i="10"/>
  <c r="F118" i="10"/>
  <c r="G117" i="10"/>
  <c r="F117" i="10"/>
  <c r="G116" i="10"/>
  <c r="F116" i="10"/>
  <c r="G115" i="10"/>
  <c r="F115" i="10"/>
  <c r="G114" i="10"/>
  <c r="F114" i="10"/>
  <c r="G113" i="10"/>
  <c r="F113" i="10"/>
  <c r="G112" i="10"/>
  <c r="F112" i="10"/>
  <c r="G111" i="10"/>
  <c r="F111" i="10"/>
  <c r="G110" i="10"/>
  <c r="F110" i="10"/>
  <c r="G109" i="10"/>
  <c r="F109" i="10"/>
  <c r="G108" i="10"/>
  <c r="F108" i="10"/>
  <c r="G107" i="10"/>
  <c r="F107" i="10"/>
  <c r="G106" i="10"/>
  <c r="F105" i="10"/>
  <c r="G105" i="10" s="1"/>
  <c r="F104" i="10"/>
  <c r="G104" i="10" s="1"/>
  <c r="G103" i="10"/>
  <c r="F103" i="10"/>
  <c r="F102" i="10"/>
  <c r="G102" i="10" s="1"/>
  <c r="G101" i="10"/>
  <c r="F101" i="10"/>
  <c r="F100" i="10"/>
  <c r="G100" i="10" s="1"/>
  <c r="F99" i="10"/>
  <c r="G99" i="10" s="1"/>
  <c r="F98" i="10"/>
  <c r="G98" i="10" s="1"/>
  <c r="C232" i="10" s="1"/>
  <c r="F97" i="10"/>
  <c r="G97" i="10" s="1"/>
  <c r="F96" i="10"/>
  <c r="G96" i="10" s="1"/>
  <c r="F95" i="10"/>
  <c r="G95" i="10" s="1"/>
  <c r="F94" i="10"/>
  <c r="G94" i="10" s="1"/>
  <c r="G93" i="10"/>
  <c r="F93" i="10"/>
  <c r="F92" i="10"/>
  <c r="G92" i="10" s="1"/>
  <c r="F91" i="10"/>
  <c r="G91" i="10" s="1"/>
  <c r="F90" i="10"/>
  <c r="G90" i="10" s="1"/>
  <c r="F89" i="10"/>
  <c r="G89" i="10" s="1"/>
  <c r="F88" i="10"/>
  <c r="G88" i="10" s="1"/>
  <c r="G87" i="10"/>
  <c r="F87" i="10"/>
  <c r="F86" i="10"/>
  <c r="G86" i="10" s="1"/>
  <c r="G85" i="10"/>
  <c r="F85" i="10"/>
  <c r="F84" i="10"/>
  <c r="G84" i="10" s="1"/>
  <c r="F83" i="10"/>
  <c r="G83" i="10" s="1"/>
  <c r="C231" i="10" s="1"/>
  <c r="F82" i="10"/>
  <c r="G82" i="10" s="1"/>
  <c r="F81" i="10"/>
  <c r="G81" i="10" s="1"/>
  <c r="F80" i="10"/>
  <c r="G80" i="10" s="1"/>
  <c r="F79" i="10"/>
  <c r="G79" i="10" s="1"/>
  <c r="F78" i="10"/>
  <c r="G78" i="10" s="1"/>
  <c r="F77" i="10"/>
  <c r="G77" i="10" s="1"/>
  <c r="F76" i="10"/>
  <c r="G76" i="10" s="1"/>
  <c r="F75" i="10"/>
  <c r="G75" i="10" s="1"/>
  <c r="F74" i="10"/>
  <c r="G74" i="10" s="1"/>
  <c r="F73" i="10"/>
  <c r="G73" i="10" s="1"/>
  <c r="F72" i="10"/>
  <c r="G72" i="10" s="1"/>
  <c r="G71" i="10"/>
  <c r="F71" i="10"/>
  <c r="F70" i="10"/>
  <c r="G70" i="10" s="1"/>
  <c r="G69" i="10"/>
  <c r="F69" i="10"/>
  <c r="F68" i="10"/>
  <c r="G68" i="10" s="1"/>
  <c r="F67" i="10"/>
  <c r="G67" i="10" s="1"/>
  <c r="F66" i="10"/>
  <c r="G66" i="10" s="1"/>
  <c r="F65" i="10"/>
  <c r="G65" i="10" s="1"/>
  <c r="F64" i="10"/>
  <c r="G64" i="10" s="1"/>
  <c r="F63" i="10"/>
  <c r="G63" i="10" s="1"/>
  <c r="F62" i="10"/>
  <c r="G62" i="10" s="1"/>
  <c r="F61" i="10"/>
  <c r="G61" i="10" s="1"/>
  <c r="F60" i="10"/>
  <c r="G60" i="10" s="1"/>
  <c r="F59" i="10"/>
  <c r="G59" i="10" s="1"/>
  <c r="F58" i="10"/>
  <c r="G58" i="10" s="1"/>
  <c r="F57" i="10"/>
  <c r="G57" i="10" s="1"/>
  <c r="F56" i="10"/>
  <c r="G56" i="10" s="1"/>
  <c r="G55" i="10"/>
  <c r="F55" i="10"/>
  <c r="F54" i="10"/>
  <c r="G54" i="10" s="1"/>
  <c r="G53" i="10"/>
  <c r="F53" i="10"/>
  <c r="F52" i="10"/>
  <c r="G52" i="10" s="1"/>
  <c r="F51" i="10"/>
  <c r="G51" i="10" s="1"/>
  <c r="F50" i="10"/>
  <c r="G50" i="10" s="1"/>
  <c r="F49" i="10"/>
  <c r="G49" i="10" s="1"/>
  <c r="F48" i="10"/>
  <c r="G48" i="10" s="1"/>
  <c r="F47" i="10"/>
  <c r="G47" i="10" s="1"/>
  <c r="F46" i="10"/>
  <c r="G46" i="10" s="1"/>
  <c r="F45" i="10"/>
  <c r="G45" i="10" s="1"/>
  <c r="F44" i="10"/>
  <c r="G44" i="10" s="1"/>
  <c r="F43" i="10"/>
  <c r="G43" i="10" s="1"/>
  <c r="F42" i="10"/>
  <c r="G42" i="10" s="1"/>
  <c r="F41" i="10"/>
  <c r="G41" i="10" s="1"/>
  <c r="F40" i="10"/>
  <c r="G40" i="10" s="1"/>
  <c r="G39" i="10"/>
  <c r="F39" i="10"/>
  <c r="F38" i="10"/>
  <c r="G38" i="10" s="1"/>
  <c r="G37" i="10"/>
  <c r="F37" i="10"/>
  <c r="F36" i="10"/>
  <c r="G36" i="10" s="1"/>
  <c r="F35" i="10"/>
  <c r="G35" i="10" s="1"/>
  <c r="F34" i="10"/>
  <c r="G34" i="10" s="1"/>
  <c r="F33" i="10"/>
  <c r="G33" i="10" s="1"/>
  <c r="F32" i="10"/>
  <c r="G32" i="10" s="1"/>
  <c r="F31" i="10"/>
  <c r="G31" i="10" s="1"/>
  <c r="F30" i="10"/>
  <c r="G30" i="10" s="1"/>
  <c r="F29" i="10"/>
  <c r="G29" i="10" s="1"/>
  <c r="F28" i="10"/>
  <c r="G28" i="10" s="1"/>
  <c r="F27" i="10"/>
  <c r="G27" i="10" s="1"/>
  <c r="F26" i="10"/>
  <c r="G26" i="10" s="1"/>
  <c r="F25" i="10"/>
  <c r="G25" i="10" s="1"/>
  <c r="F24" i="10"/>
  <c r="G24" i="10" s="1"/>
  <c r="G23" i="10"/>
  <c r="F23" i="10"/>
  <c r="F22" i="10"/>
  <c r="G22" i="10" s="1"/>
  <c r="G21" i="10"/>
  <c r="F21" i="10"/>
  <c r="F20" i="10"/>
  <c r="G20" i="10" s="1"/>
  <c r="F19" i="10"/>
  <c r="G19" i="10" s="1"/>
  <c r="F18" i="10"/>
  <c r="G18" i="10" s="1"/>
  <c r="F17" i="10"/>
  <c r="G17" i="10" s="1"/>
  <c r="F16" i="10"/>
  <c r="G16" i="10" s="1"/>
  <c r="F15" i="10"/>
  <c r="G15" i="10" s="1"/>
  <c r="F14" i="10"/>
  <c r="G14" i="10" s="1"/>
  <c r="F13" i="10"/>
  <c r="G13" i="10" s="1"/>
  <c r="F12" i="10"/>
  <c r="G12" i="10" s="1"/>
  <c r="F11" i="10"/>
  <c r="G11" i="10" s="1"/>
  <c r="F10" i="10"/>
  <c r="G10" i="10" s="1"/>
  <c r="F9" i="10"/>
  <c r="G9" i="10" s="1"/>
  <c r="F8" i="10"/>
  <c r="G8" i="10" s="1"/>
  <c r="G7" i="10"/>
  <c r="F7" i="10"/>
  <c r="F6" i="10"/>
  <c r="G6" i="10" s="1"/>
  <c r="G5" i="10"/>
  <c r="F5" i="10"/>
  <c r="F4" i="10"/>
  <c r="G4" i="10" s="1"/>
  <c r="L27" i="9"/>
  <c r="K27" i="9"/>
  <c r="J27" i="9"/>
  <c r="H27" i="9"/>
  <c r="F27" i="9"/>
  <c r="E27" i="9"/>
  <c r="D27" i="9"/>
  <c r="C27" i="9"/>
  <c r="B27" i="9"/>
  <c r="L25" i="9"/>
  <c r="K25" i="9"/>
  <c r="J25" i="9"/>
  <c r="M12" i="9"/>
  <c r="L12" i="9"/>
  <c r="K12" i="9"/>
  <c r="J12" i="9"/>
  <c r="I12" i="9"/>
  <c r="H12" i="9"/>
  <c r="G12" i="9"/>
  <c r="E12" i="9"/>
  <c r="B12" i="9"/>
  <c r="C11" i="9"/>
  <c r="M10" i="9"/>
  <c r="L10" i="9"/>
  <c r="K10" i="9"/>
  <c r="J10" i="9"/>
  <c r="I10" i="9"/>
  <c r="H10" i="9"/>
  <c r="G10" i="9"/>
  <c r="B10" i="9"/>
  <c r="F9" i="9"/>
  <c r="F10" i="9" s="1"/>
  <c r="E9" i="9"/>
  <c r="E10" i="9" s="1"/>
  <c r="D9" i="9"/>
  <c r="C9" i="9"/>
  <c r="C10" i="9" s="1"/>
  <c r="B9" i="9"/>
  <c r="F3" i="9"/>
  <c r="E3" i="9"/>
  <c r="D3" i="9"/>
  <c r="C3" i="9"/>
  <c r="B3" i="9"/>
  <c r="C13" i="1"/>
  <c r="K31" i="1" l="1"/>
  <c r="M31" i="1" s="1"/>
  <c r="N31" i="1" s="1"/>
  <c r="O31" i="1" s="1"/>
  <c r="C230" i="10"/>
  <c r="D230" i="10" s="1"/>
  <c r="C223" i="12"/>
  <c r="F12" i="9"/>
  <c r="G208" i="10"/>
  <c r="G214" i="10" s="1"/>
  <c r="C234" i="10"/>
  <c r="D234" i="10" s="1"/>
  <c r="D12" i="11"/>
  <c r="N27" i="11"/>
  <c r="AG21" i="20"/>
  <c r="AI21" i="20" s="1"/>
  <c r="AG40" i="20"/>
  <c r="AI40" i="20" s="1"/>
  <c r="AG43" i="20"/>
  <c r="AI43" i="20" s="1"/>
  <c r="C12" i="9"/>
  <c r="D10" i="13"/>
  <c r="E12" i="11"/>
  <c r="G208" i="14"/>
  <c r="G210" i="14" s="1"/>
  <c r="C228" i="12"/>
  <c r="T33" i="20"/>
  <c r="V33" i="20" s="1"/>
  <c r="X33" i="20" s="1"/>
  <c r="T35" i="20"/>
  <c r="V35" i="20" s="1"/>
  <c r="X35" i="20" s="1"/>
  <c r="AG35" i="20" s="1"/>
  <c r="AI35" i="20" s="1"/>
  <c r="AG34" i="20"/>
  <c r="AI34" i="20" s="1"/>
  <c r="C235" i="14"/>
  <c r="D235" i="14" s="1"/>
  <c r="C10" i="15"/>
  <c r="AG13" i="20"/>
  <c r="AI13" i="20" s="1"/>
  <c r="AG27" i="20"/>
  <c r="AI27" i="20" s="1"/>
  <c r="T5" i="20"/>
  <c r="V5" i="20" s="1"/>
  <c r="X5" i="20" s="1"/>
  <c r="AG5" i="20" s="1"/>
  <c r="AI5" i="20" s="1"/>
  <c r="T8" i="20"/>
  <c r="V8" i="20" s="1"/>
  <c r="X8" i="20" s="1"/>
  <c r="AG8" i="20" s="1"/>
  <c r="AI8" i="20" s="1"/>
  <c r="E12" i="13"/>
  <c r="L5" i="18"/>
  <c r="N5" i="18" s="1"/>
  <c r="P5" i="18" s="1"/>
  <c r="R5" i="18" s="1"/>
  <c r="L7" i="18"/>
  <c r="N7" i="18" s="1"/>
  <c r="P7" i="18" s="1"/>
  <c r="R7" i="18" s="1"/>
  <c r="L9" i="18"/>
  <c r="N9" i="18" s="1"/>
  <c r="P9" i="18" s="1"/>
  <c r="R9" i="18" s="1"/>
  <c r="L11" i="18"/>
  <c r="N11" i="18" s="1"/>
  <c r="P11" i="18" s="1"/>
  <c r="R11" i="18" s="1"/>
  <c r="L13" i="18"/>
  <c r="N13" i="18" s="1"/>
  <c r="P13" i="18" s="1"/>
  <c r="R13" i="18" s="1"/>
  <c r="L15" i="18"/>
  <c r="N15" i="18" s="1"/>
  <c r="P15" i="18" s="1"/>
  <c r="R15" i="18" s="1"/>
  <c r="L17" i="18"/>
  <c r="N17" i="18" s="1"/>
  <c r="P17" i="18" s="1"/>
  <c r="R17" i="18" s="1"/>
  <c r="L19" i="18"/>
  <c r="N19" i="18" s="1"/>
  <c r="P19" i="18" s="1"/>
  <c r="R19" i="18" s="1"/>
  <c r="L21" i="18"/>
  <c r="N21" i="18" s="1"/>
  <c r="P21" i="18" s="1"/>
  <c r="R21" i="18" s="1"/>
  <c r="L23" i="18"/>
  <c r="N23" i="18" s="1"/>
  <c r="P23" i="18" s="1"/>
  <c r="R23" i="18" s="1"/>
  <c r="L25" i="18"/>
  <c r="N25" i="18" s="1"/>
  <c r="P25" i="18" s="1"/>
  <c r="R25" i="18" s="1"/>
  <c r="L27" i="18"/>
  <c r="N27" i="18" s="1"/>
  <c r="P27" i="18" s="1"/>
  <c r="R27" i="18" s="1"/>
  <c r="L29" i="18"/>
  <c r="N29" i="18" s="1"/>
  <c r="P29" i="18" s="1"/>
  <c r="R29" i="18" s="1"/>
  <c r="L31" i="18"/>
  <c r="N31" i="18" s="1"/>
  <c r="P31" i="18" s="1"/>
  <c r="R31" i="18" s="1"/>
  <c r="L33" i="18"/>
  <c r="N33" i="18" s="1"/>
  <c r="P33" i="18" s="1"/>
  <c r="R33" i="18" s="1"/>
  <c r="L35" i="18"/>
  <c r="N35" i="18" s="1"/>
  <c r="P35" i="18" s="1"/>
  <c r="R35" i="18" s="1"/>
  <c r="L37" i="18"/>
  <c r="N37" i="18" s="1"/>
  <c r="P37" i="18" s="1"/>
  <c r="R37" i="18" s="1"/>
  <c r="L39" i="18"/>
  <c r="N39" i="18" s="1"/>
  <c r="P39" i="18" s="1"/>
  <c r="R39" i="18" s="1"/>
  <c r="L41" i="18"/>
  <c r="N41" i="18" s="1"/>
  <c r="P41" i="18" s="1"/>
  <c r="R41" i="18" s="1"/>
  <c r="L43" i="18"/>
  <c r="N43" i="18" s="1"/>
  <c r="P43" i="18" s="1"/>
  <c r="R43" i="18" s="1"/>
  <c r="T31" i="20"/>
  <c r="V31" i="20" s="1"/>
  <c r="X31" i="20" s="1"/>
  <c r="AG31" i="20" s="1"/>
  <c r="AI31" i="20" s="1"/>
  <c r="T32" i="20"/>
  <c r="V32" i="20" s="1"/>
  <c r="X32" i="20" s="1"/>
  <c r="AG32" i="20" s="1"/>
  <c r="AI32" i="20" s="1"/>
  <c r="G11" i="21"/>
  <c r="G212" i="10"/>
  <c r="G211" i="10"/>
  <c r="C235" i="10"/>
  <c r="D235" i="10" s="1"/>
  <c r="C227" i="12"/>
  <c r="D234" i="14"/>
  <c r="D237" i="14"/>
  <c r="D12" i="9"/>
  <c r="N12" i="9" s="1"/>
  <c r="N31" i="9" s="1"/>
  <c r="D10" i="9"/>
  <c r="G215" i="14"/>
  <c r="G214" i="14"/>
  <c r="G212" i="14"/>
  <c r="G211" i="14"/>
  <c r="D236" i="14"/>
  <c r="N27" i="9"/>
  <c r="D231" i="10"/>
  <c r="N27" i="15"/>
  <c r="C12" i="11"/>
  <c r="N12" i="11" s="1"/>
  <c r="N31" i="11" s="1"/>
  <c r="C12" i="13"/>
  <c r="C10" i="13"/>
  <c r="D10" i="15"/>
  <c r="AG18" i="20"/>
  <c r="AI18" i="20" s="1"/>
  <c r="G201" i="12"/>
  <c r="C230" i="14"/>
  <c r="D231" i="14"/>
  <c r="N12" i="15"/>
  <c r="P65" i="19"/>
  <c r="R25" i="19"/>
  <c r="AG6" i="20"/>
  <c r="AI6" i="20" s="1"/>
  <c r="AG30" i="20"/>
  <c r="AI30" i="20" s="1"/>
  <c r="AG33" i="20"/>
  <c r="AI33" i="20" s="1"/>
  <c r="N27" i="13"/>
  <c r="L4" i="18"/>
  <c r="N4" i="18" s="1"/>
  <c r="P4" i="18" s="1"/>
  <c r="L6" i="18"/>
  <c r="N6" i="18" s="1"/>
  <c r="P6" i="18" s="1"/>
  <c r="R6" i="18" s="1"/>
  <c r="L8" i="18"/>
  <c r="N8" i="18" s="1"/>
  <c r="P8" i="18" s="1"/>
  <c r="R8" i="18" s="1"/>
  <c r="L10" i="18"/>
  <c r="N10" i="18" s="1"/>
  <c r="P10" i="18" s="1"/>
  <c r="R10" i="18" s="1"/>
  <c r="L12" i="18"/>
  <c r="N12" i="18" s="1"/>
  <c r="P12" i="18" s="1"/>
  <c r="R12" i="18" s="1"/>
  <c r="L14" i="18"/>
  <c r="N14" i="18" s="1"/>
  <c r="P14" i="18" s="1"/>
  <c r="R14" i="18" s="1"/>
  <c r="L16" i="18"/>
  <c r="N16" i="18" s="1"/>
  <c r="P16" i="18" s="1"/>
  <c r="R16" i="18" s="1"/>
  <c r="L18" i="18"/>
  <c r="N18" i="18" s="1"/>
  <c r="P18" i="18" s="1"/>
  <c r="R18" i="18" s="1"/>
  <c r="L20" i="18"/>
  <c r="N20" i="18" s="1"/>
  <c r="P20" i="18" s="1"/>
  <c r="R20" i="18" s="1"/>
  <c r="L22" i="18"/>
  <c r="N22" i="18" s="1"/>
  <c r="P22" i="18" s="1"/>
  <c r="R22" i="18" s="1"/>
  <c r="L24" i="18"/>
  <c r="N24" i="18" s="1"/>
  <c r="P24" i="18" s="1"/>
  <c r="R24" i="18" s="1"/>
  <c r="L26" i="18"/>
  <c r="N26" i="18" s="1"/>
  <c r="P26" i="18" s="1"/>
  <c r="R26" i="18" s="1"/>
  <c r="L28" i="18"/>
  <c r="N28" i="18" s="1"/>
  <c r="P28" i="18" s="1"/>
  <c r="R28" i="18" s="1"/>
  <c r="L30" i="18"/>
  <c r="N30" i="18" s="1"/>
  <c r="P30" i="18" s="1"/>
  <c r="R30" i="18" s="1"/>
  <c r="L32" i="18"/>
  <c r="N32" i="18" s="1"/>
  <c r="P32" i="18" s="1"/>
  <c r="R32" i="18" s="1"/>
  <c r="L34" i="18"/>
  <c r="N34" i="18" s="1"/>
  <c r="P34" i="18" s="1"/>
  <c r="R34" i="18" s="1"/>
  <c r="L36" i="18"/>
  <c r="N36" i="18" s="1"/>
  <c r="P36" i="18" s="1"/>
  <c r="R36" i="18" s="1"/>
  <c r="L38" i="18"/>
  <c r="N38" i="18" s="1"/>
  <c r="P38" i="18" s="1"/>
  <c r="R38" i="18" s="1"/>
  <c r="L40" i="18"/>
  <c r="N40" i="18" s="1"/>
  <c r="P40" i="18" s="1"/>
  <c r="R40" i="18" s="1"/>
  <c r="L42" i="18"/>
  <c r="N42" i="18" s="1"/>
  <c r="P42" i="18" s="1"/>
  <c r="R42" i="18" s="1"/>
  <c r="AG22" i="20"/>
  <c r="AI22" i="20" s="1"/>
  <c r="AG38" i="20"/>
  <c r="AI38" i="20" s="1"/>
  <c r="G17" i="21"/>
  <c r="G12" i="21"/>
  <c r="G18" i="21"/>
  <c r="G15" i="21"/>
  <c r="G13" i="21"/>
  <c r="G14" i="22"/>
  <c r="D31" i="22"/>
  <c r="D32" i="22" s="1"/>
  <c r="G15" i="22"/>
  <c r="G12" i="22"/>
  <c r="G18" i="22"/>
  <c r="G17" i="22"/>
  <c r="AG10" i="20"/>
  <c r="AI10" i="20" s="1"/>
  <c r="AG15" i="20"/>
  <c r="AI15" i="20" s="1"/>
  <c r="AG26" i="20"/>
  <c r="AI26" i="20" s="1"/>
  <c r="AG42" i="20"/>
  <c r="AI42" i="20" s="1"/>
  <c r="G14" i="21"/>
  <c r="T12" i="20"/>
  <c r="V12" i="20" s="1"/>
  <c r="X12" i="20" s="1"/>
  <c r="AG12" i="20" s="1"/>
  <c r="AI12" i="20" s="1"/>
  <c r="T20" i="20"/>
  <c r="V20" i="20" s="1"/>
  <c r="X20" i="20" s="1"/>
  <c r="AG20" i="20" s="1"/>
  <c r="AI20" i="20" s="1"/>
  <c r="T28" i="20"/>
  <c r="V28" i="20" s="1"/>
  <c r="X28" i="20" s="1"/>
  <c r="AG28" i="20" s="1"/>
  <c r="AI28" i="20" s="1"/>
  <c r="T36" i="20"/>
  <c r="V36" i="20" s="1"/>
  <c r="X36" i="20" s="1"/>
  <c r="AG36" i="20" s="1"/>
  <c r="AI36" i="20" s="1"/>
  <c r="T44" i="20"/>
  <c r="V44" i="20" s="1"/>
  <c r="X44" i="20" s="1"/>
  <c r="AG44" i="20" s="1"/>
  <c r="AI44" i="20" s="1"/>
  <c r="D31" i="21"/>
  <c r="D32" i="21" s="1"/>
  <c r="C32" i="21"/>
  <c r="G21" i="22" l="1"/>
  <c r="D232" i="10"/>
  <c r="D233" i="10"/>
  <c r="G215" i="10"/>
  <c r="G209" i="10"/>
  <c r="G218" i="10" s="1"/>
  <c r="G219" i="10" s="1"/>
  <c r="G220" i="10" s="1"/>
  <c r="D232" i="14"/>
  <c r="D233" i="14"/>
  <c r="N31" i="15"/>
  <c r="N12" i="13"/>
  <c r="N31" i="13" s="1"/>
  <c r="D237" i="10"/>
  <c r="G209" i="14"/>
  <c r="G218" i="14" s="1"/>
  <c r="G219" i="14" s="1"/>
  <c r="G220" i="14" s="1"/>
  <c r="G221" i="14" s="1"/>
  <c r="G222" i="14" s="1"/>
  <c r="H222" i="14" s="1"/>
  <c r="C232" i="12"/>
  <c r="D236" i="10"/>
  <c r="G210" i="10"/>
  <c r="G22" i="22"/>
  <c r="G23" i="22" s="1"/>
  <c r="H23" i="22" s="1"/>
  <c r="G205" i="12"/>
  <c r="G204" i="12"/>
  <c r="G203" i="12"/>
  <c r="G208" i="12"/>
  <c r="G202" i="12"/>
  <c r="G207" i="12"/>
  <c r="AG46" i="20"/>
  <c r="G21" i="21"/>
  <c r="C239" i="14"/>
  <c r="D230" i="14"/>
  <c r="D225" i="12"/>
  <c r="D224" i="12"/>
  <c r="D226" i="12"/>
  <c r="C239" i="10"/>
  <c r="D228" i="12"/>
  <c r="D223" i="12"/>
  <c r="P44" i="18"/>
  <c r="R4" i="18"/>
  <c r="D229" i="12"/>
  <c r="D227" i="12"/>
  <c r="D230" i="12"/>
  <c r="D239" i="10" l="1"/>
  <c r="D239" i="14"/>
  <c r="H224" i="10"/>
  <c r="G221" i="10"/>
  <c r="G222" i="10" s="1"/>
  <c r="H222" i="10" s="1"/>
  <c r="G211" i="12"/>
  <c r="G212" i="12" s="1"/>
  <c r="G213" i="12" s="1"/>
  <c r="F39" i="1"/>
  <c r="G214" i="12"/>
  <c r="G215" i="12" s="1"/>
  <c r="H215" i="12" s="1"/>
  <c r="D232" i="12"/>
  <c r="G22" i="21"/>
  <c r="G23" i="21" s="1"/>
  <c r="H23" i="21" s="1"/>
  <c r="F40" i="1"/>
  <c r="F30" i="1" l="1"/>
  <c r="K30" i="1" s="1"/>
  <c r="M30" i="1" s="1"/>
  <c r="M35" i="1" s="1"/>
  <c r="C10" i="1" s="1"/>
  <c r="C12" i="1" l="1"/>
  <c r="C14" i="1"/>
  <c r="N30" i="1"/>
  <c r="O30" i="1" l="1"/>
  <c r="O35" i="1" s="1"/>
  <c r="N35" i="1"/>
</calcChain>
</file>

<file path=xl/comments1.xml><?xml version="1.0" encoding="utf-8"?>
<comments xmlns="http://schemas.openxmlformats.org/spreadsheetml/2006/main">
  <authors>
    <author>作者</author>
  </authors>
  <commentList>
    <comment ref="D2" authorId="0">
      <text>
        <r>
          <rPr>
            <sz val="9"/>
            <color indexed="81"/>
            <rFont val="宋体"/>
            <family val="3"/>
            <charset val="134"/>
          </rPr>
          <t>作者:
运输到店费用</t>
        </r>
      </text>
    </comment>
  </commentList>
</comments>
</file>

<file path=xl/comments2.xml><?xml version="1.0" encoding="utf-8"?>
<comments xmlns="http://schemas.openxmlformats.org/spreadsheetml/2006/main">
  <authors>
    <author>作者</author>
  </authors>
  <commentList>
    <comment ref="D2" authorId="0">
      <text>
        <r>
          <rPr>
            <sz val="9"/>
            <color indexed="81"/>
            <rFont val="宋体"/>
            <family val="3"/>
            <charset val="134"/>
          </rPr>
          <t>作者:
运输到店费用</t>
        </r>
      </text>
    </comment>
  </commentList>
</comments>
</file>

<file path=xl/comments3.xml><?xml version="1.0" encoding="utf-8"?>
<comments xmlns="http://schemas.openxmlformats.org/spreadsheetml/2006/main">
  <authors>
    <author>作者</author>
  </authors>
  <commentList>
    <comment ref="D3" authorId="0">
      <text>
        <r>
          <rPr>
            <sz val="9"/>
            <color indexed="81"/>
            <rFont val="宋体"/>
            <family val="3"/>
            <charset val="134"/>
          </rPr>
          <t xml:space="preserve">作者:
根据display区域分配,选择自己可以支持的区域报价
</t>
        </r>
      </text>
    </comment>
  </commentList>
</comments>
</file>

<file path=xl/sharedStrings.xml><?xml version="1.0" encoding="utf-8"?>
<sst xmlns="http://schemas.openxmlformats.org/spreadsheetml/2006/main" count="4671" uniqueCount="1066">
  <si>
    <t>机密</t>
  </si>
  <si>
    <r>
      <rPr>
        <sz val="10"/>
        <rFont val="新細明體"/>
        <family val="1"/>
      </rPr>
      <t>報價至</t>
    </r>
    <r>
      <rPr>
        <sz val="10"/>
        <rFont val="Arial"/>
        <family val="2"/>
      </rPr>
      <t xml:space="preserve"> / </t>
    </r>
    <r>
      <rPr>
        <sz val="10"/>
        <rFont val="宋体"/>
        <family val="3"/>
        <charset val="134"/>
      </rPr>
      <t>报价至</t>
    </r>
    <r>
      <rPr>
        <sz val="10"/>
        <rFont val="Arial"/>
        <family val="2"/>
      </rPr>
      <t xml:space="preserve"> :  Quotation to:</t>
    </r>
  </si>
  <si>
    <t>广州壹加市场营销策划有限公司</t>
  </si>
  <si>
    <r>
      <rPr>
        <sz val="10"/>
        <rFont val="新細明體"/>
        <family val="1"/>
      </rPr>
      <t>報價單號</t>
    </r>
    <r>
      <rPr>
        <sz val="10"/>
        <rFont val="Arial"/>
        <family val="2"/>
      </rPr>
      <t xml:space="preserve"> / </t>
    </r>
    <r>
      <rPr>
        <sz val="10"/>
        <rFont val="宋体"/>
        <family val="3"/>
        <charset val="134"/>
      </rPr>
      <t>报价单号</t>
    </r>
    <r>
      <rPr>
        <sz val="10"/>
        <rFont val="Arial"/>
        <family val="2"/>
      </rPr>
      <t xml:space="preserve"> </t>
    </r>
    <r>
      <rPr>
        <sz val="10"/>
        <rFont val="新細明體"/>
        <family val="1"/>
      </rPr>
      <t>：</t>
    </r>
    <r>
      <rPr>
        <sz val="10"/>
        <rFont val="Arial"/>
        <family val="2"/>
      </rPr>
      <t>Quotation#</t>
    </r>
  </si>
  <si>
    <r>
      <rPr>
        <sz val="10"/>
        <rFont val="新細明體"/>
        <family val="1"/>
      </rPr>
      <t>供應商名稱</t>
    </r>
    <r>
      <rPr>
        <sz val="10"/>
        <rFont val="Arial"/>
        <family val="2"/>
      </rPr>
      <t xml:space="preserve"> / </t>
    </r>
    <r>
      <rPr>
        <sz val="10"/>
        <rFont val="新細明體"/>
        <family val="1"/>
      </rPr>
      <t>供</t>
    </r>
    <r>
      <rPr>
        <sz val="10"/>
        <rFont val="宋体"/>
        <family val="3"/>
        <charset val="134"/>
      </rPr>
      <t>应商名称</t>
    </r>
    <r>
      <rPr>
        <sz val="10"/>
        <rFont val="Arial"/>
        <family val="2"/>
      </rPr>
      <t xml:space="preserve"> : Vendor name</t>
    </r>
  </si>
  <si>
    <r>
      <rPr>
        <sz val="10"/>
        <rFont val="新細明體"/>
        <family val="1"/>
      </rPr>
      <t>供應商代碼 / 供</t>
    </r>
    <r>
      <rPr>
        <sz val="10"/>
        <rFont val="宋体"/>
        <family val="3"/>
        <charset val="134"/>
      </rPr>
      <t>应</t>
    </r>
    <r>
      <rPr>
        <sz val="10"/>
        <rFont val="新細明體"/>
        <family val="1"/>
      </rPr>
      <t>商代</t>
    </r>
    <r>
      <rPr>
        <sz val="10"/>
        <rFont val="宋体"/>
        <family val="3"/>
        <charset val="134"/>
      </rPr>
      <t>码</t>
    </r>
    <r>
      <rPr>
        <sz val="10"/>
        <rFont val="新細明體"/>
        <family val="1"/>
      </rPr>
      <t xml:space="preserve"> : </t>
    </r>
    <r>
      <rPr>
        <sz val="10"/>
        <rFont val="Arial"/>
        <family val="2"/>
      </rPr>
      <t>Vendor code</t>
    </r>
    <r>
      <rPr>
        <sz val="10"/>
        <rFont val="新細明體"/>
        <family val="1"/>
      </rPr>
      <t>：</t>
    </r>
  </si>
  <si>
    <t>壹加採購 / 壹加采购员 : P&amp;G buyer：</t>
  </si>
  <si>
    <t>Linda Zhang</t>
  </si>
  <si>
    <t>Ellen Zhang</t>
  </si>
  <si>
    <r>
      <rPr>
        <sz val="10"/>
        <rFont val="新細明體"/>
        <family val="1"/>
      </rPr>
      <t>貨幣</t>
    </r>
    <r>
      <rPr>
        <sz val="10"/>
        <rFont val="Arial"/>
        <family val="2"/>
      </rPr>
      <t xml:space="preserve"> / </t>
    </r>
    <r>
      <rPr>
        <sz val="10"/>
        <rFont val="宋体"/>
        <family val="3"/>
        <charset val="134"/>
      </rPr>
      <t>货币</t>
    </r>
    <r>
      <rPr>
        <sz val="10"/>
        <rFont val="Arial"/>
        <family val="2"/>
      </rPr>
      <t xml:space="preserve"> : Currency</t>
    </r>
    <r>
      <rPr>
        <sz val="10"/>
        <rFont val="新細明體"/>
        <family val="1"/>
      </rPr>
      <t>：</t>
    </r>
  </si>
  <si>
    <t>CNY</t>
  </si>
  <si>
    <r>
      <rPr>
        <sz val="10"/>
        <rFont val="新細明體"/>
        <family val="1"/>
      </rPr>
      <t>數量</t>
    </r>
    <r>
      <rPr>
        <sz val="10"/>
        <rFont val="Arial"/>
        <family val="2"/>
      </rPr>
      <t xml:space="preserve"> / </t>
    </r>
    <r>
      <rPr>
        <sz val="10"/>
        <rFont val="宋体"/>
        <family val="3"/>
        <charset val="134"/>
      </rPr>
      <t>数量</t>
    </r>
    <r>
      <rPr>
        <sz val="10"/>
        <rFont val="Arial"/>
        <family val="2"/>
      </rPr>
      <t xml:space="preserve"> : Quantity</t>
    </r>
    <r>
      <rPr>
        <sz val="10"/>
        <rFont val="新細明體"/>
        <family val="1"/>
      </rPr>
      <t>：</t>
    </r>
  </si>
  <si>
    <r>
      <rPr>
        <sz val="10"/>
        <rFont val="新細明體"/>
        <family val="1"/>
      </rPr>
      <t>產品單價</t>
    </r>
    <r>
      <rPr>
        <sz val="10"/>
        <rFont val="Arial"/>
        <family val="2"/>
      </rPr>
      <t xml:space="preserve"> / </t>
    </r>
    <r>
      <rPr>
        <sz val="10"/>
        <rFont val="宋体"/>
        <family val="3"/>
        <charset val="134"/>
      </rPr>
      <t>产品单价</t>
    </r>
    <r>
      <rPr>
        <sz val="10"/>
        <rFont val="Arial"/>
        <family val="2"/>
      </rPr>
      <t>(</t>
    </r>
    <r>
      <rPr>
        <sz val="10"/>
        <rFont val="宋体"/>
        <family val="3"/>
        <charset val="134"/>
      </rPr>
      <t>不含税</t>
    </r>
    <r>
      <rPr>
        <sz val="10"/>
        <rFont val="Arial"/>
        <family val="2"/>
      </rPr>
      <t xml:space="preserve">) : Unit Price (excl. tax) </t>
    </r>
  </si>
  <si>
    <r>
      <rPr>
        <sz val="10"/>
        <rFont val="新細明體"/>
        <family val="1"/>
      </rPr>
      <t>總價</t>
    </r>
    <r>
      <rPr>
        <sz val="10"/>
        <rFont val="Arial"/>
        <family val="2"/>
      </rPr>
      <t xml:space="preserve"> / </t>
    </r>
    <r>
      <rPr>
        <sz val="10"/>
        <rFont val="宋体"/>
        <family val="3"/>
        <charset val="134"/>
      </rPr>
      <t>总价</t>
    </r>
    <r>
      <rPr>
        <sz val="10"/>
        <rFont val="Arial"/>
        <family val="2"/>
      </rPr>
      <t>(</t>
    </r>
    <r>
      <rPr>
        <sz val="10"/>
        <rFont val="宋体"/>
        <family val="3"/>
        <charset val="134"/>
      </rPr>
      <t>不</t>
    </r>
    <r>
      <rPr>
        <sz val="10"/>
        <rFont val="新細明體"/>
        <family val="1"/>
      </rPr>
      <t>含稅</t>
    </r>
    <r>
      <rPr>
        <sz val="10"/>
        <rFont val="Arial"/>
        <family val="2"/>
      </rPr>
      <t>)</t>
    </r>
    <r>
      <rPr>
        <sz val="10"/>
        <rFont val="新細明體"/>
        <family val="1"/>
      </rPr>
      <t>：</t>
    </r>
    <r>
      <rPr>
        <sz val="10"/>
        <rFont val="Arial"/>
        <family val="2"/>
      </rPr>
      <t xml:space="preserve">
Total amount (excl. tax)</t>
    </r>
  </si>
  <si>
    <r>
      <rPr>
        <sz val="10"/>
        <rFont val="新細明體"/>
        <family val="1"/>
      </rPr>
      <t>產品單價</t>
    </r>
    <r>
      <rPr>
        <sz val="10"/>
        <rFont val="Arial"/>
        <family val="2"/>
      </rPr>
      <t xml:space="preserve"> / </t>
    </r>
    <r>
      <rPr>
        <sz val="10"/>
        <rFont val="宋体"/>
        <family val="3"/>
        <charset val="134"/>
      </rPr>
      <t>产品单价</t>
    </r>
    <r>
      <rPr>
        <sz val="10"/>
        <rFont val="Arial"/>
        <family val="2"/>
      </rPr>
      <t>(</t>
    </r>
    <r>
      <rPr>
        <sz val="10"/>
        <rFont val="宋体"/>
        <family val="3"/>
        <charset val="134"/>
      </rPr>
      <t>含税</t>
    </r>
    <r>
      <rPr>
        <sz val="10"/>
        <rFont val="Arial"/>
        <family val="2"/>
      </rPr>
      <t xml:space="preserve">) : Unit Price (incl. Tax) </t>
    </r>
    <r>
      <rPr>
        <sz val="10"/>
        <rFont val="新細明體"/>
        <family val="1"/>
      </rPr>
      <t>：</t>
    </r>
  </si>
  <si>
    <r>
      <rPr>
        <sz val="10"/>
        <rFont val="新細明體"/>
        <family val="1"/>
      </rPr>
      <t>總價</t>
    </r>
    <r>
      <rPr>
        <sz val="10"/>
        <rFont val="Arial"/>
        <family val="2"/>
      </rPr>
      <t xml:space="preserve"> / </t>
    </r>
    <r>
      <rPr>
        <sz val="10"/>
        <rFont val="宋体"/>
        <family val="3"/>
        <charset val="134"/>
      </rPr>
      <t>总价</t>
    </r>
    <r>
      <rPr>
        <sz val="10"/>
        <rFont val="Arial"/>
        <family val="2"/>
      </rPr>
      <t>(</t>
    </r>
    <r>
      <rPr>
        <sz val="10"/>
        <rFont val="新細明體"/>
        <family val="1"/>
      </rPr>
      <t>含稅</t>
    </r>
    <r>
      <rPr>
        <sz val="10"/>
        <rFont val="Arial"/>
        <family val="2"/>
      </rPr>
      <t>)</t>
    </r>
    <r>
      <rPr>
        <sz val="10"/>
        <rFont val="新細明體"/>
        <family val="1"/>
      </rPr>
      <t>：</t>
    </r>
    <r>
      <rPr>
        <sz val="10"/>
        <rFont val="Arial"/>
        <family val="2"/>
      </rPr>
      <t xml:space="preserve">
Total amount (incl. tax)</t>
    </r>
  </si>
  <si>
    <r>
      <rPr>
        <sz val="10"/>
        <rFont val="宋体"/>
        <family val="3"/>
        <charset val="134"/>
      </rPr>
      <t>稅率</t>
    </r>
    <r>
      <rPr>
        <sz val="10"/>
        <rFont val="Arial"/>
        <family val="2"/>
      </rPr>
      <t xml:space="preserve"> / </t>
    </r>
    <r>
      <rPr>
        <sz val="10"/>
        <rFont val="宋体"/>
        <family val="3"/>
        <charset val="134"/>
      </rPr>
      <t>税</t>
    </r>
    <r>
      <rPr>
        <sz val="10"/>
        <rFont val="新細明體"/>
        <family val="1"/>
      </rPr>
      <t>率</t>
    </r>
    <r>
      <rPr>
        <sz val="10"/>
        <rFont val="Arial"/>
        <family val="2"/>
      </rPr>
      <t>(</t>
    </r>
    <r>
      <rPr>
        <sz val="10"/>
        <rFont val="新細明體"/>
        <family val="1"/>
      </rPr>
      <t>只适用于中</t>
    </r>
    <r>
      <rPr>
        <sz val="10"/>
        <rFont val="宋体"/>
        <family val="3"/>
        <charset val="134"/>
      </rPr>
      <t>国大陆供应商</t>
    </r>
    <r>
      <rPr>
        <sz val="10"/>
        <rFont val="Arial"/>
        <family val="2"/>
      </rPr>
      <t>)</t>
    </r>
    <r>
      <rPr>
        <sz val="10"/>
        <rFont val="新細明體"/>
        <family val="1"/>
      </rPr>
      <t xml:space="preserve"> : </t>
    </r>
    <r>
      <rPr>
        <sz val="10"/>
        <rFont val="Arial"/>
        <family val="2"/>
      </rPr>
      <t>Tax rate (only applicable for China Vendor) :</t>
    </r>
  </si>
  <si>
    <t>引用壹加合約編號 / 引用壹加合约编号 ：Contract#</t>
  </si>
  <si>
    <r>
      <rPr>
        <sz val="10"/>
        <color indexed="8"/>
        <rFont val="宋体"/>
        <family val="3"/>
        <charset val="134"/>
      </rPr>
      <t>項目名稱</t>
    </r>
    <r>
      <rPr>
        <sz val="10"/>
        <rFont val="Arial"/>
        <family val="2"/>
      </rPr>
      <t xml:space="preserve">  / </t>
    </r>
    <r>
      <rPr>
        <sz val="10"/>
        <rFont val="宋体"/>
        <family val="3"/>
        <charset val="134"/>
      </rPr>
      <t>项目名称</t>
    </r>
    <r>
      <rPr>
        <sz val="10"/>
        <rFont val="Arial"/>
        <family val="2"/>
      </rPr>
      <t xml:space="preserve"> : Project Name:</t>
    </r>
  </si>
  <si>
    <r>
      <rPr>
        <sz val="10"/>
        <rFont val="新細明體"/>
        <family val="1"/>
      </rPr>
      <t>購買類別</t>
    </r>
    <r>
      <rPr>
        <sz val="10"/>
        <rFont val="Arial"/>
        <family val="2"/>
      </rPr>
      <t xml:space="preserve"> / </t>
    </r>
    <r>
      <rPr>
        <sz val="10"/>
        <rFont val="新細明體"/>
        <family val="1"/>
      </rPr>
      <t>购买类别</t>
    </r>
    <r>
      <rPr>
        <sz val="10"/>
        <rFont val="Arial"/>
        <family val="2"/>
      </rPr>
      <t xml:space="preserve"> : Spend Pool </t>
    </r>
    <r>
      <rPr>
        <sz val="10"/>
        <rFont val="新細明體"/>
        <family val="1"/>
      </rPr>
      <t>：</t>
    </r>
  </si>
  <si>
    <r>
      <rPr>
        <sz val="10"/>
        <rFont val="新細明體"/>
        <family val="1"/>
      </rPr>
      <t>品牌</t>
    </r>
    <r>
      <rPr>
        <sz val="10"/>
        <rFont val="Arial"/>
        <family val="2"/>
      </rPr>
      <t xml:space="preserve"> / </t>
    </r>
    <r>
      <rPr>
        <sz val="10"/>
        <rFont val="新細明體"/>
        <family val="1"/>
      </rPr>
      <t>品牌</t>
    </r>
    <r>
      <rPr>
        <sz val="10"/>
        <rFont val="Arial"/>
        <family val="2"/>
      </rPr>
      <t xml:space="preserve"> Brand</t>
    </r>
    <r>
      <rPr>
        <sz val="10"/>
        <rFont val="新細明體"/>
        <family val="1"/>
      </rPr>
      <t>：</t>
    </r>
  </si>
  <si>
    <t>Gillette</t>
  </si>
  <si>
    <t>購買品項 / 壹加目录细项名称 : Catalog Item Description：</t>
  </si>
  <si>
    <r>
      <rPr>
        <sz val="10"/>
        <rFont val="新細明體"/>
        <family val="1"/>
      </rPr>
      <t>要求交貨日期</t>
    </r>
    <r>
      <rPr>
        <sz val="10"/>
        <rFont val="Arial"/>
        <family val="2"/>
      </rPr>
      <t xml:space="preserve"> / </t>
    </r>
    <r>
      <rPr>
        <sz val="10"/>
        <rFont val="新細明體"/>
        <family val="1"/>
      </rPr>
      <t>要求交</t>
    </r>
    <r>
      <rPr>
        <sz val="10"/>
        <rFont val="宋体"/>
        <family val="3"/>
        <charset val="134"/>
      </rPr>
      <t>货日期</t>
    </r>
    <r>
      <rPr>
        <sz val="10"/>
        <rFont val="Arial"/>
        <family val="2"/>
      </rPr>
      <t xml:space="preserve"> : Delivery date </t>
    </r>
    <r>
      <rPr>
        <sz val="10"/>
        <rFont val="新細明體"/>
        <family val="1"/>
      </rPr>
      <t>：</t>
    </r>
  </si>
  <si>
    <r>
      <rPr>
        <sz val="10"/>
        <rFont val="新細明體"/>
        <family val="1"/>
      </rPr>
      <t>交貨地點</t>
    </r>
    <r>
      <rPr>
        <sz val="10"/>
        <rFont val="Arial"/>
        <family val="2"/>
      </rPr>
      <t xml:space="preserve"> / </t>
    </r>
    <r>
      <rPr>
        <sz val="10"/>
        <rFont val="新細明體"/>
        <family val="1"/>
      </rPr>
      <t>交</t>
    </r>
    <r>
      <rPr>
        <sz val="10"/>
        <rFont val="宋体"/>
        <family val="3"/>
        <charset val="134"/>
      </rPr>
      <t>货地点</t>
    </r>
    <r>
      <rPr>
        <sz val="10"/>
        <rFont val="Arial"/>
        <family val="2"/>
      </rPr>
      <t xml:space="preserve"> : Deliver to</t>
    </r>
    <r>
      <rPr>
        <sz val="10"/>
        <rFont val="新細明體"/>
        <family val="1"/>
      </rPr>
      <t>：</t>
    </r>
  </si>
  <si>
    <t>-</t>
  </si>
  <si>
    <t>非合约总金额</t>
  </si>
  <si>
    <t xml:space="preserve">Non Contract Item amount: </t>
  </si>
  <si>
    <t>报价人（项目负责人）姓名</t>
  </si>
  <si>
    <t>报价人（项目负责人）电话</t>
  </si>
  <si>
    <t>数量</t>
  </si>
  <si>
    <t>费用明细报价表</t>
  </si>
  <si>
    <t>序号</t>
  </si>
  <si>
    <t>名称</t>
  </si>
  <si>
    <t>材料 (请注明)</t>
  </si>
  <si>
    <t>原材料单位</t>
  </si>
  <si>
    <t>原材料单价(RMB)</t>
  </si>
  <si>
    <t>平均一套所需量</t>
  </si>
  <si>
    <t>小计(RMB)</t>
  </si>
  <si>
    <t>用量计算</t>
  </si>
  <si>
    <t>固定宽度墙架-地台</t>
  </si>
  <si>
    <t>1.2mm冷板</t>
  </si>
  <si>
    <t>平方米</t>
  </si>
  <si>
    <t>1.119*0.105*1*5</t>
  </si>
  <si>
    <t>1.119*0.118*1*5</t>
  </si>
  <si>
    <t>1.376*0.555*1*5</t>
  </si>
  <si>
    <t>0.384*0.069*2*5</t>
  </si>
  <si>
    <t>金属面喷塑（塑胶质感）</t>
  </si>
  <si>
    <t>1.119*0.105*1*5+1.119*0.118*1*5+1.376*0.555*1*5+0.384*0.069*2*5</t>
  </si>
  <si>
    <t>固定宽度墙架-地台连接脚</t>
  </si>
  <si>
    <t>40*40*3方管</t>
  </si>
  <si>
    <t>米</t>
  </si>
  <si>
    <t>0.505*1*10</t>
  </si>
  <si>
    <t>0.375*1*10</t>
  </si>
  <si>
    <t>胶头螺母</t>
  </si>
  <si>
    <t>颗</t>
  </si>
  <si>
    <t>6*10</t>
  </si>
  <si>
    <t>固定宽度墙架-下背板</t>
  </si>
  <si>
    <t>1.403*0.065*2*5</t>
  </si>
  <si>
    <t>1.403*0.158*1*5</t>
  </si>
  <si>
    <t>1.403*0.069*2*5</t>
  </si>
  <si>
    <t>1.533*1.381*1*5</t>
  </si>
  <si>
    <t>1.403*0.065*2*5+1.403*0.158*1*5+1.403*0.069*2*5+1.533*1.381*1*5</t>
  </si>
  <si>
    <t>可变宽度墙架-地台左件</t>
  </si>
  <si>
    <t>0.605*0.535*1</t>
  </si>
  <si>
    <t>0.405*0.069*1</t>
  </si>
  <si>
    <t>0.462*0.118*1</t>
  </si>
  <si>
    <t>0.605*0.535*1+0.405*0.069*1+0.462*0.118*1</t>
  </si>
  <si>
    <t>可变宽度墙架-地台右件</t>
  </si>
  <si>
    <t>0.605*0.535*10.405*0.069*10.462*0.118*1</t>
  </si>
  <si>
    <t>可变宽度墙架-地台中件</t>
  </si>
  <si>
    <t>0.869*0.464*1</t>
  </si>
  <si>
    <t>可变宽度墙架-地台连接脚</t>
  </si>
  <si>
    <t>0.505*1*2</t>
  </si>
  <si>
    <t>0.375*1*2</t>
  </si>
  <si>
    <t>6*2</t>
  </si>
  <si>
    <t>0.505*1*2+0.375*1*2</t>
  </si>
  <si>
    <t>可变宽度墙架-下背板左件</t>
  </si>
  <si>
    <t>1.533*0.61*1</t>
  </si>
  <si>
    <t>1.403*0.069*1</t>
  </si>
  <si>
    <t>1.403*0.065*1</t>
  </si>
  <si>
    <t>1.533*0.61*1+1.403*0.069*1+1.403*0.065*1</t>
  </si>
  <si>
    <t>可变宽度墙架-下背板右件</t>
  </si>
  <si>
    <t>可变宽度墙架-下背板中件</t>
  </si>
  <si>
    <t>1.503*0.871*1</t>
  </si>
  <si>
    <t>1.397*0.104*1</t>
  </si>
  <si>
    <t>1.503*0.871*1+1.397*0.104*1</t>
  </si>
  <si>
    <t>背中部伸缩链接码</t>
  </si>
  <si>
    <t>2.0mm冷板</t>
  </si>
  <si>
    <t>0.070*0.063*5*2</t>
  </si>
  <si>
    <t>0.070*0.063*5*2*2</t>
  </si>
  <si>
    <t>底座链接码</t>
  </si>
  <si>
    <t>0.235*0.071*5*2</t>
  </si>
  <si>
    <t>0.235*0.071*5*2*2</t>
  </si>
  <si>
    <t>顶部伸缩链接码</t>
  </si>
  <si>
    <t>(0.11*0.125+0.045*0.03)*5*2</t>
  </si>
  <si>
    <t>(0.11*0.125+0.045*0.03)*5*2*2</t>
  </si>
  <si>
    <t>托臂</t>
  </si>
  <si>
    <t>10*20扁管（1.0mm壁厚）</t>
  </si>
  <si>
    <t>层板档条</t>
  </si>
  <si>
    <t>0.3mm~1.5mm(厚)白色/透明PET（密度1.4）</t>
  </si>
  <si>
    <t>KG</t>
  </si>
  <si>
    <t>3M双面胶</t>
  </si>
  <si>
    <t>1.5-5.0mm(厚)透明有机片（密度1.2）</t>
  </si>
  <si>
    <t>1.5-5.0mm(厚)瓷白/奶白片（密度1.2）</t>
  </si>
  <si>
    <t>三角骨补条（3*3透明三角条）</t>
  </si>
  <si>
    <t>1.5mm不锈钢板</t>
  </si>
  <si>
    <t>M4*10手拧螺丝</t>
  </si>
  <si>
    <t>灯箱片</t>
  </si>
  <si>
    <t>层板（中间层）</t>
  </si>
  <si>
    <t>8mm钢化清玻璃</t>
  </si>
  <si>
    <t>挂钩发光条</t>
  </si>
  <si>
    <t>1.0mm镜面锈钢</t>
  </si>
  <si>
    <t>5.0-12.0mm(厚)透明有机片（密度1.2）</t>
  </si>
  <si>
    <t>喷砂</t>
  </si>
  <si>
    <t>挂钩发光条-挂臂</t>
  </si>
  <si>
    <t>0.08*0.04*2*2</t>
  </si>
  <si>
    <t>3.0mm冷板</t>
  </si>
  <si>
    <t>0.01*0.06*2*2</t>
  </si>
  <si>
    <t>0.3*2*2</t>
  </si>
  <si>
    <t>0.291*0.06*2*2+0.08*0.04*2*2+0.01*0.06*2*2</t>
  </si>
  <si>
    <t>挂钩发光条-固定件</t>
  </si>
  <si>
    <t>挂钩</t>
  </si>
  <si>
    <t>Φ5冷拉丝</t>
  </si>
  <si>
    <t>10*10方管（1.0mm壁厚）</t>
  </si>
  <si>
    <t>M6*10手拧螺丝</t>
  </si>
  <si>
    <t>价格条(拉塑透明)</t>
  </si>
  <si>
    <t>3*5</t>
  </si>
  <si>
    <t>2.0mm~3.0mm(厚)白色PET（密度1.4）</t>
  </si>
  <si>
    <t>产品挂件方管</t>
  </si>
  <si>
    <t>10*30扁管（1.0mm壁厚）</t>
  </si>
  <si>
    <t>管塞</t>
  </si>
  <si>
    <t>个</t>
  </si>
  <si>
    <t>主柜-方管托臂</t>
  </si>
  <si>
    <t>精雕</t>
  </si>
  <si>
    <t>分区装饰条-其他区</t>
  </si>
  <si>
    <t>1.0mm冷板</t>
  </si>
  <si>
    <t>分区装饰条-固定件（层板）</t>
  </si>
  <si>
    <t>3M可移胶</t>
  </si>
  <si>
    <t>片</t>
  </si>
  <si>
    <t>0.07*（0.03+0.056+0.045）*3*5</t>
  </si>
  <si>
    <t>9mm双白中纤板</t>
  </si>
  <si>
    <t>封边条</t>
  </si>
  <si>
    <t>左侧侧板</t>
  </si>
  <si>
    <t>12mm 木夹板</t>
  </si>
  <si>
    <t>1.0mm(厚)富美加防火板</t>
  </si>
  <si>
    <t>2.0mm 蓝色水晶板</t>
  </si>
  <si>
    <t>右侧侧板</t>
  </si>
  <si>
    <t>15mm 木夹板</t>
  </si>
  <si>
    <t>物料总价</t>
  </si>
  <si>
    <t>辅料</t>
  </si>
  <si>
    <t>损耗</t>
  </si>
  <si>
    <t>人工/车工</t>
  </si>
  <si>
    <t>包装:请注明规格</t>
  </si>
  <si>
    <t>木架</t>
  </si>
  <si>
    <t>运输</t>
  </si>
  <si>
    <t>(运输费另报）</t>
  </si>
  <si>
    <r>
      <rPr>
        <sz val="9"/>
        <rFont val="微软雅黑"/>
        <family val="2"/>
        <charset val="134"/>
      </rPr>
      <t>30元/m</t>
    </r>
    <r>
      <rPr>
        <vertAlign val="superscript"/>
        <sz val="9"/>
        <rFont val="微软雅黑"/>
        <family val="2"/>
        <charset val="134"/>
      </rPr>
      <t>3</t>
    </r>
  </si>
  <si>
    <t>综合管理费</t>
  </si>
  <si>
    <t>毛利</t>
  </si>
  <si>
    <t>灯具材料费</t>
  </si>
  <si>
    <t>灯具损耗/储存/验货/管理/安装费</t>
  </si>
  <si>
    <t>不含税单价(RMB/套)</t>
  </si>
  <si>
    <t>创新优化费用(RMB/套)</t>
  </si>
  <si>
    <t>含创新优化费用未税单价(RMB/套)</t>
  </si>
  <si>
    <t>税(请注明税率: 17%)</t>
  </si>
  <si>
    <t>合计单价(RMB/套)</t>
  </si>
  <si>
    <t>1，辅料应包括：封箱胶\包装带\保鲜膜\布碎\清洁水\刀片\热溶胶\美纹纸\钻头\钻嘴\胶水\普通自功螺丝等……</t>
  </si>
  <si>
    <t>非合约物料清单</t>
  </si>
  <si>
    <r>
      <rPr>
        <sz val="9"/>
        <color indexed="8"/>
        <rFont val="宋体"/>
        <family val="3"/>
        <charset val="134"/>
      </rPr>
      <t>非合约物料名称</t>
    </r>
  </si>
  <si>
    <t>小计(元)</t>
  </si>
  <si>
    <r>
      <rPr>
        <sz val="9"/>
        <color indexed="8"/>
        <rFont val="宋体"/>
        <family val="3"/>
        <charset val="134"/>
      </rPr>
      <t>占比</t>
    </r>
  </si>
  <si>
    <t>Total:</t>
  </si>
  <si>
    <r>
      <rPr>
        <sz val="9"/>
        <rFont val="微软雅黑"/>
        <family val="2"/>
        <charset val="134"/>
      </rPr>
      <t>贵公司:(签名并盖章)</t>
    </r>
    <r>
      <rPr>
        <u/>
        <sz val="9"/>
        <rFont val="微软雅黑"/>
        <family val="2"/>
        <charset val="134"/>
      </rPr>
      <t>广州壹加市场营销策划有限公司</t>
    </r>
  </si>
  <si>
    <t>报价人：Echo Zhang</t>
  </si>
  <si>
    <t>灯具部件&amp;价格清单</t>
  </si>
  <si>
    <t>类别</t>
  </si>
  <si>
    <t>LED层板灯</t>
  </si>
  <si>
    <t>导电系统模块组合</t>
  </si>
  <si>
    <t>产品部件名称</t>
  </si>
  <si>
    <t>配电箱</t>
  </si>
  <si>
    <t>H=1600mm标准柜背板导电槽（竖向）</t>
  </si>
  <si>
    <t>非标柜背板导电槽（竖向）</t>
  </si>
  <si>
    <t>W=2400mm标准柜背板导电槽（横向）</t>
  </si>
  <si>
    <t>W=760mm背板非标导电槽（横向）</t>
  </si>
  <si>
    <t>W=1000mm~1300mm背板非标导电槽（横向）</t>
  </si>
  <si>
    <t>W=1300mm~1600mm背板非标导电槽（横向）</t>
  </si>
  <si>
    <t>订货部件编号</t>
  </si>
  <si>
    <t>暂无</t>
  </si>
  <si>
    <t>HI-B-pdx320</t>
  </si>
  <si>
    <t>HI-F-ddc1150</t>
  </si>
  <si>
    <t>HI-F-ddc1050</t>
  </si>
  <si>
    <t>HI-F-ddc1110</t>
  </si>
  <si>
    <t>HI-F-ddc760</t>
  </si>
  <si>
    <t>HI-F-ddc1300</t>
  </si>
  <si>
    <t>HI-F-ddc1600</t>
  </si>
  <si>
    <t>规格</t>
  </si>
  <si>
    <t>760mm</t>
  </si>
  <si>
    <t>960mm</t>
  </si>
  <si>
    <t>1110mm</t>
  </si>
  <si>
    <t>1160mm</t>
  </si>
  <si>
    <t>1210mm</t>
  </si>
  <si>
    <t>380*160*78</t>
  </si>
  <si>
    <t>L=1150mm</t>
  </si>
  <si>
    <t>L=1050mm</t>
  </si>
  <si>
    <t>L=1110mm</t>
  </si>
  <si>
    <t>L=760mm</t>
  </si>
  <si>
    <t>L=1300mm</t>
  </si>
  <si>
    <t>L=1600mm</t>
  </si>
  <si>
    <t>功率</t>
  </si>
  <si>
    <t>24V320W</t>
  </si>
  <si>
    <t>N/A</t>
  </si>
  <si>
    <t>换算每米单价（未税）</t>
  </si>
  <si>
    <t>换算每米单价（含税）</t>
  </si>
  <si>
    <t>部件单价（未税）</t>
  </si>
  <si>
    <t>部件单价(含税）</t>
  </si>
  <si>
    <t>用量（件）</t>
  </si>
  <si>
    <t>合计(未税）</t>
  </si>
  <si>
    <t>零件清单</t>
  </si>
  <si>
    <t>单根层板灯零件清单：1、LED灯条1条；2、卡码3个；3、L=330mm磁碰双头连接扁线1条；</t>
  </si>
  <si>
    <t>部件图片及描述</t>
  </si>
  <si>
    <t>合计：</t>
  </si>
  <si>
    <t>LOGO灯箱</t>
  </si>
  <si>
    <t>H=1900mm~2400mm高柜超薄灯箱</t>
  </si>
  <si>
    <t>LED侧板及隔板灯模块组合</t>
  </si>
  <si>
    <t>头层</t>
  </si>
  <si>
    <t>VS超薄灯箱 L*W（实时变化，单位：mm）</t>
  </si>
  <si>
    <t>CC超薄灯箱 L*W（实时变化，单位：mm）</t>
  </si>
  <si>
    <t>DC超薄灯箱 L*W（实时变化，单位：mm）</t>
  </si>
  <si>
    <t>CC+DC超薄灯箱 L*W（实时变化，单位：mm）</t>
  </si>
  <si>
    <t>L=Y(实时变化)左右侧板灯</t>
  </si>
  <si>
    <t>L=Y（实时变化）中间隔板灯</t>
  </si>
  <si>
    <t>440mm底盒</t>
  </si>
  <si>
    <t>140mm底盒</t>
  </si>
  <si>
    <t>其他品牌</t>
  </si>
  <si>
    <t>VS-cbdxL*W</t>
  </si>
  <si>
    <t>CC-cbdxL*W</t>
  </si>
  <si>
    <t>DC-cbdxL*W</t>
  </si>
  <si>
    <t>CC+DC-cbdxL*W</t>
  </si>
  <si>
    <r>
      <rPr>
        <sz val="9"/>
        <color indexed="8"/>
        <rFont val="微软雅黑"/>
        <family val="2"/>
        <charset val="134"/>
      </rPr>
      <t>HI-D-cbd</t>
    </r>
    <r>
      <rPr>
        <sz val="9"/>
        <color indexed="10"/>
        <rFont val="微软雅黑"/>
        <family val="2"/>
        <charset val="134"/>
      </rPr>
      <t>Y</t>
    </r>
  </si>
  <si>
    <t>HI-E-gbdY</t>
  </si>
  <si>
    <t>L*W（注明平方数S）</t>
  </si>
  <si>
    <t>Y（Y按50mm倍数向下取整）</t>
  </si>
  <si>
    <t>440*185*30mm</t>
  </si>
  <si>
    <t>140*185*30mm</t>
  </si>
  <si>
    <t>320*112*130mm</t>
  </si>
  <si>
    <t>L*10.8*2W</t>
  </si>
  <si>
    <t>8.5W/M</t>
  </si>
  <si>
    <t>换算每米或平方米单价（未税）</t>
  </si>
  <si>
    <t>换算每米或平方米单价（含税）</t>
  </si>
  <si>
    <t>1、导光板、铝塑板、铝材、透明片、方管、冷板，灯具</t>
  </si>
  <si>
    <r>
      <rPr>
        <sz val="11"/>
        <color indexed="8"/>
        <rFont val="微软雅黑"/>
        <family val="2"/>
        <charset val="134"/>
      </rPr>
      <t>一套清单：1、LED软灯带2条；2.含左右扁线单头</t>
    </r>
    <r>
      <rPr>
        <sz val="9"/>
        <color indexed="8"/>
        <rFont val="微软雅黑"/>
        <family val="2"/>
        <charset val="134"/>
      </rPr>
      <t>出线卡扣各一个</t>
    </r>
  </si>
  <si>
    <r>
      <rPr>
        <sz val="11"/>
        <color indexed="8"/>
        <rFont val="微软雅黑"/>
        <family val="2"/>
        <charset val="134"/>
      </rPr>
      <t>单条隔板灯零件清单1、LED软灯带1条；2.含扁线单头</t>
    </r>
    <r>
      <rPr>
        <sz val="9"/>
        <color indexed="8"/>
        <rFont val="微软雅黑"/>
        <family val="2"/>
        <charset val="134"/>
      </rPr>
      <t>出线卡扣1个</t>
    </r>
  </si>
  <si>
    <t>3条隔板灯</t>
  </si>
  <si>
    <t>挂钩区灯</t>
  </si>
  <si>
    <t>铝塑板</t>
  </si>
  <si>
    <t>LOGO灯箱+层板灯</t>
  </si>
  <si>
    <t>挂钩区+层板区1条</t>
  </si>
  <si>
    <t>0.098*0.03*8*2</t>
  </si>
  <si>
    <t>0.098*0.03*8</t>
  </si>
  <si>
    <t>分区装饰条-护肤区</t>
  </si>
  <si>
    <t>挂钩区2条，层板区5条</t>
  </si>
  <si>
    <t>0.505*1*6+0.375*1*10</t>
  </si>
  <si>
    <t>固定宽度墙架-背板升高支架</t>
  </si>
  <si>
    <t>(1.44*3+1.197)*5</t>
  </si>
  <si>
    <t>(1.44*3*0.16+1.197*0.16)*5</t>
  </si>
  <si>
    <t>可变宽度墙架-背板升高支架</t>
  </si>
  <si>
    <t>1.44*3+1.66</t>
  </si>
  <si>
    <t>1.44*3*0.16+1.66*0.16</t>
  </si>
  <si>
    <t>高柜防前倾三角支架</t>
  </si>
  <si>
    <t>25*25方管（1.0mm壁厚）</t>
  </si>
  <si>
    <t>（0.183+0.224+0.3）*5</t>
  </si>
  <si>
    <t>(0.025*4*(0.183+0.224+0.3))*5</t>
  </si>
  <si>
    <t>(0.071*0.085+0.071*0.1+0.1*0.051)*5</t>
  </si>
  <si>
    <t>0.232*1*84</t>
  </si>
  <si>
    <t>0.095*0.245*1*84</t>
  </si>
  <si>
    <t>0.048*0.036*1*84</t>
  </si>
  <si>
    <t>0.041*0.023*1*84</t>
  </si>
  <si>
    <t>0.025*0.015*1*84</t>
  </si>
  <si>
    <t>0.232*1*84+0.095*0.245*1*84+0.048*0.036*1*84+0.041*0.023*1*84+0.025*0.015*1*84</t>
  </si>
  <si>
    <t>1.165*0.074*1*0.5*1.4*31.5</t>
  </si>
  <si>
    <t>1.165*0.04*1*31..5</t>
  </si>
  <si>
    <t>1.165*0.04*1*2*1.2*31..5</t>
  </si>
  <si>
    <t>1.165*0.035*1*2*1.2*31.5</t>
  </si>
  <si>
    <t>1.165*0.011*1*2*1.2*31.5</t>
  </si>
  <si>
    <t>1.165*0.0095*1*5*1.2*31.5</t>
  </si>
  <si>
    <t>1.165*0.045*1*2*1.2*31.5</t>
  </si>
  <si>
    <t>1.165*0.04*1*2*1.2*31.5</t>
  </si>
  <si>
    <t>1.165*0.016*1*2*1.2*31.5</t>
  </si>
  <si>
    <t>1.165*0.0085*1*2*1.2*31.5</t>
  </si>
  <si>
    <t>1.165*0.023*1*2*1.2*31.5</t>
  </si>
  <si>
    <t>1.165*0.037*1*2*1.2*31.5</t>
  </si>
  <si>
    <t>1.165*0.01*5*5*1.2*31.5</t>
  </si>
  <si>
    <t>1.165*0.032*1*2*1.2*31.5</t>
  </si>
  <si>
    <t>1.165*0.014*1*2*1.2*31.5</t>
  </si>
  <si>
    <t>1.165*0.01*1*2*1.2*31.5</t>
  </si>
  <si>
    <t>1.165*1*31.5</t>
  </si>
  <si>
    <t>0.017*0.04*3*31.5</t>
  </si>
  <si>
    <t>3*32</t>
  </si>
  <si>
    <t>1.2*0.07*4.5*7</t>
  </si>
  <si>
    <t>1.19*0.27*18+0.635*0.27+1.105*0.27*6</t>
  </si>
  <si>
    <t>层板（底层）</t>
  </si>
  <si>
    <t>15mm三聚氰氨板(双面)</t>
  </si>
  <si>
    <t>1.189*0.38*1*4.5</t>
  </si>
  <si>
    <t>9mm中纤板</t>
  </si>
  <si>
    <t>1.189*0.02*2*4.5</t>
  </si>
  <si>
    <t>(0.044+0.016+0.044)*1.07*2</t>
  </si>
  <si>
    <t>0.038*1.07*1.2*10*2</t>
  </si>
  <si>
    <t>(0.008+0.008+0.02)*1.07*2+0.038*1.07*1.2*10*2</t>
  </si>
  <si>
    <t>(0.032+0.015+0.032)*0.04*141</t>
  </si>
  <si>
    <t>0.38*2*144</t>
  </si>
  <si>
    <t>(0.032+0.015+0.032)*0.04*144+0.005*3.14*0.38*2*144+（0.032+0.035+0.233）*0.04*34</t>
  </si>
  <si>
    <t>（0.032+0.035+0.233）*34</t>
  </si>
  <si>
    <t>34*2</t>
  </si>
  <si>
    <t>2*8</t>
  </si>
  <si>
    <t>（0.0389+0.012+0.005+0.05+0.012+0.012）*2*1.4*2*8</t>
  </si>
  <si>
    <t>1.71*10</t>
  </si>
  <si>
    <t>0.08*1.71*10</t>
  </si>
  <si>
    <t>0.052*0.064*32</t>
  </si>
  <si>
    <t>信息灯箱-亚克力A</t>
  </si>
  <si>
    <t>0.12*1.72*3*1.2</t>
  </si>
  <si>
    <t>(0.008+0.008+0.011+0.011)*1.72*5*1.2</t>
  </si>
  <si>
    <t>5.0-12.0mm(厚)瓷白/奶白片（密度1.2）</t>
  </si>
  <si>
    <t>0.012*1.72*8*1.2</t>
  </si>
  <si>
    <t>5mm导光板</t>
  </si>
  <si>
    <t>0.11*1.72</t>
  </si>
  <si>
    <t>匀光膜</t>
  </si>
  <si>
    <t>信息灯箱-边框塞</t>
  </si>
  <si>
    <t>(0.015+0.018)*0.08*2*1.2*2</t>
  </si>
  <si>
    <t>0.08*0.006*8*1.2*2</t>
  </si>
  <si>
    <t>信息灯箱-托臂</t>
  </si>
  <si>
    <t>0.232*1*2</t>
  </si>
  <si>
    <t>0.095*0.245*1*2</t>
  </si>
  <si>
    <t>0.048*0.036*1*2</t>
  </si>
  <si>
    <t>0.041*0.023*1*2</t>
  </si>
  <si>
    <t>0.025*0.015*1*2</t>
  </si>
  <si>
    <t>0.232*1+0.095*0.245*1+0.048*0.036*1+0.041*0.023*1+0.025*0.015*1</t>
  </si>
  <si>
    <t>信息灯箱-固定件</t>
  </si>
  <si>
    <t>0.014*（0.049+0.059）*4</t>
  </si>
  <si>
    <t>0.014*（0.049+0.059）*4*2</t>
  </si>
  <si>
    <t>信息灯箱-层板</t>
  </si>
  <si>
    <t>1.73*0.365</t>
  </si>
  <si>
    <t>1.73+0.365+0.365+1.73</t>
  </si>
  <si>
    <t>(0.044+0.016+0.044)*1.895</t>
  </si>
  <si>
    <t>0.038*1.895*1.2*10</t>
  </si>
  <si>
    <t>0.01*1.895*2</t>
  </si>
  <si>
    <t>（0.05+0.05+0.01+0.01）*2*3</t>
  </si>
  <si>
    <t>分区装饰条-固定件</t>
  </si>
  <si>
    <t>（0.049+0.039）*0.01*5*2</t>
  </si>
  <si>
    <t>（0.049+0.039）*0.01*5</t>
  </si>
  <si>
    <t>木底座A</t>
  </si>
  <si>
    <t>0.365*1.73+0.365*0.1*1.73</t>
  </si>
  <si>
    <t>0.07*1.73</t>
  </si>
  <si>
    <t>1.73+1.73+0.365+0.365</t>
  </si>
  <si>
    <t>木底座B</t>
  </si>
  <si>
    <t>0.365*2.4+0.365*0.1*2.4</t>
  </si>
  <si>
    <t>0.07*2.4</t>
  </si>
  <si>
    <t>2.4+0.365+0.356+2.4</t>
  </si>
  <si>
    <t>木底座C</t>
  </si>
  <si>
    <t>木底座D</t>
  </si>
  <si>
    <t>0.365*0.585+0.365*0.1*0.585</t>
  </si>
  <si>
    <t>0.07*0.585</t>
  </si>
  <si>
    <t>0.585+0.365+0.356+0.585</t>
  </si>
  <si>
    <t>9mm 木夹板</t>
  </si>
  <si>
    <t>0.45*2.4*2</t>
  </si>
  <si>
    <t>0.45*2.4</t>
  </si>
  <si>
    <t>1.9*0.145*12*1.2</t>
  </si>
  <si>
    <t>1.9*0.145*2*2</t>
  </si>
  <si>
    <t>1.5mm水晶板(其他颜色)</t>
  </si>
  <si>
    <t>0.45*2.4+0.03*2.4</t>
  </si>
  <si>
    <t>中间侧板</t>
  </si>
  <si>
    <t>0.45*2.1*2</t>
  </si>
  <si>
    <t>0.45*2.1</t>
  </si>
  <si>
    <t>0.035*1.9</t>
  </si>
  <si>
    <t>铝塑板头牌-A</t>
  </si>
  <si>
    <t>（0.4+0.1+0.1+0.054+0.054）*2.4</t>
  </si>
  <si>
    <t>（1.657+0.095+0.4+0.4+1.66）*0.07</t>
  </si>
  <si>
    <t>5mm AD板</t>
  </si>
  <si>
    <t>0.22*1.752</t>
  </si>
  <si>
    <t>0.4*1.657*3*1.2</t>
  </si>
  <si>
    <t>15mm 透明亚克力</t>
  </si>
  <si>
    <t>0.22*1.657*15*1.2</t>
  </si>
  <si>
    <t>0.22*1.657</t>
  </si>
  <si>
    <t>头牌灯箱</t>
  </si>
  <si>
    <t>0.739*0.4*5*1.2</t>
  </si>
  <si>
    <t>0.739*0.4*5*1.2+0.1*0.649*3*1.2+0.1*0.739*3*1.2+0.392*0.1*3*1.2*2</t>
  </si>
  <si>
    <t>3mm蓝色水晶版</t>
  </si>
  <si>
    <t>0.649*0.01*2*1.2+0.739*0.01*2*1.2</t>
  </si>
  <si>
    <t>2mm蓝色水晶版</t>
  </si>
  <si>
    <t>0.739*0.4</t>
  </si>
  <si>
    <t>铝塑板头牌-B</t>
  </si>
  <si>
    <t>1.2*（0.4+0.1+0.1+0.054+0.054）*2</t>
  </si>
  <si>
    <t>(0.054*0.092*2+0.392*0.054*2)*3*2</t>
  </si>
  <si>
    <t>0.22*0.7</t>
  </si>
  <si>
    <t>0.1*0.7*15*1.2</t>
  </si>
  <si>
    <t>0.2*0.7*15*1.2</t>
  </si>
  <si>
    <t>0.1*0.7</t>
  </si>
  <si>
    <t>铝塑板头牌-C</t>
  </si>
  <si>
    <t>(0.05*0.092*2+0.392*0.05*2)*6</t>
  </si>
  <si>
    <t>0.292*1.6</t>
  </si>
  <si>
    <t>0.1*1.6*15*1.2</t>
  </si>
  <si>
    <t>0.2*1.6*3*1.2</t>
  </si>
  <si>
    <t>0.1*1.6</t>
  </si>
  <si>
    <t>头牌铁挂件-A</t>
  </si>
  <si>
    <t>20*20方管（1.0mm壁厚）</t>
  </si>
  <si>
    <t>（0.269+0.32+0.269+0.32）*7</t>
  </si>
  <si>
    <t>0.073*0.032*2*7</t>
  </si>
  <si>
    <t>0.056*0.32*7</t>
  </si>
  <si>
    <t>（0.073*0.032*2*7+0.056*0.32*7）</t>
  </si>
  <si>
    <t>头牌铁挂件-B</t>
  </si>
  <si>
    <t>0.27+0.32+0.27+0.32</t>
  </si>
  <si>
    <t>0.073*0.032</t>
  </si>
  <si>
    <t>0.056*0.32</t>
  </si>
  <si>
    <t>0.073*0.032*2*7+0.056*0.32*2</t>
  </si>
  <si>
    <t>万通板-卡件</t>
  </si>
  <si>
    <t>15*15*1.0角铝</t>
  </si>
  <si>
    <t>1.73*2+2.4*4+0.51*2</t>
  </si>
  <si>
    <t>0.03*14.8*2</t>
  </si>
  <si>
    <t>加固码仔</t>
  </si>
  <si>
    <t>0.043*0.043*12</t>
  </si>
  <si>
    <t>0.043*0.043*12*2</t>
  </si>
  <si>
    <t>头牌底部封板</t>
  </si>
  <si>
    <t>万通板</t>
  </si>
  <si>
    <t>0.269*7</t>
  </si>
  <si>
    <t>瓷白拉塑条</t>
  </si>
  <si>
    <t>非标层板+LOGO灯箱</t>
  </si>
  <si>
    <t>标准层板</t>
  </si>
  <si>
    <t>挂钩区灯+橙色条灯</t>
  </si>
  <si>
    <t>(0.032+0.015+0.032)*0.04*144</t>
  </si>
  <si>
    <t>（0.032+0.035+0.233）*32</t>
  </si>
  <si>
    <t>（0.05+0.05+0.01+0.01）*2*4</t>
  </si>
  <si>
    <t>4*5</t>
  </si>
  <si>
    <t>0.07*（0.03+0.056+0.045）*4*5</t>
  </si>
  <si>
    <t>0.365*1.73</t>
  </si>
  <si>
    <t>0.365*2.4</t>
  </si>
  <si>
    <t>0.365*0.585</t>
  </si>
  <si>
    <t>LOGO灯箱，T&amp;L</t>
  </si>
  <si>
    <t>挂钩区1条</t>
  </si>
  <si>
    <t>头牌灯</t>
  </si>
  <si>
    <t>区域</t>
  </si>
  <si>
    <t>省份</t>
  </si>
  <si>
    <t>城市名称</t>
  </si>
  <si>
    <t>税金</t>
  </si>
  <si>
    <t>n=?%</t>
  </si>
  <si>
    <t>北部</t>
  </si>
  <si>
    <t>北京</t>
  </si>
  <si>
    <t>河北</t>
  </si>
  <si>
    <t>石家庄</t>
  </si>
  <si>
    <t>其他城市</t>
  </si>
  <si>
    <t>河南</t>
  </si>
  <si>
    <t>郑州</t>
  </si>
  <si>
    <t>黑龙江</t>
  </si>
  <si>
    <t>哈尔滨</t>
  </si>
  <si>
    <t>吉林</t>
  </si>
  <si>
    <t>长春</t>
  </si>
  <si>
    <t>辽宁</t>
  </si>
  <si>
    <t>沈阳</t>
  </si>
  <si>
    <t>盘锦</t>
  </si>
  <si>
    <t>内蒙古</t>
  </si>
  <si>
    <t>包头</t>
  </si>
  <si>
    <t>山东</t>
  </si>
  <si>
    <t>济南</t>
  </si>
  <si>
    <t>青岛</t>
  </si>
  <si>
    <t>烟台</t>
  </si>
  <si>
    <t>山西</t>
  </si>
  <si>
    <t>太原</t>
  </si>
  <si>
    <t>天津</t>
  </si>
  <si>
    <t>东部</t>
  </si>
  <si>
    <t>安徽</t>
  </si>
  <si>
    <t>合肥</t>
  </si>
  <si>
    <t>江苏</t>
  </si>
  <si>
    <t>南京</t>
  </si>
  <si>
    <t>上海</t>
  </si>
  <si>
    <t>浙江</t>
  </si>
  <si>
    <t>杭州</t>
  </si>
  <si>
    <t>宁波</t>
  </si>
  <si>
    <t>南部</t>
  </si>
  <si>
    <t>福建</t>
  </si>
  <si>
    <t>福州</t>
  </si>
  <si>
    <t>广东</t>
  </si>
  <si>
    <t>广州</t>
  </si>
  <si>
    <t>深圳</t>
  </si>
  <si>
    <t>海南</t>
  </si>
  <si>
    <t>海口</t>
  </si>
  <si>
    <t>西部</t>
  </si>
  <si>
    <t>甘肃</t>
  </si>
  <si>
    <t>兰州</t>
  </si>
  <si>
    <t>广西</t>
  </si>
  <si>
    <t>南宁</t>
  </si>
  <si>
    <t>贵州</t>
  </si>
  <si>
    <t>贵阳</t>
  </si>
  <si>
    <t>湖北</t>
  </si>
  <si>
    <t>武汉</t>
  </si>
  <si>
    <t>湖南</t>
  </si>
  <si>
    <t>长沙</t>
  </si>
  <si>
    <t>江西</t>
  </si>
  <si>
    <t>南昌</t>
  </si>
  <si>
    <t>宁夏</t>
  </si>
  <si>
    <t>银川</t>
  </si>
  <si>
    <t>青海</t>
  </si>
  <si>
    <t>西宁</t>
  </si>
  <si>
    <t>陕西</t>
  </si>
  <si>
    <t>西安</t>
  </si>
  <si>
    <t>四川</t>
  </si>
  <si>
    <t>成都</t>
  </si>
  <si>
    <t>西藏</t>
  </si>
  <si>
    <t>拉萨</t>
  </si>
  <si>
    <t>新疆</t>
  </si>
  <si>
    <t>乌鲁木齐</t>
  </si>
  <si>
    <t>云南</t>
  </si>
  <si>
    <t>昆明</t>
  </si>
  <si>
    <t>重庆</t>
  </si>
  <si>
    <t>所有运输项目价格，都是运送到店价格</t>
  </si>
  <si>
    <t>RMB/立方米(运送到店，含装卸等一切费用）</t>
  </si>
  <si>
    <t>宽（米）</t>
  </si>
  <si>
    <t>宽（包装）（米）</t>
  </si>
  <si>
    <t>深（米）</t>
  </si>
  <si>
    <t>深（包装）（米）</t>
  </si>
  <si>
    <t>高（米）</t>
  </si>
  <si>
    <t>高（包装）（米）</t>
  </si>
  <si>
    <t>专柜尺寸（立方米）</t>
  </si>
  <si>
    <t>包装体积(立方米，含1m³配件箱)</t>
  </si>
  <si>
    <t>数量（个）</t>
  </si>
  <si>
    <t>运输费用</t>
  </si>
  <si>
    <t>运输管理及利润</t>
  </si>
  <si>
    <t>运输总费用（不含税）</t>
  </si>
  <si>
    <t>运输总费用</t>
  </si>
  <si>
    <t>j</t>
  </si>
  <si>
    <t>a</t>
  </si>
  <si>
    <t>b</t>
  </si>
  <si>
    <t>c</t>
  </si>
  <si>
    <t>d</t>
  </si>
  <si>
    <t>e</t>
  </si>
  <si>
    <t>f</t>
  </si>
  <si>
    <t>g=a*c*e</t>
  </si>
  <si>
    <t>h=b*d*f+1</t>
  </si>
  <si>
    <t>i</t>
  </si>
  <si>
    <t>k=j*h*i</t>
  </si>
  <si>
    <t>m=?%</t>
  </si>
  <si>
    <t>n=k*(1+m)</t>
  </si>
  <si>
    <t>o=?%</t>
  </si>
  <si>
    <t>p=n*(1+o)</t>
  </si>
  <si>
    <t>仓储价格</t>
  </si>
  <si>
    <t>免仓储时间（天）</t>
  </si>
  <si>
    <t>仓储费用　RMB/立方米</t>
  </si>
  <si>
    <t>中山</t>
  </si>
  <si>
    <t>非中山</t>
  </si>
  <si>
    <t>包装体积(立方米，含m³配件箱)</t>
  </si>
  <si>
    <t>安装费用</t>
  </si>
  <si>
    <t>网点出发</t>
  </si>
  <si>
    <t>临时搬运工</t>
  </si>
  <si>
    <t>总合计
（不含税）</t>
  </si>
  <si>
    <t>税</t>
  </si>
  <si>
    <t>总合计
（含税）</t>
  </si>
  <si>
    <t>服务驻点数量</t>
  </si>
  <si>
    <t>城市</t>
  </si>
  <si>
    <t>安装费(带电)/人</t>
  </si>
  <si>
    <t>安装费(不带电)/人</t>
  </si>
  <si>
    <t>带电人数</t>
  </si>
  <si>
    <t>不带电人数</t>
  </si>
  <si>
    <t>工作天数</t>
  </si>
  <si>
    <t>住宿费用(元/人/天)</t>
  </si>
  <si>
    <t>住宿天数</t>
  </si>
  <si>
    <t>安装费人工/城市</t>
  </si>
  <si>
    <t>人员交通费用 - 去</t>
  </si>
  <si>
    <t>人员交通费用 - 回</t>
  </si>
  <si>
    <t>人员车费/人/次</t>
  </si>
  <si>
    <t>出发次数</t>
  </si>
  <si>
    <t>店间交通费用/次</t>
  </si>
  <si>
    <t>人员车费/区域</t>
  </si>
  <si>
    <t>安装费</t>
  </si>
  <si>
    <t>管理费及利润</t>
  </si>
  <si>
    <t>安装总费用不含税</t>
  </si>
  <si>
    <t>税费</t>
  </si>
  <si>
    <t>安装总费用</t>
  </si>
  <si>
    <t>临时搬运工人工（元/人）</t>
  </si>
  <si>
    <t>临时搬运工人数</t>
  </si>
  <si>
    <t>费用合计</t>
  </si>
  <si>
    <t>管理及利润</t>
  </si>
  <si>
    <t>安装总费用（不含税）</t>
  </si>
  <si>
    <t>c1</t>
  </si>
  <si>
    <t>c2</t>
  </si>
  <si>
    <t>d1</t>
  </si>
  <si>
    <t>d2</t>
  </si>
  <si>
    <t>g</t>
  </si>
  <si>
    <t>h=c1*d1*e+c2*d2*e+f*g*(d1+d2)</t>
  </si>
  <si>
    <t>o</t>
  </si>
  <si>
    <t>j=o+i</t>
  </si>
  <si>
    <t>k</t>
  </si>
  <si>
    <t>l</t>
  </si>
  <si>
    <t>k=j*(d1+d2)*k+l*(b-k)</t>
  </si>
  <si>
    <t>m=h+k</t>
  </si>
  <si>
    <t>r=m*(1+n)</t>
  </si>
  <si>
    <t>p=?%</t>
  </si>
  <si>
    <t>q=r*(1+p)</t>
  </si>
  <si>
    <t xml:space="preserve">注：店间交通费用指：从基地或总部出发，在同一城市连续执行时将存在店内交通费用；  </t>
  </si>
  <si>
    <t>支撑件</t>
  </si>
  <si>
    <t>1.5mm冷板</t>
  </si>
  <si>
    <t>0.177*0.115*2+0.079*0.182+0.05*0.186+0.182*0.164+0.022*0.17+0.222*0.207</t>
  </si>
  <si>
    <t>金属面喷塑（普通）</t>
  </si>
  <si>
    <t>（0.177*0.115*2+0.079*0.182+0.05*0.186+0.182*0.164+0.022*0.17+0.222*0.207）*2</t>
  </si>
  <si>
    <t>排铰</t>
  </si>
  <si>
    <t>3MVHB</t>
  </si>
  <si>
    <t>件</t>
  </si>
  <si>
    <t>0.186*0.177</t>
  </si>
  <si>
    <r>
      <rPr>
        <sz val="10"/>
        <rFont val="微软雅黑"/>
        <family val="2"/>
        <charset val="134"/>
      </rPr>
      <t>30元/m</t>
    </r>
    <r>
      <rPr>
        <vertAlign val="superscript"/>
        <sz val="10"/>
        <rFont val="微软雅黑"/>
        <family val="2"/>
        <charset val="134"/>
      </rPr>
      <t>3</t>
    </r>
  </si>
  <si>
    <r>
      <rPr>
        <sz val="11"/>
        <color indexed="8"/>
        <rFont val="宋体"/>
        <family val="3"/>
        <charset val="134"/>
      </rPr>
      <t>非合约物料名称</t>
    </r>
  </si>
  <si>
    <r>
      <rPr>
        <sz val="11"/>
        <color indexed="8"/>
        <rFont val="宋体"/>
        <family val="3"/>
        <charset val="134"/>
      </rPr>
      <t>占比</t>
    </r>
  </si>
  <si>
    <r>
      <rPr>
        <b/>
        <sz val="12"/>
        <rFont val="微软雅黑"/>
        <family val="2"/>
        <charset val="134"/>
      </rPr>
      <t>贵公司:(签名并盖章)</t>
    </r>
    <r>
      <rPr>
        <b/>
        <u/>
        <sz val="12"/>
        <rFont val="微软雅黑"/>
        <family val="2"/>
        <charset val="134"/>
      </rPr>
      <t>广州壹加市场营销策划有限公司</t>
    </r>
  </si>
  <si>
    <t>0.177*0.115*2+0.079*0.182+0.05*0.186+0.182*0.164+0.022*0.17+0.222*0.207+0.150*0.02+0.150*0.193+0.150*0.03</t>
  </si>
  <si>
    <t>（0.177*0.115*2+0.079*0.182+0.05*0.186+0.182*0.164+0.022*0.17+0.222*0.207+0.150*0.02+0.150*0.193+0.150*0.03）*2</t>
  </si>
  <si>
    <r>
      <rPr>
        <sz val="12"/>
        <rFont val="宋体"/>
        <family val="3"/>
        <charset val="134"/>
      </rPr>
      <t>寶潔專案負責人</t>
    </r>
    <r>
      <rPr>
        <sz val="12"/>
        <rFont val="Calibri"/>
        <family val="2"/>
      </rPr>
      <t xml:space="preserve"> / </t>
    </r>
    <r>
      <rPr>
        <sz val="12"/>
        <rFont val="宋体"/>
        <family val="3"/>
        <charset val="134"/>
      </rPr>
      <t>宝洁专案负责人</t>
    </r>
    <r>
      <rPr>
        <sz val="12"/>
        <rFont val="Calibri"/>
        <family val="2"/>
      </rPr>
      <t xml:space="preserve"> : (ex. P&amp;G MS/project owner)</t>
    </r>
    <phoneticPr fontId="29" type="noConversion"/>
  </si>
  <si>
    <r>
      <rPr>
        <sz val="12"/>
        <rFont val="宋体"/>
        <family val="3"/>
        <charset val="134"/>
      </rPr>
      <t>貨幣</t>
    </r>
    <r>
      <rPr>
        <sz val="12"/>
        <rFont val="Calibri"/>
        <family val="2"/>
      </rPr>
      <t xml:space="preserve"> / </t>
    </r>
    <r>
      <rPr>
        <sz val="12"/>
        <rFont val="宋体"/>
        <family val="3"/>
        <charset val="134"/>
      </rPr>
      <t>货币</t>
    </r>
    <r>
      <rPr>
        <sz val="12"/>
        <rFont val="Calibri"/>
        <family val="2"/>
      </rPr>
      <t xml:space="preserve"> : Currency</t>
    </r>
    <r>
      <rPr>
        <sz val="12"/>
        <rFont val="宋体"/>
        <family val="3"/>
        <charset val="134"/>
      </rPr>
      <t>：</t>
    </r>
    <phoneticPr fontId="29" type="noConversion"/>
  </si>
  <si>
    <t>CNY</t>
    <phoneticPr fontId="29" type="noConversion"/>
  </si>
  <si>
    <r>
      <rPr>
        <sz val="12"/>
        <rFont val="宋体"/>
        <family val="3"/>
        <charset val="134"/>
      </rPr>
      <t>數量</t>
    </r>
    <r>
      <rPr>
        <sz val="12"/>
        <rFont val="Calibri"/>
        <family val="2"/>
      </rPr>
      <t xml:space="preserve"> / </t>
    </r>
    <r>
      <rPr>
        <sz val="12"/>
        <rFont val="宋体"/>
        <family val="3"/>
        <charset val="134"/>
      </rPr>
      <t>数量</t>
    </r>
    <r>
      <rPr>
        <sz val="12"/>
        <rFont val="Calibri"/>
        <family val="2"/>
      </rPr>
      <t xml:space="preserve"> : Quantity</t>
    </r>
    <r>
      <rPr>
        <sz val="12"/>
        <rFont val="宋体"/>
        <family val="3"/>
        <charset val="134"/>
      </rPr>
      <t>：</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</si>
  <si>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不含税</t>
    </r>
    <r>
      <rPr>
        <sz val="12"/>
        <rFont val="Calibri"/>
        <family val="2"/>
      </rPr>
      <t xml:space="preserve">) : Unit Price (excl. tax) </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</si>
  <si>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含税</t>
    </r>
    <r>
      <rPr>
        <sz val="12"/>
        <rFont val="Calibri"/>
        <family val="2"/>
      </rPr>
      <t xml:space="preserve">) : Unit Price (incl. Tax) </t>
    </r>
    <r>
      <rPr>
        <sz val="12"/>
        <rFont val="宋体"/>
        <family val="3"/>
        <charset val="134"/>
      </rPr>
      <t>：</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</si>
  <si>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含稅</t>
    </r>
    <r>
      <rPr>
        <sz val="12"/>
        <rFont val="Calibri"/>
        <family val="2"/>
      </rPr>
      <t>)</t>
    </r>
    <r>
      <rPr>
        <sz val="12"/>
        <rFont val="宋体"/>
        <family val="3"/>
        <charset val="134"/>
      </rPr>
      <t>：</t>
    </r>
    <r>
      <rPr>
        <sz val="12"/>
        <rFont val="Calibri"/>
        <family val="2"/>
      </rPr>
      <t>Total amount (incl. tax)</t>
    </r>
    <phoneticPr fontId="29" type="noConversion"/>
  </si>
  <si>
    <r>
      <rPr>
        <sz val="12"/>
        <rFont val="宋体"/>
        <family val="3"/>
        <charset val="134"/>
      </rPr>
      <t>引用寶潔合約編號</t>
    </r>
    <r>
      <rPr>
        <sz val="12"/>
        <rFont val="Calibri"/>
        <family val="2"/>
      </rPr>
      <t xml:space="preserve"> / </t>
    </r>
    <r>
      <rPr>
        <sz val="12"/>
        <rFont val="宋体"/>
        <family val="3"/>
        <charset val="134"/>
      </rPr>
      <t>引用宝洁合约编号</t>
    </r>
    <r>
      <rPr>
        <sz val="12"/>
        <rFont val="Calibri"/>
        <family val="2"/>
      </rPr>
      <t xml:space="preserve"> </t>
    </r>
    <r>
      <rPr>
        <sz val="12"/>
        <rFont val="宋体"/>
        <family val="3"/>
        <charset val="134"/>
      </rPr>
      <t>：</t>
    </r>
    <r>
      <rPr>
        <sz val="12"/>
        <rFont val="Calibri"/>
        <family val="2"/>
      </rPr>
      <t>Contract#</t>
    </r>
    <phoneticPr fontId="29" type="noConversion"/>
  </si>
  <si>
    <r>
      <rPr>
        <sz val="12"/>
        <rFont val="宋体"/>
        <family val="3"/>
        <charset val="134"/>
      </rPr>
      <t>項目名稱</t>
    </r>
    <r>
      <rPr>
        <sz val="12"/>
        <rFont val="Calibri"/>
        <family val="2"/>
      </rPr>
      <t xml:space="preserve">  / </t>
    </r>
    <r>
      <rPr>
        <sz val="12"/>
        <rFont val="宋体"/>
        <family val="3"/>
        <charset val="134"/>
      </rPr>
      <t>项目名称</t>
    </r>
    <r>
      <rPr>
        <sz val="12"/>
        <rFont val="Calibri"/>
        <family val="2"/>
      </rPr>
      <t xml:space="preserve"> : Project Name:</t>
    </r>
    <phoneticPr fontId="29" type="noConversion"/>
  </si>
  <si>
    <r>
      <rPr>
        <sz val="12"/>
        <rFont val="宋体"/>
        <family val="3"/>
        <charset val="134"/>
      </rPr>
      <t>購買類別</t>
    </r>
    <r>
      <rPr>
        <sz val="12"/>
        <rFont val="Calibri"/>
        <family val="2"/>
      </rPr>
      <t xml:space="preserve"> / </t>
    </r>
    <r>
      <rPr>
        <sz val="12"/>
        <rFont val="宋体"/>
        <family val="3"/>
        <charset val="134"/>
      </rPr>
      <t>购买类别</t>
    </r>
    <r>
      <rPr>
        <sz val="12"/>
        <rFont val="Calibri"/>
        <family val="2"/>
      </rPr>
      <t xml:space="preserve"> : Spend Pool </t>
    </r>
    <r>
      <rPr>
        <sz val="12"/>
        <rFont val="宋体"/>
        <family val="3"/>
        <charset val="134"/>
      </rPr>
      <t>：</t>
    </r>
    <phoneticPr fontId="29" type="noConversion"/>
  </si>
  <si>
    <r>
      <rPr>
        <sz val="12"/>
        <rFont val="宋体"/>
        <family val="3"/>
        <charset val="134"/>
      </rPr>
      <t>品牌</t>
    </r>
    <r>
      <rPr>
        <sz val="12"/>
        <rFont val="Calibri"/>
        <family val="2"/>
      </rPr>
      <t xml:space="preserve"> / </t>
    </r>
    <r>
      <rPr>
        <sz val="12"/>
        <rFont val="宋体"/>
        <family val="3"/>
        <charset val="134"/>
      </rPr>
      <t>品牌</t>
    </r>
    <r>
      <rPr>
        <sz val="12"/>
        <rFont val="Calibri"/>
        <family val="2"/>
      </rPr>
      <t xml:space="preserve"> Brand</t>
    </r>
    <r>
      <rPr>
        <sz val="12"/>
        <rFont val="宋体"/>
        <family val="3"/>
        <charset val="134"/>
      </rPr>
      <t>：</t>
    </r>
    <phoneticPr fontId="29" type="noConversion"/>
  </si>
  <si>
    <r>
      <rPr>
        <sz val="12"/>
        <rFont val="宋体"/>
        <family val="3"/>
        <charset val="134"/>
      </rPr>
      <t>購買品項</t>
    </r>
    <r>
      <rPr>
        <sz val="12"/>
        <rFont val="Calibri"/>
        <family val="2"/>
      </rPr>
      <t xml:space="preserve"> / </t>
    </r>
    <r>
      <rPr>
        <sz val="12"/>
        <rFont val="宋体"/>
        <family val="3"/>
        <charset val="134"/>
      </rPr>
      <t>宝洁目录细项名称</t>
    </r>
    <r>
      <rPr>
        <sz val="12"/>
        <rFont val="Calibri"/>
        <family val="2"/>
      </rPr>
      <t xml:space="preserve"> : Catalog Item Description</t>
    </r>
    <r>
      <rPr>
        <sz val="12"/>
        <rFont val="宋体"/>
        <family val="3"/>
        <charset val="134"/>
      </rPr>
      <t>：</t>
    </r>
    <phoneticPr fontId="29" type="noConversion"/>
  </si>
  <si>
    <r>
      <t>要求交貨日期</t>
    </r>
    <r>
      <rPr>
        <sz val="12"/>
        <rFont val="Arial"/>
        <family val="2"/>
      </rPr>
      <t xml:space="preserve"> / </t>
    </r>
    <r>
      <rPr>
        <sz val="12"/>
        <rFont val="新細明體"/>
        <family val="1"/>
        <charset val="136"/>
      </rPr>
      <t>要求交</t>
    </r>
    <r>
      <rPr>
        <sz val="12"/>
        <rFont val="宋体"/>
        <family val="3"/>
        <charset val="134"/>
      </rPr>
      <t>货日期</t>
    </r>
    <r>
      <rPr>
        <sz val="12"/>
        <rFont val="Arial"/>
        <family val="2"/>
      </rPr>
      <t xml:space="preserve"> : Delivery date </t>
    </r>
    <r>
      <rPr>
        <sz val="12"/>
        <rFont val="新細明體"/>
        <family val="1"/>
      </rPr>
      <t>：</t>
    </r>
    <phoneticPr fontId="29" type="noConversion"/>
  </si>
  <si>
    <r>
      <t>交貨地點</t>
    </r>
    <r>
      <rPr>
        <sz val="12"/>
        <rFont val="Arial"/>
        <family val="2"/>
      </rPr>
      <t xml:space="preserve"> / </t>
    </r>
    <r>
      <rPr>
        <sz val="12"/>
        <rFont val="新細明體"/>
        <family val="1"/>
        <charset val="136"/>
      </rPr>
      <t>交</t>
    </r>
    <r>
      <rPr>
        <sz val="12"/>
        <rFont val="宋体"/>
        <family val="3"/>
        <charset val="134"/>
      </rPr>
      <t>货地点</t>
    </r>
    <r>
      <rPr>
        <sz val="12"/>
        <rFont val="Arial"/>
        <family val="2"/>
      </rPr>
      <t xml:space="preserve"> : Deliver to</t>
    </r>
    <r>
      <rPr>
        <sz val="12"/>
        <rFont val="新細明體"/>
        <family val="1"/>
        <charset val="136"/>
      </rPr>
      <t>：</t>
    </r>
    <phoneticPr fontId="29" type="noConversion"/>
  </si>
  <si>
    <t>非合约总金额</t>
    <phoneticPr fontId="29" type="noConversion"/>
  </si>
  <si>
    <t>非合约材料所占比例</t>
    <phoneticPr fontId="29" type="noConversion"/>
  </si>
  <si>
    <t>管理费总金额（单价&lt;0.50时填写）</t>
    <phoneticPr fontId="29" type="noConversion"/>
  </si>
  <si>
    <t>报价人（项目负责人）姓名</t>
    <phoneticPr fontId="29" type="noConversion"/>
  </si>
  <si>
    <t>报价人（项目负责人）电话</t>
    <phoneticPr fontId="29" type="noConversion"/>
  </si>
  <si>
    <r>
      <rPr>
        <sz val="12"/>
        <rFont val="宋体"/>
        <family val="3"/>
        <charset val="134"/>
      </rPr>
      <t>项目类型</t>
    </r>
    <phoneticPr fontId="29" type="noConversion"/>
  </si>
  <si>
    <r>
      <rPr>
        <sz val="12"/>
        <rFont val="宋体"/>
        <family val="3"/>
        <charset val="134"/>
      </rPr>
      <t xml:space="preserve">服务费用
</t>
    </r>
    <r>
      <rPr>
        <sz val="12"/>
        <rFont val="Calibri"/>
        <family val="2"/>
      </rPr>
      <t>(</t>
    </r>
    <r>
      <rPr>
        <sz val="12"/>
        <rFont val="宋体"/>
        <family val="3"/>
        <charset val="134"/>
      </rPr>
      <t>含测量</t>
    </r>
    <r>
      <rPr>
        <sz val="12"/>
        <rFont val="Calibri"/>
        <family val="2"/>
      </rPr>
      <t>/</t>
    </r>
    <r>
      <rPr>
        <sz val="12"/>
        <rFont val="宋体"/>
        <family val="3"/>
        <charset val="134"/>
      </rPr>
      <t>设计</t>
    </r>
    <r>
      <rPr>
        <sz val="12"/>
        <rFont val="Calibri"/>
        <family val="2"/>
      </rPr>
      <t>/</t>
    </r>
    <r>
      <rPr>
        <sz val="12"/>
        <rFont val="宋体"/>
        <family val="3"/>
        <charset val="134"/>
      </rPr>
      <t>安装</t>
    </r>
    <r>
      <rPr>
        <sz val="12"/>
        <rFont val="Calibri"/>
        <family val="2"/>
      </rPr>
      <t>/</t>
    </r>
    <r>
      <rPr>
        <sz val="12"/>
        <rFont val="宋体"/>
        <family val="3"/>
        <charset val="134"/>
      </rPr>
      <t>运输</t>
    </r>
    <r>
      <rPr>
        <sz val="12"/>
        <rFont val="Calibri"/>
        <family val="2"/>
      </rPr>
      <t>)</t>
    </r>
    <phoneticPr fontId="29" type="noConversion"/>
  </si>
  <si>
    <r>
      <rPr>
        <sz val="12"/>
        <rFont val="宋体"/>
        <family val="3"/>
        <charset val="134"/>
      </rPr>
      <t>生产创新优化比例</t>
    </r>
    <phoneticPr fontId="29" type="noConversion"/>
  </si>
  <si>
    <r>
      <rPr>
        <sz val="12"/>
        <rFont val="宋体"/>
        <family val="3"/>
        <charset val="134"/>
      </rPr>
      <t>服务创新优化比例</t>
    </r>
    <phoneticPr fontId="29" type="noConversion"/>
  </si>
  <si>
    <r>
      <rPr>
        <sz val="12"/>
        <rFont val="宋体"/>
        <family val="3"/>
        <charset val="134"/>
      </rPr>
      <t>项目管理费用</t>
    </r>
    <phoneticPr fontId="29" type="noConversion"/>
  </si>
  <si>
    <t>a</t>
    <phoneticPr fontId="63" type="noConversion"/>
  </si>
  <si>
    <t>b</t>
    <phoneticPr fontId="63" type="noConversion"/>
  </si>
  <si>
    <t>c</t>
    <phoneticPr fontId="63" type="noConversion"/>
  </si>
  <si>
    <t>e=a*c+b*d</t>
    <phoneticPr fontId="63" type="noConversion"/>
  </si>
  <si>
    <t>f=a+b+e</t>
    <phoneticPr fontId="63" type="noConversion"/>
  </si>
  <si>
    <t>SX (三欣)Counter</t>
  </si>
  <si>
    <t>操作指引：</t>
    <phoneticPr fontId="29" type="noConversion"/>
  </si>
  <si>
    <r>
      <t>1</t>
    </r>
    <r>
      <rPr>
        <sz val="12"/>
        <rFont val="宋体"/>
        <family val="3"/>
        <charset val="134"/>
      </rPr>
      <t xml:space="preserve">、供应商报价表头及明细不变，并保留在报价表内作为支持资料；
</t>
    </r>
    <r>
      <rPr>
        <sz val="12"/>
        <rFont val="Calibri"/>
        <family val="2"/>
      </rPr>
      <t>2</t>
    </r>
    <r>
      <rPr>
        <sz val="12"/>
        <rFont val="宋体"/>
        <family val="3"/>
        <charset val="134"/>
      </rPr>
      <t>、</t>
    </r>
    <r>
      <rPr>
        <sz val="12"/>
        <rFont val="Calibri"/>
        <family val="2"/>
      </rPr>
      <t>Account</t>
    </r>
    <r>
      <rPr>
        <sz val="12"/>
        <rFont val="宋体"/>
        <family val="3"/>
        <charset val="134"/>
      </rPr>
      <t xml:space="preserve">新增工作表，粘贴此页作为标准模板；
</t>
    </r>
    <r>
      <rPr>
        <sz val="12"/>
        <rFont val="Calibri"/>
        <family val="2"/>
      </rPr>
      <t>3</t>
    </r>
    <r>
      <rPr>
        <sz val="12"/>
        <rFont val="宋体"/>
        <family val="3"/>
        <charset val="134"/>
      </rPr>
      <t>、按照颜色的标记，</t>
    </r>
    <r>
      <rPr>
        <sz val="12"/>
        <rFont val="Calibri"/>
        <family val="2"/>
      </rPr>
      <t>copy</t>
    </r>
    <r>
      <rPr>
        <sz val="12"/>
        <rFont val="宋体"/>
        <family val="3"/>
        <charset val="134"/>
      </rPr>
      <t xml:space="preserve">或填写相应的信息；
</t>
    </r>
    <r>
      <rPr>
        <sz val="12"/>
        <rFont val="Calibri"/>
        <family val="2"/>
      </rPr>
      <t>4</t>
    </r>
    <r>
      <rPr>
        <sz val="12"/>
        <rFont val="宋体"/>
        <family val="3"/>
        <charset val="134"/>
      </rPr>
      <t>、</t>
    </r>
    <r>
      <rPr>
        <sz val="12"/>
        <rFont val="Calibri"/>
        <family val="2"/>
      </rPr>
      <t>POSM</t>
    </r>
    <r>
      <rPr>
        <sz val="12"/>
        <rFont val="宋体"/>
        <family val="3"/>
        <charset val="134"/>
      </rPr>
      <t>项目名称开头增加展示品，</t>
    </r>
    <r>
      <rPr>
        <sz val="12"/>
        <rFont val="Calibri"/>
        <family val="2"/>
      </rPr>
      <t>Premium</t>
    </r>
    <r>
      <rPr>
        <sz val="12"/>
        <rFont val="宋体"/>
        <family val="3"/>
        <charset val="134"/>
      </rPr>
      <t>与</t>
    </r>
    <r>
      <rPr>
        <sz val="12"/>
        <rFont val="Calibri"/>
        <family val="2"/>
      </rPr>
      <t>EVNET</t>
    </r>
    <r>
      <rPr>
        <sz val="12"/>
        <rFont val="宋体"/>
        <family val="3"/>
        <charset val="134"/>
      </rPr>
      <t xml:space="preserve">保持供应商提供的项目名称不变；
</t>
    </r>
    <r>
      <rPr>
        <sz val="12"/>
        <rFont val="Calibri"/>
        <family val="2"/>
      </rPr>
      <t>5</t>
    </r>
    <r>
      <rPr>
        <sz val="12"/>
        <rFont val="宋体"/>
        <family val="3"/>
        <charset val="134"/>
      </rPr>
      <t xml:space="preserve">、创新优化比例，需要另外提供采购部确认邮件；
</t>
    </r>
    <r>
      <rPr>
        <sz val="12"/>
        <rFont val="Calibri"/>
        <family val="2"/>
      </rPr>
      <t>6</t>
    </r>
    <r>
      <rPr>
        <sz val="12"/>
        <rFont val="宋体"/>
        <family val="3"/>
        <charset val="134"/>
      </rPr>
      <t>、此页第</t>
    </r>
    <r>
      <rPr>
        <sz val="12"/>
        <rFont val="Calibri"/>
        <family val="2"/>
      </rPr>
      <t>41</t>
    </r>
    <r>
      <rPr>
        <sz val="12"/>
        <rFont val="宋体"/>
        <family val="3"/>
        <charset val="134"/>
      </rPr>
      <t>行</t>
    </r>
    <r>
      <rPr>
        <sz val="12"/>
        <rFont val="Calibri"/>
        <family val="2"/>
      </rPr>
      <t>-</t>
    </r>
    <r>
      <rPr>
        <sz val="12"/>
        <rFont val="宋体"/>
        <family val="3"/>
        <charset val="134"/>
      </rPr>
      <t>第</t>
    </r>
    <r>
      <rPr>
        <sz val="12"/>
        <rFont val="Calibri"/>
        <family val="2"/>
      </rPr>
      <t>105</t>
    </r>
    <r>
      <rPr>
        <sz val="12"/>
        <rFont val="宋体"/>
        <family val="3"/>
        <charset val="134"/>
      </rPr>
      <t>行，属于基础数据，无需变更，且在报价时隐藏信息。</t>
    </r>
    <phoneticPr fontId="29" type="noConversion"/>
  </si>
  <si>
    <r>
      <t>Account</t>
    </r>
    <r>
      <rPr>
        <sz val="12"/>
        <rFont val="宋体"/>
        <family val="3"/>
        <charset val="134"/>
      </rPr>
      <t>填写</t>
    </r>
    <phoneticPr fontId="29" type="noConversion"/>
  </si>
  <si>
    <r>
      <t>Copy</t>
    </r>
    <r>
      <rPr>
        <sz val="12"/>
        <rFont val="宋体"/>
        <family val="3"/>
        <charset val="134"/>
      </rPr>
      <t>内容</t>
    </r>
    <phoneticPr fontId="29" type="noConversion"/>
  </si>
  <si>
    <t>基础数据：</t>
    <phoneticPr fontId="29" type="noConversion"/>
  </si>
  <si>
    <t>Agency</t>
  </si>
  <si>
    <t>Sourcing way</t>
  </si>
  <si>
    <r>
      <rPr>
        <sz val="11"/>
        <color theme="1"/>
        <rFont val="宋体"/>
        <family val="3"/>
        <charset val="134"/>
      </rPr>
      <t>项目管理费</t>
    </r>
    <phoneticPr fontId="63" type="noConversion"/>
  </si>
  <si>
    <t>P&amp;G Pur.</t>
    <phoneticPr fontId="29" type="noConversion"/>
  </si>
  <si>
    <r>
      <rPr>
        <sz val="12"/>
        <rFont val="宋体"/>
        <family val="3"/>
        <charset val="134"/>
      </rPr>
      <t>东莞易加</t>
    </r>
    <r>
      <rPr>
        <sz val="12"/>
        <rFont val="Calibri"/>
        <family val="2"/>
      </rPr>
      <t xml:space="preserve"> MW Display/ BBU/ BBS / Counter/ PNC center / My Castle</t>
    </r>
    <phoneticPr fontId="29" type="noConversion"/>
  </si>
  <si>
    <t xml:space="preserve">Open </t>
  </si>
  <si>
    <t>Irene Luo</t>
    <phoneticPr fontId="29" type="noConversion"/>
  </si>
  <si>
    <t>Yuki Qiu</t>
    <phoneticPr fontId="29" type="noConversion"/>
  </si>
  <si>
    <t>ZhongRong (中荣)Non-paper print</t>
  </si>
  <si>
    <t>Non-open</t>
  </si>
  <si>
    <t>Sanny Song</t>
    <phoneticPr fontId="29" type="noConversion"/>
  </si>
  <si>
    <t>ZhongRong (中荣)paper print</t>
  </si>
  <si>
    <t>ZhongRong (中荣)Paper display</t>
  </si>
  <si>
    <t>DuoBing (多宾)Paper display</t>
  </si>
  <si>
    <t xml:space="preserve">DianPai (点派)Counter </t>
  </si>
  <si>
    <t>JH (锦汉)Paper print (label/ sticker)</t>
  </si>
  <si>
    <t>JHT (金鸿泰)PNC Center</t>
  </si>
  <si>
    <t>SX (三欣)BBU</t>
  </si>
  <si>
    <t>DL (东霖)Non-paper print/CDMI</t>
  </si>
  <si>
    <t>FY(方圆)Arcylic display</t>
  </si>
  <si>
    <t>Mecool (明酷)HPP event</t>
  </si>
  <si>
    <t>Leo Lv</t>
    <phoneticPr fontId="29" type="noConversion"/>
  </si>
  <si>
    <t>XMKT (上海魅动触达)HPP event</t>
  </si>
  <si>
    <t>HWMX (瀚威酩轩)HPP (olay/skii)</t>
  </si>
  <si>
    <t>HY (合一)HPP (olay/skii)</t>
  </si>
  <si>
    <t>Shine (山河斋)HPP (olay/skii)</t>
  </si>
  <si>
    <t>YLYT (元隆亚图)Premium</t>
  </si>
  <si>
    <t>Rainbow Shi</t>
    <phoneticPr fontId="29" type="noConversion"/>
  </si>
  <si>
    <t>Hiromori (新广志)Premium</t>
  </si>
  <si>
    <t>YT (元通世纪)Premium</t>
  </si>
  <si>
    <t>RX Premium</t>
    <phoneticPr fontId="29" type="noConversion"/>
  </si>
  <si>
    <t>CS (金迪莎华)Uniform</t>
  </si>
  <si>
    <t>LG  (扬利服装 )Uniform</t>
  </si>
  <si>
    <t>VGI (深圳盛佳)Uniform</t>
  </si>
  <si>
    <t>Lock&amp;Lock Licence</t>
    <phoneticPr fontId="29" type="noConversion"/>
  </si>
  <si>
    <r>
      <rPr>
        <sz val="12"/>
        <rFont val="宋体"/>
        <family val="3"/>
        <charset val="134"/>
      </rPr>
      <t>北京益普索</t>
    </r>
    <r>
      <rPr>
        <sz val="12"/>
        <rFont val="Calibri"/>
        <family val="2"/>
      </rPr>
      <t>HPP (olay/skii)</t>
    </r>
    <phoneticPr fontId="29" type="noConversion"/>
  </si>
  <si>
    <t>Ivy Lu</t>
    <phoneticPr fontId="29" type="noConversion"/>
  </si>
  <si>
    <t>TNS HPP event</t>
    <phoneticPr fontId="29" type="noConversion"/>
  </si>
  <si>
    <t>北方宗源（第三方公证）</t>
    <phoneticPr fontId="29" type="noConversion"/>
  </si>
  <si>
    <t>品类</t>
    <phoneticPr fontId="29" type="noConversion"/>
  </si>
  <si>
    <t>代码</t>
    <phoneticPr fontId="29" type="noConversion"/>
  </si>
  <si>
    <t>BC</t>
  </si>
  <si>
    <t>Pampers</t>
  </si>
  <si>
    <t>PM</t>
  </si>
  <si>
    <t>F&amp;HC</t>
  </si>
  <si>
    <t>Category</t>
  </si>
  <si>
    <t>FHC</t>
  </si>
  <si>
    <t>Tide</t>
  </si>
  <si>
    <t>TD</t>
  </si>
  <si>
    <t>Ariel</t>
  </si>
  <si>
    <t>AR</t>
  </si>
  <si>
    <t>Fem</t>
  </si>
  <si>
    <t>FEC</t>
  </si>
  <si>
    <t>Whisper</t>
  </si>
  <si>
    <t>WS</t>
  </si>
  <si>
    <t>Naturella</t>
  </si>
  <si>
    <t>NTR</t>
  </si>
  <si>
    <t>HC</t>
  </si>
  <si>
    <t>HCC</t>
  </si>
  <si>
    <t>H&amp;S</t>
  </si>
  <si>
    <t>HS</t>
  </si>
  <si>
    <t>Rejoice</t>
  </si>
  <si>
    <t>RJ</t>
  </si>
  <si>
    <t>Rejoice ProSeries</t>
  </si>
  <si>
    <t>RJP</t>
  </si>
  <si>
    <t>Pantene</t>
  </si>
  <si>
    <t>PT</t>
  </si>
  <si>
    <t>HESS</t>
  </si>
  <si>
    <t>HES</t>
  </si>
  <si>
    <t>Clinicare</t>
  </si>
  <si>
    <t>CLN</t>
  </si>
  <si>
    <t>VS</t>
  </si>
  <si>
    <t>Demacare</t>
  </si>
  <si>
    <t>DM</t>
  </si>
  <si>
    <t>OC</t>
  </si>
  <si>
    <t>OCC</t>
  </si>
  <si>
    <t>Crest</t>
  </si>
  <si>
    <t>CR</t>
  </si>
  <si>
    <t>Oral-B</t>
  </si>
  <si>
    <t>OB</t>
  </si>
  <si>
    <t>PCC</t>
  </si>
  <si>
    <t>SFG</t>
  </si>
  <si>
    <t>SG</t>
  </si>
  <si>
    <t>OLAY PCC</t>
  </si>
  <si>
    <t>OP</t>
  </si>
  <si>
    <t>Camay</t>
  </si>
  <si>
    <t>CAM</t>
  </si>
  <si>
    <t>Skin</t>
  </si>
  <si>
    <t>SKC</t>
  </si>
  <si>
    <t>YLY</t>
  </si>
  <si>
    <t>Oceana</t>
  </si>
  <si>
    <t>OCN</t>
  </si>
  <si>
    <t>Olay Man</t>
  </si>
  <si>
    <t>OLM</t>
  </si>
  <si>
    <t>GE</t>
  </si>
  <si>
    <t>Battery</t>
  </si>
  <si>
    <t>Duracell</t>
  </si>
  <si>
    <t>DRC</t>
  </si>
  <si>
    <t>SKII</t>
  </si>
  <si>
    <t>SK</t>
  </si>
  <si>
    <t>SMKT</t>
  </si>
  <si>
    <t>CORP. MSP</t>
  </si>
  <si>
    <t>CORP</t>
  </si>
  <si>
    <t>KBDII</t>
  </si>
  <si>
    <t>KBD</t>
  </si>
  <si>
    <t>Braun</t>
  </si>
  <si>
    <t>BR</t>
  </si>
  <si>
    <r>
      <t xml:space="preserve">LZGEOPYJ 150609001 </t>
    </r>
    <r>
      <rPr>
        <sz val="10"/>
        <color indexed="10"/>
        <rFont val="宋体"/>
        <family val="3"/>
        <charset val="134"/>
      </rPr>
      <t>展示品</t>
    </r>
    <r>
      <rPr>
        <sz val="10"/>
        <color indexed="10"/>
        <rFont val="Arial"/>
        <family val="2"/>
      </rPr>
      <t xml:space="preserve"> FY1516</t>
    </r>
    <r>
      <rPr>
        <sz val="10"/>
        <color indexed="10"/>
        <rFont val="宋体"/>
        <family val="3"/>
        <charset val="134"/>
      </rPr>
      <t>吉列</t>
    </r>
    <r>
      <rPr>
        <sz val="10"/>
        <color indexed="10"/>
        <rFont val="Arial"/>
        <family val="2"/>
      </rPr>
      <t xml:space="preserve">MCC 3.0 </t>
    </r>
    <r>
      <rPr>
        <sz val="10"/>
        <color indexed="10"/>
        <rFont val="宋体"/>
        <family val="3"/>
        <charset val="134"/>
      </rPr>
      <t>东南西区</t>
    </r>
    <r>
      <rPr>
        <sz val="10"/>
        <color indexed="10"/>
        <rFont val="Arial"/>
        <family val="2"/>
      </rPr>
      <t xml:space="preserve"> </t>
    </r>
    <r>
      <rPr>
        <sz val="10"/>
        <color indexed="10"/>
        <rFont val="宋体"/>
        <family val="3"/>
        <charset val="134"/>
      </rPr>
      <t>柜台测量生产运输安装第三批</t>
    </r>
    <phoneticPr fontId="29" type="noConversion"/>
  </si>
  <si>
    <t>东莞易加 MW Display/ BBU/ BBS / Counter/ PNC center / My Castle</t>
  </si>
  <si>
    <r>
      <t>(A)Gill-160630-PD-004 展示品</t>
    </r>
    <r>
      <rPr>
        <b/>
        <sz val="10"/>
        <rFont val="Book Antiqua"/>
        <family val="1"/>
      </rPr>
      <t xml:space="preserve"> FY1516</t>
    </r>
    <r>
      <rPr>
        <b/>
        <sz val="10"/>
        <rFont val="宋体"/>
        <family val="3"/>
        <charset val="134"/>
      </rPr>
      <t>吉列</t>
    </r>
    <r>
      <rPr>
        <b/>
        <sz val="10"/>
        <rFont val="Book Antiqua"/>
        <family val="1"/>
      </rPr>
      <t xml:space="preserve">MCC 3.0 </t>
    </r>
    <r>
      <rPr>
        <b/>
        <sz val="10"/>
        <rFont val="宋体"/>
        <family val="3"/>
        <charset val="134"/>
      </rPr>
      <t>东南西区</t>
    </r>
    <r>
      <rPr>
        <b/>
        <sz val="10"/>
        <rFont val="Book Antiqua"/>
        <family val="1"/>
      </rPr>
      <t xml:space="preserve"> </t>
    </r>
    <r>
      <rPr>
        <b/>
        <sz val="10"/>
        <rFont val="宋体"/>
        <family val="3"/>
        <charset val="134"/>
      </rPr>
      <t>柜台测量生产运输安装第三批</t>
    </r>
    <phoneticPr fontId="29" type="noConversion"/>
  </si>
  <si>
    <t>Display</t>
    <phoneticPr fontId="29" type="noConversion"/>
  </si>
  <si>
    <t xml:space="preserve">S731516AY </t>
    <phoneticPr fontId="29" type="noConversion"/>
  </si>
  <si>
    <t>项目名称</t>
    <phoneticPr fontId="29" type="noConversion"/>
  </si>
  <si>
    <t>税金</t>
    <phoneticPr fontId="29" type="noConversion"/>
  </si>
  <si>
    <t>Gillette MCC 3.0大润发高柜</t>
    <phoneticPr fontId="29" type="noConversion"/>
  </si>
  <si>
    <t>Gillette MCC 3.0高柜经济版</t>
    <phoneticPr fontId="29" type="noConversion"/>
  </si>
  <si>
    <r>
      <t>Gillette MCC 3.0</t>
    </r>
    <r>
      <rPr>
        <sz val="10"/>
        <color theme="1"/>
        <rFont val="宋体"/>
        <family val="3"/>
        <charset val="134"/>
      </rPr>
      <t>高柜</t>
    </r>
    <r>
      <rPr>
        <sz val="10"/>
        <color theme="1"/>
        <rFont val="Arial"/>
        <family val="2"/>
      </rPr>
      <t xml:space="preserve"> </t>
    </r>
    <r>
      <rPr>
        <sz val="10"/>
        <color theme="1"/>
        <rFont val="宋体"/>
        <family val="3"/>
        <charset val="134"/>
      </rPr>
      <t>旗舰版</t>
    </r>
    <phoneticPr fontId="29" type="noConversion"/>
  </si>
  <si>
    <t>设计费</t>
    <phoneticPr fontId="29" type="noConversion"/>
  </si>
  <si>
    <t>7200*450*1600mm</t>
    <phoneticPr fontId="29" type="noConversion"/>
  </si>
  <si>
    <t>1000*450*1600mm</t>
    <phoneticPr fontId="29" type="noConversion"/>
  </si>
  <si>
    <t>7200*450*1600mm+1000*450*1600mm</t>
    <phoneticPr fontId="29" type="noConversion"/>
  </si>
  <si>
    <t>4800*450*2400mm</t>
    <phoneticPr fontId="29" type="noConversion"/>
  </si>
  <si>
    <t>标准规格(W*D*H)</t>
    <phoneticPr fontId="29" type="noConversion"/>
  </si>
  <si>
    <t>测量费
（元/次）</t>
    <phoneticPr fontId="29" type="noConversion"/>
  </si>
  <si>
    <t>设计费
（元/次）</t>
    <phoneticPr fontId="29" type="noConversion"/>
  </si>
  <si>
    <t>运输费
（元/套）</t>
    <phoneticPr fontId="29" type="noConversion"/>
  </si>
  <si>
    <t>计价单位</t>
    <phoneticPr fontId="76" type="noConversion"/>
  </si>
  <si>
    <t>主体柜生产费
（元/套）</t>
    <phoneticPr fontId="29" type="noConversion"/>
  </si>
  <si>
    <t>端架生产费
（元/套）</t>
    <phoneticPr fontId="29" type="noConversion"/>
  </si>
  <si>
    <r>
      <t>Gillette MCC 3.0</t>
    </r>
    <r>
      <rPr>
        <sz val="10"/>
        <color theme="1"/>
        <rFont val="宋体"/>
        <family val="3"/>
        <charset val="134"/>
      </rPr>
      <t>矮柜经济版</t>
    </r>
    <r>
      <rPr>
        <sz val="10"/>
        <color theme="1"/>
        <rFont val="Arial"/>
        <family val="2"/>
      </rPr>
      <t>+</t>
    </r>
    <r>
      <rPr>
        <sz val="10"/>
        <color theme="1"/>
        <rFont val="宋体"/>
        <family val="3"/>
        <charset val="134"/>
      </rPr>
      <t>端架</t>
    </r>
    <phoneticPr fontId="29" type="noConversion"/>
  </si>
  <si>
    <r>
      <t>Gillette MCC 3.0</t>
    </r>
    <r>
      <rPr>
        <sz val="10"/>
        <color theme="1"/>
        <rFont val="宋体"/>
        <family val="3"/>
        <charset val="134"/>
      </rPr>
      <t>矮柜旗舰版</t>
    </r>
    <r>
      <rPr>
        <sz val="10"/>
        <color theme="1"/>
        <rFont val="Arial"/>
        <family val="2"/>
      </rPr>
      <t>+</t>
    </r>
    <r>
      <rPr>
        <sz val="10"/>
        <color theme="1"/>
        <rFont val="宋体"/>
        <family val="3"/>
        <charset val="134"/>
      </rPr>
      <t>端架</t>
    </r>
    <phoneticPr fontId="29" type="noConversion"/>
  </si>
  <si>
    <t>数量
（套）</t>
    <phoneticPr fontId="29" type="noConversion"/>
  </si>
  <si>
    <t>不含税总价
（元）</t>
    <phoneticPr fontId="29" type="noConversion"/>
  </si>
  <si>
    <t>含税总价
（元）</t>
    <phoneticPr fontId="29" type="noConversion"/>
  </si>
  <si>
    <t>不含税单价
（元/套）</t>
    <phoneticPr fontId="29" type="noConversion"/>
  </si>
  <si>
    <t>合计</t>
    <phoneticPr fontId="29" type="noConversion"/>
  </si>
  <si>
    <t>结算计价逻辑</t>
    <phoneticPr fontId="29" type="noConversion"/>
  </si>
  <si>
    <t>测量费</t>
    <phoneticPr fontId="29" type="noConversion"/>
  </si>
  <si>
    <t>运输费</t>
    <phoneticPr fontId="29" type="noConversion"/>
  </si>
  <si>
    <t>安装费</t>
    <phoneticPr fontId="29" type="noConversion"/>
  </si>
  <si>
    <t>计价用量</t>
    <phoneticPr fontId="29" type="noConversion"/>
  </si>
  <si>
    <t>次</t>
    <phoneticPr fontId="29" type="noConversion"/>
  </si>
  <si>
    <t>安装费
（元/次）</t>
    <phoneticPr fontId="29" type="noConversion"/>
  </si>
  <si>
    <t>计价逻辑说明</t>
    <phoneticPr fontId="76" type="noConversion"/>
  </si>
  <si>
    <t>非标生产费计价公式：生产长度*该柜型每米单价</t>
    <phoneticPr fontId="29" type="noConversion"/>
  </si>
  <si>
    <t>MCC 3.0 矮柜经济版-主体柜 制作费</t>
    <phoneticPr fontId="29" type="noConversion"/>
  </si>
  <si>
    <t>MCC 3.0 矮柜经济版-端架 制作费</t>
    <phoneticPr fontId="29" type="noConversion"/>
  </si>
  <si>
    <t>MCC 3.0 矮柜旗舰版-主体柜 制作费</t>
    <phoneticPr fontId="29" type="noConversion"/>
  </si>
  <si>
    <t>MCC 3.0 矮柜旗舰版-端架 制作费</t>
    <phoneticPr fontId="29" type="noConversion"/>
  </si>
  <si>
    <t>MCC 3.0 大润发高柜旗舰版 制作费</t>
    <phoneticPr fontId="29" type="noConversion"/>
  </si>
  <si>
    <t>MCC 3.0 高柜经济版 制作费</t>
    <phoneticPr fontId="29" type="noConversion"/>
  </si>
  <si>
    <t>MCC 3.0 高柜旗舰版 制作费</t>
    <phoneticPr fontId="29" type="noConversion"/>
  </si>
  <si>
    <t>标准规格(W*D*H)</t>
    <phoneticPr fontId="29" type="noConversion"/>
  </si>
  <si>
    <t>米</t>
    <phoneticPr fontId="29" type="noConversion"/>
  </si>
  <si>
    <t>米</t>
    <phoneticPr fontId="29" type="noConversion"/>
  </si>
  <si>
    <t>立方米</t>
    <phoneticPr fontId="29" type="noConversion"/>
  </si>
  <si>
    <t>按照实际运输地点结算，参考明细报价</t>
    <phoneticPr fontId="29" type="noConversion"/>
  </si>
  <si>
    <t>按照实际安装地点与尺寸结算，参考明细报价</t>
    <phoneticPr fontId="29" type="noConversion"/>
  </si>
  <si>
    <t>N/A</t>
    <phoneticPr fontId="29" type="noConversion"/>
  </si>
  <si>
    <t>价格汇总表</t>
    <phoneticPr fontId="29" type="noConversion"/>
  </si>
  <si>
    <t>标准不含税单价
（元）</t>
    <phoneticPr fontId="29" type="noConversion"/>
  </si>
  <si>
    <t>-</t>
    <phoneticPr fontId="29" type="noConversion"/>
  </si>
  <si>
    <t>Hair 1 Center</t>
    <phoneticPr fontId="29" type="noConversion"/>
  </si>
  <si>
    <t>JC OP BBU Hair 1 Center 20140819-01</t>
    <phoneticPr fontId="29" type="noConversion"/>
  </si>
  <si>
    <r>
      <rPr>
        <sz val="10"/>
        <rFont val="宋体"/>
        <family val="3"/>
        <charset val="134"/>
      </rPr>
      <t>收到</t>
    </r>
    <r>
      <rPr>
        <sz val="10"/>
        <rFont val="Arial"/>
        <family val="2"/>
      </rPr>
      <t>PO</t>
    </r>
    <r>
      <rPr>
        <sz val="10"/>
        <rFont val="宋体"/>
        <family val="3"/>
        <charset val="134"/>
      </rPr>
      <t>后</t>
    </r>
    <r>
      <rPr>
        <sz val="10"/>
        <rFont val="Arial"/>
        <family val="2"/>
      </rPr>
      <t>75</t>
    </r>
    <r>
      <rPr>
        <sz val="10"/>
        <rFont val="宋体"/>
        <family val="3"/>
        <charset val="134"/>
      </rPr>
      <t>天（不含法定假期</t>
    </r>
    <r>
      <rPr>
        <sz val="10"/>
        <rFont val="Arial"/>
        <family val="2"/>
      </rPr>
      <t>)</t>
    </r>
    <phoneticPr fontId="29" type="noConversion"/>
  </si>
  <si>
    <r>
      <t xml:space="preserve">BBU OP </t>
    </r>
    <r>
      <rPr>
        <sz val="12"/>
        <rFont val="宋体"/>
        <family val="3"/>
        <charset val="134"/>
      </rPr>
      <t>展示品</t>
    </r>
    <r>
      <rPr>
        <sz val="12"/>
        <rFont val="Book Antiqua"/>
        <family val="1"/>
      </rPr>
      <t xml:space="preserve"> -- Hair 1 Center 2.0</t>
    </r>
    <r>
      <rPr>
        <sz val="12"/>
        <rFont val="宋体"/>
        <family val="3"/>
        <charset val="134"/>
      </rPr>
      <t>测量设计制作运输安装费</t>
    </r>
    <phoneticPr fontId="29" type="noConversion"/>
  </si>
  <si>
    <t>生产制作费用
（元/套）</t>
    <phoneticPr fontId="29" type="noConversion"/>
  </si>
  <si>
    <r>
      <t>Hair 1 Center 2.0</t>
    </r>
    <r>
      <rPr>
        <sz val="10"/>
        <color theme="1"/>
        <rFont val="宋体"/>
        <family val="3"/>
        <charset val="134"/>
      </rPr>
      <t>测量设计制作运输安装费</t>
    </r>
  </si>
  <si>
    <t>4800*400*1600</t>
  </si>
  <si>
    <t>生产制作费</t>
    <phoneticPr fontId="29" type="noConversion"/>
  </si>
  <si>
    <t>费用类型</t>
    <phoneticPr fontId="76" type="noConversion"/>
  </si>
  <si>
    <r>
      <rPr>
        <sz val="10"/>
        <rFont val="宋体"/>
        <family val="3"/>
        <charset val="134"/>
      </rPr>
      <t>報價至</t>
    </r>
    <r>
      <rPr>
        <sz val="10"/>
        <rFont val="Arial"/>
        <family val="2"/>
      </rPr>
      <t xml:space="preserve"> / </t>
    </r>
    <r>
      <rPr>
        <sz val="10"/>
        <rFont val="宋体"/>
        <family val="3"/>
        <charset val="134"/>
      </rPr>
      <t>报价至</t>
    </r>
    <r>
      <rPr>
        <sz val="10"/>
        <rFont val="Arial"/>
        <family val="2"/>
      </rPr>
      <t xml:space="preserve"> :  Quotation to:</t>
    </r>
    <phoneticPr fontId="29" type="noConversion"/>
  </si>
  <si>
    <t>广州壹加市场营销策划有限公司</t>
    <phoneticPr fontId="29" type="noConversion"/>
  </si>
  <si>
    <r>
      <rPr>
        <sz val="10"/>
        <rFont val="宋体"/>
        <family val="3"/>
        <charset val="134"/>
      </rPr>
      <t>報價單號</t>
    </r>
    <r>
      <rPr>
        <sz val="10"/>
        <rFont val="Arial"/>
        <family val="2"/>
      </rPr>
      <t xml:space="preserve"> / </t>
    </r>
    <r>
      <rPr>
        <sz val="10"/>
        <rFont val="宋体"/>
        <family val="3"/>
        <charset val="134"/>
      </rPr>
      <t>报价单号</t>
    </r>
    <r>
      <rPr>
        <sz val="10"/>
        <rFont val="Arial"/>
        <family val="2"/>
      </rPr>
      <t xml:space="preserve"> </t>
    </r>
    <r>
      <rPr>
        <sz val="10"/>
        <rFont val="宋体"/>
        <family val="3"/>
        <charset val="134"/>
      </rPr>
      <t>：</t>
    </r>
    <r>
      <rPr>
        <sz val="10"/>
        <rFont val="Arial"/>
        <family val="2"/>
      </rPr>
      <t>Quotation#</t>
    </r>
    <phoneticPr fontId="29" type="noConversion"/>
  </si>
  <si>
    <t>YXHC(DMC)OPYJ 20150626 My Castle HC(DMC) JAS'15-16</t>
    <phoneticPr fontId="63" type="noConversion"/>
  </si>
  <si>
    <r>
      <rPr>
        <sz val="10"/>
        <rFont val="宋体"/>
        <family val="3"/>
        <charset val="134"/>
      </rPr>
      <t>供應商名稱</t>
    </r>
    <r>
      <rPr>
        <sz val="10"/>
        <rFont val="Arial"/>
        <family val="2"/>
      </rPr>
      <t xml:space="preserve"> / </t>
    </r>
    <r>
      <rPr>
        <sz val="10"/>
        <rFont val="宋体"/>
        <family val="3"/>
        <charset val="134"/>
      </rPr>
      <t>供应商名称</t>
    </r>
    <r>
      <rPr>
        <sz val="10"/>
        <rFont val="Arial"/>
        <family val="2"/>
      </rPr>
      <t xml:space="preserve"> : Vendor name</t>
    </r>
    <phoneticPr fontId="29" type="noConversion"/>
  </si>
  <si>
    <r>
      <rPr>
        <sz val="10"/>
        <rFont val="宋体"/>
        <family val="3"/>
        <charset val="134"/>
      </rPr>
      <t>供應商代碼</t>
    </r>
    <r>
      <rPr>
        <sz val="10"/>
        <rFont val="Arial"/>
        <family val="2"/>
      </rPr>
      <t xml:space="preserve"> / </t>
    </r>
    <r>
      <rPr>
        <sz val="10"/>
        <rFont val="宋体"/>
        <family val="3"/>
        <charset val="134"/>
      </rPr>
      <t>供应商代码</t>
    </r>
    <r>
      <rPr>
        <sz val="10"/>
        <rFont val="Arial"/>
        <family val="2"/>
      </rPr>
      <t xml:space="preserve"> : Vendor code</t>
    </r>
    <r>
      <rPr>
        <sz val="10"/>
        <rFont val="宋体"/>
        <family val="3"/>
        <charset val="134"/>
      </rPr>
      <t>：</t>
    </r>
    <phoneticPr fontId="29" type="noConversion"/>
  </si>
  <si>
    <r>
      <rPr>
        <sz val="10"/>
        <rFont val="宋体"/>
        <family val="3"/>
        <charset val="134"/>
      </rPr>
      <t>壹加採購</t>
    </r>
    <r>
      <rPr>
        <sz val="10"/>
        <rFont val="Arial"/>
        <family val="2"/>
      </rPr>
      <t xml:space="preserve"> / </t>
    </r>
    <r>
      <rPr>
        <sz val="10"/>
        <rFont val="宋体"/>
        <family val="3"/>
        <charset val="134"/>
      </rPr>
      <t>壹加采购员</t>
    </r>
    <r>
      <rPr>
        <sz val="10"/>
        <rFont val="Arial"/>
        <family val="2"/>
      </rPr>
      <t xml:space="preserve"> : ONE PLUS buyer</t>
    </r>
    <r>
      <rPr>
        <sz val="10"/>
        <rFont val="宋体"/>
        <family val="3"/>
        <charset val="134"/>
      </rPr>
      <t>：</t>
    </r>
    <phoneticPr fontId="63" type="noConversion"/>
  </si>
  <si>
    <t>Yap Xu</t>
    <phoneticPr fontId="29" type="noConversion"/>
  </si>
  <si>
    <r>
      <rPr>
        <sz val="10"/>
        <rFont val="宋体"/>
        <family val="3"/>
        <charset val="134"/>
      </rPr>
      <t>壹加專案負責人</t>
    </r>
    <r>
      <rPr>
        <sz val="10"/>
        <rFont val="Arial"/>
        <family val="2"/>
      </rPr>
      <t xml:space="preserve"> / </t>
    </r>
    <r>
      <rPr>
        <sz val="10"/>
        <rFont val="宋体"/>
        <family val="3"/>
        <charset val="134"/>
      </rPr>
      <t>壹加专案负责人</t>
    </r>
    <r>
      <rPr>
        <sz val="10"/>
        <rFont val="Arial"/>
        <family val="2"/>
      </rPr>
      <t xml:space="preserve"> :</t>
    </r>
    <phoneticPr fontId="63" type="noConversion"/>
  </si>
  <si>
    <t>Bonny Guo</t>
    <phoneticPr fontId="63" type="noConversion"/>
  </si>
  <si>
    <r>
      <rPr>
        <sz val="10"/>
        <rFont val="宋体"/>
        <family val="3"/>
        <charset val="134"/>
      </rPr>
      <t>貨幣</t>
    </r>
    <r>
      <rPr>
        <sz val="10"/>
        <rFont val="Arial"/>
        <family val="2"/>
      </rPr>
      <t xml:space="preserve"> / </t>
    </r>
    <r>
      <rPr>
        <sz val="10"/>
        <rFont val="宋体"/>
        <family val="3"/>
        <charset val="134"/>
      </rPr>
      <t>货币</t>
    </r>
    <r>
      <rPr>
        <sz val="10"/>
        <rFont val="Arial"/>
        <family val="2"/>
      </rPr>
      <t xml:space="preserve"> : Currency</t>
    </r>
    <r>
      <rPr>
        <sz val="10"/>
        <rFont val="宋体"/>
        <family val="3"/>
        <charset val="134"/>
      </rPr>
      <t>：</t>
    </r>
    <phoneticPr fontId="29" type="noConversion"/>
  </si>
  <si>
    <r>
      <rPr>
        <sz val="10"/>
        <rFont val="宋体"/>
        <family val="3"/>
        <charset val="134"/>
      </rPr>
      <t>數量</t>
    </r>
    <r>
      <rPr>
        <sz val="10"/>
        <rFont val="Arial"/>
        <family val="2"/>
      </rPr>
      <t xml:space="preserve"> / </t>
    </r>
    <r>
      <rPr>
        <sz val="10"/>
        <rFont val="宋体"/>
        <family val="3"/>
        <charset val="134"/>
      </rPr>
      <t>数量</t>
    </r>
    <r>
      <rPr>
        <sz val="10"/>
        <rFont val="Arial"/>
        <family val="2"/>
      </rPr>
      <t xml:space="preserve"> : Quantity</t>
    </r>
    <r>
      <rPr>
        <sz val="10"/>
        <rFont val="宋体"/>
        <family val="3"/>
        <charset val="134"/>
      </rPr>
      <t>：</t>
    </r>
    <phoneticPr fontId="29" type="noConversion"/>
  </si>
  <si>
    <r>
      <rPr>
        <sz val="10"/>
        <rFont val="宋体"/>
        <family val="3"/>
        <charset val="134"/>
      </rPr>
      <t>產品單價</t>
    </r>
    <r>
      <rPr>
        <sz val="10"/>
        <rFont val="Arial"/>
        <family val="2"/>
      </rPr>
      <t xml:space="preserve"> / </t>
    </r>
    <r>
      <rPr>
        <sz val="10"/>
        <rFont val="宋体"/>
        <family val="3"/>
        <charset val="134"/>
      </rPr>
      <t>产品单价</t>
    </r>
    <r>
      <rPr>
        <sz val="10"/>
        <rFont val="Arial"/>
        <family val="2"/>
      </rPr>
      <t>(</t>
    </r>
    <r>
      <rPr>
        <sz val="10"/>
        <rFont val="宋体"/>
        <family val="3"/>
        <charset val="134"/>
      </rPr>
      <t>不含税</t>
    </r>
    <r>
      <rPr>
        <sz val="10"/>
        <rFont val="Arial"/>
        <family val="2"/>
      </rPr>
      <t xml:space="preserve">) : Unit Price (excl. tax) </t>
    </r>
    <phoneticPr fontId="29" type="noConversion"/>
  </si>
  <si>
    <r>
      <rPr>
        <sz val="10"/>
        <rFont val="宋体"/>
        <family val="3"/>
        <charset val="134"/>
      </rPr>
      <t>總價</t>
    </r>
    <r>
      <rPr>
        <sz val="10"/>
        <rFont val="Arial"/>
        <family val="2"/>
      </rPr>
      <t xml:space="preserve"> / </t>
    </r>
    <r>
      <rPr>
        <sz val="10"/>
        <rFont val="宋体"/>
        <family val="3"/>
        <charset val="134"/>
      </rPr>
      <t>总价</t>
    </r>
    <r>
      <rPr>
        <sz val="10"/>
        <rFont val="Arial"/>
        <family val="2"/>
      </rPr>
      <t>(</t>
    </r>
    <r>
      <rPr>
        <sz val="10"/>
        <rFont val="宋体"/>
        <family val="3"/>
        <charset val="134"/>
      </rPr>
      <t>不含稅</t>
    </r>
    <r>
      <rPr>
        <sz val="10"/>
        <rFont val="Arial"/>
        <family val="2"/>
      </rPr>
      <t>)</t>
    </r>
    <r>
      <rPr>
        <sz val="10"/>
        <rFont val="宋体"/>
        <family val="3"/>
        <charset val="134"/>
      </rPr>
      <t>：</t>
    </r>
    <r>
      <rPr>
        <sz val="10"/>
        <rFont val="Arial"/>
        <family val="2"/>
      </rPr>
      <t>Total amount (excl. tax)</t>
    </r>
    <phoneticPr fontId="29" type="noConversion"/>
  </si>
  <si>
    <r>
      <rPr>
        <sz val="10"/>
        <rFont val="宋体"/>
        <family val="3"/>
        <charset val="134"/>
      </rPr>
      <t>產品單價</t>
    </r>
    <r>
      <rPr>
        <sz val="10"/>
        <rFont val="Arial"/>
        <family val="2"/>
      </rPr>
      <t xml:space="preserve"> / </t>
    </r>
    <r>
      <rPr>
        <sz val="10"/>
        <rFont val="宋体"/>
        <family val="3"/>
        <charset val="134"/>
      </rPr>
      <t>产品单价</t>
    </r>
    <r>
      <rPr>
        <sz val="10"/>
        <rFont val="Arial"/>
        <family val="2"/>
      </rPr>
      <t>(</t>
    </r>
    <r>
      <rPr>
        <sz val="10"/>
        <rFont val="宋体"/>
        <family val="3"/>
        <charset val="134"/>
      </rPr>
      <t>含税</t>
    </r>
    <r>
      <rPr>
        <sz val="10"/>
        <rFont val="Arial"/>
        <family val="2"/>
      </rPr>
      <t xml:space="preserve">) : Unit Price (incl. Tax) </t>
    </r>
    <r>
      <rPr>
        <sz val="10"/>
        <rFont val="宋体"/>
        <family val="3"/>
        <charset val="134"/>
      </rPr>
      <t>：</t>
    </r>
    <phoneticPr fontId="29" type="noConversion"/>
  </si>
  <si>
    <r>
      <rPr>
        <sz val="10"/>
        <rFont val="宋体"/>
        <family val="3"/>
        <charset val="134"/>
      </rPr>
      <t>總價</t>
    </r>
    <r>
      <rPr>
        <sz val="10"/>
        <rFont val="Arial"/>
        <family val="2"/>
      </rPr>
      <t xml:space="preserve"> / </t>
    </r>
    <r>
      <rPr>
        <sz val="10"/>
        <rFont val="宋体"/>
        <family val="3"/>
        <charset val="134"/>
      </rPr>
      <t>总价</t>
    </r>
    <r>
      <rPr>
        <sz val="10"/>
        <rFont val="Arial"/>
        <family val="2"/>
      </rPr>
      <t>(</t>
    </r>
    <r>
      <rPr>
        <sz val="10"/>
        <rFont val="宋体"/>
        <family val="3"/>
        <charset val="134"/>
      </rPr>
      <t>含稅</t>
    </r>
    <r>
      <rPr>
        <sz val="10"/>
        <rFont val="Arial"/>
        <family val="2"/>
      </rPr>
      <t>)</t>
    </r>
    <r>
      <rPr>
        <sz val="10"/>
        <rFont val="宋体"/>
        <family val="3"/>
        <charset val="134"/>
      </rPr>
      <t>：</t>
    </r>
    <r>
      <rPr>
        <sz val="10"/>
        <rFont val="Arial"/>
        <family val="2"/>
      </rPr>
      <t>Total amount (incl. tax)</t>
    </r>
    <phoneticPr fontId="29" type="noConversion"/>
  </si>
  <si>
    <r>
      <rPr>
        <sz val="10"/>
        <rFont val="宋体"/>
        <family val="3"/>
        <charset val="134"/>
      </rPr>
      <t>稅率</t>
    </r>
    <r>
      <rPr>
        <sz val="10"/>
        <rFont val="Arial"/>
        <family val="2"/>
      </rPr>
      <t xml:space="preserve"> / </t>
    </r>
    <r>
      <rPr>
        <sz val="10"/>
        <rFont val="宋体"/>
        <family val="3"/>
        <charset val="134"/>
      </rPr>
      <t>税率</t>
    </r>
    <r>
      <rPr>
        <sz val="10"/>
        <rFont val="Arial"/>
        <family val="2"/>
      </rPr>
      <t>(</t>
    </r>
    <r>
      <rPr>
        <sz val="10"/>
        <rFont val="宋体"/>
        <family val="3"/>
        <charset val="134"/>
      </rPr>
      <t>只适用于中国大陆供应商</t>
    </r>
    <r>
      <rPr>
        <sz val="10"/>
        <rFont val="Arial"/>
        <family val="2"/>
      </rPr>
      <t>) : Tax rate (only applicable for China Vendor) :</t>
    </r>
    <phoneticPr fontId="29" type="noConversion"/>
  </si>
  <si>
    <r>
      <rPr>
        <sz val="10"/>
        <rFont val="宋体"/>
        <family val="3"/>
        <charset val="134"/>
      </rPr>
      <t>項目名稱</t>
    </r>
    <r>
      <rPr>
        <sz val="10"/>
        <rFont val="Arial"/>
        <family val="2"/>
      </rPr>
      <t xml:space="preserve">  / </t>
    </r>
    <r>
      <rPr>
        <sz val="10"/>
        <rFont val="宋体"/>
        <family val="3"/>
        <charset val="134"/>
      </rPr>
      <t>项目名称</t>
    </r>
    <r>
      <rPr>
        <sz val="10"/>
        <rFont val="Arial"/>
        <family val="2"/>
      </rPr>
      <t xml:space="preserve"> : Project Name:</t>
    </r>
    <phoneticPr fontId="29" type="noConversion"/>
  </si>
  <si>
    <r>
      <t>OP</t>
    </r>
    <r>
      <rPr>
        <sz val="10"/>
        <color indexed="8"/>
        <rFont val="宋体"/>
        <family val="3"/>
        <charset val="134"/>
      </rPr>
      <t>展示品</t>
    </r>
    <r>
      <rPr>
        <sz val="10"/>
        <color indexed="8"/>
        <rFont val="Arial"/>
        <family val="2"/>
      </rPr>
      <t xml:space="preserve">  My Castle HC(DMC) JAS'15-16 </t>
    </r>
    <r>
      <rPr>
        <sz val="10"/>
        <color indexed="8"/>
        <rFont val="宋体"/>
        <family val="3"/>
        <charset val="134"/>
      </rPr>
      <t>报价表</t>
    </r>
    <phoneticPr fontId="63" type="noConversion"/>
  </si>
  <si>
    <r>
      <rPr>
        <sz val="10"/>
        <rFont val="宋体"/>
        <family val="3"/>
        <charset val="134"/>
      </rPr>
      <t>購買類別</t>
    </r>
    <r>
      <rPr>
        <sz val="10"/>
        <rFont val="Arial"/>
        <family val="2"/>
      </rPr>
      <t xml:space="preserve"> / </t>
    </r>
    <r>
      <rPr>
        <sz val="10"/>
        <rFont val="宋体"/>
        <family val="3"/>
        <charset val="134"/>
      </rPr>
      <t>购买类别</t>
    </r>
    <r>
      <rPr>
        <sz val="10"/>
        <rFont val="Arial"/>
        <family val="2"/>
      </rPr>
      <t xml:space="preserve"> : Spend Pool </t>
    </r>
    <r>
      <rPr>
        <sz val="10"/>
        <rFont val="宋体"/>
        <family val="3"/>
        <charset val="134"/>
      </rPr>
      <t>：</t>
    </r>
    <phoneticPr fontId="29" type="noConversion"/>
  </si>
  <si>
    <t>D-max</t>
  </si>
  <si>
    <r>
      <rPr>
        <sz val="10"/>
        <rFont val="宋体"/>
        <family val="3"/>
        <charset val="134"/>
      </rPr>
      <t>品牌</t>
    </r>
    <r>
      <rPr>
        <sz val="10"/>
        <rFont val="Arial"/>
        <family val="2"/>
      </rPr>
      <t xml:space="preserve"> / </t>
    </r>
    <r>
      <rPr>
        <sz val="10"/>
        <rFont val="宋体"/>
        <family val="3"/>
        <charset val="134"/>
      </rPr>
      <t>品牌</t>
    </r>
    <r>
      <rPr>
        <sz val="10"/>
        <rFont val="Arial"/>
        <family val="2"/>
      </rPr>
      <t xml:space="preserve"> Brand</t>
    </r>
    <r>
      <rPr>
        <sz val="10"/>
        <rFont val="宋体"/>
        <family val="3"/>
        <charset val="134"/>
      </rPr>
      <t>：</t>
    </r>
    <phoneticPr fontId="29" type="noConversion"/>
  </si>
  <si>
    <t>HC(DMC)</t>
    <phoneticPr fontId="63" type="noConversion"/>
  </si>
  <si>
    <r>
      <rPr>
        <sz val="10"/>
        <rFont val="宋体"/>
        <family val="3"/>
        <charset val="134"/>
      </rPr>
      <t>要求交貨日期</t>
    </r>
    <r>
      <rPr>
        <sz val="10"/>
        <rFont val="Arial"/>
        <family val="2"/>
      </rPr>
      <t xml:space="preserve"> / </t>
    </r>
    <r>
      <rPr>
        <sz val="10"/>
        <rFont val="宋体"/>
        <family val="3"/>
        <charset val="134"/>
      </rPr>
      <t>要求交货日期</t>
    </r>
    <r>
      <rPr>
        <sz val="10"/>
        <rFont val="Arial"/>
        <family val="2"/>
      </rPr>
      <t xml:space="preserve"> : Delivery date </t>
    </r>
    <r>
      <rPr>
        <sz val="10"/>
        <rFont val="宋体"/>
        <family val="3"/>
        <charset val="134"/>
      </rPr>
      <t>：</t>
    </r>
    <phoneticPr fontId="29" type="noConversion"/>
  </si>
  <si>
    <r>
      <rPr>
        <sz val="10"/>
        <rFont val="宋体"/>
        <family val="3"/>
        <charset val="134"/>
      </rPr>
      <t>交貨地點</t>
    </r>
    <r>
      <rPr>
        <sz val="10"/>
        <rFont val="Arial"/>
        <family val="2"/>
      </rPr>
      <t xml:space="preserve"> / </t>
    </r>
    <r>
      <rPr>
        <sz val="10"/>
        <rFont val="宋体"/>
        <family val="3"/>
        <charset val="134"/>
      </rPr>
      <t>交货地点</t>
    </r>
    <r>
      <rPr>
        <sz val="10"/>
        <rFont val="Arial"/>
        <family val="2"/>
      </rPr>
      <t xml:space="preserve"> : Deliver to</t>
    </r>
    <r>
      <rPr>
        <sz val="10"/>
        <rFont val="宋体"/>
        <family val="3"/>
        <charset val="134"/>
      </rPr>
      <t>：</t>
    </r>
    <phoneticPr fontId="29" type="noConversion"/>
  </si>
  <si>
    <t>宝洁指定交货地点</t>
    <phoneticPr fontId="63" type="noConversion"/>
  </si>
  <si>
    <r>
      <rPr>
        <b/>
        <sz val="10"/>
        <color rgb="FFFF0000"/>
        <rFont val="宋体"/>
        <family val="3"/>
        <charset val="134"/>
      </rPr>
      <t>非合约总金额</t>
    </r>
    <r>
      <rPr>
        <b/>
        <sz val="10"/>
        <color rgb="FFFF0000"/>
        <rFont val="Arial"/>
        <family val="2"/>
      </rPr>
      <t xml:space="preserve">Non Contract Item amount: </t>
    </r>
    <phoneticPr fontId="29" type="noConversion"/>
  </si>
  <si>
    <t>非合约材料所占比例</t>
    <phoneticPr fontId="29" type="noConversion"/>
  </si>
  <si>
    <r>
      <rPr>
        <sz val="10"/>
        <color indexed="8"/>
        <rFont val="宋体"/>
        <family val="3"/>
        <charset val="134"/>
      </rPr>
      <t>报价人（项目负责人）姓名</t>
    </r>
  </si>
  <si>
    <r>
      <rPr>
        <sz val="10"/>
        <color indexed="8"/>
        <rFont val="宋体"/>
        <family val="3"/>
        <charset val="134"/>
      </rPr>
      <t>报价人（项目负责人）电话</t>
    </r>
  </si>
  <si>
    <t>序号</t>
    <phoneticPr fontId="29" type="noConversion"/>
  </si>
  <si>
    <r>
      <rPr>
        <sz val="10"/>
        <color indexed="8"/>
        <rFont val="宋体"/>
        <family val="3"/>
        <charset val="134"/>
      </rPr>
      <t>项目名称</t>
    </r>
    <phoneticPr fontId="29" type="noConversion"/>
  </si>
  <si>
    <t>费用类型</t>
    <phoneticPr fontId="29" type="noConversion"/>
  </si>
  <si>
    <r>
      <rPr>
        <sz val="10"/>
        <rFont val="宋体"/>
        <family val="3"/>
        <charset val="134"/>
      </rPr>
      <t>单价（不含税）</t>
    </r>
    <phoneticPr fontId="29" type="noConversion"/>
  </si>
  <si>
    <t>数量</t>
    <phoneticPr fontId="29" type="noConversion"/>
  </si>
  <si>
    <r>
      <rPr>
        <sz val="10"/>
        <rFont val="宋体"/>
        <family val="3"/>
        <charset val="134"/>
      </rPr>
      <t>小计</t>
    </r>
    <phoneticPr fontId="29" type="noConversion"/>
  </si>
  <si>
    <t>7月Pantene生产费</t>
    <phoneticPr fontId="63" type="noConversion"/>
  </si>
  <si>
    <t>生产费</t>
    <phoneticPr fontId="63" type="noConversion"/>
  </si>
  <si>
    <t>Pantene 骨架生产费</t>
    <phoneticPr fontId="63" type="noConversion"/>
  </si>
  <si>
    <t>OSD KV运输仓储服务费</t>
  </si>
  <si>
    <t>服务费</t>
  </si>
  <si>
    <t>服务费</t>
    <phoneticPr fontId="63" type="noConversion"/>
  </si>
  <si>
    <t>OSD Base 其他服务费</t>
  </si>
  <si>
    <r>
      <rPr>
        <b/>
        <sz val="10"/>
        <color indexed="8"/>
        <rFont val="宋体"/>
        <family val="3"/>
        <charset val="134"/>
      </rPr>
      <t>不含税总价</t>
    </r>
    <r>
      <rPr>
        <b/>
        <sz val="10"/>
        <color indexed="8"/>
        <rFont val="Arial"/>
        <family val="2"/>
      </rPr>
      <t>(RMB/</t>
    </r>
    <r>
      <rPr>
        <b/>
        <sz val="10"/>
        <color indexed="8"/>
        <rFont val="宋体"/>
        <family val="3"/>
        <charset val="134"/>
      </rPr>
      <t>套</t>
    </r>
    <r>
      <rPr>
        <b/>
        <sz val="10"/>
        <color indexed="8"/>
        <rFont val="Arial"/>
        <family val="2"/>
      </rPr>
      <t>):</t>
    </r>
    <phoneticPr fontId="29" type="noConversion"/>
  </si>
  <si>
    <r>
      <rPr>
        <b/>
        <sz val="10"/>
        <color indexed="8"/>
        <rFont val="宋体"/>
        <family val="3"/>
        <charset val="134"/>
      </rPr>
      <t>税</t>
    </r>
    <r>
      <rPr>
        <b/>
        <sz val="10"/>
        <color indexed="8"/>
        <rFont val="Arial"/>
        <family val="2"/>
      </rPr>
      <t>(</t>
    </r>
    <r>
      <rPr>
        <b/>
        <sz val="10"/>
        <color indexed="8"/>
        <rFont val="宋体"/>
        <family val="3"/>
        <charset val="134"/>
      </rPr>
      <t>请注明税率</t>
    </r>
    <r>
      <rPr>
        <b/>
        <sz val="10"/>
        <color indexed="8"/>
        <rFont val="Arial"/>
        <family val="2"/>
      </rPr>
      <t>: 17%)</t>
    </r>
    <phoneticPr fontId="29" type="noConversion"/>
  </si>
  <si>
    <r>
      <rPr>
        <b/>
        <sz val="10"/>
        <color indexed="8"/>
        <rFont val="宋体"/>
        <family val="3"/>
        <charset val="134"/>
      </rPr>
      <t>含税总价</t>
    </r>
    <r>
      <rPr>
        <b/>
        <sz val="10"/>
        <color indexed="8"/>
        <rFont val="Arial"/>
        <family val="2"/>
      </rPr>
      <t>(RMB/</t>
    </r>
    <r>
      <rPr>
        <b/>
        <sz val="10"/>
        <color indexed="8"/>
        <rFont val="宋体"/>
        <family val="3"/>
        <charset val="134"/>
      </rPr>
      <t>套</t>
    </r>
    <r>
      <rPr>
        <b/>
        <sz val="10"/>
        <color indexed="8"/>
        <rFont val="Arial"/>
        <family val="2"/>
      </rPr>
      <t>):</t>
    </r>
    <phoneticPr fontId="29" type="noConversion"/>
  </si>
  <si>
    <t>报价人:     Lynn Liu</t>
  </si>
  <si>
    <r>
      <rPr>
        <sz val="10"/>
        <rFont val="宋体"/>
        <family val="3"/>
        <charset val="134"/>
      </rPr>
      <t>报价时间</t>
    </r>
    <r>
      <rPr>
        <sz val="10"/>
        <rFont val="Arial"/>
        <family val="2"/>
      </rPr>
      <t>:  2015</t>
    </r>
    <r>
      <rPr>
        <sz val="10"/>
        <rFont val="宋体"/>
        <family val="3"/>
        <charset val="134"/>
      </rPr>
      <t>年</t>
    </r>
    <r>
      <rPr>
        <sz val="10"/>
        <rFont val="Arial"/>
        <family val="2"/>
      </rPr>
      <t>6</t>
    </r>
    <r>
      <rPr>
        <sz val="10"/>
        <rFont val="宋体"/>
        <family val="3"/>
        <charset val="134"/>
      </rPr>
      <t>月</t>
    </r>
    <r>
      <rPr>
        <sz val="10"/>
        <rFont val="Arial"/>
        <family val="2"/>
      </rPr>
      <t>26</t>
    </r>
    <r>
      <rPr>
        <sz val="10"/>
        <rFont val="宋体"/>
        <family val="3"/>
        <charset val="134"/>
      </rPr>
      <t>日</t>
    </r>
    <phoneticPr fontId="63" type="noConversion"/>
  </si>
  <si>
    <r>
      <t>壹加專案負責人 / 壹加</t>
    </r>
    <r>
      <rPr>
        <sz val="10"/>
        <rFont val="宋体"/>
        <family val="3"/>
        <charset val="134"/>
      </rPr>
      <t>专</t>
    </r>
    <r>
      <rPr>
        <sz val="10"/>
        <rFont val="新細明體"/>
        <family val="1"/>
      </rPr>
      <t>案</t>
    </r>
    <r>
      <rPr>
        <sz val="10"/>
        <rFont val="宋体"/>
        <family val="3"/>
        <charset val="134"/>
      </rPr>
      <t>负责</t>
    </r>
    <r>
      <rPr>
        <sz val="10"/>
        <rFont val="新細明體"/>
        <family val="1"/>
      </rPr>
      <t>人 : 
(ex. P&amp;G MS/project owner)</t>
    </r>
    <phoneticPr fontId="29" type="noConversion"/>
  </si>
  <si>
    <r>
      <t>壹加專案負責人 / 壹加</t>
    </r>
    <r>
      <rPr>
        <sz val="10"/>
        <rFont val="宋体"/>
        <family val="3"/>
        <charset val="134"/>
      </rPr>
      <t>专</t>
    </r>
    <r>
      <rPr>
        <sz val="10"/>
        <rFont val="新細明體"/>
        <family val="1"/>
      </rPr>
      <t>案</t>
    </r>
    <r>
      <rPr>
        <sz val="10"/>
        <rFont val="宋体"/>
        <family val="3"/>
        <charset val="134"/>
      </rPr>
      <t>负责</t>
    </r>
    <r>
      <rPr>
        <sz val="10"/>
        <rFont val="新細明體"/>
        <family val="1"/>
      </rPr>
      <t>人 : 
(ex. P&amp;G MS/project owner)</t>
    </r>
    <phoneticPr fontId="29" type="noConversion"/>
  </si>
  <si>
    <r>
      <t>OP</t>
    </r>
    <r>
      <rPr>
        <sz val="12"/>
        <rFont val="宋体"/>
        <family val="3"/>
        <charset val="134"/>
      </rPr>
      <t>展示品</t>
    </r>
    <r>
      <rPr>
        <sz val="12"/>
        <rFont val="Calibri"/>
        <family val="2"/>
      </rPr>
      <t xml:space="preserve">  My Castle PCC JAS'15-16 </t>
    </r>
    <r>
      <rPr>
        <sz val="12"/>
        <rFont val="Calibri"/>
        <family val="2"/>
      </rPr>
      <t xml:space="preserve"> </t>
    </r>
    <r>
      <rPr>
        <sz val="12"/>
        <rFont val="宋体"/>
        <family val="3"/>
        <charset val="134"/>
      </rPr>
      <t>报价表</t>
    </r>
    <phoneticPr fontId="29" type="noConversion"/>
  </si>
  <si>
    <r>
      <rPr>
        <sz val="12"/>
        <rFont val="宋体"/>
        <family val="3"/>
        <charset val="134"/>
      </rPr>
      <t>報價至</t>
    </r>
    <r>
      <rPr>
        <sz val="12"/>
        <rFont val="Calibri"/>
        <family val="2"/>
      </rPr>
      <t xml:space="preserve"> / </t>
    </r>
    <r>
      <rPr>
        <sz val="12"/>
        <rFont val="宋体"/>
        <family val="3"/>
        <charset val="134"/>
      </rPr>
      <t>报价至</t>
    </r>
    <r>
      <rPr>
        <sz val="12"/>
        <rFont val="Calibri"/>
        <family val="2"/>
      </rPr>
      <t xml:space="preserve"> :  Quotation to:</t>
    </r>
    <phoneticPr fontId="29" type="noConversion"/>
  </si>
  <si>
    <r>
      <rPr>
        <sz val="12"/>
        <rFont val="宋体"/>
        <family val="3"/>
        <charset val="134"/>
      </rPr>
      <t>宝洁（中国）营销有限公司</t>
    </r>
    <phoneticPr fontId="29" type="noConversion"/>
  </si>
  <si>
    <r>
      <rPr>
        <sz val="12"/>
        <rFont val="宋体"/>
        <family val="3"/>
        <charset val="134"/>
      </rPr>
      <t>報價單號</t>
    </r>
    <r>
      <rPr>
        <sz val="12"/>
        <rFont val="Calibri"/>
        <family val="2"/>
      </rPr>
      <t xml:space="preserve"> / </t>
    </r>
    <r>
      <rPr>
        <sz val="12"/>
        <rFont val="宋体"/>
        <family val="3"/>
        <charset val="134"/>
      </rPr>
      <t>报价单号</t>
    </r>
    <r>
      <rPr>
        <sz val="12"/>
        <rFont val="Calibri"/>
        <family val="2"/>
      </rPr>
      <t xml:space="preserve"> </t>
    </r>
    <r>
      <rPr>
        <sz val="12"/>
        <rFont val="宋体"/>
        <family val="3"/>
        <charset val="134"/>
      </rPr>
      <t>：</t>
    </r>
    <r>
      <rPr>
        <sz val="12"/>
        <rFont val="Calibri"/>
        <family val="2"/>
      </rPr>
      <t>Quotation#</t>
    </r>
    <phoneticPr fontId="29" type="noConversion"/>
  </si>
  <si>
    <t>YXPCCOPYJ 20150608 My Castle PCC JAS'15-16</t>
    <phoneticPr fontId="29" type="noConversion"/>
  </si>
  <si>
    <r>
      <rPr>
        <sz val="12"/>
        <rFont val="宋体"/>
        <family val="3"/>
        <charset val="134"/>
      </rPr>
      <t>供應商名稱</t>
    </r>
    <r>
      <rPr>
        <sz val="12"/>
        <rFont val="Calibri"/>
        <family val="2"/>
      </rPr>
      <t xml:space="preserve"> / </t>
    </r>
    <r>
      <rPr>
        <sz val="12"/>
        <rFont val="宋体"/>
        <family val="3"/>
        <charset val="134"/>
      </rPr>
      <t>供应商名称</t>
    </r>
    <r>
      <rPr>
        <sz val="12"/>
        <rFont val="Calibri"/>
        <family val="2"/>
      </rPr>
      <t xml:space="preserve"> : Vendor name</t>
    </r>
    <phoneticPr fontId="29" type="noConversion"/>
  </si>
  <si>
    <r>
      <rPr>
        <sz val="12"/>
        <rFont val="宋体"/>
        <family val="3"/>
        <charset val="134"/>
      </rPr>
      <t>广州壹加市场营销策划有限公司</t>
    </r>
    <phoneticPr fontId="29" type="noConversion"/>
  </si>
  <si>
    <r>
      <rPr>
        <sz val="12"/>
        <rFont val="宋体"/>
        <family val="3"/>
        <charset val="134"/>
      </rPr>
      <t>供應商代碼</t>
    </r>
    <r>
      <rPr>
        <sz val="12"/>
        <rFont val="Calibri"/>
        <family val="2"/>
      </rPr>
      <t xml:space="preserve"> / </t>
    </r>
    <r>
      <rPr>
        <sz val="12"/>
        <rFont val="宋体"/>
        <family val="3"/>
        <charset val="134"/>
      </rPr>
      <t>供应商代码</t>
    </r>
    <r>
      <rPr>
        <sz val="12"/>
        <rFont val="Calibri"/>
        <family val="2"/>
      </rPr>
      <t xml:space="preserve"> : Vendor code</t>
    </r>
    <r>
      <rPr>
        <sz val="12"/>
        <rFont val="宋体"/>
        <family val="3"/>
        <charset val="134"/>
      </rPr>
      <t>：</t>
    </r>
    <phoneticPr fontId="29" type="noConversion"/>
  </si>
  <si>
    <t>0015296281</t>
    <phoneticPr fontId="29" type="noConversion"/>
  </si>
  <si>
    <r>
      <rPr>
        <sz val="12"/>
        <rFont val="宋体"/>
        <family val="3"/>
        <charset val="134"/>
      </rPr>
      <t>寶潔採購</t>
    </r>
    <r>
      <rPr>
        <sz val="12"/>
        <rFont val="Calibri"/>
        <family val="2"/>
      </rPr>
      <t xml:space="preserve"> / </t>
    </r>
    <r>
      <rPr>
        <sz val="12"/>
        <rFont val="宋体"/>
        <family val="3"/>
        <charset val="134"/>
      </rPr>
      <t>宝洁采购员</t>
    </r>
    <r>
      <rPr>
        <sz val="12"/>
        <rFont val="Calibri"/>
        <family val="2"/>
      </rPr>
      <t xml:space="preserve"> : P&amp;G buyer</t>
    </r>
    <r>
      <rPr>
        <sz val="12"/>
        <rFont val="宋体"/>
        <family val="3"/>
        <charset val="134"/>
      </rPr>
      <t>：</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</si>
  <si>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不含稅</t>
    </r>
    <r>
      <rPr>
        <sz val="12"/>
        <rFont val="Calibri"/>
        <family val="2"/>
      </rPr>
      <t>)</t>
    </r>
    <r>
      <rPr>
        <sz val="12"/>
        <rFont val="宋体"/>
        <family val="3"/>
        <charset val="134"/>
      </rPr>
      <t>：</t>
    </r>
    <r>
      <rPr>
        <sz val="12"/>
        <rFont val="Calibri"/>
        <family val="2"/>
      </rPr>
      <t>Total amount (excl. tax)</t>
    </r>
    <phoneticPr fontId="29" type="noConversion"/>
  </si>
  <si>
    <r>
      <rPr>
        <sz val="12"/>
        <rFont val="宋体"/>
        <family val="3"/>
        <charset val="134"/>
      </rPr>
      <t>稅率</t>
    </r>
    <r>
      <rPr>
        <sz val="12"/>
        <rFont val="Calibri"/>
        <family val="2"/>
      </rPr>
      <t xml:space="preserve"> / </t>
    </r>
    <r>
      <rPr>
        <sz val="12"/>
        <rFont val="宋体"/>
        <family val="3"/>
        <charset val="134"/>
      </rPr>
      <t>税率</t>
    </r>
    <r>
      <rPr>
        <sz val="12"/>
        <rFont val="Calibri"/>
        <family val="2"/>
      </rPr>
      <t>(</t>
    </r>
    <r>
      <rPr>
        <sz val="12"/>
        <rFont val="宋体"/>
        <family val="3"/>
        <charset val="134"/>
      </rPr>
      <t>只适用于中国大陆供应商</t>
    </r>
    <r>
      <rPr>
        <sz val="12"/>
        <rFont val="Calibri"/>
        <family val="2"/>
      </rPr>
      <t>) : 
Tax rate (only applicable for China Vendor) :</t>
    </r>
    <phoneticPr fontId="29" type="noConversion"/>
  </si>
  <si>
    <t>N/A</t>
    <phoneticPr fontId="29" type="noConversion"/>
  </si>
  <si>
    <t>OP展示品  My Castle PCC JAS'15-16 报价表</t>
    <phoneticPr fontId="29" type="noConversion"/>
  </si>
  <si>
    <t>D-MAX</t>
    <phoneticPr fontId="63" type="noConversion"/>
  </si>
  <si>
    <t>广州盛捷</t>
    <phoneticPr fontId="29" type="noConversion"/>
  </si>
  <si>
    <t>-</t>
    <phoneticPr fontId="63" type="noConversion"/>
  </si>
  <si>
    <t>Leo Wong</t>
    <phoneticPr fontId="29" type="noConversion"/>
  </si>
  <si>
    <r>
      <rPr>
        <sz val="12"/>
        <rFont val="宋体"/>
        <family val="3"/>
        <charset val="134"/>
      </rPr>
      <t>生产费用</t>
    </r>
    <phoneticPr fontId="29" type="noConversion"/>
  </si>
  <si>
    <r>
      <rPr>
        <sz val="12"/>
        <rFont val="宋体"/>
        <family val="3"/>
        <charset val="134"/>
      </rPr>
      <t>创新优化费用</t>
    </r>
    <phoneticPr fontId="29" type="noConversion"/>
  </si>
  <si>
    <t>Sub_total</t>
    <phoneticPr fontId="29" type="noConversion"/>
  </si>
  <si>
    <r>
      <rPr>
        <sz val="12"/>
        <rFont val="宋体"/>
        <family val="3"/>
        <charset val="134"/>
      </rPr>
      <t>合计</t>
    </r>
    <r>
      <rPr>
        <sz val="12"/>
        <rFont val="Calibri"/>
        <family val="2"/>
      </rPr>
      <t>(</t>
    </r>
    <r>
      <rPr>
        <sz val="12"/>
        <rFont val="宋体"/>
        <family val="3"/>
        <charset val="134"/>
      </rPr>
      <t>未税单价</t>
    </r>
    <r>
      <rPr>
        <sz val="12"/>
        <rFont val="Calibri"/>
        <family val="2"/>
      </rPr>
      <t>)</t>
    </r>
    <phoneticPr fontId="29" type="noConversion"/>
  </si>
  <si>
    <t>d</t>
    <phoneticPr fontId="63" type="noConversion"/>
  </si>
  <si>
    <t>g</t>
    <phoneticPr fontId="63" type="noConversion"/>
  </si>
  <si>
    <t>h=f+g</t>
    <phoneticPr fontId="63" type="noConversion"/>
  </si>
  <si>
    <t>P&amp;G COE</t>
    <phoneticPr fontId="29" type="noConversion"/>
  </si>
  <si>
    <r>
      <t>Brain (</t>
    </r>
    <r>
      <rPr>
        <sz val="12"/>
        <rFont val="宋体"/>
        <family val="3"/>
        <charset val="134"/>
      </rPr>
      <t>灵智精锐</t>
    </r>
    <r>
      <rPr>
        <sz val="12"/>
        <rFont val="Calibri"/>
        <family val="2"/>
      </rPr>
      <t>)HPP event</t>
    </r>
    <phoneticPr fontId="29" type="noConversion"/>
  </si>
  <si>
    <t>丽捷（HPP 灯片）</t>
    <phoneticPr fontId="29" type="noConversion"/>
  </si>
  <si>
    <t>品牌</t>
    <phoneticPr fontId="29" type="noConversion"/>
  </si>
  <si>
    <t>OSD Base（长途、仓储、快递）服务费</t>
    <phoneticPr fontId="29" type="noConversion"/>
  </si>
  <si>
    <t>OSD Base（长途、仓储、快递）服务费创新优化费</t>
    <phoneticPr fontId="29" type="noConversion"/>
  </si>
  <si>
    <t>服务费</t>
    <phoneticPr fontId="29" type="noConversion"/>
  </si>
  <si>
    <t>展示品  BBU FY1415 H1 Super Solution 2.0 东南西区 测量设计制作运输安装</t>
    <phoneticPr fontId="29" type="noConversion"/>
  </si>
  <si>
    <r>
      <rPr>
        <sz val="12"/>
        <rFont val="宋体"/>
        <family val="3"/>
        <charset val="134"/>
      </rPr>
      <t>報價至</t>
    </r>
    <r>
      <rPr>
        <sz val="12"/>
        <rFont val="Calibri"/>
        <family val="2"/>
      </rPr>
      <t xml:space="preserve"> / </t>
    </r>
    <r>
      <rPr>
        <sz val="12"/>
        <rFont val="宋体"/>
        <family val="3"/>
        <charset val="134"/>
      </rPr>
      <t>报价至</t>
    </r>
    <r>
      <rPr>
        <sz val="12"/>
        <rFont val="Calibri"/>
        <family val="2"/>
      </rPr>
      <t xml:space="preserve"> :  Quotation to:</t>
    </r>
    <phoneticPr fontId="29" type="noConversion"/>
  </si>
  <si>
    <r>
      <rPr>
        <sz val="12"/>
        <rFont val="宋体"/>
        <family val="3"/>
        <charset val="134"/>
      </rPr>
      <t>宝洁（中国）营销有限公司</t>
    </r>
    <phoneticPr fontId="29" type="noConversion"/>
  </si>
  <si>
    <r>
      <rPr>
        <sz val="12"/>
        <rFont val="宋体"/>
        <family val="3"/>
        <charset val="134"/>
      </rPr>
      <t>報價單號</t>
    </r>
    <r>
      <rPr>
        <sz val="12"/>
        <rFont val="Calibri"/>
        <family val="2"/>
      </rPr>
      <t xml:space="preserve"> / </t>
    </r>
    <r>
      <rPr>
        <sz val="12"/>
        <rFont val="宋体"/>
        <family val="3"/>
        <charset val="134"/>
      </rPr>
      <t>报价单号</t>
    </r>
    <r>
      <rPr>
        <sz val="12"/>
        <rFont val="Calibri"/>
        <family val="2"/>
      </rPr>
      <t xml:space="preserve"> </t>
    </r>
    <r>
      <rPr>
        <sz val="12"/>
        <rFont val="宋体"/>
        <family val="3"/>
        <charset val="134"/>
      </rPr>
      <t>：</t>
    </r>
    <r>
      <rPr>
        <sz val="12"/>
        <rFont val="Calibri"/>
        <family val="2"/>
      </rPr>
      <t>Quotation#</t>
    </r>
    <phoneticPr fontId="29" type="noConversion"/>
  </si>
  <si>
    <r>
      <t xml:space="preserve">BBU FY1415 H1 Super Solution 2.0 </t>
    </r>
    <r>
      <rPr>
        <sz val="12"/>
        <rFont val="宋体"/>
        <family val="3"/>
        <charset val="134"/>
      </rPr>
      <t>东南西区</t>
    </r>
    <r>
      <rPr>
        <sz val="12"/>
        <rFont val="Calibri"/>
        <family val="2"/>
      </rPr>
      <t xml:space="preserve"> </t>
    </r>
    <r>
      <rPr>
        <sz val="12"/>
        <rFont val="宋体"/>
        <family val="3"/>
        <charset val="134"/>
      </rPr>
      <t>测量设计制作运输安装</t>
    </r>
    <phoneticPr fontId="29" type="noConversion"/>
  </si>
  <si>
    <r>
      <rPr>
        <sz val="12"/>
        <rFont val="宋体"/>
        <family val="3"/>
        <charset val="134"/>
      </rPr>
      <t>供應商名稱</t>
    </r>
    <r>
      <rPr>
        <sz val="12"/>
        <rFont val="Calibri"/>
        <family val="2"/>
      </rPr>
      <t xml:space="preserve"> / </t>
    </r>
    <r>
      <rPr>
        <sz val="12"/>
        <rFont val="宋体"/>
        <family val="3"/>
        <charset val="134"/>
      </rPr>
      <t>供应商名称</t>
    </r>
    <r>
      <rPr>
        <sz val="12"/>
        <rFont val="Calibri"/>
        <family val="2"/>
      </rPr>
      <t xml:space="preserve"> : Vendor name</t>
    </r>
    <phoneticPr fontId="29" type="noConversion"/>
  </si>
  <si>
    <r>
      <rPr>
        <sz val="12"/>
        <rFont val="宋体"/>
        <family val="3"/>
        <charset val="134"/>
      </rPr>
      <t>广州壹加市场营销策划有限公司</t>
    </r>
    <phoneticPr fontId="29" type="noConversion"/>
  </si>
  <si>
    <r>
      <rPr>
        <sz val="12"/>
        <rFont val="宋体"/>
        <family val="3"/>
        <charset val="134"/>
      </rPr>
      <t>供應商代碼</t>
    </r>
    <r>
      <rPr>
        <sz val="12"/>
        <rFont val="Calibri"/>
        <family val="2"/>
      </rPr>
      <t xml:space="preserve"> / </t>
    </r>
    <r>
      <rPr>
        <sz val="12"/>
        <rFont val="宋体"/>
        <family val="3"/>
        <charset val="134"/>
      </rPr>
      <t>供应商代码</t>
    </r>
    <r>
      <rPr>
        <sz val="12"/>
        <rFont val="Calibri"/>
        <family val="2"/>
      </rPr>
      <t xml:space="preserve"> : Vendor code</t>
    </r>
    <r>
      <rPr>
        <sz val="12"/>
        <rFont val="宋体"/>
        <family val="3"/>
        <charset val="134"/>
      </rPr>
      <t>：</t>
    </r>
    <phoneticPr fontId="29" type="noConversion"/>
  </si>
  <si>
    <t>0015296281</t>
    <phoneticPr fontId="29" type="noConversion"/>
  </si>
  <si>
    <r>
      <rPr>
        <sz val="12"/>
        <rFont val="宋体"/>
        <family val="3"/>
        <charset val="134"/>
      </rPr>
      <t>寶潔採購</t>
    </r>
    <r>
      <rPr>
        <sz val="12"/>
        <rFont val="Calibri"/>
        <family val="2"/>
      </rPr>
      <t xml:space="preserve"> / </t>
    </r>
    <r>
      <rPr>
        <sz val="12"/>
        <rFont val="宋体"/>
        <family val="3"/>
        <charset val="134"/>
      </rPr>
      <t>宝洁采购员</t>
    </r>
    <r>
      <rPr>
        <sz val="12"/>
        <rFont val="Calibri"/>
        <family val="2"/>
      </rPr>
      <t xml:space="preserve"> : P&amp;G buyer</t>
    </r>
    <r>
      <rPr>
        <sz val="12"/>
        <rFont val="宋体"/>
        <family val="3"/>
        <charset val="134"/>
      </rPr>
      <t>：</t>
    </r>
    <phoneticPr fontId="29" type="noConversion"/>
  </si>
  <si>
    <r>
      <rPr>
        <sz val="12"/>
        <rFont val="宋体"/>
        <family val="3"/>
        <charset val="134"/>
      </rPr>
      <t>寶潔專案負責人</t>
    </r>
    <r>
      <rPr>
        <sz val="12"/>
        <rFont val="Calibri"/>
        <family val="2"/>
      </rPr>
      <t xml:space="preserve"> / </t>
    </r>
    <r>
      <rPr>
        <sz val="12"/>
        <rFont val="宋体"/>
        <family val="3"/>
        <charset val="134"/>
      </rPr>
      <t>宝洁专案负责人</t>
    </r>
    <r>
      <rPr>
        <sz val="12"/>
        <rFont val="Calibri"/>
        <family val="2"/>
      </rPr>
      <t xml:space="preserve"> : (ex. P&amp;G MS/project owner)</t>
    </r>
    <phoneticPr fontId="29" type="noConversion"/>
  </si>
  <si>
    <r>
      <rPr>
        <sz val="12"/>
        <rFont val="宋体"/>
        <family val="3"/>
        <charset val="134"/>
      </rPr>
      <t>貨幣</t>
    </r>
    <r>
      <rPr>
        <sz val="12"/>
        <rFont val="Calibri"/>
        <family val="2"/>
      </rPr>
      <t xml:space="preserve"> / </t>
    </r>
    <r>
      <rPr>
        <sz val="12"/>
        <rFont val="宋体"/>
        <family val="3"/>
        <charset val="134"/>
      </rPr>
      <t>货币</t>
    </r>
    <r>
      <rPr>
        <sz val="12"/>
        <rFont val="Calibri"/>
        <family val="2"/>
      </rPr>
      <t xml:space="preserve"> : Currency</t>
    </r>
    <r>
      <rPr>
        <sz val="12"/>
        <rFont val="宋体"/>
        <family val="3"/>
        <charset val="134"/>
      </rPr>
      <t>：</t>
    </r>
    <phoneticPr fontId="29" type="noConversion"/>
  </si>
  <si>
    <r>
      <rPr>
        <sz val="12"/>
        <rFont val="宋体"/>
        <family val="3"/>
        <charset val="134"/>
      </rPr>
      <t>數量</t>
    </r>
    <r>
      <rPr>
        <sz val="12"/>
        <rFont val="Calibri"/>
        <family val="2"/>
      </rPr>
      <t xml:space="preserve"> / </t>
    </r>
    <r>
      <rPr>
        <sz val="12"/>
        <rFont val="宋体"/>
        <family val="3"/>
        <charset val="134"/>
      </rPr>
      <t>数量</t>
    </r>
    <r>
      <rPr>
        <sz val="12"/>
        <rFont val="Calibri"/>
        <family val="2"/>
      </rPr>
      <t xml:space="preserve"> : Quantity</t>
    </r>
    <r>
      <rPr>
        <sz val="12"/>
        <rFont val="宋体"/>
        <family val="3"/>
        <charset val="134"/>
      </rPr>
      <t>：</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</si>
  <si>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不含税</t>
    </r>
    <r>
      <rPr>
        <sz val="12"/>
        <rFont val="Calibri"/>
        <family val="2"/>
      </rPr>
      <t xml:space="preserve">) : Unit Price (excl. tax) </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</si>
  <si>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不含稅</t>
    </r>
    <r>
      <rPr>
        <sz val="12"/>
        <rFont val="Calibri"/>
        <family val="2"/>
      </rPr>
      <t>)</t>
    </r>
    <r>
      <rPr>
        <sz val="12"/>
        <rFont val="宋体"/>
        <family val="3"/>
        <charset val="134"/>
      </rPr>
      <t>：</t>
    </r>
    <r>
      <rPr>
        <sz val="12"/>
        <rFont val="Calibri"/>
        <family val="2"/>
      </rPr>
      <t>Total amount (excl. tax)</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</si>
  <si>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含税</t>
    </r>
    <r>
      <rPr>
        <sz val="12"/>
        <rFont val="Calibri"/>
        <family val="2"/>
      </rPr>
      <t xml:space="preserve">) : Unit Price (incl. Tax) </t>
    </r>
    <r>
      <rPr>
        <sz val="12"/>
        <rFont val="宋体"/>
        <family val="3"/>
        <charset val="134"/>
      </rPr>
      <t>：</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</si>
  <si>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含稅</t>
    </r>
    <r>
      <rPr>
        <sz val="12"/>
        <rFont val="Calibri"/>
        <family val="2"/>
      </rPr>
      <t>)</t>
    </r>
    <r>
      <rPr>
        <sz val="12"/>
        <rFont val="宋体"/>
        <family val="3"/>
        <charset val="134"/>
      </rPr>
      <t>：</t>
    </r>
    <r>
      <rPr>
        <sz val="12"/>
        <rFont val="Calibri"/>
        <family val="2"/>
      </rPr>
      <t>Total amount (incl. tax)</t>
    </r>
    <phoneticPr fontId="29" type="noConversion"/>
  </si>
  <si>
    <r>
      <rPr>
        <sz val="12"/>
        <rFont val="宋体"/>
        <family val="3"/>
        <charset val="134"/>
      </rPr>
      <t>稅率</t>
    </r>
    <r>
      <rPr>
        <sz val="12"/>
        <rFont val="Calibri"/>
        <family val="2"/>
      </rPr>
      <t xml:space="preserve"> / </t>
    </r>
    <r>
      <rPr>
        <sz val="12"/>
        <rFont val="宋体"/>
        <family val="3"/>
        <charset val="134"/>
      </rPr>
      <t>税率</t>
    </r>
    <r>
      <rPr>
        <sz val="12"/>
        <rFont val="Calibri"/>
        <family val="2"/>
      </rPr>
      <t>(</t>
    </r>
    <r>
      <rPr>
        <sz val="12"/>
        <rFont val="宋体"/>
        <family val="3"/>
        <charset val="134"/>
      </rPr>
      <t>只适用于中国大陆供应商</t>
    </r>
    <r>
      <rPr>
        <sz val="12"/>
        <rFont val="Calibri"/>
        <family val="2"/>
      </rPr>
      <t>) : 
Tax rate (only applicable for China Vendor) :</t>
    </r>
    <phoneticPr fontId="29" type="noConversion"/>
  </si>
  <si>
    <r>
      <rPr>
        <sz val="12"/>
        <rFont val="宋体"/>
        <family val="3"/>
        <charset val="134"/>
      </rPr>
      <t>引用寶潔合約編號</t>
    </r>
    <r>
      <rPr>
        <sz val="12"/>
        <rFont val="Calibri"/>
        <family val="2"/>
      </rPr>
      <t xml:space="preserve"> / </t>
    </r>
    <r>
      <rPr>
        <sz val="12"/>
        <rFont val="宋体"/>
        <family val="3"/>
        <charset val="134"/>
      </rPr>
      <t>引用宝洁合约编号</t>
    </r>
    <r>
      <rPr>
        <sz val="12"/>
        <rFont val="Calibri"/>
        <family val="2"/>
      </rPr>
      <t xml:space="preserve"> </t>
    </r>
    <r>
      <rPr>
        <sz val="12"/>
        <rFont val="宋体"/>
        <family val="3"/>
        <charset val="134"/>
      </rPr>
      <t>：</t>
    </r>
    <r>
      <rPr>
        <sz val="12"/>
        <rFont val="Calibri"/>
        <family val="2"/>
      </rPr>
      <t>Contract#</t>
    </r>
    <phoneticPr fontId="29" type="noConversion"/>
  </si>
  <si>
    <r>
      <rPr>
        <sz val="12"/>
        <rFont val="宋体"/>
        <family val="3"/>
        <charset val="134"/>
      </rPr>
      <t>項目名稱</t>
    </r>
    <r>
      <rPr>
        <sz val="12"/>
        <rFont val="Calibri"/>
        <family val="2"/>
      </rPr>
      <t xml:space="preserve">  / </t>
    </r>
    <r>
      <rPr>
        <sz val="12"/>
        <rFont val="宋体"/>
        <family val="3"/>
        <charset val="134"/>
      </rPr>
      <t>项目名称</t>
    </r>
    <r>
      <rPr>
        <sz val="12"/>
        <rFont val="Calibri"/>
        <family val="2"/>
      </rPr>
      <t xml:space="preserve"> : Project Name:</t>
    </r>
    <phoneticPr fontId="29" type="noConversion"/>
  </si>
  <si>
    <r>
      <rPr>
        <sz val="12"/>
        <rFont val="宋体"/>
        <family val="3"/>
        <charset val="134"/>
      </rPr>
      <t>購買類別</t>
    </r>
    <r>
      <rPr>
        <sz val="12"/>
        <rFont val="Calibri"/>
        <family val="2"/>
      </rPr>
      <t xml:space="preserve"> / </t>
    </r>
    <r>
      <rPr>
        <sz val="12"/>
        <rFont val="宋体"/>
        <family val="3"/>
        <charset val="134"/>
      </rPr>
      <t>购买类别</t>
    </r>
    <r>
      <rPr>
        <sz val="12"/>
        <rFont val="Calibri"/>
        <family val="2"/>
      </rPr>
      <t xml:space="preserve"> : Spend Pool </t>
    </r>
    <r>
      <rPr>
        <sz val="12"/>
        <rFont val="宋体"/>
        <family val="3"/>
        <charset val="134"/>
      </rPr>
      <t>：</t>
    </r>
    <phoneticPr fontId="29" type="noConversion"/>
  </si>
  <si>
    <t>Display</t>
    <phoneticPr fontId="29" type="noConversion"/>
  </si>
  <si>
    <r>
      <rPr>
        <sz val="12"/>
        <rFont val="宋体"/>
        <family val="3"/>
        <charset val="134"/>
      </rPr>
      <t>品牌</t>
    </r>
    <r>
      <rPr>
        <sz val="12"/>
        <rFont val="Calibri"/>
        <family val="2"/>
      </rPr>
      <t xml:space="preserve"> / </t>
    </r>
    <r>
      <rPr>
        <sz val="12"/>
        <rFont val="宋体"/>
        <family val="3"/>
        <charset val="134"/>
      </rPr>
      <t>品牌</t>
    </r>
    <r>
      <rPr>
        <sz val="12"/>
        <rFont val="Calibri"/>
        <family val="2"/>
      </rPr>
      <t xml:space="preserve"> Brand</t>
    </r>
    <r>
      <rPr>
        <sz val="12"/>
        <rFont val="宋体"/>
        <family val="3"/>
        <charset val="134"/>
      </rPr>
      <t>：</t>
    </r>
    <phoneticPr fontId="29" type="noConversion"/>
  </si>
  <si>
    <t>Hair1 Center</t>
    <phoneticPr fontId="29" type="noConversion"/>
  </si>
  <si>
    <r>
      <rPr>
        <sz val="12"/>
        <rFont val="宋体"/>
        <family val="3"/>
        <charset val="134"/>
      </rPr>
      <t>購買品項</t>
    </r>
    <r>
      <rPr>
        <sz val="12"/>
        <rFont val="Calibri"/>
        <family val="2"/>
      </rPr>
      <t xml:space="preserve"> / </t>
    </r>
    <r>
      <rPr>
        <sz val="12"/>
        <rFont val="宋体"/>
        <family val="3"/>
        <charset val="134"/>
      </rPr>
      <t>宝洁目录细项名称</t>
    </r>
    <r>
      <rPr>
        <sz val="12"/>
        <rFont val="Calibri"/>
        <family val="2"/>
      </rPr>
      <t xml:space="preserve"> : Catalog Item Description</t>
    </r>
    <r>
      <rPr>
        <sz val="12"/>
        <rFont val="宋体"/>
        <family val="3"/>
        <charset val="134"/>
      </rPr>
      <t>：</t>
    </r>
    <phoneticPr fontId="29" type="noConversion"/>
  </si>
  <si>
    <t xml:space="preserve">S731516AY </t>
    <phoneticPr fontId="29" type="noConversion"/>
  </si>
  <si>
    <r>
      <t>要求交貨日期</t>
    </r>
    <r>
      <rPr>
        <sz val="12"/>
        <rFont val="Arial"/>
        <family val="2"/>
      </rPr>
      <t xml:space="preserve"> / </t>
    </r>
    <r>
      <rPr>
        <sz val="12"/>
        <rFont val="新細明體"/>
        <family val="1"/>
        <charset val="136"/>
      </rPr>
      <t>要求交</t>
    </r>
    <r>
      <rPr>
        <sz val="12"/>
        <rFont val="宋体"/>
        <family val="3"/>
        <charset val="134"/>
      </rPr>
      <t>货日期</t>
    </r>
    <r>
      <rPr>
        <sz val="12"/>
        <rFont val="Arial"/>
        <family val="2"/>
      </rPr>
      <t xml:space="preserve"> : Delivery date </t>
    </r>
    <r>
      <rPr>
        <sz val="12"/>
        <rFont val="新細明體"/>
        <family val="1"/>
      </rPr>
      <t>：</t>
    </r>
    <phoneticPr fontId="29" type="noConversion"/>
  </si>
  <si>
    <r>
      <t>交貨地點</t>
    </r>
    <r>
      <rPr>
        <sz val="12"/>
        <rFont val="Arial"/>
        <family val="2"/>
      </rPr>
      <t xml:space="preserve"> / </t>
    </r>
    <r>
      <rPr>
        <sz val="12"/>
        <rFont val="新細明體"/>
        <family val="1"/>
        <charset val="136"/>
      </rPr>
      <t>交</t>
    </r>
    <r>
      <rPr>
        <sz val="12"/>
        <rFont val="宋体"/>
        <family val="3"/>
        <charset val="134"/>
      </rPr>
      <t>货地点</t>
    </r>
    <r>
      <rPr>
        <sz val="12"/>
        <rFont val="Arial"/>
        <family val="2"/>
      </rPr>
      <t xml:space="preserve"> : Deliver to</t>
    </r>
    <r>
      <rPr>
        <sz val="12"/>
        <rFont val="新細明體"/>
        <family val="1"/>
        <charset val="136"/>
      </rPr>
      <t>：</t>
    </r>
    <phoneticPr fontId="29" type="noConversion"/>
  </si>
  <si>
    <t>-</t>
    <phoneticPr fontId="29" type="noConversion"/>
  </si>
  <si>
    <t>非合约总金额</t>
    <phoneticPr fontId="29" type="noConversion"/>
  </si>
  <si>
    <t>报价人（项目负责人）姓名</t>
    <phoneticPr fontId="29" type="noConversion"/>
  </si>
  <si>
    <t>报价人（项目负责人）电话</t>
    <phoneticPr fontId="29" type="noConversion"/>
  </si>
  <si>
    <t>操作指引：</t>
    <phoneticPr fontId="29" type="noConversion"/>
  </si>
  <si>
    <r>
      <t>1</t>
    </r>
    <r>
      <rPr>
        <sz val="12"/>
        <rFont val="宋体"/>
        <family val="3"/>
        <charset val="134"/>
      </rPr>
      <t xml:space="preserve">、供应商报价表头及明细不变，并保留在报价表内作为支持资料；
</t>
    </r>
    <r>
      <rPr>
        <sz val="12"/>
        <rFont val="Calibri"/>
        <family val="2"/>
      </rPr>
      <t>2</t>
    </r>
    <r>
      <rPr>
        <sz val="12"/>
        <rFont val="宋体"/>
        <family val="3"/>
        <charset val="134"/>
      </rPr>
      <t>、</t>
    </r>
    <r>
      <rPr>
        <sz val="12"/>
        <rFont val="Calibri"/>
        <family val="2"/>
      </rPr>
      <t>Account</t>
    </r>
    <r>
      <rPr>
        <sz val="12"/>
        <rFont val="宋体"/>
        <family val="3"/>
        <charset val="134"/>
      </rPr>
      <t xml:space="preserve">新增工作表，粘贴此页作为标准模板；
</t>
    </r>
    <r>
      <rPr>
        <sz val="12"/>
        <rFont val="Calibri"/>
        <family val="2"/>
      </rPr>
      <t>3</t>
    </r>
    <r>
      <rPr>
        <sz val="12"/>
        <rFont val="宋体"/>
        <family val="3"/>
        <charset val="134"/>
      </rPr>
      <t>、按照颜色的标记，</t>
    </r>
    <r>
      <rPr>
        <sz val="12"/>
        <rFont val="Calibri"/>
        <family val="2"/>
      </rPr>
      <t>copy</t>
    </r>
    <r>
      <rPr>
        <sz val="12"/>
        <rFont val="宋体"/>
        <family val="3"/>
        <charset val="134"/>
      </rPr>
      <t xml:space="preserve">或填写相应的信息；
</t>
    </r>
    <r>
      <rPr>
        <sz val="12"/>
        <rFont val="Calibri"/>
        <family val="2"/>
      </rPr>
      <t>4</t>
    </r>
    <r>
      <rPr>
        <sz val="12"/>
        <rFont val="宋体"/>
        <family val="3"/>
        <charset val="134"/>
      </rPr>
      <t>、</t>
    </r>
    <r>
      <rPr>
        <sz val="12"/>
        <rFont val="Calibri"/>
        <family val="2"/>
      </rPr>
      <t>POSM</t>
    </r>
    <r>
      <rPr>
        <sz val="12"/>
        <rFont val="宋体"/>
        <family val="3"/>
        <charset val="134"/>
      </rPr>
      <t>项目名称开头增加展示品，</t>
    </r>
    <r>
      <rPr>
        <sz val="12"/>
        <rFont val="Calibri"/>
        <family val="2"/>
      </rPr>
      <t>Premium</t>
    </r>
    <r>
      <rPr>
        <sz val="12"/>
        <rFont val="宋体"/>
        <family val="3"/>
        <charset val="134"/>
      </rPr>
      <t>与</t>
    </r>
    <r>
      <rPr>
        <sz val="12"/>
        <rFont val="Calibri"/>
        <family val="2"/>
      </rPr>
      <t>EVNET</t>
    </r>
    <r>
      <rPr>
        <sz val="12"/>
        <rFont val="宋体"/>
        <family val="3"/>
        <charset val="134"/>
      </rPr>
      <t xml:space="preserve">保持供应商提供的项目名称不变；
</t>
    </r>
    <r>
      <rPr>
        <sz val="12"/>
        <rFont val="Calibri"/>
        <family val="2"/>
      </rPr>
      <t>5</t>
    </r>
    <r>
      <rPr>
        <sz val="12"/>
        <rFont val="宋体"/>
        <family val="3"/>
        <charset val="134"/>
      </rPr>
      <t xml:space="preserve">、创新优化比例，需要另外提供采购部确认邮件；
</t>
    </r>
    <r>
      <rPr>
        <sz val="12"/>
        <rFont val="Calibri"/>
        <family val="2"/>
      </rPr>
      <t>6</t>
    </r>
    <r>
      <rPr>
        <sz val="12"/>
        <rFont val="宋体"/>
        <family val="3"/>
        <charset val="134"/>
      </rPr>
      <t>、此页第</t>
    </r>
    <r>
      <rPr>
        <sz val="12"/>
        <rFont val="Calibri"/>
        <family val="2"/>
      </rPr>
      <t>41</t>
    </r>
    <r>
      <rPr>
        <sz val="12"/>
        <rFont val="宋体"/>
        <family val="3"/>
        <charset val="134"/>
      </rPr>
      <t>行</t>
    </r>
    <r>
      <rPr>
        <sz val="12"/>
        <rFont val="Calibri"/>
        <family val="2"/>
      </rPr>
      <t>-</t>
    </r>
    <r>
      <rPr>
        <sz val="12"/>
        <rFont val="宋体"/>
        <family val="3"/>
        <charset val="134"/>
      </rPr>
      <t>第</t>
    </r>
    <r>
      <rPr>
        <sz val="12"/>
        <rFont val="Calibri"/>
        <family val="2"/>
      </rPr>
      <t>105</t>
    </r>
    <r>
      <rPr>
        <sz val="12"/>
        <rFont val="宋体"/>
        <family val="3"/>
        <charset val="134"/>
      </rPr>
      <t>行，属于基础数据，无需变更，且在报价时隐藏信息。</t>
    </r>
    <phoneticPr fontId="29" type="noConversion"/>
  </si>
  <si>
    <r>
      <t>Account</t>
    </r>
    <r>
      <rPr>
        <sz val="12"/>
        <rFont val="宋体"/>
        <family val="3"/>
        <charset val="134"/>
      </rPr>
      <t>填写</t>
    </r>
    <phoneticPr fontId="29" type="noConversion"/>
  </si>
  <si>
    <r>
      <t>Copy</t>
    </r>
    <r>
      <rPr>
        <sz val="12"/>
        <rFont val="宋体"/>
        <family val="3"/>
        <charset val="134"/>
      </rPr>
      <t>内容</t>
    </r>
    <phoneticPr fontId="29" type="noConversion"/>
  </si>
  <si>
    <t>基础数据：</t>
    <phoneticPr fontId="29" type="noConversion"/>
  </si>
  <si>
    <r>
      <rPr>
        <sz val="11"/>
        <color theme="1"/>
        <rFont val="宋体"/>
        <family val="3"/>
        <charset val="134"/>
      </rPr>
      <t>项目管理费</t>
    </r>
    <phoneticPr fontId="63" type="noConversion"/>
  </si>
  <si>
    <t>P&amp;G COE</t>
    <phoneticPr fontId="29" type="noConversion"/>
  </si>
  <si>
    <t>P&amp;G Pur.</t>
    <phoneticPr fontId="29" type="noConversion"/>
  </si>
  <si>
    <r>
      <rPr>
        <sz val="12"/>
        <rFont val="宋体"/>
        <family val="3"/>
        <charset val="134"/>
      </rPr>
      <t>东莞易加</t>
    </r>
    <r>
      <rPr>
        <sz val="12"/>
        <rFont val="Calibri"/>
        <family val="2"/>
      </rPr>
      <t xml:space="preserve"> MW Display/ BBU/ BBS / Counter/ PNC center / My Castle</t>
    </r>
    <phoneticPr fontId="29" type="noConversion"/>
  </si>
  <si>
    <t>Irene Luo</t>
    <phoneticPr fontId="29" type="noConversion"/>
  </si>
  <si>
    <t>Yuki Qiu</t>
    <phoneticPr fontId="29" type="noConversion"/>
  </si>
  <si>
    <t>Sanny Song</t>
    <phoneticPr fontId="29" type="noConversion"/>
  </si>
  <si>
    <t>Ivy Lu</t>
    <phoneticPr fontId="29" type="noConversion"/>
  </si>
  <si>
    <t>Leo Lv</t>
    <phoneticPr fontId="29" type="noConversion"/>
  </si>
  <si>
    <r>
      <t>Brain (</t>
    </r>
    <r>
      <rPr>
        <sz val="12"/>
        <rFont val="宋体"/>
        <family val="3"/>
        <charset val="134"/>
      </rPr>
      <t>灵智精锐</t>
    </r>
    <r>
      <rPr>
        <sz val="12"/>
        <rFont val="Calibri"/>
        <family val="2"/>
      </rPr>
      <t>)HPP event</t>
    </r>
    <phoneticPr fontId="29" type="noConversion"/>
  </si>
  <si>
    <t>Rainbow Shi</t>
    <phoneticPr fontId="29" type="noConversion"/>
  </si>
  <si>
    <t>RX Premium</t>
    <phoneticPr fontId="29" type="noConversion"/>
  </si>
  <si>
    <t>Lock&amp;Lock Licence</t>
    <phoneticPr fontId="29" type="noConversion"/>
  </si>
  <si>
    <r>
      <rPr>
        <sz val="12"/>
        <rFont val="宋体"/>
        <family val="3"/>
        <charset val="134"/>
      </rPr>
      <t>北京益普索</t>
    </r>
    <r>
      <rPr>
        <sz val="12"/>
        <rFont val="Calibri"/>
        <family val="2"/>
      </rPr>
      <t>HPP (olay/skii)</t>
    </r>
    <phoneticPr fontId="29" type="noConversion"/>
  </si>
  <si>
    <t>TNS HPP event</t>
    <phoneticPr fontId="29" type="noConversion"/>
  </si>
  <si>
    <t>品类</t>
    <phoneticPr fontId="29" type="noConversion"/>
  </si>
  <si>
    <t>品牌</t>
    <phoneticPr fontId="29" type="noConversion"/>
  </si>
  <si>
    <t>代码</t>
    <phoneticPr fontId="29" type="noConversion"/>
  </si>
  <si>
    <t>含创新优化费用的生产费（元/套）</t>
    <phoneticPr fontId="29" type="noConversion"/>
  </si>
  <si>
    <t>生产创新优化比例</t>
    <phoneticPr fontId="29" type="noConversion"/>
  </si>
  <si>
    <t>数量
（套）</t>
    <phoneticPr fontId="29" type="noConversion"/>
  </si>
  <si>
    <r>
      <t xml:space="preserve">OP </t>
    </r>
    <r>
      <rPr>
        <sz val="12"/>
        <rFont val="宋体"/>
        <family val="3"/>
        <charset val="134"/>
      </rPr>
      <t>展示品</t>
    </r>
    <r>
      <rPr>
        <sz val="12"/>
        <rFont val="Calibri"/>
        <family val="2"/>
      </rPr>
      <t xml:space="preserve"> BBU </t>
    </r>
    <r>
      <rPr>
        <sz val="12"/>
        <rFont val="宋体"/>
        <family val="3"/>
        <charset val="134"/>
      </rPr>
      <t>吉列</t>
    </r>
    <r>
      <rPr>
        <sz val="12"/>
        <rFont val="Calibri"/>
        <family val="2"/>
      </rPr>
      <t xml:space="preserve"> FY1516 MCC 3.0 </t>
    </r>
    <r>
      <rPr>
        <sz val="12"/>
        <rFont val="宋体"/>
        <family val="3"/>
        <charset val="134"/>
      </rPr>
      <t>东南西区</t>
    </r>
    <r>
      <rPr>
        <sz val="12"/>
        <rFont val="Calibri"/>
        <family val="2"/>
      </rPr>
      <t xml:space="preserve"> </t>
    </r>
    <r>
      <rPr>
        <sz val="12"/>
        <rFont val="宋体"/>
        <family val="3"/>
        <charset val="134"/>
      </rPr>
      <t>柜台测量生产运输安装第三批报价表</t>
    </r>
    <phoneticPr fontId="29" type="noConversion"/>
  </si>
  <si>
    <r>
      <rPr>
        <sz val="12"/>
        <rFont val="宋体"/>
        <family val="3"/>
        <charset val="134"/>
      </rPr>
      <t>報價至</t>
    </r>
    <r>
      <rPr>
        <sz val="12"/>
        <rFont val="Calibri"/>
        <family val="2"/>
      </rPr>
      <t xml:space="preserve"> / </t>
    </r>
    <r>
      <rPr>
        <sz val="12"/>
        <rFont val="宋体"/>
        <family val="3"/>
        <charset val="134"/>
      </rPr>
      <t>报价至</t>
    </r>
    <r>
      <rPr>
        <sz val="12"/>
        <rFont val="Calibri"/>
        <family val="2"/>
      </rPr>
      <t xml:space="preserve"> :  Quotation to:</t>
    </r>
    <phoneticPr fontId="29" type="noConversion"/>
  </si>
  <si>
    <r>
      <rPr>
        <sz val="12"/>
        <rFont val="宋体"/>
        <family val="3"/>
        <charset val="134"/>
      </rPr>
      <t>宝洁（中国）营销有限公司</t>
    </r>
    <phoneticPr fontId="29" type="noConversion"/>
  </si>
  <si>
    <r>
      <rPr>
        <sz val="12"/>
        <rFont val="宋体"/>
        <family val="3"/>
        <charset val="134"/>
      </rPr>
      <t>報價單號</t>
    </r>
    <r>
      <rPr>
        <sz val="12"/>
        <rFont val="Calibri"/>
        <family val="2"/>
      </rPr>
      <t xml:space="preserve"> / </t>
    </r>
    <r>
      <rPr>
        <sz val="12"/>
        <rFont val="宋体"/>
        <family val="3"/>
        <charset val="134"/>
      </rPr>
      <t>报价单号</t>
    </r>
    <r>
      <rPr>
        <sz val="12"/>
        <rFont val="Calibri"/>
        <family val="2"/>
      </rPr>
      <t xml:space="preserve"> </t>
    </r>
    <r>
      <rPr>
        <sz val="12"/>
        <rFont val="宋体"/>
        <family val="3"/>
        <charset val="134"/>
      </rPr>
      <t>：</t>
    </r>
    <r>
      <rPr>
        <sz val="12"/>
        <rFont val="Calibri"/>
        <family val="2"/>
      </rPr>
      <t>Quotation#</t>
    </r>
    <phoneticPr fontId="29" type="noConversion"/>
  </si>
  <si>
    <r>
      <t xml:space="preserve">LZGEOPYJ 150609001 </t>
    </r>
    <r>
      <rPr>
        <sz val="12"/>
        <rFont val="宋体"/>
        <family val="3"/>
        <charset val="134"/>
      </rPr>
      <t>展示品</t>
    </r>
    <r>
      <rPr>
        <sz val="12"/>
        <rFont val="Calibri"/>
        <family val="2"/>
      </rPr>
      <t xml:space="preserve"> FY1516</t>
    </r>
    <r>
      <rPr>
        <sz val="12"/>
        <rFont val="宋体"/>
        <family val="3"/>
        <charset val="134"/>
      </rPr>
      <t>吉列</t>
    </r>
    <r>
      <rPr>
        <sz val="12"/>
        <rFont val="Calibri"/>
        <family val="2"/>
      </rPr>
      <t xml:space="preserve">MCC 3.0 </t>
    </r>
    <r>
      <rPr>
        <sz val="12"/>
        <rFont val="宋体"/>
        <family val="3"/>
        <charset val="134"/>
      </rPr>
      <t>东南西区</t>
    </r>
    <r>
      <rPr>
        <sz val="12"/>
        <rFont val="Calibri"/>
        <family val="2"/>
      </rPr>
      <t xml:space="preserve"> </t>
    </r>
    <r>
      <rPr>
        <sz val="12"/>
        <rFont val="宋体"/>
        <family val="3"/>
        <charset val="134"/>
      </rPr>
      <t>柜台测量生产运输安装第三批</t>
    </r>
    <phoneticPr fontId="29" type="noConversion"/>
  </si>
  <si>
    <r>
      <rPr>
        <sz val="12"/>
        <rFont val="宋体"/>
        <family val="3"/>
        <charset val="134"/>
      </rPr>
      <t>供應商名稱</t>
    </r>
    <r>
      <rPr>
        <sz val="12"/>
        <rFont val="Calibri"/>
        <family val="2"/>
      </rPr>
      <t xml:space="preserve"> / </t>
    </r>
    <r>
      <rPr>
        <sz val="12"/>
        <rFont val="宋体"/>
        <family val="3"/>
        <charset val="134"/>
      </rPr>
      <t>供应商名称</t>
    </r>
    <r>
      <rPr>
        <sz val="12"/>
        <rFont val="Calibri"/>
        <family val="2"/>
      </rPr>
      <t xml:space="preserve"> : Vendor name</t>
    </r>
    <phoneticPr fontId="29" type="noConversion"/>
  </si>
  <si>
    <r>
      <rPr>
        <sz val="12"/>
        <rFont val="宋体"/>
        <family val="3"/>
        <charset val="134"/>
      </rPr>
      <t>广州壹加市场营销策划有限公司</t>
    </r>
    <phoneticPr fontId="29" type="noConversion"/>
  </si>
  <si>
    <r>
      <rPr>
        <sz val="12"/>
        <rFont val="宋体"/>
        <family val="3"/>
        <charset val="134"/>
      </rPr>
      <t>供應商代碼</t>
    </r>
    <r>
      <rPr>
        <sz val="12"/>
        <rFont val="Calibri"/>
        <family val="2"/>
      </rPr>
      <t xml:space="preserve"> / </t>
    </r>
    <r>
      <rPr>
        <sz val="12"/>
        <rFont val="宋体"/>
        <family val="3"/>
        <charset val="134"/>
      </rPr>
      <t>供应商代码</t>
    </r>
    <r>
      <rPr>
        <sz val="12"/>
        <rFont val="Calibri"/>
        <family val="2"/>
      </rPr>
      <t xml:space="preserve"> : Vendor code</t>
    </r>
    <r>
      <rPr>
        <sz val="12"/>
        <rFont val="宋体"/>
        <family val="3"/>
        <charset val="134"/>
      </rPr>
      <t>：</t>
    </r>
    <phoneticPr fontId="29" type="noConversion"/>
  </si>
  <si>
    <t>0015296281</t>
    <phoneticPr fontId="29" type="noConversion"/>
  </si>
  <si>
    <r>
      <rPr>
        <sz val="12"/>
        <rFont val="宋体"/>
        <family val="3"/>
        <charset val="134"/>
      </rPr>
      <t>寶潔採購</t>
    </r>
    <r>
      <rPr>
        <sz val="12"/>
        <rFont val="Calibri"/>
        <family val="2"/>
      </rPr>
      <t xml:space="preserve"> / </t>
    </r>
    <r>
      <rPr>
        <sz val="12"/>
        <rFont val="宋体"/>
        <family val="3"/>
        <charset val="134"/>
      </rPr>
      <t>宝洁采购员</t>
    </r>
    <r>
      <rPr>
        <sz val="12"/>
        <rFont val="Calibri"/>
        <family val="2"/>
      </rPr>
      <t xml:space="preserve"> : P&amp;G buyer</t>
    </r>
    <r>
      <rPr>
        <sz val="12"/>
        <rFont val="宋体"/>
        <family val="3"/>
        <charset val="134"/>
      </rPr>
      <t>：</t>
    </r>
    <phoneticPr fontId="29" type="noConversion"/>
  </si>
  <si>
    <t>CNY</t>
    <phoneticPr fontId="29" type="noConversion"/>
  </si>
  <si>
    <t>(A)Gill-160630-PD-004 展示品 FY1516吉列MCC 3.0 东南西区 柜台测量生产运输安装第三批</t>
    <phoneticPr fontId="29" type="noConversion"/>
  </si>
  <si>
    <t>报价人（项目负责人）姓名</t>
    <phoneticPr fontId="29" type="noConversion"/>
  </si>
  <si>
    <t>报价人（项目负责人）电话</t>
    <phoneticPr fontId="29" type="noConversion"/>
  </si>
  <si>
    <r>
      <rPr>
        <sz val="12"/>
        <rFont val="宋体"/>
        <family val="3"/>
        <charset val="134"/>
      </rPr>
      <t>寶潔專案負責人</t>
    </r>
    <r>
      <rPr>
        <sz val="12"/>
        <rFont val="Calibri"/>
        <family val="2"/>
      </rPr>
      <t xml:space="preserve"> / </t>
    </r>
    <r>
      <rPr>
        <sz val="12"/>
        <rFont val="宋体"/>
        <family val="3"/>
        <charset val="134"/>
      </rPr>
      <t>宝洁专案负责人</t>
    </r>
    <r>
      <rPr>
        <sz val="12"/>
        <rFont val="Calibri"/>
        <family val="2"/>
      </rPr>
      <t xml:space="preserve"> : (ex. P&amp;G MS/project owner)</t>
    </r>
    <phoneticPr fontId="29" type="noConversion"/>
  </si>
  <si>
    <r>
      <rPr>
        <sz val="12"/>
        <rFont val="宋体"/>
        <family val="3"/>
        <charset val="134"/>
      </rPr>
      <t>貨幣</t>
    </r>
    <r>
      <rPr>
        <sz val="12"/>
        <rFont val="Calibri"/>
        <family val="2"/>
      </rPr>
      <t xml:space="preserve"> / </t>
    </r>
    <r>
      <rPr>
        <sz val="12"/>
        <rFont val="宋体"/>
        <family val="3"/>
        <charset val="134"/>
      </rPr>
      <t>货币</t>
    </r>
    <r>
      <rPr>
        <sz val="12"/>
        <rFont val="Calibri"/>
        <family val="2"/>
      </rPr>
      <t xml:space="preserve"> : Currency</t>
    </r>
    <r>
      <rPr>
        <sz val="12"/>
        <rFont val="宋体"/>
        <family val="3"/>
        <charset val="134"/>
      </rPr>
      <t>：</t>
    </r>
    <phoneticPr fontId="29" type="noConversion"/>
  </si>
  <si>
    <r>
      <rPr>
        <sz val="12"/>
        <rFont val="宋体"/>
        <family val="3"/>
        <charset val="134"/>
      </rPr>
      <t>數量</t>
    </r>
    <r>
      <rPr>
        <sz val="12"/>
        <rFont val="Calibri"/>
        <family val="2"/>
      </rPr>
      <t xml:space="preserve"> / </t>
    </r>
    <r>
      <rPr>
        <sz val="12"/>
        <rFont val="宋体"/>
        <family val="3"/>
        <charset val="134"/>
      </rPr>
      <t>数量</t>
    </r>
    <r>
      <rPr>
        <sz val="12"/>
        <rFont val="Calibri"/>
        <family val="2"/>
      </rPr>
      <t xml:space="preserve"> : Quantity</t>
    </r>
    <r>
      <rPr>
        <sz val="12"/>
        <rFont val="宋体"/>
        <family val="3"/>
        <charset val="134"/>
      </rPr>
      <t>：</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</si>
  <si>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不含税</t>
    </r>
    <r>
      <rPr>
        <sz val="12"/>
        <rFont val="Calibri"/>
        <family val="2"/>
      </rPr>
      <t xml:space="preserve">) : Unit Price (excl. tax) </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</si>
  <si>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不含稅</t>
    </r>
    <r>
      <rPr>
        <sz val="12"/>
        <rFont val="Calibri"/>
        <family val="2"/>
      </rPr>
      <t>)</t>
    </r>
    <r>
      <rPr>
        <sz val="12"/>
        <rFont val="宋体"/>
        <family val="3"/>
        <charset val="134"/>
      </rPr>
      <t>：</t>
    </r>
    <r>
      <rPr>
        <sz val="12"/>
        <rFont val="Calibri"/>
        <family val="2"/>
      </rPr>
      <t>Total amount (excl. tax)</t>
    </r>
    <phoneticPr fontId="29" type="noConversion"/>
  </si>
  <si>
    <t>Gillette</t>
    <phoneticPr fontId="29" type="noConversion"/>
  </si>
  <si>
    <t>非合约材料所占比例</t>
    <phoneticPr fontId="29" type="noConversion"/>
  </si>
  <si>
    <t>管理费总金额（单价&lt;0.50时填写）</t>
    <phoneticPr fontId="29" type="noConversion"/>
  </si>
  <si>
    <r>
      <rPr>
        <sz val="12"/>
        <rFont val="宋体"/>
        <family val="3"/>
        <charset val="134"/>
      </rPr>
      <t>展示品</t>
    </r>
    <r>
      <rPr>
        <sz val="12"/>
        <rFont val="Calibri"/>
        <family val="2"/>
      </rPr>
      <t xml:space="preserve"> PAD BR </t>
    </r>
    <r>
      <rPr>
        <sz val="12"/>
        <rFont val="宋体"/>
        <family val="3"/>
        <charset val="134"/>
      </rPr>
      <t>新年新气象</t>
    </r>
    <r>
      <rPr>
        <sz val="12"/>
        <rFont val="Calibri"/>
        <family val="2"/>
      </rPr>
      <t xml:space="preserve"> </t>
    </r>
    <r>
      <rPr>
        <sz val="12"/>
        <rFont val="宋体"/>
        <family val="3"/>
        <charset val="134"/>
      </rPr>
      <t>堆头</t>
    </r>
    <r>
      <rPr>
        <sz val="12"/>
        <rFont val="Calibri"/>
        <family val="2"/>
      </rPr>
      <t xml:space="preserve"> </t>
    </r>
    <r>
      <rPr>
        <sz val="12"/>
        <rFont val="宋体"/>
        <family val="3"/>
        <charset val="134"/>
      </rPr>
      <t>报价表</t>
    </r>
    <phoneticPr fontId="29" type="noConversion"/>
  </si>
  <si>
    <r>
      <rPr>
        <sz val="12"/>
        <rFont val="宋体"/>
        <family val="3"/>
        <charset val="134"/>
      </rPr>
      <t>宝洁（中国）营销有限公司</t>
    </r>
    <phoneticPr fontId="29" type="noConversion"/>
  </si>
  <si>
    <r>
      <rPr>
        <sz val="12"/>
        <rFont val="宋体"/>
        <family val="3"/>
        <charset val="134"/>
      </rPr>
      <t>報價單號</t>
    </r>
    <r>
      <rPr>
        <sz val="12"/>
        <rFont val="Calibri"/>
        <family val="2"/>
      </rPr>
      <t xml:space="preserve"> / </t>
    </r>
    <r>
      <rPr>
        <sz val="12"/>
        <rFont val="宋体"/>
        <family val="3"/>
        <charset val="134"/>
      </rPr>
      <t>报价单号</t>
    </r>
    <r>
      <rPr>
        <sz val="12"/>
        <rFont val="Calibri"/>
        <family val="2"/>
      </rPr>
      <t xml:space="preserve"> </t>
    </r>
    <r>
      <rPr>
        <sz val="12"/>
        <rFont val="宋体"/>
        <family val="3"/>
        <charset val="134"/>
      </rPr>
      <t>：</t>
    </r>
    <r>
      <rPr>
        <sz val="12"/>
        <rFont val="Calibri"/>
        <family val="2"/>
      </rPr>
      <t>Quotation#</t>
    </r>
    <phoneticPr fontId="29" type="noConversion"/>
  </si>
  <si>
    <r>
      <t>HMRJOPRX</t>
    </r>
    <r>
      <rPr>
        <sz val="10.5"/>
        <rFont val="宋体"/>
        <family val="3"/>
        <charset val="134"/>
      </rPr>
      <t>新年新气象堆头</t>
    </r>
    <r>
      <rPr>
        <sz val="10.5"/>
        <rFont val="Calibri"/>
        <family val="2"/>
      </rPr>
      <t xml:space="preserve"> 150324001</t>
    </r>
    <phoneticPr fontId="29" type="noConversion"/>
  </si>
  <si>
    <r>
      <rPr>
        <sz val="12"/>
        <rFont val="宋体"/>
        <family val="3"/>
        <charset val="134"/>
      </rPr>
      <t>供應商名稱</t>
    </r>
    <r>
      <rPr>
        <sz val="12"/>
        <rFont val="Calibri"/>
        <family val="2"/>
      </rPr>
      <t xml:space="preserve"> / </t>
    </r>
    <r>
      <rPr>
        <sz val="12"/>
        <rFont val="宋体"/>
        <family val="3"/>
        <charset val="134"/>
      </rPr>
      <t>供应商名称</t>
    </r>
    <r>
      <rPr>
        <sz val="12"/>
        <rFont val="Calibri"/>
        <family val="2"/>
      </rPr>
      <t xml:space="preserve"> : Vendor name</t>
    </r>
    <phoneticPr fontId="29" type="noConversion"/>
  </si>
  <si>
    <r>
      <rPr>
        <sz val="12"/>
        <rFont val="宋体"/>
        <family val="3"/>
        <charset val="134"/>
      </rPr>
      <t>广州壹加市场营销策划有限公司</t>
    </r>
    <phoneticPr fontId="29" type="noConversion"/>
  </si>
  <si>
    <r>
      <rPr>
        <sz val="12"/>
        <rFont val="宋体"/>
        <family val="3"/>
        <charset val="134"/>
      </rPr>
      <t>供應商代碼</t>
    </r>
    <r>
      <rPr>
        <sz val="12"/>
        <rFont val="Calibri"/>
        <family val="2"/>
      </rPr>
      <t xml:space="preserve"> / </t>
    </r>
    <r>
      <rPr>
        <sz val="12"/>
        <rFont val="宋体"/>
        <family val="3"/>
        <charset val="134"/>
      </rPr>
      <t>供应商代码</t>
    </r>
    <r>
      <rPr>
        <sz val="12"/>
        <rFont val="Calibri"/>
        <family val="2"/>
      </rPr>
      <t xml:space="preserve"> : Vendor code</t>
    </r>
    <r>
      <rPr>
        <sz val="12"/>
        <rFont val="宋体"/>
        <family val="3"/>
        <charset val="134"/>
      </rPr>
      <t>：</t>
    </r>
    <phoneticPr fontId="29" type="noConversion"/>
  </si>
  <si>
    <t>0015296281</t>
    <phoneticPr fontId="29" type="noConversion"/>
  </si>
  <si>
    <r>
      <rPr>
        <sz val="12"/>
        <rFont val="宋体"/>
        <family val="3"/>
        <charset val="134"/>
      </rPr>
      <t>寶潔採購</t>
    </r>
    <r>
      <rPr>
        <sz val="12"/>
        <rFont val="Calibri"/>
        <family val="2"/>
      </rPr>
      <t xml:space="preserve"> / </t>
    </r>
    <r>
      <rPr>
        <sz val="12"/>
        <rFont val="宋体"/>
        <family val="3"/>
        <charset val="134"/>
      </rPr>
      <t>宝洁采购员</t>
    </r>
    <r>
      <rPr>
        <sz val="12"/>
        <rFont val="Calibri"/>
        <family val="2"/>
      </rPr>
      <t xml:space="preserve"> : P&amp;G buyer</t>
    </r>
    <r>
      <rPr>
        <sz val="12"/>
        <rFont val="宋体"/>
        <family val="3"/>
        <charset val="134"/>
      </rPr>
      <t>：</t>
    </r>
    <phoneticPr fontId="29" type="noConversion"/>
  </si>
  <si>
    <r>
      <rPr>
        <sz val="12"/>
        <rFont val="宋体"/>
        <family val="3"/>
        <charset val="134"/>
      </rPr>
      <t>寶潔專案負責人</t>
    </r>
    <r>
      <rPr>
        <sz val="12"/>
        <rFont val="Calibri"/>
        <family val="2"/>
      </rPr>
      <t xml:space="preserve"> / </t>
    </r>
    <r>
      <rPr>
        <sz val="12"/>
        <rFont val="宋体"/>
        <family val="3"/>
        <charset val="134"/>
      </rPr>
      <t>宝洁专案负责人</t>
    </r>
    <r>
      <rPr>
        <sz val="12"/>
        <rFont val="Calibri"/>
        <family val="2"/>
      </rPr>
      <t xml:space="preserve"> : (ex. P&amp;G MS/project owner)</t>
    </r>
    <phoneticPr fontId="29" type="noConversion"/>
  </si>
  <si>
    <r>
      <rPr>
        <sz val="12"/>
        <rFont val="宋体"/>
        <family val="3"/>
        <charset val="134"/>
      </rPr>
      <t>貨幣</t>
    </r>
    <r>
      <rPr>
        <sz val="12"/>
        <rFont val="Calibri"/>
        <family val="2"/>
      </rPr>
      <t xml:space="preserve"> / </t>
    </r>
    <r>
      <rPr>
        <sz val="12"/>
        <rFont val="宋体"/>
        <family val="3"/>
        <charset val="134"/>
      </rPr>
      <t>货币</t>
    </r>
    <r>
      <rPr>
        <sz val="12"/>
        <rFont val="Calibri"/>
        <family val="2"/>
      </rPr>
      <t xml:space="preserve"> : Currency</t>
    </r>
    <r>
      <rPr>
        <sz val="12"/>
        <rFont val="宋体"/>
        <family val="3"/>
        <charset val="134"/>
      </rPr>
      <t>：</t>
    </r>
    <phoneticPr fontId="29" type="noConversion"/>
  </si>
  <si>
    <t>CNY</t>
    <phoneticPr fontId="29" type="noConversion"/>
  </si>
  <si>
    <r>
      <rPr>
        <sz val="12"/>
        <rFont val="宋体"/>
        <family val="3"/>
        <charset val="134"/>
      </rPr>
      <t>數量</t>
    </r>
    <r>
      <rPr>
        <sz val="12"/>
        <rFont val="Calibri"/>
        <family val="2"/>
      </rPr>
      <t xml:space="preserve"> / </t>
    </r>
    <r>
      <rPr>
        <sz val="12"/>
        <rFont val="宋体"/>
        <family val="3"/>
        <charset val="134"/>
      </rPr>
      <t>数量</t>
    </r>
    <r>
      <rPr>
        <sz val="12"/>
        <rFont val="Calibri"/>
        <family val="2"/>
      </rPr>
      <t xml:space="preserve"> : Quantity</t>
    </r>
    <r>
      <rPr>
        <sz val="12"/>
        <rFont val="宋体"/>
        <family val="3"/>
        <charset val="134"/>
      </rPr>
      <t>：</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</si>
  <si>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不含税</t>
    </r>
    <r>
      <rPr>
        <sz val="12"/>
        <rFont val="Calibri"/>
        <family val="2"/>
      </rPr>
      <t xml:space="preserve">) : Unit Price (excl. tax) </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</si>
  <si>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不含稅</t>
    </r>
    <r>
      <rPr>
        <sz val="12"/>
        <rFont val="Calibri"/>
        <family val="2"/>
      </rPr>
      <t>)</t>
    </r>
    <r>
      <rPr>
        <sz val="12"/>
        <rFont val="宋体"/>
        <family val="3"/>
        <charset val="134"/>
      </rPr>
      <t>：</t>
    </r>
    <r>
      <rPr>
        <sz val="12"/>
        <rFont val="Calibri"/>
        <family val="2"/>
      </rPr>
      <t>Total amount (excl. tax)</t>
    </r>
    <phoneticPr fontId="29" type="noConversion"/>
  </si>
  <si>
    <r>
      <rPr>
        <sz val="12"/>
        <rFont val="宋体"/>
        <family val="3"/>
        <charset val="134"/>
      </rPr>
      <t>產品單價</t>
    </r>
    <r>
      <rPr>
        <sz val="12"/>
        <rFont val="Calibri"/>
        <family val="2"/>
      </rPr>
      <t xml:space="preserve"> / </t>
    </r>
    <r>
      <rPr>
        <sz val="12"/>
        <rFont val="宋体"/>
        <family val="3"/>
        <charset val="134"/>
      </rPr>
      <t>产品单价</t>
    </r>
    <r>
      <rPr>
        <sz val="12"/>
        <rFont val="Calibri"/>
        <family val="2"/>
      </rPr>
      <t>(</t>
    </r>
    <r>
      <rPr>
        <sz val="12"/>
        <rFont val="宋体"/>
        <family val="3"/>
        <charset val="134"/>
      </rPr>
      <t>含税</t>
    </r>
    <r>
      <rPr>
        <sz val="12"/>
        <rFont val="Calibri"/>
        <family val="2"/>
      </rPr>
      <t xml:space="preserve">) : Unit Price (incl. Tax) </t>
    </r>
    <r>
      <rPr>
        <sz val="12"/>
        <rFont val="宋体"/>
        <family val="3"/>
        <charset val="134"/>
      </rPr>
      <t>：</t>
    </r>
    <phoneticPr fontId="29" type="noConversion"/>
  </si>
  <si>
    <r>
      <rPr>
        <sz val="12"/>
        <rFont val="宋体"/>
        <family val="3"/>
        <charset val="134"/>
      </rPr>
      <t>總價</t>
    </r>
    <r>
      <rPr>
        <sz val="12"/>
        <rFont val="Calibri"/>
        <family val="2"/>
      </rPr>
      <t xml:space="preserve"> / </t>
    </r>
    <r>
      <rPr>
        <sz val="12"/>
        <rFont val="宋体"/>
        <family val="3"/>
        <charset val="134"/>
      </rPr>
      <t>总价</t>
    </r>
    <r>
      <rPr>
        <sz val="12"/>
        <rFont val="Calibri"/>
        <family val="2"/>
      </rPr>
      <t>(</t>
    </r>
    <r>
      <rPr>
        <sz val="12"/>
        <rFont val="宋体"/>
        <family val="3"/>
        <charset val="134"/>
      </rPr>
      <t>含稅</t>
    </r>
    <r>
      <rPr>
        <sz val="12"/>
        <rFont val="Calibri"/>
        <family val="2"/>
      </rPr>
      <t>)</t>
    </r>
    <r>
      <rPr>
        <sz val="12"/>
        <rFont val="宋体"/>
        <family val="3"/>
        <charset val="134"/>
      </rPr>
      <t>：</t>
    </r>
    <r>
      <rPr>
        <sz val="12"/>
        <rFont val="Calibri"/>
        <family val="2"/>
      </rPr>
      <t>Total amount (incl. tax)</t>
    </r>
    <phoneticPr fontId="29" type="noConversion"/>
  </si>
  <si>
    <r>
      <rPr>
        <sz val="12"/>
        <rFont val="宋体"/>
        <family val="3"/>
        <charset val="134"/>
      </rPr>
      <t>稅率</t>
    </r>
    <r>
      <rPr>
        <sz val="12"/>
        <rFont val="Calibri"/>
        <family val="2"/>
      </rPr>
      <t xml:space="preserve"> / </t>
    </r>
    <r>
      <rPr>
        <sz val="12"/>
        <rFont val="宋体"/>
        <family val="3"/>
        <charset val="134"/>
      </rPr>
      <t>税率</t>
    </r>
    <r>
      <rPr>
        <sz val="12"/>
        <rFont val="Calibri"/>
        <family val="2"/>
      </rPr>
      <t>(</t>
    </r>
    <r>
      <rPr>
        <sz val="12"/>
        <rFont val="宋体"/>
        <family val="3"/>
        <charset val="134"/>
      </rPr>
      <t>只适用于中国大陆供应商</t>
    </r>
    <r>
      <rPr>
        <sz val="12"/>
        <rFont val="Calibri"/>
        <family val="2"/>
      </rPr>
      <t>) : 
Tax rate (only applicable for China Vendor) :</t>
    </r>
    <phoneticPr fontId="29" type="noConversion"/>
  </si>
  <si>
    <r>
      <rPr>
        <sz val="12"/>
        <rFont val="宋体"/>
        <family val="3"/>
        <charset val="134"/>
      </rPr>
      <t>引用寶潔合約編號</t>
    </r>
    <r>
      <rPr>
        <sz val="12"/>
        <rFont val="Calibri"/>
        <family val="2"/>
      </rPr>
      <t xml:space="preserve"> / </t>
    </r>
    <r>
      <rPr>
        <sz val="12"/>
        <rFont val="宋体"/>
        <family val="3"/>
        <charset val="134"/>
      </rPr>
      <t>引用宝洁合约编号</t>
    </r>
    <r>
      <rPr>
        <sz val="12"/>
        <rFont val="Calibri"/>
        <family val="2"/>
      </rPr>
      <t xml:space="preserve"> </t>
    </r>
    <r>
      <rPr>
        <sz val="12"/>
        <rFont val="宋体"/>
        <family val="3"/>
        <charset val="134"/>
      </rPr>
      <t>：</t>
    </r>
    <r>
      <rPr>
        <sz val="12"/>
        <rFont val="Calibri"/>
        <family val="2"/>
      </rPr>
      <t>Contract#</t>
    </r>
    <phoneticPr fontId="29" type="noConversion"/>
  </si>
  <si>
    <t>N/A</t>
    <phoneticPr fontId="29" type="noConversion"/>
  </si>
  <si>
    <r>
      <rPr>
        <sz val="12"/>
        <rFont val="宋体"/>
        <family val="3"/>
        <charset val="134"/>
      </rPr>
      <t>項目名稱</t>
    </r>
    <r>
      <rPr>
        <sz val="12"/>
        <rFont val="Calibri"/>
        <family val="2"/>
      </rPr>
      <t xml:space="preserve">  / </t>
    </r>
    <r>
      <rPr>
        <sz val="12"/>
        <rFont val="宋体"/>
        <family val="3"/>
        <charset val="134"/>
      </rPr>
      <t>项目名称</t>
    </r>
    <r>
      <rPr>
        <sz val="12"/>
        <rFont val="Calibri"/>
        <family val="2"/>
      </rPr>
      <t xml:space="preserve"> : Project Name:</t>
    </r>
    <phoneticPr fontId="29" type="noConversion"/>
  </si>
  <si>
    <r>
      <rPr>
        <sz val="12"/>
        <color indexed="8"/>
        <rFont val="宋体"/>
        <family val="3"/>
        <charset val="134"/>
      </rPr>
      <t>展示品</t>
    </r>
    <r>
      <rPr>
        <sz val="12"/>
        <color indexed="8"/>
        <rFont val="Calibri"/>
        <family val="2"/>
      </rPr>
      <t>(</t>
    </r>
    <r>
      <rPr>
        <sz val="12"/>
        <color indexed="8"/>
        <rFont val="宋体"/>
        <family val="3"/>
        <charset val="134"/>
      </rPr>
      <t>含运输费安装费</t>
    </r>
    <r>
      <rPr>
        <sz val="12"/>
        <color indexed="8"/>
        <rFont val="Calibri"/>
        <family val="2"/>
      </rPr>
      <t xml:space="preserve">) PAD BR </t>
    </r>
    <r>
      <rPr>
        <sz val="12"/>
        <color indexed="8"/>
        <rFont val="宋体"/>
        <family val="3"/>
        <charset val="134"/>
      </rPr>
      <t>新年新气象</t>
    </r>
    <r>
      <rPr>
        <sz val="12"/>
        <color indexed="8"/>
        <rFont val="Calibri"/>
        <family val="2"/>
      </rPr>
      <t xml:space="preserve"> </t>
    </r>
    <r>
      <rPr>
        <sz val="12"/>
        <color indexed="8"/>
        <rFont val="宋体"/>
        <family val="3"/>
        <charset val="134"/>
      </rPr>
      <t>堆头</t>
    </r>
    <r>
      <rPr>
        <sz val="12"/>
        <color indexed="8"/>
        <rFont val="Calibri"/>
        <family val="2"/>
      </rPr>
      <t xml:space="preserve"> </t>
    </r>
    <r>
      <rPr>
        <sz val="12"/>
        <color indexed="8"/>
        <rFont val="宋体"/>
        <family val="3"/>
        <charset val="134"/>
      </rPr>
      <t>报价表</t>
    </r>
    <phoneticPr fontId="29" type="noConversion"/>
  </si>
  <si>
    <r>
      <rPr>
        <sz val="12"/>
        <rFont val="宋体"/>
        <family val="3"/>
        <charset val="134"/>
      </rPr>
      <t>購買類別</t>
    </r>
    <r>
      <rPr>
        <sz val="12"/>
        <rFont val="Calibri"/>
        <family val="2"/>
      </rPr>
      <t xml:space="preserve"> / </t>
    </r>
    <r>
      <rPr>
        <sz val="12"/>
        <rFont val="宋体"/>
        <family val="3"/>
        <charset val="134"/>
      </rPr>
      <t>购买类别</t>
    </r>
    <r>
      <rPr>
        <sz val="12"/>
        <rFont val="Calibri"/>
        <family val="2"/>
      </rPr>
      <t xml:space="preserve"> : Spend Pool </t>
    </r>
    <r>
      <rPr>
        <sz val="12"/>
        <rFont val="宋体"/>
        <family val="3"/>
        <charset val="134"/>
      </rPr>
      <t>：</t>
    </r>
    <phoneticPr fontId="29" type="noConversion"/>
  </si>
  <si>
    <r>
      <rPr>
        <sz val="12"/>
        <rFont val="宋体"/>
        <family val="3"/>
        <charset val="134"/>
      </rPr>
      <t>品牌</t>
    </r>
    <r>
      <rPr>
        <sz val="12"/>
        <rFont val="Calibri"/>
        <family val="2"/>
      </rPr>
      <t xml:space="preserve"> / </t>
    </r>
    <r>
      <rPr>
        <sz val="12"/>
        <rFont val="宋体"/>
        <family val="3"/>
        <charset val="134"/>
      </rPr>
      <t>品牌</t>
    </r>
    <r>
      <rPr>
        <sz val="12"/>
        <rFont val="Calibri"/>
        <family val="2"/>
      </rPr>
      <t xml:space="preserve"> Brand</t>
    </r>
    <r>
      <rPr>
        <sz val="12"/>
        <rFont val="宋体"/>
        <family val="3"/>
        <charset val="134"/>
      </rPr>
      <t>：</t>
    </r>
    <phoneticPr fontId="29" type="noConversion"/>
  </si>
  <si>
    <t>YLY</t>
    <phoneticPr fontId="29" type="noConversion"/>
  </si>
  <si>
    <r>
      <rPr>
        <sz val="12"/>
        <rFont val="宋体"/>
        <family val="3"/>
        <charset val="134"/>
      </rPr>
      <t>購買品項</t>
    </r>
    <r>
      <rPr>
        <sz val="12"/>
        <rFont val="Calibri"/>
        <family val="2"/>
      </rPr>
      <t xml:space="preserve"> / </t>
    </r>
    <r>
      <rPr>
        <sz val="12"/>
        <rFont val="宋体"/>
        <family val="3"/>
        <charset val="134"/>
      </rPr>
      <t>宝洁目录细项名称</t>
    </r>
    <r>
      <rPr>
        <sz val="12"/>
        <rFont val="Calibri"/>
        <family val="2"/>
      </rPr>
      <t xml:space="preserve"> : Catalog Item Description</t>
    </r>
    <r>
      <rPr>
        <sz val="12"/>
        <rFont val="宋体"/>
        <family val="3"/>
        <charset val="134"/>
      </rPr>
      <t>：</t>
    </r>
    <phoneticPr fontId="29" type="noConversion"/>
  </si>
  <si>
    <r>
      <t>要求交貨日期</t>
    </r>
    <r>
      <rPr>
        <sz val="12"/>
        <rFont val="Arial"/>
        <family val="2"/>
      </rPr>
      <t xml:space="preserve"> / </t>
    </r>
    <r>
      <rPr>
        <sz val="12"/>
        <rFont val="新細明體"/>
        <family val="1"/>
        <charset val="136"/>
      </rPr>
      <t>要求交</t>
    </r>
    <r>
      <rPr>
        <sz val="12"/>
        <rFont val="宋体"/>
        <family val="3"/>
        <charset val="134"/>
      </rPr>
      <t>货日期</t>
    </r>
    <r>
      <rPr>
        <sz val="12"/>
        <rFont val="Arial"/>
        <family val="2"/>
      </rPr>
      <t xml:space="preserve"> : Delivery date </t>
    </r>
    <r>
      <rPr>
        <sz val="12"/>
        <rFont val="新細明體"/>
        <family val="1"/>
      </rPr>
      <t>：</t>
    </r>
    <phoneticPr fontId="29" type="noConversion"/>
  </si>
  <si>
    <r>
      <t>3-11 PO  4-16</t>
    </r>
    <r>
      <rPr>
        <b/>
        <sz val="12"/>
        <rFont val="宋体"/>
        <family val="3"/>
        <charset val="134"/>
      </rPr>
      <t>交</t>
    </r>
    <r>
      <rPr>
        <b/>
        <sz val="12"/>
        <rFont val="Arial"/>
        <family val="2"/>
      </rPr>
      <t>20</t>
    </r>
    <r>
      <rPr>
        <b/>
        <sz val="12"/>
        <rFont val="宋体"/>
        <family val="3"/>
        <charset val="134"/>
      </rPr>
      <t>套</t>
    </r>
    <phoneticPr fontId="29" type="noConversion"/>
  </si>
  <si>
    <r>
      <t>交貨地點</t>
    </r>
    <r>
      <rPr>
        <sz val="12"/>
        <rFont val="Arial"/>
        <family val="2"/>
      </rPr>
      <t xml:space="preserve"> / </t>
    </r>
    <r>
      <rPr>
        <sz val="12"/>
        <rFont val="新細明體"/>
        <family val="1"/>
        <charset val="136"/>
      </rPr>
      <t>交</t>
    </r>
    <r>
      <rPr>
        <sz val="12"/>
        <rFont val="宋体"/>
        <family val="3"/>
        <charset val="134"/>
      </rPr>
      <t>货地点</t>
    </r>
    <r>
      <rPr>
        <sz val="12"/>
        <rFont val="Arial"/>
        <family val="2"/>
      </rPr>
      <t xml:space="preserve"> : Deliver to</t>
    </r>
    <r>
      <rPr>
        <sz val="12"/>
        <rFont val="新細明體"/>
        <family val="1"/>
        <charset val="136"/>
      </rPr>
      <t>：</t>
    </r>
    <phoneticPr fontId="29" type="noConversion"/>
  </si>
  <si>
    <t>广州盛捷</t>
    <phoneticPr fontId="29" type="noConversion"/>
  </si>
  <si>
    <t>非合约总金额</t>
    <phoneticPr fontId="29" type="noConversion"/>
  </si>
  <si>
    <t>非合约材料所占比例</t>
    <phoneticPr fontId="29" type="noConversion"/>
  </si>
  <si>
    <t>管理费总金额（单价&lt;0.50时填写）</t>
    <phoneticPr fontId="29" type="noConversion"/>
  </si>
  <si>
    <t>报价人（项目负责人）姓名</t>
    <phoneticPr fontId="29" type="noConversion"/>
  </si>
  <si>
    <t>报价人（项目负责人）电话</t>
    <phoneticPr fontId="29" type="noConversion"/>
  </si>
  <si>
    <r>
      <rPr>
        <sz val="12"/>
        <rFont val="宋体"/>
        <family val="3"/>
        <charset val="134"/>
      </rPr>
      <t>项目类型</t>
    </r>
    <phoneticPr fontId="29" type="noConversion"/>
  </si>
  <si>
    <r>
      <rPr>
        <sz val="12"/>
        <rFont val="宋体"/>
        <family val="3"/>
        <charset val="134"/>
      </rPr>
      <t>生产费用</t>
    </r>
    <phoneticPr fontId="29" type="noConversion"/>
  </si>
  <si>
    <r>
      <rPr>
        <sz val="12"/>
        <rFont val="宋体"/>
        <family val="3"/>
        <charset val="134"/>
      </rPr>
      <t xml:space="preserve">服务费用
</t>
    </r>
    <r>
      <rPr>
        <sz val="12"/>
        <rFont val="Calibri"/>
        <family val="2"/>
      </rPr>
      <t>(</t>
    </r>
    <r>
      <rPr>
        <sz val="12"/>
        <rFont val="宋体"/>
        <family val="3"/>
        <charset val="134"/>
      </rPr>
      <t>含测量</t>
    </r>
    <r>
      <rPr>
        <sz val="12"/>
        <rFont val="Calibri"/>
        <family val="2"/>
      </rPr>
      <t>/</t>
    </r>
    <r>
      <rPr>
        <sz val="12"/>
        <rFont val="宋体"/>
        <family val="3"/>
        <charset val="134"/>
      </rPr>
      <t>设计</t>
    </r>
    <r>
      <rPr>
        <sz val="12"/>
        <rFont val="Calibri"/>
        <family val="2"/>
      </rPr>
      <t>/</t>
    </r>
    <r>
      <rPr>
        <sz val="12"/>
        <rFont val="宋体"/>
        <family val="3"/>
        <charset val="134"/>
      </rPr>
      <t>安装</t>
    </r>
    <r>
      <rPr>
        <sz val="12"/>
        <rFont val="Calibri"/>
        <family val="2"/>
      </rPr>
      <t>/</t>
    </r>
    <r>
      <rPr>
        <sz val="12"/>
        <rFont val="宋体"/>
        <family val="3"/>
        <charset val="134"/>
      </rPr>
      <t>运输</t>
    </r>
    <r>
      <rPr>
        <sz val="12"/>
        <rFont val="Calibri"/>
        <family val="2"/>
      </rPr>
      <t>)</t>
    </r>
    <phoneticPr fontId="29" type="noConversion"/>
  </si>
  <si>
    <r>
      <rPr>
        <sz val="12"/>
        <rFont val="宋体"/>
        <family val="3"/>
        <charset val="134"/>
      </rPr>
      <t>生产创新优化比例</t>
    </r>
    <phoneticPr fontId="29" type="noConversion"/>
  </si>
  <si>
    <r>
      <rPr>
        <sz val="12"/>
        <rFont val="宋体"/>
        <family val="3"/>
        <charset val="134"/>
      </rPr>
      <t>服务创新优化比例</t>
    </r>
    <phoneticPr fontId="29" type="noConversion"/>
  </si>
  <si>
    <r>
      <rPr>
        <sz val="12"/>
        <rFont val="宋体"/>
        <family val="3"/>
        <charset val="134"/>
      </rPr>
      <t>创新优化费用</t>
    </r>
    <phoneticPr fontId="29" type="noConversion"/>
  </si>
  <si>
    <t>Sub_total</t>
    <phoneticPr fontId="29" type="noConversion"/>
  </si>
  <si>
    <r>
      <rPr>
        <sz val="12"/>
        <rFont val="宋体"/>
        <family val="3"/>
        <charset val="134"/>
      </rPr>
      <t>项目管理费用</t>
    </r>
    <phoneticPr fontId="29" type="noConversion"/>
  </si>
  <si>
    <r>
      <rPr>
        <sz val="12"/>
        <rFont val="宋体"/>
        <family val="3"/>
        <charset val="134"/>
      </rPr>
      <t>合计</t>
    </r>
    <r>
      <rPr>
        <sz val="12"/>
        <rFont val="Calibri"/>
        <family val="2"/>
      </rPr>
      <t>(</t>
    </r>
    <r>
      <rPr>
        <sz val="12"/>
        <rFont val="宋体"/>
        <family val="3"/>
        <charset val="134"/>
      </rPr>
      <t>未税单价</t>
    </r>
    <r>
      <rPr>
        <sz val="12"/>
        <rFont val="Calibri"/>
        <family val="2"/>
      </rPr>
      <t>)</t>
    </r>
    <phoneticPr fontId="29" type="noConversion"/>
  </si>
  <si>
    <t>a</t>
    <phoneticPr fontId="63" type="noConversion"/>
  </si>
  <si>
    <t>b</t>
    <phoneticPr fontId="63" type="noConversion"/>
  </si>
  <si>
    <t>c</t>
    <phoneticPr fontId="63" type="noConversion"/>
  </si>
  <si>
    <t>d</t>
    <phoneticPr fontId="63" type="noConversion"/>
  </si>
  <si>
    <t>e=a*c+b*d</t>
    <phoneticPr fontId="63" type="noConversion"/>
  </si>
  <si>
    <t>f=a+b+e</t>
    <phoneticPr fontId="63" type="noConversion"/>
  </si>
  <si>
    <t>操作指引：</t>
    <phoneticPr fontId="29" type="noConversion"/>
  </si>
  <si>
    <r>
      <t>1</t>
    </r>
    <r>
      <rPr>
        <sz val="12"/>
        <rFont val="宋体"/>
        <family val="3"/>
        <charset val="134"/>
      </rPr>
      <t xml:space="preserve">、供应商报价表头及明细不变，并保留在报价表内作为支持资料；
</t>
    </r>
    <r>
      <rPr>
        <sz val="12"/>
        <rFont val="Calibri"/>
        <family val="2"/>
      </rPr>
      <t>2</t>
    </r>
    <r>
      <rPr>
        <sz val="12"/>
        <rFont val="宋体"/>
        <family val="3"/>
        <charset val="134"/>
      </rPr>
      <t>、</t>
    </r>
    <r>
      <rPr>
        <sz val="12"/>
        <rFont val="Calibri"/>
        <family val="2"/>
      </rPr>
      <t>Account</t>
    </r>
    <r>
      <rPr>
        <sz val="12"/>
        <rFont val="宋体"/>
        <family val="3"/>
        <charset val="134"/>
      </rPr>
      <t xml:space="preserve">新增工作表，粘贴此页作为标准模板；
</t>
    </r>
    <r>
      <rPr>
        <sz val="12"/>
        <rFont val="Calibri"/>
        <family val="2"/>
      </rPr>
      <t>3</t>
    </r>
    <r>
      <rPr>
        <sz val="12"/>
        <rFont val="宋体"/>
        <family val="3"/>
        <charset val="134"/>
      </rPr>
      <t>、按照颜色的标记，</t>
    </r>
    <r>
      <rPr>
        <sz val="12"/>
        <rFont val="Calibri"/>
        <family val="2"/>
      </rPr>
      <t>copy</t>
    </r>
    <r>
      <rPr>
        <sz val="12"/>
        <rFont val="宋体"/>
        <family val="3"/>
        <charset val="134"/>
      </rPr>
      <t xml:space="preserve">或填写相应的信息；
</t>
    </r>
    <r>
      <rPr>
        <sz val="12"/>
        <rFont val="Calibri"/>
        <family val="2"/>
      </rPr>
      <t>4</t>
    </r>
    <r>
      <rPr>
        <sz val="12"/>
        <rFont val="宋体"/>
        <family val="3"/>
        <charset val="134"/>
      </rPr>
      <t>、</t>
    </r>
    <r>
      <rPr>
        <sz val="12"/>
        <rFont val="Calibri"/>
        <family val="2"/>
      </rPr>
      <t>POSM</t>
    </r>
    <r>
      <rPr>
        <sz val="12"/>
        <rFont val="宋体"/>
        <family val="3"/>
        <charset val="134"/>
      </rPr>
      <t>项目名称开头增加展示品，</t>
    </r>
    <r>
      <rPr>
        <sz val="12"/>
        <rFont val="Calibri"/>
        <family val="2"/>
      </rPr>
      <t>Premium</t>
    </r>
    <r>
      <rPr>
        <sz val="12"/>
        <rFont val="宋体"/>
        <family val="3"/>
        <charset val="134"/>
      </rPr>
      <t>与</t>
    </r>
    <r>
      <rPr>
        <sz val="12"/>
        <rFont val="Calibri"/>
        <family val="2"/>
      </rPr>
      <t>EVNET</t>
    </r>
    <r>
      <rPr>
        <sz val="12"/>
        <rFont val="宋体"/>
        <family val="3"/>
        <charset val="134"/>
      </rPr>
      <t xml:space="preserve">保持供应商提供的项目名称不变；
</t>
    </r>
    <r>
      <rPr>
        <sz val="12"/>
        <rFont val="Calibri"/>
        <family val="2"/>
      </rPr>
      <t>5</t>
    </r>
    <r>
      <rPr>
        <sz val="12"/>
        <rFont val="宋体"/>
        <family val="3"/>
        <charset val="134"/>
      </rPr>
      <t xml:space="preserve">、创新优化比例，需要另外提供采购部确认邮件；
</t>
    </r>
    <r>
      <rPr>
        <sz val="12"/>
        <rFont val="Calibri"/>
        <family val="2"/>
      </rPr>
      <t>6</t>
    </r>
    <r>
      <rPr>
        <sz val="12"/>
        <rFont val="宋体"/>
        <family val="3"/>
        <charset val="134"/>
      </rPr>
      <t>、此页第</t>
    </r>
    <r>
      <rPr>
        <sz val="12"/>
        <rFont val="Calibri"/>
        <family val="2"/>
      </rPr>
      <t>41</t>
    </r>
    <r>
      <rPr>
        <sz val="12"/>
        <rFont val="宋体"/>
        <family val="3"/>
        <charset val="134"/>
      </rPr>
      <t>行</t>
    </r>
    <r>
      <rPr>
        <sz val="12"/>
        <rFont val="Calibri"/>
        <family val="2"/>
      </rPr>
      <t>-</t>
    </r>
    <r>
      <rPr>
        <sz val="12"/>
        <rFont val="宋体"/>
        <family val="3"/>
        <charset val="134"/>
      </rPr>
      <t>第</t>
    </r>
    <r>
      <rPr>
        <sz val="12"/>
        <rFont val="Calibri"/>
        <family val="2"/>
      </rPr>
      <t>105</t>
    </r>
    <r>
      <rPr>
        <sz val="12"/>
        <rFont val="宋体"/>
        <family val="3"/>
        <charset val="134"/>
      </rPr>
      <t>行，属于基础数据，无需变更，且在报价时隐藏信息。</t>
    </r>
    <phoneticPr fontId="29" type="noConversion"/>
  </si>
  <si>
    <r>
      <t>Account</t>
    </r>
    <r>
      <rPr>
        <sz val="12"/>
        <rFont val="宋体"/>
        <family val="3"/>
        <charset val="134"/>
      </rPr>
      <t>填写</t>
    </r>
    <phoneticPr fontId="29" type="noConversion"/>
  </si>
  <si>
    <r>
      <t>Copy</t>
    </r>
    <r>
      <rPr>
        <sz val="12"/>
        <rFont val="宋体"/>
        <family val="3"/>
        <charset val="134"/>
      </rPr>
      <t>内容</t>
    </r>
    <phoneticPr fontId="29" type="noConversion"/>
  </si>
  <si>
    <t>基础数据：</t>
    <phoneticPr fontId="29" type="noConversion"/>
  </si>
  <si>
    <r>
      <rPr>
        <sz val="11"/>
        <color theme="1"/>
        <rFont val="宋体"/>
        <family val="3"/>
        <charset val="134"/>
      </rPr>
      <t>项目管理费</t>
    </r>
    <phoneticPr fontId="63" type="noConversion"/>
  </si>
  <si>
    <t>P&amp;G COE</t>
    <phoneticPr fontId="29" type="noConversion"/>
  </si>
  <si>
    <t>P&amp;G Pur.</t>
    <phoneticPr fontId="29" type="noConversion"/>
  </si>
  <si>
    <r>
      <rPr>
        <sz val="12"/>
        <rFont val="宋体"/>
        <family val="3"/>
        <charset val="134"/>
      </rPr>
      <t>东莞易加</t>
    </r>
    <r>
      <rPr>
        <sz val="12"/>
        <rFont val="Calibri"/>
        <family val="2"/>
      </rPr>
      <t xml:space="preserve"> MW Display/ BBU/ BBS / Counter/ PNC center / My Castle</t>
    </r>
    <phoneticPr fontId="29" type="noConversion"/>
  </si>
  <si>
    <t>Irene Luo</t>
    <phoneticPr fontId="29" type="noConversion"/>
  </si>
  <si>
    <t>Yuki Qiu</t>
    <phoneticPr fontId="29" type="noConversion"/>
  </si>
  <si>
    <t>Sanny Song</t>
    <phoneticPr fontId="29" type="noConversion"/>
  </si>
  <si>
    <t>Ivy Lu</t>
    <phoneticPr fontId="29" type="noConversion"/>
  </si>
  <si>
    <t>Leo Lv</t>
    <phoneticPr fontId="29" type="noConversion"/>
  </si>
  <si>
    <r>
      <t>Brain (</t>
    </r>
    <r>
      <rPr>
        <sz val="12"/>
        <rFont val="宋体"/>
        <family val="3"/>
        <charset val="134"/>
      </rPr>
      <t>灵智精锐</t>
    </r>
    <r>
      <rPr>
        <sz val="12"/>
        <rFont val="Calibri"/>
        <family val="2"/>
      </rPr>
      <t>)HPP event</t>
    </r>
    <phoneticPr fontId="29" type="noConversion"/>
  </si>
  <si>
    <t>Rainbow Shi</t>
    <phoneticPr fontId="29" type="noConversion"/>
  </si>
  <si>
    <t>RX Premium</t>
    <phoneticPr fontId="29" type="noConversion"/>
  </si>
  <si>
    <t>Lock&amp;Lock Licence</t>
    <phoneticPr fontId="29" type="noConversion"/>
  </si>
  <si>
    <r>
      <rPr>
        <sz val="12"/>
        <rFont val="宋体"/>
        <family val="3"/>
        <charset val="134"/>
      </rPr>
      <t>北京益普索</t>
    </r>
    <r>
      <rPr>
        <sz val="12"/>
        <rFont val="Calibri"/>
        <family val="2"/>
      </rPr>
      <t>HPP (olay/skii)</t>
    </r>
    <phoneticPr fontId="29" type="noConversion"/>
  </si>
  <si>
    <t>TNS HPP event</t>
    <phoneticPr fontId="29" type="noConversion"/>
  </si>
  <si>
    <t>北方宗源（第三方公证）</t>
    <phoneticPr fontId="29" type="noConversion"/>
  </si>
  <si>
    <t>丽捷（HPP 灯片）</t>
    <phoneticPr fontId="29" type="noConversion"/>
  </si>
  <si>
    <t>品类</t>
    <phoneticPr fontId="29" type="noConversion"/>
  </si>
  <si>
    <t>品牌</t>
    <phoneticPr fontId="29" type="noConversion"/>
  </si>
  <si>
    <t>代码</t>
    <phoneticPr fontId="29" type="noConversion"/>
  </si>
  <si>
    <r>
      <t>HMRJOPRX</t>
    </r>
    <r>
      <rPr>
        <sz val="10.5"/>
        <rFont val="宋体"/>
        <family val="3"/>
        <charset val="134"/>
      </rPr>
      <t>新年新气象堆头</t>
    </r>
    <r>
      <rPr>
        <sz val="10.5"/>
        <rFont val="Calibri"/>
        <family val="2"/>
      </rPr>
      <t xml:space="preserve"> 150324001</t>
    </r>
    <phoneticPr fontId="29" type="noConversion"/>
  </si>
  <si>
    <r>
      <t>税码</t>
    </r>
    <r>
      <rPr>
        <sz val="12"/>
        <rFont val="Calibri"/>
        <family val="2"/>
      </rPr>
      <t>:(</t>
    </r>
    <r>
      <rPr>
        <sz val="12"/>
        <rFont val="宋体"/>
        <family val="3"/>
        <charset val="134"/>
      </rPr>
      <t>只适用于中国大陆供应商</t>
    </r>
    <r>
      <rPr>
        <sz val="12"/>
        <rFont val="Calibri"/>
        <family val="2"/>
      </rPr>
      <t>)</t>
    </r>
    <phoneticPr fontId="29" type="noConversion"/>
  </si>
  <si>
    <r>
      <rPr>
        <sz val="12"/>
        <rFont val="宋体"/>
        <family val="3"/>
        <charset val="134"/>
      </rPr>
      <t>项目描述</t>
    </r>
    <r>
      <rPr>
        <sz val="12"/>
        <rFont val="Calibri"/>
        <family val="2"/>
      </rPr>
      <t xml:space="preserve"> Item Description: </t>
    </r>
    <phoneticPr fontId="29" type="noConversion"/>
  </si>
  <si>
    <r>
      <rPr>
        <sz val="12"/>
        <color indexed="8"/>
        <rFont val="宋体"/>
        <family val="3"/>
        <charset val="134"/>
      </rPr>
      <t>展示品</t>
    </r>
    <r>
      <rPr>
        <sz val="12"/>
        <color indexed="8"/>
        <rFont val="Calibri"/>
        <family val="2"/>
      </rPr>
      <t>(</t>
    </r>
    <r>
      <rPr>
        <sz val="12"/>
        <color indexed="8"/>
        <rFont val="宋体"/>
        <family val="3"/>
        <charset val="134"/>
      </rPr>
      <t>含运输费安装费</t>
    </r>
    <r>
      <rPr>
        <sz val="12"/>
        <color indexed="8"/>
        <rFont val="Calibri"/>
        <family val="2"/>
      </rPr>
      <t xml:space="preserve">) PAD BR </t>
    </r>
    <r>
      <rPr>
        <sz val="12"/>
        <color indexed="8"/>
        <rFont val="宋体"/>
        <family val="3"/>
        <charset val="134"/>
      </rPr>
      <t>新年新气象</t>
    </r>
    <r>
      <rPr>
        <sz val="12"/>
        <color indexed="8"/>
        <rFont val="Calibri"/>
        <family val="2"/>
      </rPr>
      <t xml:space="preserve"> </t>
    </r>
    <r>
      <rPr>
        <sz val="12"/>
        <color indexed="8"/>
        <rFont val="宋体"/>
        <family val="3"/>
        <charset val="134"/>
      </rPr>
      <t>堆头</t>
    </r>
    <r>
      <rPr>
        <sz val="12"/>
        <color indexed="8"/>
        <rFont val="Calibri"/>
        <family val="2"/>
      </rPr>
      <t xml:space="preserve"> </t>
    </r>
    <r>
      <rPr>
        <sz val="12"/>
        <color indexed="8"/>
        <rFont val="宋体"/>
        <family val="3"/>
        <charset val="134"/>
      </rPr>
      <t>报价表</t>
    </r>
    <phoneticPr fontId="29" type="noConversion"/>
  </si>
  <si>
    <t>YLY</t>
    <phoneticPr fontId="29" type="noConversion"/>
  </si>
  <si>
    <r>
      <t>项目类型</t>
    </r>
    <r>
      <rPr>
        <b/>
        <sz val="10.5"/>
        <color theme="1"/>
        <rFont val="Calibri"/>
        <family val="2"/>
      </rPr>
      <t xml:space="preserve"> Category:</t>
    </r>
    <phoneticPr fontId="29" type="noConversion"/>
  </si>
  <si>
    <r>
      <t>赠品编码</t>
    </r>
    <r>
      <rPr>
        <b/>
        <sz val="10.5"/>
        <color theme="1"/>
        <rFont val="Calibri"/>
        <family val="2"/>
      </rPr>
      <t xml:space="preserve"> Item code:</t>
    </r>
    <phoneticPr fontId="29" type="noConversion"/>
  </si>
  <si>
    <t xml:space="preserve">Wise Item code: </t>
    <phoneticPr fontId="29" type="noConversion"/>
  </si>
  <si>
    <r>
      <t>3-11 PO  4-16</t>
    </r>
    <r>
      <rPr>
        <b/>
        <sz val="12"/>
        <rFont val="宋体"/>
        <family val="3"/>
        <charset val="134"/>
      </rPr>
      <t>交</t>
    </r>
    <r>
      <rPr>
        <b/>
        <sz val="12"/>
        <rFont val="Arial"/>
        <family val="2"/>
      </rPr>
      <t>20</t>
    </r>
    <r>
      <rPr>
        <b/>
        <sz val="12"/>
        <rFont val="宋体"/>
        <family val="3"/>
        <charset val="134"/>
      </rPr>
      <t>套</t>
    </r>
    <phoneticPr fontId="29" type="noConversion"/>
  </si>
  <si>
    <t>Sourcing way</t>
    <phoneticPr fontId="29" type="noConversion"/>
  </si>
  <si>
    <t>生产费</t>
    <phoneticPr fontId="29" type="noConversion"/>
  </si>
  <si>
    <t>服务费</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</si>
</sst>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 #,##0_ ;_ * \-#,##0_ ;_ * &quot;-&quot;_ ;_ @_ "/>
    <numFmt numFmtId="43" formatCode="_ * #,##0.00_ ;_ * \-#,##0.00_ ;_ * &quot;-&quot;??_ ;_ @_ "/>
    <numFmt numFmtId="176" formatCode="_-* #,##0.00_-;\-* #,##0.00_-;_-* &quot;-&quot;??_-;_-@_-"/>
    <numFmt numFmtId="177" formatCode="_-* #,##0_-;\-* #,##0_-;_-* &quot;-&quot;_-;_-@_-"/>
    <numFmt numFmtId="178" formatCode="0_);[Red]\(0\)"/>
    <numFmt numFmtId="179" formatCode="\¥#,##0.00;\¥\-#,##0.00"/>
    <numFmt numFmtId="180" formatCode="0.00_ "/>
    <numFmt numFmtId="181" formatCode="0.00_);[Red]\(0.00\)"/>
    <numFmt numFmtId="182" formatCode="0.0%"/>
    <numFmt numFmtId="183" formatCode="_-* #,##0.00_-;\-* #,##0.00_-;_-* &quot;-&quot;_-;_-@_-"/>
    <numFmt numFmtId="184" formatCode="0.0_);[Red]\(0.0\)"/>
    <numFmt numFmtId="185" formatCode="0.000_);[Red]\(0.000\)"/>
    <numFmt numFmtId="186" formatCode="0;_Ͽ"/>
    <numFmt numFmtId="187" formatCode="#,##0.00_ "/>
  </numFmts>
  <fonts count="93">
    <font>
      <sz val="11"/>
      <color indexed="8"/>
      <name val="宋体"/>
      <charset val="134"/>
    </font>
    <font>
      <sz val="11"/>
      <name val="微软雅黑"/>
      <family val="2"/>
      <charset val="134"/>
    </font>
    <font>
      <sz val="10"/>
      <name val="微软雅黑"/>
      <family val="2"/>
      <charset val="134"/>
    </font>
    <font>
      <b/>
      <sz val="18"/>
      <name val="微软雅黑"/>
      <family val="2"/>
      <charset val="134"/>
    </font>
    <font>
      <b/>
      <sz val="10"/>
      <name val="微软雅黑"/>
      <family val="2"/>
      <charset val="134"/>
    </font>
    <font>
      <sz val="10"/>
      <color indexed="10"/>
      <name val="微软雅黑"/>
      <family val="2"/>
      <charset val="134"/>
    </font>
    <font>
      <sz val="10"/>
      <color indexed="8"/>
      <name val="微软雅黑"/>
      <family val="2"/>
      <charset val="134"/>
    </font>
    <font>
      <sz val="11"/>
      <color indexed="8"/>
      <name val="微软雅黑"/>
      <family val="2"/>
      <charset val="134"/>
    </font>
    <font>
      <sz val="11"/>
      <color indexed="8"/>
      <name val="Calibri"/>
      <family val="2"/>
    </font>
    <font>
      <sz val="10"/>
      <color indexed="10"/>
      <name val="Arial"/>
      <family val="2"/>
    </font>
    <font>
      <sz val="10"/>
      <color indexed="8"/>
      <name val="宋体"/>
      <family val="3"/>
      <charset val="134"/>
    </font>
    <font>
      <b/>
      <sz val="12"/>
      <name val="微软雅黑"/>
      <family val="2"/>
      <charset val="134"/>
    </font>
    <font>
      <b/>
      <u/>
      <sz val="12"/>
      <name val="微软雅黑"/>
      <family val="2"/>
      <charset val="134"/>
    </font>
    <font>
      <b/>
      <u/>
      <sz val="11"/>
      <color indexed="10"/>
      <name val="微软雅黑"/>
      <family val="2"/>
      <charset val="134"/>
    </font>
    <font>
      <b/>
      <sz val="12"/>
      <color indexed="8"/>
      <name val="微软雅黑"/>
      <family val="2"/>
      <charset val="134"/>
    </font>
    <font>
      <b/>
      <sz val="11"/>
      <color indexed="10"/>
      <name val="微软雅黑"/>
      <family val="2"/>
      <charset val="134"/>
    </font>
    <font>
      <b/>
      <sz val="11"/>
      <color indexed="10"/>
      <name val="宋体"/>
      <family val="3"/>
      <charset val="134"/>
    </font>
    <font>
      <b/>
      <sz val="16"/>
      <color indexed="10"/>
      <name val="微软雅黑"/>
      <family val="2"/>
      <charset val="134"/>
    </font>
    <font>
      <b/>
      <sz val="12"/>
      <color indexed="10"/>
      <name val="微软雅黑"/>
      <family val="2"/>
      <charset val="134"/>
    </font>
    <font>
      <sz val="11"/>
      <color indexed="10"/>
      <name val="微软雅黑"/>
      <family val="2"/>
      <charset val="134"/>
    </font>
    <font>
      <sz val="12"/>
      <name val="微软雅黑"/>
      <family val="2"/>
      <charset val="134"/>
    </font>
    <font>
      <b/>
      <sz val="24"/>
      <name val="微软雅黑"/>
      <family val="2"/>
      <charset val="134"/>
    </font>
    <font>
      <sz val="24"/>
      <name val="微软雅黑"/>
      <family val="2"/>
      <charset val="134"/>
    </font>
    <font>
      <b/>
      <sz val="11"/>
      <color indexed="8"/>
      <name val="微软雅黑"/>
      <family val="2"/>
      <charset val="134"/>
    </font>
    <font>
      <b/>
      <sz val="9"/>
      <color indexed="8"/>
      <name val="微软雅黑"/>
      <family val="2"/>
      <charset val="134"/>
    </font>
    <font>
      <sz val="9"/>
      <color indexed="8"/>
      <name val="微软雅黑"/>
      <family val="2"/>
      <charset val="134"/>
    </font>
    <font>
      <sz val="9"/>
      <color indexed="10"/>
      <name val="微软雅黑"/>
      <family val="2"/>
      <charset val="134"/>
    </font>
    <font>
      <b/>
      <sz val="20"/>
      <color indexed="8"/>
      <name val="微软雅黑"/>
      <family val="2"/>
      <charset val="134"/>
    </font>
    <font>
      <sz val="9"/>
      <name val="微软雅黑"/>
      <family val="2"/>
      <charset val="134"/>
    </font>
    <font>
      <sz val="9"/>
      <name val="宋体"/>
      <family val="3"/>
      <charset val="134"/>
    </font>
    <font>
      <sz val="9"/>
      <name val="Arial"/>
      <family val="2"/>
    </font>
    <font>
      <sz val="9"/>
      <color indexed="8"/>
      <name val="Arial"/>
      <family val="2"/>
    </font>
    <font>
      <sz val="9"/>
      <color indexed="8"/>
      <name val="宋体"/>
      <family val="3"/>
      <charset val="134"/>
    </font>
    <font>
      <sz val="9"/>
      <color indexed="8"/>
      <name val="Calibri"/>
      <family val="2"/>
    </font>
    <font>
      <sz val="9"/>
      <color indexed="10"/>
      <name val="Arial"/>
      <family val="2"/>
    </font>
    <font>
      <u/>
      <sz val="9"/>
      <name val="微软雅黑"/>
      <family val="2"/>
      <charset val="134"/>
    </font>
    <font>
      <sz val="10"/>
      <name val="宋体"/>
      <family val="3"/>
      <charset val="134"/>
    </font>
    <font>
      <sz val="10"/>
      <name val="Arial"/>
      <family val="2"/>
    </font>
    <font>
      <b/>
      <sz val="10"/>
      <color indexed="10"/>
      <name val="宋体"/>
      <family val="3"/>
      <charset val="134"/>
    </font>
    <font>
      <b/>
      <sz val="10"/>
      <name val="Arial"/>
      <family val="2"/>
    </font>
    <font>
      <sz val="10"/>
      <color indexed="10"/>
      <name val="宋体"/>
      <family val="3"/>
      <charset val="134"/>
    </font>
    <font>
      <b/>
      <sz val="10"/>
      <name val="宋体"/>
      <family val="3"/>
      <charset val="134"/>
    </font>
    <font>
      <sz val="10"/>
      <name val="Book Antiqua"/>
      <family val="1"/>
    </font>
    <font>
      <sz val="10"/>
      <name val="新細明體"/>
      <family val="1"/>
    </font>
    <font>
      <b/>
      <sz val="10"/>
      <color indexed="10"/>
      <name val="Arial"/>
      <family val="2"/>
    </font>
    <font>
      <b/>
      <sz val="10"/>
      <color indexed="8"/>
      <name val="宋体"/>
      <family val="3"/>
      <charset val="134"/>
    </font>
    <font>
      <sz val="12"/>
      <name val="宋体"/>
      <family val="3"/>
      <charset val="134"/>
    </font>
    <font>
      <vertAlign val="superscript"/>
      <sz val="10"/>
      <name val="微软雅黑"/>
      <family val="2"/>
      <charset val="134"/>
    </font>
    <font>
      <vertAlign val="superscript"/>
      <sz val="9"/>
      <name val="微软雅黑"/>
      <family val="2"/>
      <charset val="134"/>
    </font>
    <font>
      <b/>
      <sz val="10"/>
      <name val="Book Antiqua"/>
      <family val="1"/>
    </font>
    <font>
      <sz val="11"/>
      <color indexed="8"/>
      <name val="宋体"/>
      <family val="3"/>
      <charset val="134"/>
    </font>
    <font>
      <sz val="9"/>
      <color indexed="81"/>
      <name val="宋体"/>
      <family val="3"/>
      <charset val="134"/>
    </font>
    <font>
      <sz val="12"/>
      <name val="Calibri"/>
      <family val="2"/>
    </font>
    <font>
      <sz val="12"/>
      <color indexed="10"/>
      <name val="Calibri"/>
      <family val="2"/>
    </font>
    <font>
      <sz val="12"/>
      <color indexed="8"/>
      <name val="宋体"/>
      <family val="3"/>
      <charset val="134"/>
    </font>
    <font>
      <sz val="12"/>
      <name val="新細明體"/>
      <family val="1"/>
    </font>
    <font>
      <sz val="12"/>
      <name val="Arial"/>
      <family val="2"/>
    </font>
    <font>
      <sz val="12"/>
      <name val="新細明體"/>
      <family val="1"/>
      <charset val="136"/>
    </font>
    <font>
      <b/>
      <sz val="12"/>
      <name val="Arial"/>
      <family val="2"/>
    </font>
    <font>
      <b/>
      <sz val="12"/>
      <name val="宋体"/>
      <family val="3"/>
      <charset val="134"/>
    </font>
    <font>
      <sz val="11"/>
      <color rgb="FFFF0000"/>
      <name val="宋体"/>
      <family val="3"/>
      <charset val="134"/>
    </font>
    <font>
      <sz val="12"/>
      <color indexed="12"/>
      <name val="Calibri"/>
      <family val="2"/>
    </font>
    <font>
      <b/>
      <sz val="16"/>
      <color indexed="12"/>
      <name val="新細明體"/>
      <family val="1"/>
      <charset val="136"/>
    </font>
    <font>
      <sz val="9"/>
      <name val="宋体"/>
      <family val="3"/>
      <charset val="134"/>
      <scheme val="minor"/>
    </font>
    <font>
      <b/>
      <sz val="12"/>
      <name val="Calibri"/>
      <family val="2"/>
    </font>
    <font>
      <sz val="11"/>
      <color theme="1"/>
      <name val="Calibri"/>
      <family val="2"/>
    </font>
    <font>
      <sz val="11"/>
      <color theme="1"/>
      <name val="宋体"/>
      <family val="3"/>
      <charset val="134"/>
    </font>
    <font>
      <sz val="12"/>
      <color indexed="12"/>
      <name val="宋体"/>
      <family val="3"/>
      <charset val="134"/>
    </font>
    <font>
      <sz val="10.5"/>
      <color rgb="FF000000"/>
      <name val="Calibri"/>
      <family val="2"/>
    </font>
    <font>
      <sz val="10.5"/>
      <color rgb="FFFF0000"/>
      <name val="Calibri"/>
      <family val="2"/>
    </font>
    <font>
      <sz val="11"/>
      <color theme="1"/>
      <name val="宋体"/>
      <family val="3"/>
      <charset val="134"/>
      <scheme val="minor"/>
    </font>
    <font>
      <b/>
      <sz val="12"/>
      <color indexed="10"/>
      <name val="宋体"/>
      <family val="3"/>
      <charset val="134"/>
    </font>
    <font>
      <b/>
      <sz val="10"/>
      <color theme="1"/>
      <name val="Arial"/>
      <family val="2"/>
    </font>
    <font>
      <sz val="10"/>
      <color theme="1"/>
      <name val="Arial"/>
      <family val="2"/>
    </font>
    <font>
      <sz val="10"/>
      <color theme="1"/>
      <name val="宋体"/>
      <family val="3"/>
      <charset val="134"/>
    </font>
    <font>
      <sz val="10.5"/>
      <name val="宋体"/>
      <family val="3"/>
      <charset val="134"/>
    </font>
    <font>
      <sz val="9"/>
      <name val="宋体"/>
      <family val="2"/>
      <charset val="134"/>
      <scheme val="minor"/>
    </font>
    <font>
      <sz val="10.5"/>
      <color indexed="8"/>
      <name val="宋体"/>
      <family val="3"/>
      <charset val="134"/>
    </font>
    <font>
      <sz val="10.5"/>
      <color indexed="8"/>
      <name val="微软雅黑"/>
      <family val="2"/>
      <charset val="134"/>
    </font>
    <font>
      <sz val="12"/>
      <name val="Book Antiqua"/>
      <family val="1"/>
    </font>
    <font>
      <sz val="10"/>
      <color indexed="9"/>
      <name val="Arial"/>
      <family val="2"/>
    </font>
    <font>
      <sz val="11"/>
      <color theme="1"/>
      <name val="宋体"/>
      <family val="2"/>
      <scheme val="minor"/>
    </font>
    <font>
      <b/>
      <sz val="10"/>
      <color indexed="8"/>
      <name val="Arial"/>
      <family val="2"/>
    </font>
    <font>
      <sz val="10"/>
      <color indexed="8"/>
      <name val="Arial"/>
      <family val="2"/>
    </font>
    <font>
      <b/>
      <sz val="10"/>
      <color rgb="FFFF0000"/>
      <name val="Arial"/>
      <family val="2"/>
    </font>
    <font>
      <b/>
      <sz val="10"/>
      <color rgb="FFFF0000"/>
      <name val="宋体"/>
      <family val="3"/>
      <charset val="134"/>
    </font>
    <font>
      <u/>
      <sz val="11"/>
      <color theme="10"/>
      <name val="宋体"/>
      <family val="3"/>
      <charset val="134"/>
    </font>
    <font>
      <sz val="11"/>
      <color theme="10"/>
      <name val="宋体"/>
      <family val="3"/>
      <charset val="134"/>
    </font>
    <font>
      <b/>
      <sz val="12"/>
      <color indexed="10"/>
      <name val="Arial"/>
      <family val="2"/>
    </font>
    <font>
      <b/>
      <sz val="12"/>
      <color theme="1"/>
      <name val="宋体"/>
      <family val="3"/>
      <charset val="134"/>
    </font>
    <font>
      <sz val="10.5"/>
      <name val="Calibri"/>
      <family val="2"/>
    </font>
    <font>
      <sz val="12"/>
      <color indexed="8"/>
      <name val="Calibri"/>
      <family val="2"/>
    </font>
    <font>
      <b/>
      <sz val="10.5"/>
      <color theme="1"/>
      <name val="Calibri"/>
      <family val="2"/>
    </font>
  </fonts>
  <fills count="23">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15"/>
        <bgColor indexed="64"/>
      </patternFill>
    </fill>
    <fill>
      <patternFill patternType="solid">
        <fgColor indexed="44"/>
        <bgColor indexed="64"/>
      </patternFill>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indexed="11"/>
        <bgColor indexed="64"/>
      </patternFill>
    </fill>
    <fill>
      <patternFill patternType="solid">
        <fgColor indexed="29"/>
        <bgColor indexed="64"/>
      </patternFill>
    </fill>
    <fill>
      <patternFill patternType="solid">
        <fgColor indexed="49"/>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DE9D9"/>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rgb="FFFFCC99"/>
        <bgColor indexed="64"/>
      </patternFill>
    </fill>
    <fill>
      <patternFill patternType="solid">
        <fgColor theme="6" tint="0.39997558519241921"/>
        <bgColor indexed="64"/>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6">
    <xf numFmtId="0" fontId="0" fillId="0" borderId="0">
      <alignment vertical="center"/>
    </xf>
    <xf numFmtId="41" fontId="50" fillId="0" borderId="0" applyFont="0" applyFill="0" applyBorder="0" applyAlignment="0" applyProtection="0">
      <alignment vertical="center"/>
    </xf>
    <xf numFmtId="0" fontId="50" fillId="0" borderId="0">
      <alignment vertical="center"/>
    </xf>
    <xf numFmtId="9" fontId="50" fillId="0" borderId="0" applyFont="0" applyFill="0" applyBorder="0" applyAlignment="0" applyProtection="0">
      <alignment vertical="center"/>
    </xf>
    <xf numFmtId="0" fontId="46" fillId="0" borderId="0">
      <alignment vertical="center"/>
    </xf>
    <xf numFmtId="0" fontId="46" fillId="0" borderId="0">
      <alignment vertical="center"/>
    </xf>
    <xf numFmtId="0" fontId="37" fillId="0" borderId="0">
      <alignment vertical="center"/>
    </xf>
    <xf numFmtId="0" fontId="46" fillId="0" borderId="0">
      <alignment vertical="center"/>
    </xf>
    <xf numFmtId="0" fontId="46" fillId="0" borderId="0">
      <alignment vertical="center"/>
    </xf>
    <xf numFmtId="0" fontId="46" fillId="0" borderId="0">
      <alignment vertical="center"/>
    </xf>
    <xf numFmtId="178" fontId="46" fillId="0" borderId="0" applyFont="0" applyFill="0" applyBorder="0" applyAlignment="0" applyProtection="0">
      <alignment vertical="center"/>
    </xf>
    <xf numFmtId="0" fontId="46" fillId="0" borderId="0">
      <alignment vertical="center"/>
    </xf>
    <xf numFmtId="0" fontId="46" fillId="0" borderId="0">
      <alignment vertical="center"/>
    </xf>
    <xf numFmtId="0" fontId="46" fillId="0" borderId="0">
      <alignment vertical="center"/>
    </xf>
    <xf numFmtId="176" fontId="46" fillId="0" borderId="0" applyFont="0" applyFill="0" applyBorder="0" applyAlignment="0" applyProtection="0">
      <alignment vertical="center"/>
    </xf>
    <xf numFmtId="0" fontId="50" fillId="0" borderId="0">
      <alignment vertical="center"/>
    </xf>
    <xf numFmtId="0" fontId="46" fillId="0" borderId="0">
      <alignment vertical="center"/>
    </xf>
    <xf numFmtId="0" fontId="50" fillId="0" borderId="0">
      <alignment vertical="center"/>
    </xf>
    <xf numFmtId="9" fontId="46" fillId="0" borderId="0" applyFont="0" applyFill="0" applyBorder="0" applyAlignment="0" applyProtection="0">
      <alignment vertical="center"/>
    </xf>
    <xf numFmtId="9" fontId="50" fillId="0" borderId="0" applyFont="0" applyFill="0" applyBorder="0" applyAlignment="0" applyProtection="0">
      <alignment vertical="center"/>
    </xf>
    <xf numFmtId="176" fontId="46" fillId="0" borderId="0" applyFont="0" applyFill="0" applyBorder="0" applyAlignment="0" applyProtection="0">
      <alignment vertical="center"/>
    </xf>
    <xf numFmtId="9" fontId="50" fillId="0" borderId="0" applyFont="0" applyFill="0" applyBorder="0" applyAlignment="0" applyProtection="0">
      <alignment vertical="center"/>
    </xf>
    <xf numFmtId="0" fontId="50" fillId="0" borderId="0">
      <alignment vertical="center"/>
    </xf>
    <xf numFmtId="0" fontId="46" fillId="0" borderId="0">
      <alignment vertical="center"/>
    </xf>
    <xf numFmtId="0" fontId="50" fillId="0" borderId="0">
      <alignment vertical="center"/>
    </xf>
    <xf numFmtId="0" fontId="50" fillId="0" borderId="0">
      <alignment vertical="center"/>
    </xf>
    <xf numFmtId="0" fontId="46" fillId="0" borderId="0">
      <alignment vertical="center"/>
    </xf>
    <xf numFmtId="0" fontId="50" fillId="0" borderId="0">
      <alignment vertical="center"/>
    </xf>
    <xf numFmtId="0" fontId="46" fillId="0" borderId="0">
      <alignment vertical="center"/>
    </xf>
    <xf numFmtId="177" fontId="46" fillId="0" borderId="0" applyFont="0" applyFill="0" applyBorder="0" applyAlignment="0" applyProtection="0">
      <alignment vertical="center"/>
    </xf>
    <xf numFmtId="0" fontId="37" fillId="0" borderId="0">
      <alignment vertical="center"/>
    </xf>
    <xf numFmtId="0" fontId="46" fillId="0" borderId="0"/>
    <xf numFmtId="0" fontId="46" fillId="0" borderId="0"/>
    <xf numFmtId="0" fontId="46" fillId="0" borderId="0"/>
    <xf numFmtId="0" fontId="46" fillId="0" borderId="0"/>
    <xf numFmtId="0" fontId="70" fillId="0" borderId="0"/>
    <xf numFmtId="0" fontId="46" fillId="0" borderId="0"/>
    <xf numFmtId="0" fontId="70" fillId="0" borderId="0">
      <alignment vertical="center"/>
    </xf>
    <xf numFmtId="43" fontId="81" fillId="0" borderId="0" applyFont="0" applyFill="0" applyBorder="0" applyAlignment="0" applyProtection="0">
      <alignment vertical="center"/>
    </xf>
    <xf numFmtId="0" fontId="70" fillId="0" borderId="0">
      <alignment vertical="center"/>
    </xf>
    <xf numFmtId="0" fontId="81" fillId="0" borderId="0"/>
    <xf numFmtId="0" fontId="86" fillId="0" borderId="0" applyNumberFormat="0" applyFill="0" applyBorder="0" applyAlignment="0" applyProtection="0">
      <alignment vertical="top"/>
      <protection locked="0"/>
    </xf>
    <xf numFmtId="0" fontId="46" fillId="0" borderId="0"/>
    <xf numFmtId="43" fontId="46" fillId="0" borderId="0" applyFont="0" applyFill="0" applyBorder="0" applyAlignment="0" applyProtection="0">
      <alignment vertical="center"/>
    </xf>
    <xf numFmtId="9" fontId="46" fillId="0" borderId="0" applyFont="0" applyFill="0" applyBorder="0" applyAlignment="0" applyProtection="0">
      <alignment vertical="center"/>
    </xf>
    <xf numFmtId="43" fontId="46" fillId="0" borderId="0" applyFont="0" applyFill="0" applyBorder="0" applyAlignment="0" applyProtection="0">
      <alignment vertical="center"/>
    </xf>
  </cellStyleXfs>
  <cellXfs count="746">
    <xf numFmtId="0" fontId="0" fillId="0" borderId="0" xfId="0" applyAlignment="1"/>
    <xf numFmtId="0" fontId="1" fillId="0" borderId="0" xfId="15" applyFont="1" applyFill="1" applyAlignment="1">
      <alignment horizontal="left"/>
    </xf>
    <xf numFmtId="0" fontId="1" fillId="0" borderId="0" xfId="5" applyFont="1" applyFill="1" applyAlignment="1" applyProtection="1">
      <alignment horizontal="left" vertical="center"/>
      <protection locked="0"/>
    </xf>
    <xf numFmtId="0" fontId="2" fillId="0" borderId="0" xfId="5" applyFont="1" applyFill="1" applyAlignment="1" applyProtection="1">
      <protection locked="0"/>
    </xf>
    <xf numFmtId="0" fontId="1" fillId="0" borderId="0" xfId="5" applyFont="1" applyFill="1" applyAlignment="1" applyProtection="1">
      <protection locked="0"/>
    </xf>
    <xf numFmtId="0" fontId="2" fillId="0" borderId="0" xfId="15" applyFont="1" applyFill="1" applyAlignment="1">
      <alignment horizontal="left"/>
    </xf>
    <xf numFmtId="0" fontId="1" fillId="0" borderId="0" xfId="15" applyFont="1" applyFill="1" applyAlignment="1"/>
    <xf numFmtId="0" fontId="1" fillId="0" borderId="0" xfId="15" applyFont="1" applyFill="1" applyAlignment="1">
      <alignment horizontal="center" vertical="center"/>
    </xf>
    <xf numFmtId="0" fontId="1" fillId="0" borderId="0" xfId="15" applyFont="1" applyFill="1" applyAlignment="1">
      <alignment horizontal="center"/>
    </xf>
    <xf numFmtId="2" fontId="1" fillId="0" borderId="0" xfId="15" applyNumberFormat="1" applyFont="1" applyFill="1" applyAlignment="1">
      <alignment horizontal="center"/>
    </xf>
    <xf numFmtId="181" fontId="1" fillId="0" borderId="0" xfId="15" applyNumberFormat="1" applyFont="1" applyFill="1" applyAlignment="1">
      <alignment horizontal="center"/>
    </xf>
    <xf numFmtId="0" fontId="1" fillId="0" borderId="0" xfId="15" applyFont="1" applyFill="1" applyAlignment="1">
      <alignment horizontal="left" vertical="center" wrapText="1"/>
    </xf>
    <xf numFmtId="0" fontId="1" fillId="0" borderId="0" xfId="15" applyFont="1" applyFill="1" applyAlignment="1">
      <alignment horizontal="left" vertical="center"/>
    </xf>
    <xf numFmtId="2" fontId="1" fillId="0" borderId="0" xfId="15" applyNumberFormat="1" applyFont="1" applyFill="1" applyAlignment="1">
      <alignment horizontal="left"/>
    </xf>
    <xf numFmtId="181" fontId="1" fillId="0" borderId="0" xfId="15" applyNumberFormat="1" applyFont="1" applyFill="1" applyAlignment="1">
      <alignment horizontal="left"/>
    </xf>
    <xf numFmtId="181" fontId="1" fillId="0" borderId="0" xfId="15" applyNumberFormat="1" applyFont="1" applyFill="1" applyAlignment="1">
      <alignment horizontal="left" vertical="center" wrapText="1"/>
    </xf>
    <xf numFmtId="0" fontId="4" fillId="0" borderId="2" xfId="5" applyFont="1" applyFill="1" applyBorder="1" applyAlignment="1">
      <alignment horizontal="left" vertical="center"/>
    </xf>
    <xf numFmtId="0" fontId="4" fillId="0" borderId="2" xfId="5" applyFont="1" applyFill="1" applyBorder="1" applyAlignment="1">
      <alignment vertical="center" wrapText="1"/>
    </xf>
    <xf numFmtId="0" fontId="4" fillId="0" borderId="2" xfId="5" applyFont="1" applyFill="1" applyBorder="1" applyAlignment="1">
      <alignment horizontal="left" vertical="center" wrapText="1"/>
    </xf>
    <xf numFmtId="2" fontId="4" fillId="0" borderId="2" xfId="5" applyNumberFormat="1" applyFont="1" applyFill="1" applyBorder="1" applyAlignment="1">
      <alignment horizontal="left" vertical="center" wrapText="1"/>
    </xf>
    <xf numFmtId="181" fontId="4" fillId="0" borderId="2" xfId="5" applyNumberFormat="1" applyFont="1" applyFill="1" applyBorder="1" applyAlignment="1">
      <alignment horizontal="left" vertical="center" wrapText="1"/>
    </xf>
    <xf numFmtId="0" fontId="2" fillId="0" borderId="2" xfId="5" applyFont="1" applyFill="1" applyBorder="1" applyAlignment="1">
      <alignment horizontal="left" vertical="center"/>
    </xf>
    <xf numFmtId="0" fontId="2" fillId="0" borderId="2" xfId="5" applyFont="1" applyFill="1" applyBorder="1" applyAlignment="1">
      <alignment vertical="center" wrapText="1"/>
    </xf>
    <xf numFmtId="0" fontId="2" fillId="0" borderId="2" xfId="9" applyFont="1" applyFill="1" applyBorder="1" applyAlignment="1">
      <alignment vertical="center"/>
    </xf>
    <xf numFmtId="0" fontId="2" fillId="2" borderId="2" xfId="9" applyFont="1" applyFill="1" applyBorder="1" applyAlignment="1">
      <alignment horizontal="center" vertical="center"/>
    </xf>
    <xf numFmtId="180" fontId="2" fillId="2" borderId="2" xfId="4" applyNumberFormat="1" applyFont="1" applyFill="1" applyBorder="1" applyAlignment="1">
      <alignment horizontal="center" vertical="center"/>
    </xf>
    <xf numFmtId="180" fontId="2" fillId="2" borderId="2" xfId="5" applyNumberFormat="1" applyFont="1" applyFill="1" applyBorder="1" applyAlignment="1">
      <alignment horizontal="left" vertical="center" wrapText="1"/>
    </xf>
    <xf numFmtId="181" fontId="2" fillId="0" borderId="2" xfId="5" applyNumberFormat="1" applyFont="1" applyFill="1" applyBorder="1" applyAlignment="1">
      <alignment horizontal="left" vertical="center" wrapText="1"/>
    </xf>
    <xf numFmtId="180" fontId="2" fillId="0" borderId="2" xfId="5" applyNumberFormat="1" applyFont="1" applyFill="1" applyBorder="1" applyAlignment="1">
      <alignment horizontal="left" vertical="center" wrapText="1"/>
    </xf>
    <xf numFmtId="180" fontId="2" fillId="2" borderId="2" xfId="9" applyNumberFormat="1" applyFont="1" applyFill="1" applyBorder="1" applyAlignment="1">
      <alignment horizontal="center" vertical="center"/>
    </xf>
    <xf numFmtId="0" fontId="1" fillId="2" borderId="2" xfId="5" applyFont="1" applyFill="1" applyBorder="1" applyAlignment="1" applyProtection="1">
      <alignment horizontal="left" vertical="center"/>
      <protection locked="0"/>
    </xf>
    <xf numFmtId="0" fontId="2" fillId="2" borderId="2" xfId="5" applyFont="1" applyFill="1" applyBorder="1" applyAlignment="1">
      <alignment horizontal="center" vertical="center" wrapText="1"/>
    </xf>
    <xf numFmtId="0" fontId="5" fillId="0" borderId="2" xfId="9" applyFont="1" applyFill="1" applyBorder="1" applyAlignment="1">
      <alignment vertical="center"/>
    </xf>
    <xf numFmtId="180" fontId="5" fillId="2" borderId="2" xfId="9" applyNumberFormat="1" applyFont="1" applyFill="1" applyBorder="1" applyAlignment="1">
      <alignment horizontal="center" vertical="center"/>
    </xf>
    <xf numFmtId="180" fontId="5" fillId="2" borderId="2" xfId="5" applyNumberFormat="1" applyFont="1" applyFill="1" applyBorder="1" applyAlignment="1">
      <alignment horizontal="left" vertical="center" wrapText="1"/>
    </xf>
    <xf numFmtId="181" fontId="5" fillId="0" borderId="2" xfId="5" applyNumberFormat="1" applyFont="1" applyFill="1" applyBorder="1" applyAlignment="1">
      <alignment horizontal="left" vertical="center" wrapText="1"/>
    </xf>
    <xf numFmtId="0" fontId="6" fillId="0" borderId="2" xfId="5" applyFont="1" applyFill="1" applyBorder="1" applyAlignment="1">
      <alignment vertical="center" wrapText="1"/>
    </xf>
    <xf numFmtId="0" fontId="6" fillId="0" borderId="2" xfId="5" applyFont="1" applyFill="1" applyBorder="1" applyAlignment="1">
      <alignment horizontal="left" vertical="center" wrapText="1"/>
    </xf>
    <xf numFmtId="181" fontId="7" fillId="0" borderId="2" xfId="5" applyNumberFormat="1" applyFont="1" applyFill="1" applyBorder="1" applyAlignment="1" applyProtection="1">
      <alignment horizontal="left" vertical="center"/>
      <protection locked="0"/>
    </xf>
    <xf numFmtId="0" fontId="2" fillId="0" borderId="2" xfId="5" applyFont="1" applyFill="1" applyBorder="1" applyAlignment="1" applyProtection="1">
      <alignment horizontal="left"/>
      <protection locked="0"/>
    </xf>
    <xf numFmtId="0" fontId="2" fillId="3" borderId="2" xfId="5" applyFont="1" applyFill="1" applyBorder="1" applyAlignment="1">
      <alignment horizontal="left" vertical="center" wrapText="1"/>
    </xf>
    <xf numFmtId="0" fontId="2" fillId="3" borderId="2" xfId="5" applyFont="1" applyFill="1" applyBorder="1" applyAlignment="1">
      <alignment vertical="center"/>
    </xf>
    <xf numFmtId="0" fontId="2" fillId="3" borderId="2" xfId="5" applyFont="1" applyFill="1" applyBorder="1" applyAlignment="1">
      <alignment horizontal="center"/>
    </xf>
    <xf numFmtId="180" fontId="2" fillId="3" borderId="2" xfId="5" applyNumberFormat="1" applyFont="1" applyFill="1" applyBorder="1" applyAlignment="1">
      <alignment horizontal="center" vertical="center" wrapText="1"/>
    </xf>
    <xf numFmtId="181" fontId="2" fillId="3" borderId="2" xfId="5" applyNumberFormat="1" applyFont="1" applyFill="1" applyBorder="1" applyAlignment="1">
      <alignment horizontal="left"/>
    </xf>
    <xf numFmtId="0" fontId="2" fillId="3" borderId="2" xfId="5" applyFont="1" applyFill="1" applyBorder="1" applyAlignment="1">
      <alignment horizontal="center" vertical="center" wrapText="1"/>
    </xf>
    <xf numFmtId="0" fontId="2" fillId="0" borderId="2" xfId="5" applyFont="1" applyFill="1" applyBorder="1" applyAlignment="1">
      <alignment horizontal="left" vertical="center" wrapText="1"/>
    </xf>
    <xf numFmtId="0" fontId="2" fillId="4" borderId="2" xfId="5" applyFont="1" applyFill="1" applyBorder="1" applyAlignment="1">
      <alignment vertical="center"/>
    </xf>
    <xf numFmtId="9" fontId="2" fillId="5" borderId="2" xfId="5" applyNumberFormat="1" applyFont="1" applyFill="1" applyBorder="1" applyAlignment="1">
      <alignment horizontal="center" vertical="center" wrapText="1"/>
    </xf>
    <xf numFmtId="0" fontId="2" fillId="4" borderId="2" xfId="5" applyFont="1" applyFill="1" applyBorder="1" applyAlignment="1">
      <alignment horizontal="center"/>
    </xf>
    <xf numFmtId="9" fontId="2" fillId="0" borderId="2" xfId="5" applyNumberFormat="1" applyFont="1" applyFill="1" applyBorder="1" applyAlignment="1">
      <alignment horizontal="center" vertical="center" wrapText="1"/>
    </xf>
    <xf numFmtId="0" fontId="2" fillId="5" borderId="2" xfId="5" applyFont="1" applyFill="1" applyBorder="1" applyAlignment="1">
      <alignment horizontal="center" vertical="center" wrapText="1"/>
    </xf>
    <xf numFmtId="180" fontId="2" fillId="4" borderId="2" xfId="5" applyNumberFormat="1" applyFont="1" applyFill="1" applyBorder="1" applyAlignment="1">
      <alignment horizontal="center"/>
    </xf>
    <xf numFmtId="0" fontId="2" fillId="0" borderId="2" xfId="5" applyFont="1" applyFill="1" applyBorder="1" applyAlignment="1">
      <alignment horizontal="center" vertical="center" wrapText="1"/>
    </xf>
    <xf numFmtId="180" fontId="2" fillId="0" borderId="2" xfId="5" applyNumberFormat="1" applyFont="1" applyFill="1" applyBorder="1" applyAlignment="1">
      <alignment horizontal="center" vertical="center" wrapText="1"/>
    </xf>
    <xf numFmtId="180" fontId="2" fillId="0" borderId="2" xfId="19" applyNumberFormat="1" applyFont="1" applyFill="1" applyBorder="1" applyAlignment="1">
      <alignment horizontal="center" vertical="center" wrapText="1"/>
    </xf>
    <xf numFmtId="0" fontId="2" fillId="4" borderId="2" xfId="5" applyFont="1" applyFill="1" applyBorder="1" applyAlignment="1">
      <alignment horizontal="left" vertical="center" wrapText="1"/>
    </xf>
    <xf numFmtId="0" fontId="1" fillId="0" borderId="0" xfId="5" applyFont="1" applyFill="1" applyAlignment="1" applyProtection="1">
      <alignment horizontal="left"/>
      <protection locked="0"/>
    </xf>
    <xf numFmtId="0" fontId="2" fillId="0" borderId="0" xfId="5" applyFont="1" applyFill="1" applyBorder="1" applyAlignment="1">
      <alignment vertical="center"/>
    </xf>
    <xf numFmtId="181" fontId="2" fillId="0" borderId="0" xfId="5" applyNumberFormat="1" applyFont="1" applyFill="1" applyBorder="1" applyAlignment="1">
      <alignment vertical="center"/>
    </xf>
    <xf numFmtId="0" fontId="2" fillId="0" borderId="0" xfId="5" applyFont="1" applyFill="1" applyBorder="1" applyAlignment="1">
      <alignment horizontal="left" vertical="center" wrapText="1"/>
    </xf>
    <xf numFmtId="181" fontId="2" fillId="0" borderId="0" xfId="5" applyNumberFormat="1" applyFont="1" applyFill="1" applyBorder="1" applyAlignment="1">
      <alignment horizontal="left" vertical="center" wrapText="1"/>
    </xf>
    <xf numFmtId="0" fontId="2" fillId="0" borderId="0" xfId="5" applyFont="1" applyFill="1" applyBorder="1" applyAlignment="1">
      <alignment horizontal="left" vertical="center"/>
    </xf>
    <xf numFmtId="0" fontId="2" fillId="0" borderId="0" xfId="5" applyFont="1" applyFill="1" applyBorder="1" applyAlignment="1">
      <alignment horizontal="center" vertical="center"/>
    </xf>
    <xf numFmtId="2" fontId="2" fillId="0" borderId="0" xfId="5" applyNumberFormat="1" applyFont="1" applyFill="1" applyBorder="1" applyAlignment="1">
      <alignment horizontal="center" vertical="center"/>
    </xf>
    <xf numFmtId="181" fontId="2" fillId="0" borderId="0" xfId="5" applyNumberFormat="1" applyFont="1" applyFill="1" applyBorder="1" applyAlignment="1">
      <alignment horizontal="center" vertical="center"/>
    </xf>
    <xf numFmtId="0" fontId="2" fillId="0" borderId="0" xfId="5" applyFont="1" applyFill="1" applyAlignment="1" applyProtection="1">
      <alignment horizontal="left"/>
      <protection locked="0"/>
    </xf>
    <xf numFmtId="0" fontId="8" fillId="6" borderId="2" xfId="17" applyFont="1" applyFill="1" applyBorder="1" applyAlignment="1">
      <alignment horizontal="center" vertical="center"/>
    </xf>
    <xf numFmtId="0" fontId="0" fillId="6" borderId="2" xfId="17" applyFont="1" applyFill="1" applyBorder="1" applyAlignment="1">
      <alignment horizontal="center" vertical="center"/>
    </xf>
    <xf numFmtId="0" fontId="2" fillId="0" borderId="0" xfId="5" applyFont="1" applyFill="1" applyAlignment="1" applyProtection="1">
      <alignment horizontal="center"/>
      <protection locked="0"/>
    </xf>
    <xf numFmtId="2" fontId="2" fillId="0" borderId="0" xfId="5" applyNumberFormat="1" applyFont="1" applyFill="1" applyAlignment="1" applyProtection="1">
      <alignment horizontal="center"/>
      <protection locked="0"/>
    </xf>
    <xf numFmtId="181" fontId="2" fillId="0" borderId="0" xfId="5" applyNumberFormat="1" applyFont="1" applyFill="1" applyAlignment="1" applyProtection="1">
      <alignment horizontal="center"/>
      <protection locked="0"/>
    </xf>
    <xf numFmtId="0" fontId="2" fillId="0" borderId="0" xfId="5" applyFont="1" applyFill="1" applyAlignment="1" applyProtection="1">
      <alignment horizontal="left" vertical="center" wrapText="1"/>
      <protection locked="0"/>
    </xf>
    <xf numFmtId="0" fontId="5" fillId="0" borderId="2" xfId="5" applyFont="1" applyFill="1" applyBorder="1" applyAlignment="1">
      <alignment horizontal="left" vertical="center" wrapText="1"/>
    </xf>
    <xf numFmtId="2" fontId="9" fillId="0" borderId="2" xfId="17" applyNumberFormat="1" applyFont="1" applyBorder="1" applyAlignment="1">
      <alignment horizontal="center" vertical="center"/>
    </xf>
    <xf numFmtId="182" fontId="9" fillId="0" borderId="2" xfId="19" applyNumberFormat="1" applyFont="1" applyBorder="1" applyAlignment="1">
      <alignment horizontal="center" vertical="center"/>
    </xf>
    <xf numFmtId="0" fontId="0" fillId="7" borderId="2" xfId="17" applyFont="1" applyFill="1" applyBorder="1" applyAlignment="1">
      <alignment horizontal="left" vertical="center"/>
    </xf>
    <xf numFmtId="2" fontId="10" fillId="7" borderId="2" xfId="17" applyNumberFormat="1" applyFont="1" applyFill="1" applyBorder="1" applyAlignment="1">
      <alignment horizontal="center" vertical="center"/>
    </xf>
    <xf numFmtId="182" fontId="9" fillId="7" borderId="2" xfId="19" applyNumberFormat="1" applyFont="1" applyFill="1" applyBorder="1" applyAlignment="1">
      <alignment horizontal="center" vertical="center"/>
    </xf>
    <xf numFmtId="0" fontId="4" fillId="0" borderId="0" xfId="5" applyFont="1" applyFill="1" applyBorder="1" applyAlignment="1">
      <alignment horizontal="left" vertical="center" wrapText="1"/>
    </xf>
    <xf numFmtId="0" fontId="4" fillId="0" borderId="0" xfId="5" applyFont="1" applyFill="1" applyBorder="1" applyAlignment="1">
      <alignment horizontal="center" vertical="center" wrapText="1"/>
    </xf>
    <xf numFmtId="182" fontId="4" fillId="0" borderId="0" xfId="5" applyNumberFormat="1" applyFont="1" applyFill="1" applyBorder="1" applyAlignment="1" applyProtection="1">
      <alignment horizontal="center" vertical="center"/>
      <protection locked="0"/>
    </xf>
    <xf numFmtId="0" fontId="11" fillId="0" borderId="0" xfId="5" applyFont="1" applyFill="1" applyAlignment="1" applyProtection="1">
      <protection locked="0"/>
    </xf>
    <xf numFmtId="0" fontId="11" fillId="0" borderId="0" xfId="5" applyFont="1" applyFill="1" applyAlignment="1" applyProtection="1">
      <alignment horizontal="center" vertical="center"/>
      <protection locked="0"/>
    </xf>
    <xf numFmtId="0" fontId="1" fillId="0" borderId="0" xfId="5" applyFont="1" applyFill="1" applyAlignment="1" applyProtection="1">
      <alignment horizontal="center"/>
      <protection locked="0"/>
    </xf>
    <xf numFmtId="2" fontId="1" fillId="0" borderId="0" xfId="5" applyNumberFormat="1" applyFont="1" applyFill="1" applyAlignment="1" applyProtection="1">
      <alignment horizontal="center"/>
      <protection locked="0"/>
    </xf>
    <xf numFmtId="181" fontId="4" fillId="0" borderId="0" xfId="5" applyNumberFormat="1" applyFont="1" applyFill="1" applyAlignment="1" applyProtection="1">
      <alignment horizontal="center"/>
      <protection locked="0"/>
    </xf>
    <xf numFmtId="31" fontId="12" fillId="0" borderId="0" xfId="5" applyNumberFormat="1" applyFont="1" applyFill="1" applyAlignment="1" applyProtection="1">
      <alignment horizontal="left" vertical="center" wrapText="1"/>
      <protection locked="0"/>
    </xf>
    <xf numFmtId="0" fontId="4" fillId="0" borderId="0" xfId="5" applyFont="1" applyFill="1" applyAlignment="1" applyProtection="1">
      <protection locked="0"/>
    </xf>
    <xf numFmtId="0" fontId="4" fillId="0" borderId="0" xfId="5" applyFont="1" applyFill="1" applyAlignment="1" applyProtection="1">
      <alignment horizontal="center" vertical="center"/>
      <protection locked="0"/>
    </xf>
    <xf numFmtId="0" fontId="4" fillId="0" borderId="0" xfId="5" applyFont="1" applyFill="1" applyAlignment="1" applyProtection="1">
      <alignment horizontal="center"/>
      <protection locked="0"/>
    </xf>
    <xf numFmtId="181" fontId="1" fillId="0" borderId="0" xfId="5" applyNumberFormat="1" applyFont="1" applyFill="1" applyAlignment="1" applyProtection="1">
      <alignment horizontal="center"/>
      <protection locked="0"/>
    </xf>
    <xf numFmtId="0" fontId="1" fillId="0" borderId="0" xfId="5" applyFont="1" applyFill="1" applyAlignment="1" applyProtection="1">
      <alignment horizontal="left" vertical="center" wrapText="1"/>
      <protection locked="0"/>
    </xf>
    <xf numFmtId="0" fontId="13" fillId="0" borderId="0" xfId="0" applyFont="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1" fillId="0" borderId="2" xfId="8" applyFont="1" applyBorder="1" applyAlignment="1">
      <alignment horizontal="center" vertical="center" wrapText="1"/>
    </xf>
    <xf numFmtId="0" fontId="7" fillId="0" borderId="2" xfId="0" applyFont="1" applyBorder="1" applyAlignment="1">
      <alignment vertical="center"/>
    </xf>
    <xf numFmtId="0" fontId="1" fillId="0" borderId="2" xfId="0" applyFont="1" applyFill="1" applyBorder="1" applyAlignment="1">
      <alignment vertical="center" wrapText="1"/>
    </xf>
    <xf numFmtId="0" fontId="1" fillId="3" borderId="2" xfId="0" applyFont="1" applyFill="1" applyBorder="1" applyAlignment="1">
      <alignment horizontal="center" vertical="center"/>
    </xf>
    <xf numFmtId="0" fontId="7" fillId="0" borderId="2" xfId="0" applyFont="1" applyBorder="1" applyAlignment="1">
      <alignment horizontal="center"/>
    </xf>
    <xf numFmtId="0" fontId="7" fillId="0" borderId="2" xfId="0" applyFont="1" applyFill="1" applyBorder="1" applyAlignment="1">
      <alignment horizontal="center"/>
    </xf>
    <xf numFmtId="0" fontId="1" fillId="0" borderId="2" xfId="0" applyFont="1" applyFill="1" applyBorder="1" applyAlignment="1">
      <alignment horizontal="center"/>
    </xf>
    <xf numFmtId="0" fontId="15" fillId="0" borderId="2" xfId="0" applyFont="1" applyBorder="1" applyAlignment="1">
      <alignment horizontal="center"/>
    </xf>
    <xf numFmtId="0" fontId="7" fillId="0" borderId="0" xfId="0" applyFont="1" applyFill="1" applyAlignment="1">
      <alignment vertical="center"/>
    </xf>
    <xf numFmtId="0" fontId="15" fillId="0" borderId="2" xfId="8" applyFont="1" applyFill="1" applyBorder="1" applyAlignment="1">
      <alignment horizontal="center" vertical="center" wrapText="1"/>
    </xf>
    <xf numFmtId="0" fontId="1" fillId="0" borderId="2" xfId="8" applyFont="1" applyFill="1" applyBorder="1" applyAlignment="1">
      <alignment horizontal="center" vertical="center" wrapText="1"/>
    </xf>
    <xf numFmtId="0" fontId="15" fillId="0" borderId="2" xfId="8" applyFont="1" applyBorder="1" applyAlignment="1">
      <alignment horizontal="center" vertical="center" wrapText="1"/>
    </xf>
    <xf numFmtId="0" fontId="7" fillId="3" borderId="2" xfId="0" applyFont="1" applyFill="1" applyBorder="1" applyAlignment="1">
      <alignment horizontal="center"/>
    </xf>
    <xf numFmtId="0" fontId="16" fillId="0" borderId="2" xfId="0" applyFont="1" applyFill="1" applyBorder="1" applyAlignment="1">
      <alignment horizontal="center"/>
    </xf>
    <xf numFmtId="0" fontId="1" fillId="3" borderId="2" xfId="0" applyFont="1" applyFill="1" applyBorder="1" applyAlignment="1">
      <alignment horizontal="center"/>
    </xf>
    <xf numFmtId="0" fontId="7" fillId="0" borderId="2" xfId="0" applyFont="1" applyBorder="1" applyAlignment="1"/>
    <xf numFmtId="0" fontId="7" fillId="0" borderId="0" xfId="0" applyFont="1" applyFill="1" applyAlignment="1">
      <alignment horizontal="center" vertical="center"/>
    </xf>
    <xf numFmtId="9" fontId="1" fillId="0" borderId="2" xfId="8" applyNumberFormat="1" applyFont="1" applyBorder="1" applyAlignment="1">
      <alignment horizontal="center" vertical="center" wrapText="1"/>
    </xf>
    <xf numFmtId="9" fontId="1" fillId="0" borderId="2" xfId="8" applyNumberFormat="1" applyFont="1" applyFill="1" applyBorder="1" applyAlignment="1">
      <alignment horizontal="center" vertical="center" wrapText="1"/>
    </xf>
    <xf numFmtId="0" fontId="16" fillId="0" borderId="2" xfId="0" applyFont="1" applyBorder="1" applyAlignment="1">
      <alignment horizontal="center"/>
    </xf>
    <xf numFmtId="0" fontId="0" fillId="0" borderId="2" xfId="0" applyBorder="1" applyAlignment="1">
      <alignment horizontal="center"/>
    </xf>
    <xf numFmtId="9" fontId="7" fillId="3" borderId="2" xfId="0" applyNumberFormat="1" applyFont="1" applyFill="1" applyBorder="1" applyAlignment="1">
      <alignment horizontal="center"/>
    </xf>
    <xf numFmtId="9" fontId="7" fillId="0" borderId="0" xfId="3" applyFont="1" applyAlignment="1">
      <alignment horizontal="center" vertical="center"/>
    </xf>
    <xf numFmtId="0" fontId="7" fillId="8" borderId="3" xfId="0" applyFont="1" applyFill="1" applyBorder="1" applyAlignment="1">
      <alignment horizontal="center" vertical="center" wrapText="1"/>
    </xf>
    <xf numFmtId="0" fontId="7" fillId="8" borderId="3" xfId="0" applyFont="1" applyFill="1" applyBorder="1" applyAlignment="1">
      <alignment horizontal="center" wrapText="1"/>
    </xf>
    <xf numFmtId="0" fontId="1" fillId="0" borderId="3" xfId="8" applyFont="1" applyFill="1" applyBorder="1" applyAlignment="1">
      <alignment horizontal="center" vertical="center" wrapText="1"/>
    </xf>
    <xf numFmtId="0" fontId="1" fillId="0" borderId="3" xfId="8" applyFont="1" applyBorder="1" applyAlignment="1">
      <alignment horizontal="center" vertical="center" wrapText="1"/>
    </xf>
    <xf numFmtId="0" fontId="1" fillId="0" borderId="2" xfId="8" applyFont="1" applyBorder="1" applyAlignment="1">
      <alignment vertical="center" wrapText="1"/>
    </xf>
    <xf numFmtId="0" fontId="1" fillId="3" borderId="2" xfId="0" applyFont="1" applyFill="1" applyBorder="1" applyAlignment="1"/>
    <xf numFmtId="9" fontId="1" fillId="3" borderId="2" xfId="8" applyNumberFormat="1" applyFont="1" applyFill="1" applyBorder="1" applyAlignment="1">
      <alignment horizontal="center" vertical="center" wrapText="1"/>
    </xf>
    <xf numFmtId="2" fontId="7" fillId="0" borderId="2" xfId="0" applyNumberFormat="1" applyFont="1" applyBorder="1" applyAlignment="1">
      <alignment horizontal="center"/>
    </xf>
    <xf numFmtId="0" fontId="7" fillId="7" borderId="0" xfId="0" applyFont="1" applyFill="1" applyAlignment="1">
      <alignment horizontal="center" vertical="center"/>
    </xf>
    <xf numFmtId="0" fontId="17" fillId="0" borderId="1" xfId="0" applyFont="1" applyFill="1" applyBorder="1" applyAlignment="1">
      <alignment vertical="center"/>
    </xf>
    <xf numFmtId="0" fontId="2" fillId="0" borderId="3" xfId="0" applyFont="1" applyFill="1" applyBorder="1" applyAlignment="1">
      <alignment vertical="center" wrapText="1"/>
    </xf>
    <xf numFmtId="0" fontId="2" fillId="0" borderId="2" xfId="0" applyFont="1" applyFill="1" applyBorder="1" applyAlignment="1">
      <alignment vertical="center"/>
    </xf>
    <xf numFmtId="0" fontId="6" fillId="0" borderId="2" xfId="6" applyFont="1" applyFill="1" applyBorder="1" applyAlignment="1">
      <alignment horizontal="center" vertical="center" wrapText="1"/>
    </xf>
    <xf numFmtId="0" fontId="2" fillId="0" borderId="4" xfId="0" applyFont="1" applyFill="1" applyBorder="1" applyAlignment="1">
      <alignment vertical="center" wrapText="1"/>
    </xf>
    <xf numFmtId="0" fontId="2" fillId="0" borderId="2" xfId="0" applyFont="1" applyFill="1" applyBorder="1" applyAlignment="1">
      <alignment horizontal="center" vertical="center"/>
    </xf>
    <xf numFmtId="0" fontId="15" fillId="0" borderId="0" xfId="0" applyFont="1" applyFill="1" applyAlignment="1"/>
    <xf numFmtId="0" fontId="7" fillId="0" borderId="0" xfId="0" applyFont="1" applyAlignment="1"/>
    <xf numFmtId="9" fontId="7" fillId="0" borderId="0" xfId="0" applyNumberFormat="1" applyFont="1" applyAlignment="1"/>
    <xf numFmtId="0" fontId="18" fillId="0" borderId="0" xfId="0" applyFont="1" applyFill="1" applyAlignment="1">
      <alignment horizontal="center"/>
    </xf>
    <xf numFmtId="181" fontId="6" fillId="0" borderId="2" xfId="6" applyNumberFormat="1" applyFont="1" applyFill="1" applyBorder="1" applyAlignment="1">
      <alignment horizontal="center" vertical="center" wrapText="1"/>
    </xf>
    <xf numFmtId="178" fontId="2" fillId="0" borderId="2" xfId="0" applyNumberFormat="1" applyFont="1" applyFill="1" applyBorder="1" applyAlignment="1">
      <alignment horizontal="center" wrapText="1"/>
    </xf>
    <xf numFmtId="9" fontId="6" fillId="3" borderId="2" xfId="6" applyNumberFormat="1" applyFont="1" applyFill="1" applyBorder="1" applyAlignment="1">
      <alignment horizontal="center" vertical="center" wrapText="1"/>
    </xf>
    <xf numFmtId="181" fontId="18" fillId="0" borderId="2" xfId="6" applyNumberFormat="1" applyFont="1" applyFill="1" applyBorder="1" applyAlignment="1">
      <alignment horizontal="center" vertical="center" wrapText="1"/>
    </xf>
    <xf numFmtId="178" fontId="2" fillId="0" borderId="2" xfId="0" applyNumberFormat="1" applyFont="1" applyFill="1" applyBorder="1" applyAlignment="1">
      <alignment horizontal="center"/>
    </xf>
    <xf numFmtId="0" fontId="18" fillId="0" borderId="2" xfId="0" applyFont="1" applyFill="1" applyBorder="1" applyAlignment="1">
      <alignment horizontal="center" vertical="center"/>
    </xf>
    <xf numFmtId="0" fontId="19" fillId="0" borderId="2" xfId="0" applyFont="1" applyBorder="1" applyAlignment="1"/>
    <xf numFmtId="9" fontId="19" fillId="3" borderId="2" xfId="0" applyNumberFormat="1" applyFont="1" applyFill="1" applyBorder="1" applyAlignment="1">
      <alignment horizontal="center"/>
    </xf>
    <xf numFmtId="2" fontId="18" fillId="0" borderId="2" xfId="0" applyNumberFormat="1" applyFont="1" applyFill="1" applyBorder="1" applyAlignment="1">
      <alignment horizontal="center"/>
    </xf>
    <xf numFmtId="9" fontId="7" fillId="0" borderId="0" xfId="0" applyNumberFormat="1" applyFont="1" applyAlignment="1">
      <alignment horizontal="center"/>
    </xf>
    <xf numFmtId="0" fontId="7" fillId="0" borderId="0" xfId="0" applyFont="1" applyAlignment="1">
      <alignment horizontal="center"/>
    </xf>
    <xf numFmtId="0" fontId="15" fillId="0" borderId="0" xfId="0" applyFont="1" applyAlignment="1"/>
    <xf numFmtId="9" fontId="2" fillId="3" borderId="2" xfId="0" applyNumberFormat="1" applyFont="1" applyFill="1" applyBorder="1" applyAlignment="1">
      <alignment horizontal="center" vertical="center"/>
    </xf>
    <xf numFmtId="9" fontId="7" fillId="0" borderId="0" xfId="3" applyFont="1" applyAlignment="1"/>
    <xf numFmtId="9" fontId="7" fillId="7" borderId="0" xfId="3" applyFont="1" applyFill="1" applyAlignment="1"/>
    <xf numFmtId="0" fontId="19" fillId="0" borderId="0" xfId="0" applyFont="1" applyAlignment="1">
      <alignment vertical="center"/>
    </xf>
    <xf numFmtId="9" fontId="7" fillId="0" borderId="0" xfId="3" applyFont="1">
      <alignment vertical="center"/>
    </xf>
    <xf numFmtId="0" fontId="7" fillId="0" borderId="2" xfId="0" applyFont="1" applyBorder="1" applyAlignment="1">
      <alignment horizontal="center" vertical="center"/>
    </xf>
    <xf numFmtId="1" fontId="7" fillId="0" borderId="2" xfId="0" applyNumberFormat="1" applyFont="1" applyFill="1" applyBorder="1" applyAlignment="1">
      <alignment horizontal="center"/>
    </xf>
    <xf numFmtId="1" fontId="7" fillId="0"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2" fontId="7" fillId="7" borderId="0" xfId="0" applyNumberFormat="1" applyFont="1" applyFill="1" applyAlignment="1">
      <alignment horizontal="center" vertical="center"/>
    </xf>
    <xf numFmtId="0" fontId="20" fillId="0" borderId="0" xfId="23" applyFont="1" applyAlignment="1"/>
    <xf numFmtId="0" fontId="7" fillId="0" borderId="0" xfId="15" applyFont="1" applyAlignment="1"/>
    <xf numFmtId="0" fontId="7" fillId="0" borderId="0" xfId="15" applyFont="1" applyAlignment="1">
      <alignment horizontal="center"/>
    </xf>
    <xf numFmtId="0" fontId="23" fillId="0" borderId="5" xfId="24" applyFont="1" applyFill="1" applyBorder="1" applyAlignment="1">
      <alignment horizontal="center" vertical="center" wrapText="1"/>
    </xf>
    <xf numFmtId="0" fontId="23" fillId="0" borderId="8" xfId="24" applyFont="1" applyFill="1" applyBorder="1" applyAlignment="1">
      <alignment horizontal="center" vertical="center" wrapText="1"/>
    </xf>
    <xf numFmtId="0" fontId="24" fillId="7" borderId="2" xfId="24" applyFont="1" applyFill="1" applyBorder="1" applyAlignment="1">
      <alignment horizontal="center" vertical="center" wrapText="1"/>
    </xf>
    <xf numFmtId="0" fontId="24" fillId="9" borderId="2" xfId="24" applyFont="1" applyFill="1" applyBorder="1" applyAlignment="1">
      <alignment horizontal="center" vertical="center" wrapText="1"/>
    </xf>
    <xf numFmtId="0" fontId="25" fillId="8" borderId="2" xfId="23" applyFont="1" applyFill="1" applyBorder="1" applyAlignment="1">
      <alignment horizontal="center" vertical="center" wrapText="1"/>
    </xf>
    <xf numFmtId="0" fontId="25" fillId="0" borderId="2" xfId="24" applyFont="1" applyFill="1" applyBorder="1" applyAlignment="1">
      <alignment horizontal="center" vertical="center" wrapText="1"/>
    </xf>
    <xf numFmtId="0" fontId="0" fillId="0" borderId="9" xfId="0" applyBorder="1" applyAlignment="1">
      <alignment horizontal="center" vertical="center"/>
    </xf>
    <xf numFmtId="0" fontId="0" fillId="0" borderId="9" xfId="0" applyFill="1" applyBorder="1" applyAlignment="1">
      <alignment horizontal="center" vertical="center"/>
    </xf>
    <xf numFmtId="0" fontId="25" fillId="0" borderId="10" xfId="24" applyFont="1" applyFill="1" applyBorder="1" applyAlignment="1">
      <alignment horizontal="center" vertical="center" wrapText="1"/>
    </xf>
    <xf numFmtId="0" fontId="25" fillId="0" borderId="6" xfId="24" applyFont="1" applyFill="1" applyBorder="1" applyAlignment="1">
      <alignment horizontal="center" vertical="center" wrapText="1"/>
    </xf>
    <xf numFmtId="0" fontId="23" fillId="0" borderId="2" xfId="24" applyFont="1" applyFill="1" applyBorder="1" applyAlignment="1">
      <alignment horizontal="center" vertical="center" wrapText="1"/>
    </xf>
    <xf numFmtId="180" fontId="24" fillId="0" borderId="2" xfId="15" applyNumberFormat="1" applyFont="1" applyBorder="1" applyAlignment="1">
      <alignment horizontal="center" vertical="center"/>
    </xf>
    <xf numFmtId="0" fontId="24" fillId="0" borderId="2" xfId="15" applyFont="1" applyBorder="1" applyAlignment="1">
      <alignment horizontal="center" vertical="center"/>
    </xf>
    <xf numFmtId="179" fontId="26" fillId="0" borderId="2" xfId="24" applyNumberFormat="1" applyFont="1" applyFill="1" applyBorder="1" applyAlignment="1">
      <alignment horizontal="center" vertical="center" wrapText="1"/>
    </xf>
    <xf numFmtId="0" fontId="23" fillId="7" borderId="8" xfId="24" applyFont="1" applyFill="1" applyBorder="1" applyAlignment="1">
      <alignment horizontal="center" vertical="center" wrapText="1"/>
    </xf>
    <xf numFmtId="179" fontId="25" fillId="7" borderId="2" xfId="24" applyNumberFormat="1" applyFont="1" applyFill="1" applyBorder="1" applyAlignment="1">
      <alignment horizontal="center" vertical="center" wrapText="1"/>
    </xf>
    <xf numFmtId="0" fontId="25" fillId="0" borderId="7" xfId="24" applyFont="1" applyFill="1" applyBorder="1" applyAlignment="1">
      <alignment vertical="center" wrapText="1"/>
    </xf>
    <xf numFmtId="0" fontId="23" fillId="0" borderId="12" xfId="24" applyFont="1" applyFill="1" applyBorder="1" applyAlignment="1">
      <alignment horizontal="center" vertical="center" wrapText="1"/>
    </xf>
    <xf numFmtId="0" fontId="24" fillId="0" borderId="2" xfId="24" applyFont="1" applyFill="1" applyBorder="1" applyAlignment="1">
      <alignment vertical="center" wrapText="1"/>
    </xf>
    <xf numFmtId="0" fontId="20" fillId="0" borderId="13" xfId="23" applyFont="1" applyBorder="1" applyAlignment="1"/>
    <xf numFmtId="0" fontId="24" fillId="0" borderId="0" xfId="24" applyFont="1" applyFill="1" applyBorder="1" applyAlignment="1">
      <alignment horizontal="center" vertical="center" wrapText="1"/>
    </xf>
    <xf numFmtId="0" fontId="7" fillId="0" borderId="0" xfId="15" applyFont="1" applyAlignment="1">
      <alignment horizontal="left"/>
    </xf>
    <xf numFmtId="0" fontId="7" fillId="0" borderId="0" xfId="15" applyFont="1" applyBorder="1" applyAlignment="1">
      <alignment horizontal="center"/>
    </xf>
    <xf numFmtId="0" fontId="23" fillId="0" borderId="15" xfId="24" applyFont="1" applyFill="1" applyBorder="1" applyAlignment="1">
      <alignment horizontal="center" vertical="center" wrapText="1"/>
    </xf>
    <xf numFmtId="0" fontId="24" fillId="10" borderId="2" xfId="15" applyFont="1" applyFill="1" applyBorder="1" applyAlignment="1">
      <alignment horizontal="left" vertical="center" wrapText="1"/>
    </xf>
    <xf numFmtId="0" fontId="24" fillId="11" borderId="2" xfId="24" applyFont="1" applyFill="1" applyBorder="1" applyAlignment="1">
      <alignment horizontal="center" vertical="center" wrapText="1"/>
    </xf>
    <xf numFmtId="0" fontId="7" fillId="0" borderId="2" xfId="15" applyFont="1" applyBorder="1" applyAlignment="1">
      <alignment horizontal="center" vertical="center"/>
    </xf>
    <xf numFmtId="0" fontId="25" fillId="7" borderId="6" xfId="24" applyFont="1" applyFill="1" applyBorder="1" applyAlignment="1">
      <alignment horizontal="center" vertical="center" wrapText="1"/>
    </xf>
    <xf numFmtId="0" fontId="7" fillId="7" borderId="2" xfId="15" applyFont="1" applyFill="1" applyBorder="1" applyAlignment="1">
      <alignment horizontal="center" vertical="center"/>
    </xf>
    <xf numFmtId="0" fontId="23" fillId="0" borderId="0" xfId="24" applyFont="1" applyFill="1" applyBorder="1" applyAlignment="1">
      <alignment horizontal="center" vertical="center" wrapText="1"/>
    </xf>
    <xf numFmtId="0" fontId="25" fillId="0" borderId="0" xfId="24" applyFont="1" applyFill="1" applyBorder="1" applyAlignment="1">
      <alignment horizontal="center" vertical="center" wrapText="1"/>
    </xf>
    <xf numFmtId="0" fontId="23" fillId="7" borderId="0" xfId="24" applyFont="1" applyFill="1" applyBorder="1" applyAlignment="1">
      <alignment vertical="center" wrapText="1"/>
    </xf>
    <xf numFmtId="0" fontId="15" fillId="0" borderId="0" xfId="15" applyFont="1" applyAlignment="1">
      <alignment horizontal="left" vertical="center"/>
    </xf>
    <xf numFmtId="0" fontId="19" fillId="0" borderId="0" xfId="15" applyFont="1" applyAlignment="1"/>
    <xf numFmtId="0" fontId="19" fillId="0" borderId="0" xfId="15" applyFont="1" applyAlignment="1">
      <alignment horizontal="left"/>
    </xf>
    <xf numFmtId="0" fontId="27" fillId="0" borderId="0" xfId="24" applyFont="1" applyFill="1" applyBorder="1" applyAlignment="1">
      <alignment vertical="center" wrapText="1"/>
    </xf>
    <xf numFmtId="0" fontId="24" fillId="9" borderId="10" xfId="24" applyFont="1" applyFill="1" applyBorder="1" applyAlignment="1">
      <alignment horizontal="center" vertical="center" wrapText="1"/>
    </xf>
    <xf numFmtId="179" fontId="7" fillId="7" borderId="0" xfId="15" applyNumberFormat="1" applyFont="1" applyFill="1" applyAlignment="1"/>
    <xf numFmtId="0" fontId="25" fillId="0" borderId="11" xfId="24" applyFont="1" applyFill="1" applyBorder="1" applyAlignment="1">
      <alignment vertical="center" wrapText="1"/>
    </xf>
    <xf numFmtId="0" fontId="25" fillId="0" borderId="2" xfId="24" applyFont="1" applyFill="1" applyBorder="1" applyAlignment="1">
      <alignment vertical="center" wrapText="1"/>
    </xf>
    <xf numFmtId="0" fontId="24" fillId="11" borderId="2" xfId="24" applyFont="1" applyFill="1" applyBorder="1" applyAlignment="1">
      <alignment vertical="center" wrapText="1"/>
    </xf>
    <xf numFmtId="0" fontId="25" fillId="0" borderId="2" xfId="15" applyFont="1" applyBorder="1" applyAlignment="1">
      <alignment vertical="center" wrapText="1"/>
    </xf>
    <xf numFmtId="0" fontId="7" fillId="0" borderId="2" xfId="15" applyFont="1" applyBorder="1" applyAlignment="1"/>
    <xf numFmtId="0" fontId="7" fillId="0" borderId="2" xfId="15" applyFont="1" applyBorder="1" applyAlignment="1">
      <alignment vertical="center"/>
    </xf>
    <xf numFmtId="0" fontId="7" fillId="7" borderId="2" xfId="15" applyFont="1" applyFill="1" applyBorder="1" applyAlignment="1">
      <alignment vertical="center"/>
    </xf>
    <xf numFmtId="0" fontId="7" fillId="0" borderId="11" xfId="15" applyFont="1" applyBorder="1" applyAlignment="1"/>
    <xf numFmtId="179" fontId="23" fillId="7" borderId="0" xfId="24" applyNumberFormat="1" applyFont="1" applyFill="1" applyBorder="1" applyAlignment="1">
      <alignment vertical="center" wrapText="1"/>
    </xf>
    <xf numFmtId="0" fontId="23" fillId="0" borderId="0" xfId="24" applyFont="1" applyFill="1" applyBorder="1" applyAlignment="1">
      <alignment vertical="center" wrapText="1"/>
    </xf>
    <xf numFmtId="179" fontId="7" fillId="0" borderId="0" xfId="15" applyNumberFormat="1" applyFont="1" applyAlignment="1"/>
    <xf numFmtId="0" fontId="20" fillId="0" borderId="0" xfId="23" applyFont="1" applyBorder="1" applyAlignment="1"/>
    <xf numFmtId="0" fontId="23" fillId="8" borderId="0" xfId="23" applyFont="1" applyFill="1" applyBorder="1" applyAlignment="1">
      <alignment horizontal="center" vertical="center" wrapText="1"/>
    </xf>
    <xf numFmtId="0" fontId="20" fillId="8" borderId="0" xfId="23" applyFont="1" applyFill="1" applyBorder="1" applyAlignment="1">
      <alignment horizontal="center" vertical="center" wrapText="1"/>
    </xf>
    <xf numFmtId="0" fontId="28" fillId="0" borderId="0" xfId="15" applyFont="1" applyFill="1" applyAlignment="1">
      <alignment horizontal="left"/>
    </xf>
    <xf numFmtId="0" fontId="28" fillId="0" borderId="0" xfId="5" applyFont="1" applyFill="1" applyAlignment="1" applyProtection="1">
      <alignment horizontal="left" vertical="center"/>
      <protection locked="0"/>
    </xf>
    <xf numFmtId="0" fontId="28" fillId="0" borderId="0" xfId="5" applyFont="1" applyFill="1" applyAlignment="1" applyProtection="1">
      <protection locked="0"/>
    </xf>
    <xf numFmtId="0" fontId="28" fillId="0" borderId="0" xfId="15" applyFont="1" applyFill="1" applyAlignment="1"/>
    <xf numFmtId="0" fontId="28" fillId="0" borderId="0" xfId="15" applyFont="1" applyFill="1" applyAlignment="1">
      <alignment horizontal="center" vertical="center"/>
    </xf>
    <xf numFmtId="0" fontId="28" fillId="0" borderId="0" xfId="15" applyFont="1" applyFill="1" applyAlignment="1">
      <alignment horizontal="left" vertical="center"/>
    </xf>
    <xf numFmtId="181" fontId="28" fillId="0" borderId="0" xfId="15" applyNumberFormat="1" applyFont="1" applyFill="1" applyAlignment="1">
      <alignment horizontal="center" vertical="center"/>
    </xf>
    <xf numFmtId="181" fontId="28" fillId="0" borderId="0" xfId="15" applyNumberFormat="1" applyFont="1" applyFill="1" applyAlignment="1">
      <alignment horizontal="center"/>
    </xf>
    <xf numFmtId="0" fontId="28" fillId="0" borderId="0" xfId="15" applyFont="1" applyFill="1" applyAlignment="1">
      <alignment horizontal="left" vertical="center" wrapText="1"/>
    </xf>
    <xf numFmtId="181" fontId="28" fillId="0" borderId="0" xfId="15" applyNumberFormat="1" applyFont="1" applyFill="1" applyAlignment="1">
      <alignment horizontal="left"/>
    </xf>
    <xf numFmtId="181" fontId="28" fillId="0" borderId="0" xfId="15" applyNumberFormat="1" applyFont="1" applyFill="1" applyAlignment="1">
      <alignment horizontal="left" vertical="center" wrapText="1"/>
    </xf>
    <xf numFmtId="0" fontId="28" fillId="0" borderId="2" xfId="5" applyFont="1" applyFill="1" applyBorder="1" applyAlignment="1">
      <alignment horizontal="left" vertical="center"/>
    </xf>
    <xf numFmtId="0" fontId="28" fillId="0" borderId="2" xfId="5" applyFont="1" applyFill="1" applyBorder="1" applyAlignment="1">
      <alignment vertical="center" wrapText="1"/>
    </xf>
    <xf numFmtId="0" fontId="28" fillId="0" borderId="2" xfId="5" applyFont="1" applyFill="1" applyBorder="1" applyAlignment="1">
      <alignment horizontal="left" vertical="center" wrapText="1"/>
    </xf>
    <xf numFmtId="181" fontId="28" fillId="0" borderId="2" xfId="5" applyNumberFormat="1" applyFont="1" applyFill="1" applyBorder="1" applyAlignment="1">
      <alignment horizontal="center" vertical="center" wrapText="1"/>
    </xf>
    <xf numFmtId="181" fontId="28" fillId="0" borderId="2" xfId="5" applyNumberFormat="1" applyFont="1" applyFill="1" applyBorder="1" applyAlignment="1">
      <alignment horizontal="left" vertical="center" wrapText="1"/>
    </xf>
    <xf numFmtId="0" fontId="6" fillId="0" borderId="2" xfId="5" applyFont="1" applyFill="1" applyBorder="1" applyAlignment="1">
      <alignment horizontal="left" vertical="center"/>
    </xf>
    <xf numFmtId="180" fontId="6" fillId="0" borderId="2" xfId="5" applyNumberFormat="1" applyFont="1" applyFill="1" applyBorder="1" applyAlignment="1">
      <alignment horizontal="left" vertical="center" wrapText="1"/>
    </xf>
    <xf numFmtId="181" fontId="7" fillId="0" borderId="2" xfId="5" applyNumberFormat="1" applyFont="1" applyFill="1" applyBorder="1" applyAlignment="1" applyProtection="1">
      <alignment horizontal="left" vertical="center" wrapText="1"/>
      <protection locked="0"/>
    </xf>
    <xf numFmtId="0" fontId="5" fillId="0" borderId="2" xfId="5" applyFont="1" applyFill="1" applyBorder="1" applyAlignment="1">
      <alignment horizontal="left" vertical="center"/>
    </xf>
    <xf numFmtId="0" fontId="2" fillId="0" borderId="2" xfId="16" applyFont="1" applyFill="1" applyBorder="1" applyAlignment="1">
      <alignment horizontal="left" vertical="center" wrapText="1"/>
    </xf>
    <xf numFmtId="181" fontId="19" fillId="0" borderId="2" xfId="5" applyNumberFormat="1" applyFont="1" applyFill="1" applyBorder="1" applyAlignment="1" applyProtection="1">
      <alignment horizontal="left" vertical="center"/>
      <protection locked="0"/>
    </xf>
    <xf numFmtId="180" fontId="5" fillId="0" borderId="2" xfId="5" applyNumberFormat="1" applyFont="1" applyFill="1" applyBorder="1" applyAlignment="1">
      <alignment horizontal="left" vertical="center" wrapText="1"/>
    </xf>
    <xf numFmtId="181" fontId="19" fillId="0" borderId="2" xfId="5" applyNumberFormat="1" applyFont="1" applyFill="1" applyBorder="1" applyAlignment="1" applyProtection="1">
      <alignment horizontal="left" vertical="center" wrapText="1"/>
      <protection locked="0"/>
    </xf>
    <xf numFmtId="0" fontId="5" fillId="0" borderId="2" xfId="16" applyFont="1" applyFill="1" applyBorder="1" applyAlignment="1">
      <alignment horizontal="left" vertical="center" wrapText="1"/>
    </xf>
    <xf numFmtId="0" fontId="6" fillId="0" borderId="2" xfId="16" applyFont="1" applyFill="1" applyBorder="1" applyAlignment="1">
      <alignment horizontal="left" vertical="center" wrapText="1"/>
    </xf>
    <xf numFmtId="0" fontId="2" fillId="0" borderId="2" xfId="9" applyFont="1" applyFill="1" applyBorder="1" applyAlignment="1">
      <alignment horizontal="left" vertical="center"/>
    </xf>
    <xf numFmtId="0" fontId="6" fillId="0" borderId="2" xfId="9" applyFont="1" applyFill="1" applyBorder="1" applyAlignment="1">
      <alignment horizontal="left" vertical="center"/>
    </xf>
    <xf numFmtId="180" fontId="6" fillId="0" borderId="2" xfId="4" applyNumberFormat="1" applyFont="1" applyFill="1" applyBorder="1" applyAlignment="1">
      <alignment horizontal="left" vertical="center"/>
    </xf>
    <xf numFmtId="0" fontId="2" fillId="0" borderId="2" xfId="15" applyFont="1" applyFill="1" applyBorder="1" applyAlignment="1">
      <alignment horizontal="left" vertical="center"/>
    </xf>
    <xf numFmtId="181" fontId="1" fillId="0" borderId="2" xfId="5" applyNumberFormat="1" applyFont="1" applyFill="1" applyBorder="1" applyAlignment="1" applyProtection="1">
      <alignment horizontal="left" vertical="center"/>
      <protection locked="0"/>
    </xf>
    <xf numFmtId="181" fontId="1" fillId="0" borderId="2" xfId="5" applyNumberFormat="1" applyFont="1" applyFill="1" applyBorder="1" applyAlignment="1" applyProtection="1">
      <alignment horizontal="left" vertical="center" wrapText="1"/>
      <protection locked="0"/>
    </xf>
    <xf numFmtId="180" fontId="2" fillId="0" borderId="2" xfId="9" applyNumberFormat="1" applyFont="1" applyFill="1" applyBorder="1" applyAlignment="1">
      <alignment horizontal="left" vertical="center"/>
    </xf>
    <xf numFmtId="0" fontId="2" fillId="0" borderId="2" xfId="9" applyFont="1" applyFill="1" applyBorder="1" applyAlignment="1">
      <alignment horizontal="left" vertical="center" wrapText="1"/>
    </xf>
    <xf numFmtId="180" fontId="2" fillId="0" borderId="2" xfId="4" applyNumberFormat="1" applyFont="1" applyFill="1" applyBorder="1" applyAlignment="1">
      <alignment horizontal="left" vertical="center"/>
    </xf>
    <xf numFmtId="0" fontId="5" fillId="0" borderId="2" xfId="9" applyFont="1" applyFill="1" applyBorder="1" applyAlignment="1">
      <alignment horizontal="left" vertical="center"/>
    </xf>
    <xf numFmtId="0" fontId="2" fillId="0" borderId="2" xfId="8" applyFont="1" applyFill="1" applyBorder="1" applyAlignment="1">
      <alignment vertical="center"/>
    </xf>
    <xf numFmtId="0" fontId="6" fillId="7" borderId="2" xfId="5" applyFont="1" applyFill="1" applyBorder="1" applyAlignment="1">
      <alignment horizontal="left" vertical="center" wrapText="1"/>
    </xf>
    <xf numFmtId="180" fontId="2" fillId="0" borderId="2" xfId="8" applyNumberFormat="1" applyFont="1" applyFill="1" applyBorder="1" applyAlignment="1">
      <alignment horizontal="center" vertical="center"/>
    </xf>
    <xf numFmtId="181" fontId="1" fillId="7" borderId="2" xfId="5" applyNumberFormat="1" applyFont="1" applyFill="1" applyBorder="1" applyAlignment="1" applyProtection="1">
      <alignment horizontal="left" vertical="center"/>
      <protection locked="0"/>
    </xf>
    <xf numFmtId="0" fontId="2" fillId="0" borderId="2" xfId="8" applyFont="1" applyFill="1" applyBorder="1" applyAlignment="1">
      <alignment horizontal="left" vertical="center" wrapText="1"/>
    </xf>
    <xf numFmtId="180" fontId="2" fillId="0" borderId="2" xfId="8" applyNumberFormat="1" applyFont="1" applyFill="1" applyBorder="1" applyAlignment="1">
      <alignment horizontal="left" vertical="center"/>
    </xf>
    <xf numFmtId="0" fontId="6" fillId="0" borderId="2" xfId="9" applyFont="1" applyFill="1" applyBorder="1" applyAlignment="1">
      <alignment horizontal="left" vertical="center" wrapText="1"/>
    </xf>
    <xf numFmtId="0" fontId="5" fillId="0" borderId="2" xfId="9" applyFont="1" applyFill="1" applyBorder="1" applyAlignment="1">
      <alignment horizontal="left" vertical="center" wrapText="1"/>
    </xf>
    <xf numFmtId="0" fontId="25" fillId="0" borderId="2" xfId="5" applyFont="1" applyFill="1" applyBorder="1" applyAlignment="1">
      <alignment horizontal="left" vertical="center" wrapText="1"/>
    </xf>
    <xf numFmtId="0" fontId="29" fillId="0" borderId="2" xfId="16" applyFont="1" applyFill="1" applyBorder="1" applyAlignment="1">
      <alignment horizontal="center" vertical="center"/>
    </xf>
    <xf numFmtId="180" fontId="28" fillId="0" borderId="2" xfId="9" applyNumberFormat="1" applyFont="1" applyFill="1" applyBorder="1" applyAlignment="1">
      <alignment horizontal="left" vertical="center"/>
    </xf>
    <xf numFmtId="181" fontId="29" fillId="0" borderId="2" xfId="16" applyNumberFormat="1" applyFont="1" applyFill="1" applyBorder="1" applyAlignment="1">
      <alignment horizontal="center" vertical="center"/>
    </xf>
    <xf numFmtId="181" fontId="30" fillId="0" borderId="2" xfId="7" applyNumberFormat="1" applyFont="1" applyFill="1" applyBorder="1" applyAlignment="1">
      <alignment horizontal="center" vertical="center" wrapText="1"/>
    </xf>
    <xf numFmtId="181" fontId="25" fillId="0" borderId="2" xfId="5" applyNumberFormat="1" applyFont="1" applyFill="1" applyBorder="1" applyAlignment="1" applyProtection="1">
      <alignment horizontal="left" vertical="center" wrapText="1"/>
      <protection locked="0"/>
    </xf>
    <xf numFmtId="0" fontId="28" fillId="0" borderId="2" xfId="5" applyFont="1" applyFill="1" applyBorder="1" applyAlignment="1" applyProtection="1">
      <alignment horizontal="left"/>
      <protection locked="0"/>
    </xf>
    <xf numFmtId="0" fontId="28" fillId="3" borderId="2" xfId="5" applyFont="1" applyFill="1" applyBorder="1" applyAlignment="1">
      <alignment horizontal="left" vertical="center" wrapText="1"/>
    </xf>
    <xf numFmtId="180" fontId="28" fillId="3" borderId="2" xfId="5" applyNumberFormat="1" applyFont="1" applyFill="1" applyBorder="1" applyAlignment="1">
      <alignment horizontal="center" vertical="center" wrapText="1"/>
    </xf>
    <xf numFmtId="180" fontId="28" fillId="3" borderId="2" xfId="5" applyNumberFormat="1" applyFont="1" applyFill="1" applyBorder="1" applyAlignment="1">
      <alignment horizontal="left" vertical="center" wrapText="1"/>
    </xf>
    <xf numFmtId="181" fontId="28" fillId="3" borderId="2" xfId="5" applyNumberFormat="1" applyFont="1" applyFill="1" applyBorder="1" applyAlignment="1">
      <alignment horizontal="center" vertical="center"/>
    </xf>
    <xf numFmtId="181" fontId="28" fillId="3" borderId="2" xfId="5" applyNumberFormat="1" applyFont="1" applyFill="1" applyBorder="1" applyAlignment="1">
      <alignment horizontal="left"/>
    </xf>
    <xf numFmtId="0" fontId="28" fillId="3" borderId="2" xfId="5" applyFont="1" applyFill="1" applyBorder="1" applyAlignment="1">
      <alignment horizontal="center" vertical="center" wrapText="1"/>
    </xf>
    <xf numFmtId="0" fontId="28" fillId="4" borderId="2" xfId="5" applyFont="1" applyFill="1" applyBorder="1" applyAlignment="1">
      <alignment vertical="center"/>
    </xf>
    <xf numFmtId="0" fontId="28" fillId="4" borderId="2" xfId="5" applyFont="1" applyFill="1" applyBorder="1" applyAlignment="1">
      <alignment horizontal="center"/>
    </xf>
    <xf numFmtId="0" fontId="28" fillId="4" borderId="2" xfId="5" applyFont="1" applyFill="1" applyBorder="1" applyAlignment="1">
      <alignment horizontal="left" vertical="center"/>
    </xf>
    <xf numFmtId="181" fontId="28" fillId="4" borderId="2" xfId="5" applyNumberFormat="1" applyFont="1" applyFill="1" applyBorder="1" applyAlignment="1">
      <alignment horizontal="center" vertical="center"/>
    </xf>
    <xf numFmtId="9" fontId="28" fillId="0" borderId="2" xfId="5" applyNumberFormat="1" applyFont="1" applyFill="1" applyBorder="1" applyAlignment="1">
      <alignment horizontal="center" vertical="center" wrapText="1"/>
    </xf>
    <xf numFmtId="0" fontId="28" fillId="0" borderId="2" xfId="5" applyFont="1" applyFill="1" applyBorder="1" applyAlignment="1">
      <alignment horizontal="center" vertical="center" wrapText="1"/>
    </xf>
    <xf numFmtId="180" fontId="28" fillId="0" borderId="2" xfId="5" applyNumberFormat="1" applyFont="1" applyFill="1" applyBorder="1" applyAlignment="1">
      <alignment horizontal="center" vertical="center" wrapText="1"/>
    </xf>
    <xf numFmtId="180" fontId="28" fillId="0" borderId="2" xfId="3" applyNumberFormat="1" applyFont="1" applyFill="1" applyBorder="1" applyAlignment="1">
      <alignment horizontal="center" vertical="center" wrapText="1"/>
    </xf>
    <xf numFmtId="0" fontId="2" fillId="7" borderId="2" xfId="5" applyFont="1" applyFill="1" applyBorder="1" applyAlignment="1">
      <alignment horizontal="left" vertical="center"/>
    </xf>
    <xf numFmtId="0" fontId="2" fillId="4" borderId="2" xfId="5" applyFont="1" applyFill="1" applyBorder="1" applyAlignment="1">
      <alignment horizontal="left" vertical="center"/>
    </xf>
    <xf numFmtId="180" fontId="2" fillId="7" borderId="2" xfId="5" applyNumberFormat="1" applyFont="1" applyFill="1" applyBorder="1" applyAlignment="1">
      <alignment horizontal="left" vertical="center" wrapText="1"/>
    </xf>
    <xf numFmtId="10" fontId="2" fillId="7" borderId="2" xfId="5" applyNumberFormat="1" applyFont="1" applyFill="1" applyBorder="1" applyAlignment="1">
      <alignment horizontal="center" vertical="center" wrapText="1"/>
    </xf>
    <xf numFmtId="180" fontId="2" fillId="7" borderId="2" xfId="21" applyNumberFormat="1" applyFont="1" applyFill="1" applyBorder="1" applyAlignment="1">
      <alignment horizontal="center" vertical="center" wrapText="1"/>
    </xf>
    <xf numFmtId="0" fontId="28" fillId="4" borderId="2" xfId="5" applyFont="1" applyFill="1" applyBorder="1" applyAlignment="1">
      <alignment horizontal="left" vertical="center" wrapText="1"/>
    </xf>
    <xf numFmtId="0" fontId="28" fillId="0" borderId="0" xfId="5" applyFont="1" applyFill="1" applyAlignment="1" applyProtection="1">
      <alignment horizontal="left"/>
      <protection locked="0"/>
    </xf>
    <xf numFmtId="0" fontId="28" fillId="0" borderId="0" xfId="5" applyFont="1" applyFill="1" applyBorder="1" applyAlignment="1">
      <alignment vertical="center"/>
    </xf>
    <xf numFmtId="0" fontId="28" fillId="0" borderId="0" xfId="5" applyFont="1" applyFill="1" applyBorder="1" applyAlignment="1">
      <alignment horizontal="left" vertical="center"/>
    </xf>
    <xf numFmtId="181" fontId="28" fillId="0" borderId="0" xfId="5" applyNumberFormat="1" applyFont="1" applyFill="1" applyBorder="1" applyAlignment="1">
      <alignment horizontal="center" vertical="center"/>
    </xf>
    <xf numFmtId="181" fontId="28" fillId="0" borderId="0" xfId="5" applyNumberFormat="1" applyFont="1" applyFill="1" applyBorder="1" applyAlignment="1">
      <alignment vertical="center"/>
    </xf>
    <xf numFmtId="0" fontId="28" fillId="0" borderId="0" xfId="5" applyFont="1" applyFill="1" applyBorder="1" applyAlignment="1">
      <alignment horizontal="left" vertical="center" wrapText="1"/>
    </xf>
    <xf numFmtId="4" fontId="31" fillId="0" borderId="0" xfId="0" applyNumberFormat="1" applyFont="1" applyAlignment="1"/>
    <xf numFmtId="181" fontId="28" fillId="0" borderId="0" xfId="5" applyNumberFormat="1" applyFont="1" applyFill="1" applyBorder="1" applyAlignment="1">
      <alignment horizontal="center" vertical="center" wrapText="1"/>
    </xf>
    <xf numFmtId="181" fontId="28" fillId="0" borderId="0" xfId="5" applyNumberFormat="1" applyFont="1" applyFill="1" applyBorder="1" applyAlignment="1">
      <alignment horizontal="left" vertical="center" wrapText="1"/>
    </xf>
    <xf numFmtId="0" fontId="33" fillId="6" borderId="2" xfId="17" applyFont="1" applyFill="1" applyBorder="1" applyAlignment="1">
      <alignment horizontal="center" vertical="center"/>
    </xf>
    <xf numFmtId="0" fontId="32" fillId="6" borderId="2" xfId="17" applyFont="1" applyFill="1" applyBorder="1" applyAlignment="1">
      <alignment horizontal="center" vertical="center"/>
    </xf>
    <xf numFmtId="181" fontId="28" fillId="0" borderId="0" xfId="5" applyNumberFormat="1" applyFont="1" applyFill="1" applyAlignment="1" applyProtection="1">
      <alignment horizontal="center" vertical="center"/>
      <protection locked="0"/>
    </xf>
    <xf numFmtId="181" fontId="28" fillId="0" borderId="0" xfId="5" applyNumberFormat="1" applyFont="1" applyFill="1" applyAlignment="1" applyProtection="1">
      <alignment horizontal="center"/>
      <protection locked="0"/>
    </xf>
    <xf numFmtId="0" fontId="28" fillId="0" borderId="0" xfId="5" applyFont="1" applyFill="1" applyAlignment="1" applyProtection="1">
      <alignment horizontal="left" vertical="center" wrapText="1"/>
      <protection locked="0"/>
    </xf>
    <xf numFmtId="2" fontId="34" fillId="0" borderId="2" xfId="17" applyNumberFormat="1" applyFont="1" applyBorder="1" applyAlignment="1">
      <alignment horizontal="center" vertical="center"/>
    </xf>
    <xf numFmtId="182" fontId="34" fillId="0" borderId="2" xfId="3" applyNumberFormat="1" applyFont="1" applyBorder="1" applyAlignment="1">
      <alignment horizontal="center" vertical="center"/>
    </xf>
    <xf numFmtId="0" fontId="26" fillId="0" borderId="2" xfId="9" applyFont="1" applyFill="1" applyBorder="1" applyAlignment="1">
      <alignment vertical="center"/>
    </xf>
    <xf numFmtId="0" fontId="32" fillId="7" borderId="2" xfId="17" applyFont="1" applyFill="1" applyBorder="1" applyAlignment="1">
      <alignment horizontal="left" vertical="center"/>
    </xf>
    <xf numFmtId="2" fontId="32" fillId="7" borderId="2" xfId="17" applyNumberFormat="1" applyFont="1" applyFill="1" applyBorder="1" applyAlignment="1">
      <alignment horizontal="center" vertical="center"/>
    </xf>
    <xf numFmtId="182" fontId="34" fillId="7" borderId="2" xfId="3" applyNumberFormat="1" applyFont="1" applyFill="1" applyBorder="1" applyAlignment="1">
      <alignment horizontal="center" vertical="center"/>
    </xf>
    <xf numFmtId="0" fontId="28" fillId="0" borderId="0" xfId="5" applyFont="1" applyFill="1" applyBorder="1" applyAlignment="1">
      <alignment horizontal="center" vertical="center" wrapText="1"/>
    </xf>
    <xf numFmtId="182" fontId="28" fillId="0" borderId="0" xfId="5" applyNumberFormat="1" applyFont="1" applyFill="1" applyBorder="1" applyAlignment="1" applyProtection="1">
      <alignment horizontal="center" vertical="center"/>
      <protection locked="0"/>
    </xf>
    <xf numFmtId="0" fontId="28" fillId="0" borderId="0" xfId="5" applyFont="1" applyFill="1" applyAlignment="1" applyProtection="1">
      <alignment horizontal="center" vertical="center"/>
      <protection locked="0"/>
    </xf>
    <xf numFmtId="31" fontId="35" fillId="0" borderId="0" xfId="5" applyNumberFormat="1" applyFont="1" applyFill="1" applyAlignment="1" applyProtection="1">
      <alignment horizontal="left" vertical="center" wrapText="1"/>
      <protection locked="0"/>
    </xf>
    <xf numFmtId="4" fontId="31" fillId="7" borderId="0" xfId="0" applyNumberFormat="1" applyFont="1" applyFill="1" applyAlignment="1"/>
    <xf numFmtId="181" fontId="36" fillId="7" borderId="2" xfId="0" applyNumberFormat="1" applyFont="1" applyFill="1" applyBorder="1" applyAlignment="1">
      <alignment horizontal="center" vertical="center"/>
    </xf>
    <xf numFmtId="181" fontId="7" fillId="7" borderId="2" xfId="5" applyNumberFormat="1" applyFont="1" applyFill="1" applyBorder="1" applyAlignment="1" applyProtection="1">
      <alignment horizontal="left" vertical="center" wrapText="1"/>
      <protection locked="0"/>
    </xf>
    <xf numFmtId="0" fontId="39" fillId="0" borderId="0" xfId="5" applyFont="1" applyAlignment="1" applyProtection="1">
      <alignment horizontal="center" vertical="center" wrapText="1"/>
    </xf>
    <xf numFmtId="0" fontId="37" fillId="0" borderId="0" xfId="5" applyFont="1" applyAlignment="1" applyProtection="1"/>
    <xf numFmtId="0" fontId="37" fillId="0" borderId="0" xfId="5" applyFont="1" applyAlignment="1" applyProtection="1">
      <alignment vertical="center"/>
    </xf>
    <xf numFmtId="0" fontId="37" fillId="0" borderId="0" xfId="5" applyFont="1" applyAlignment="1" applyProtection="1">
      <alignment horizontal="left" vertical="center"/>
    </xf>
    <xf numFmtId="0" fontId="37" fillId="0" borderId="0" xfId="5" applyFont="1" applyAlignment="1" applyProtection="1">
      <alignment horizontal="left" vertical="center" wrapText="1"/>
    </xf>
    <xf numFmtId="180" fontId="37" fillId="0" borderId="0" xfId="5" applyNumberFormat="1" applyFont="1" applyAlignment="1" applyProtection="1">
      <alignment horizontal="left" vertical="center"/>
    </xf>
    <xf numFmtId="181" fontId="37" fillId="0" borderId="0" xfId="5" applyNumberFormat="1" applyFont="1" applyAlignment="1" applyProtection="1">
      <alignment horizontal="left" vertical="center"/>
    </xf>
    <xf numFmtId="0" fontId="9" fillId="0" borderId="0" xfId="5" applyFont="1" applyAlignment="1" applyProtection="1">
      <alignment horizontal="left" vertical="center"/>
    </xf>
    <xf numFmtId="0" fontId="40" fillId="7" borderId="0" xfId="0" applyFont="1" applyFill="1" applyAlignment="1" applyProtection="1">
      <alignment horizontal="left" vertical="center"/>
    </xf>
    <xf numFmtId="0" fontId="43" fillId="7" borderId="15" xfId="5" applyFont="1" applyFill="1" applyBorder="1" applyAlignment="1" applyProtection="1">
      <alignment horizontal="left" vertical="center" wrapText="1"/>
    </xf>
    <xf numFmtId="0" fontId="41" fillId="7" borderId="20" xfId="5" applyFont="1" applyFill="1" applyBorder="1" applyAlignment="1" applyProtection="1">
      <alignment horizontal="left" vertical="center" wrapText="1"/>
    </xf>
    <xf numFmtId="0" fontId="43" fillId="7" borderId="8" xfId="5" applyFont="1" applyFill="1" applyBorder="1" applyAlignment="1" applyProtection="1">
      <alignment horizontal="left" vertical="center" wrapText="1"/>
    </xf>
    <xf numFmtId="0" fontId="9" fillId="2" borderId="10" xfId="5" applyFont="1" applyFill="1" applyBorder="1" applyAlignment="1" applyProtection="1">
      <alignment vertical="center" wrapText="1"/>
    </xf>
    <xf numFmtId="0" fontId="41" fillId="7" borderId="10" xfId="5" applyFont="1" applyFill="1" applyBorder="1" applyAlignment="1" applyProtection="1">
      <alignment horizontal="left" vertical="center"/>
    </xf>
    <xf numFmtId="49" fontId="39" fillId="7" borderId="10" xfId="5" applyNumberFormat="1" applyFont="1" applyFill="1" applyBorder="1" applyAlignment="1" applyProtection="1">
      <alignment horizontal="left" vertical="center"/>
    </xf>
    <xf numFmtId="0" fontId="44" fillId="7" borderId="10" xfId="5" applyFont="1" applyFill="1" applyBorder="1" applyAlignment="1" applyProtection="1">
      <alignment horizontal="left" vertical="center"/>
    </xf>
    <xf numFmtId="0" fontId="39" fillId="7" borderId="10" xfId="5" applyFont="1" applyFill="1" applyBorder="1" applyAlignment="1" applyProtection="1">
      <alignment horizontal="left" vertical="center"/>
    </xf>
    <xf numFmtId="183" fontId="39" fillId="7" borderId="10" xfId="29" applyNumberFormat="1" applyFont="1" applyFill="1" applyBorder="1" applyAlignment="1" applyProtection="1">
      <alignment horizontal="left" vertical="center"/>
    </xf>
    <xf numFmtId="180" fontId="36" fillId="0" borderId="0" xfId="5" applyNumberFormat="1" applyFont="1" applyFill="1" applyAlignment="1" applyProtection="1">
      <alignment horizontal="left" vertical="center"/>
    </xf>
    <xf numFmtId="0" fontId="36" fillId="7" borderId="8" xfId="5" applyFont="1" applyFill="1" applyBorder="1" applyAlignment="1" applyProtection="1">
      <alignment horizontal="left" vertical="center" wrapText="1"/>
    </xf>
    <xf numFmtId="9" fontId="44" fillId="7" borderId="10" xfId="5" applyNumberFormat="1" applyFont="1" applyFill="1" applyBorder="1" applyAlignment="1" applyProtection="1">
      <alignment horizontal="left" vertical="center"/>
    </xf>
    <xf numFmtId="0" fontId="10" fillId="7" borderId="8" xfId="5" applyFont="1" applyFill="1" applyBorder="1" applyAlignment="1" applyProtection="1">
      <alignment horizontal="left" vertical="center"/>
    </xf>
    <xf numFmtId="0" fontId="39" fillId="7" borderId="10" xfId="5" applyFont="1" applyFill="1" applyBorder="1" applyAlignment="1" applyProtection="1">
      <alignment horizontal="left" vertical="center" wrapText="1"/>
    </xf>
    <xf numFmtId="14" fontId="39" fillId="7" borderId="10" xfId="5" applyNumberFormat="1" applyFont="1" applyFill="1" applyBorder="1" applyAlignment="1" applyProtection="1">
      <alignment horizontal="left" vertical="center"/>
    </xf>
    <xf numFmtId="0" fontId="38" fillId="3" borderId="8" xfId="5" applyFont="1" applyFill="1" applyBorder="1" applyAlignment="1" applyProtection="1">
      <alignment wrapText="1"/>
    </xf>
    <xf numFmtId="0" fontId="44" fillId="3" borderId="8" xfId="5" applyFont="1" applyFill="1" applyBorder="1" applyAlignment="1" applyProtection="1">
      <alignment wrapText="1"/>
    </xf>
    <xf numFmtId="0" fontId="36" fillId="9" borderId="8" xfId="5" applyFont="1" applyFill="1" applyBorder="1" applyAlignment="1" applyProtection="1">
      <alignment horizontal="left" vertical="center"/>
    </xf>
    <xf numFmtId="14" fontId="36" fillId="9" borderId="10" xfId="5" applyNumberFormat="1" applyFont="1" applyFill="1" applyBorder="1" applyAlignment="1" applyProtection="1">
      <alignment horizontal="left" vertical="center" wrapText="1"/>
    </xf>
    <xf numFmtId="180" fontId="39" fillId="0" borderId="0" xfId="5" applyNumberFormat="1" applyFont="1" applyAlignment="1" applyProtection="1">
      <alignment horizontal="center" vertical="center" wrapText="1"/>
    </xf>
    <xf numFmtId="181" fontId="39" fillId="0" borderId="0" xfId="5" applyNumberFormat="1" applyFont="1" applyAlignment="1" applyProtection="1">
      <alignment horizontal="center" vertical="center" wrapText="1"/>
    </xf>
    <xf numFmtId="0" fontId="36" fillId="9" borderId="12" xfId="5" applyFont="1" applyFill="1" applyBorder="1" applyAlignment="1" applyProtection="1">
      <alignment horizontal="left" vertical="center"/>
    </xf>
    <xf numFmtId="0" fontId="37" fillId="9" borderId="23" xfId="5" applyNumberFormat="1" applyFont="1" applyFill="1" applyBorder="1" applyAlignment="1" applyProtection="1">
      <alignment horizontal="left" vertical="center" wrapText="1"/>
    </xf>
    <xf numFmtId="10" fontId="39" fillId="0" borderId="0" xfId="3" applyNumberFormat="1" applyFont="1" applyAlignment="1" applyProtection="1">
      <alignment horizontal="center" vertical="center" wrapText="1"/>
    </xf>
    <xf numFmtId="43" fontId="39" fillId="0" borderId="0" xfId="5" applyNumberFormat="1" applyFont="1" applyAlignment="1" applyProtection="1">
      <alignment horizontal="center" vertical="center" wrapText="1"/>
    </xf>
    <xf numFmtId="0" fontId="45" fillId="0" borderId="2" xfId="0" applyFont="1" applyBorder="1" applyAlignment="1" applyProtection="1">
      <alignment horizontal="center" vertical="center"/>
    </xf>
    <xf numFmtId="0" fontId="36" fillId="0" borderId="0" xfId="5" applyFont="1" applyAlignment="1" applyProtection="1">
      <alignment horizontal="left" vertical="center"/>
    </xf>
    <xf numFmtId="0" fontId="10" fillId="0" borderId="0" xfId="5" applyFont="1" applyAlignment="1" applyProtection="1">
      <alignment horizontal="left" vertical="center"/>
    </xf>
    <xf numFmtId="0" fontId="36" fillId="0" borderId="0" xfId="5" applyFont="1" applyAlignment="1" applyProtection="1">
      <alignment horizontal="left" vertical="center" wrapText="1"/>
    </xf>
    <xf numFmtId="0" fontId="44" fillId="0" borderId="0" xfId="5" applyFont="1" applyAlignment="1" applyProtection="1">
      <alignment horizontal="center" vertical="center" wrapText="1"/>
    </xf>
    <xf numFmtId="180" fontId="37" fillId="0" borderId="0" xfId="5" applyNumberFormat="1" applyFont="1" applyAlignment="1" applyProtection="1"/>
    <xf numFmtId="181" fontId="37" fillId="0" borderId="0" xfId="5" applyNumberFormat="1" applyFont="1" applyAlignment="1" applyProtection="1"/>
    <xf numFmtId="180" fontId="37" fillId="0" borderId="0" xfId="5" applyNumberFormat="1" applyFont="1" applyAlignment="1" applyProtection="1">
      <alignment vertical="center"/>
    </xf>
    <xf numFmtId="181" fontId="37" fillId="0" borderId="0" xfId="5" applyNumberFormat="1" applyFont="1" applyAlignment="1" applyProtection="1">
      <alignment vertical="center"/>
    </xf>
    <xf numFmtId="0" fontId="9" fillId="0" borderId="0" xfId="5" applyFont="1" applyAlignment="1" applyProtection="1"/>
    <xf numFmtId="0" fontId="9" fillId="0" borderId="0" xfId="5" applyFont="1" applyAlignment="1" applyProtection="1">
      <alignment vertical="center"/>
    </xf>
    <xf numFmtId="0" fontId="52" fillId="8" borderId="14" xfId="31" applyFont="1" applyFill="1" applyBorder="1" applyAlignment="1">
      <alignment vertical="center"/>
    </xf>
    <xf numFmtId="0" fontId="52" fillId="8" borderId="0" xfId="31" applyFont="1" applyFill="1" applyBorder="1" applyAlignment="1">
      <alignment vertical="center"/>
    </xf>
    <xf numFmtId="0" fontId="52" fillId="8" borderId="0" xfId="31" applyFont="1" applyFill="1" applyBorder="1" applyAlignment="1">
      <alignment horizontal="center" vertical="center"/>
    </xf>
    <xf numFmtId="0" fontId="52" fillId="8" borderId="0" xfId="31" applyFont="1" applyFill="1" applyAlignment="1">
      <alignment horizontal="left" vertical="center"/>
    </xf>
    <xf numFmtId="0" fontId="52" fillId="8" borderId="0" xfId="31" applyFont="1" applyFill="1" applyAlignment="1">
      <alignment vertical="center"/>
    </xf>
    <xf numFmtId="0" fontId="52" fillId="8" borderId="0" xfId="31" applyFont="1" applyFill="1" applyAlignment="1">
      <alignment horizontal="center" vertical="center"/>
    </xf>
    <xf numFmtId="0" fontId="52" fillId="13" borderId="15" xfId="32" applyFont="1" applyFill="1" applyBorder="1" applyAlignment="1" applyProtection="1">
      <alignment horizontal="left" vertical="center"/>
    </xf>
    <xf numFmtId="0" fontId="52" fillId="14" borderId="20" xfId="31" applyFont="1" applyFill="1" applyBorder="1" applyAlignment="1" applyProtection="1">
      <alignment horizontal="left" vertical="center"/>
      <protection locked="0"/>
    </xf>
    <xf numFmtId="0" fontId="52" fillId="13" borderId="8" xfId="32" applyFont="1" applyFill="1" applyBorder="1" applyAlignment="1" applyProtection="1">
      <alignment horizontal="left" vertical="center"/>
    </xf>
    <xf numFmtId="0" fontId="52" fillId="12" borderId="24" xfId="31" applyFont="1" applyFill="1" applyBorder="1" applyAlignment="1">
      <alignment horizontal="left" vertical="center"/>
    </xf>
    <xf numFmtId="0" fontId="52" fillId="14" borderId="10" xfId="31" applyFont="1" applyFill="1" applyBorder="1" applyAlignment="1" applyProtection="1">
      <alignment horizontal="left" vertical="center"/>
      <protection locked="0"/>
    </xf>
    <xf numFmtId="49" fontId="52" fillId="14" borderId="10" xfId="31" applyNumberFormat="1" applyFont="1" applyFill="1" applyBorder="1" applyAlignment="1" applyProtection="1">
      <alignment horizontal="left" vertical="center"/>
      <protection locked="0"/>
    </xf>
    <xf numFmtId="0" fontId="53" fillId="13" borderId="10" xfId="31" applyFont="1" applyFill="1" applyBorder="1" applyAlignment="1" applyProtection="1">
      <alignment horizontal="left" vertical="center"/>
      <protection locked="0"/>
    </xf>
    <xf numFmtId="0" fontId="46" fillId="8" borderId="0" xfId="31" applyFont="1" applyFill="1" applyAlignment="1">
      <alignment horizontal="left" vertical="center"/>
    </xf>
    <xf numFmtId="0" fontId="52" fillId="13" borderId="10" xfId="32" applyFont="1" applyFill="1" applyBorder="1" applyAlignment="1" applyProtection="1">
      <alignment horizontal="left" vertical="center"/>
      <protection locked="0"/>
    </xf>
    <xf numFmtId="0" fontId="52" fillId="13" borderId="10" xfId="31" applyFont="1" applyFill="1" applyBorder="1" applyAlignment="1" applyProtection="1">
      <alignment horizontal="left" vertical="center"/>
      <protection locked="0"/>
    </xf>
    <xf numFmtId="0" fontId="52" fillId="12" borderId="10" xfId="31" applyFont="1" applyFill="1" applyBorder="1" applyAlignment="1" applyProtection="1">
      <alignment horizontal="left" vertical="center"/>
      <protection locked="0"/>
    </xf>
    <xf numFmtId="180" fontId="52" fillId="13" borderId="10" xfId="31" applyNumberFormat="1" applyFont="1" applyFill="1" applyBorder="1" applyAlignment="1" applyProtection="1">
      <alignment horizontal="left" vertical="center"/>
      <protection locked="0"/>
    </xf>
    <xf numFmtId="0" fontId="52" fillId="13" borderId="8" xfId="32" applyFont="1" applyFill="1" applyBorder="1" applyAlignment="1" applyProtection="1">
      <alignment vertical="center" wrapText="1"/>
    </xf>
    <xf numFmtId="9" fontId="53" fillId="13" borderId="10" xfId="31" applyNumberFormat="1" applyFont="1" applyFill="1" applyBorder="1" applyAlignment="1" applyProtection="1">
      <alignment horizontal="left" vertical="center"/>
      <protection locked="0"/>
    </xf>
    <xf numFmtId="0" fontId="53" fillId="13" borderId="10" xfId="31" applyFont="1" applyFill="1" applyBorder="1" applyAlignment="1">
      <alignment horizontal="left" vertical="center"/>
    </xf>
    <xf numFmtId="0" fontId="53" fillId="12" borderId="10" xfId="31" applyFont="1" applyFill="1" applyBorder="1" applyAlignment="1" applyProtection="1">
      <alignment horizontal="left" vertical="center"/>
      <protection locked="0"/>
    </xf>
    <xf numFmtId="0" fontId="52" fillId="8" borderId="0" xfId="31" applyFont="1" applyFill="1" applyAlignment="1" applyProtection="1">
      <alignment horizontal="center" vertical="center"/>
      <protection locked="0"/>
    </xf>
    <xf numFmtId="0" fontId="55" fillId="7" borderId="8" xfId="32" applyFont="1" applyFill="1" applyBorder="1" applyAlignment="1" applyProtection="1">
      <alignment horizontal="left" vertical="center" wrapText="1"/>
    </xf>
    <xf numFmtId="0" fontId="52" fillId="8" borderId="0" xfId="31" applyFont="1" applyFill="1" applyAlignment="1" applyProtection="1">
      <alignment horizontal="left" vertical="center"/>
      <protection locked="0"/>
    </xf>
    <xf numFmtId="0" fontId="53" fillId="8" borderId="0" xfId="31" applyFont="1" applyFill="1" applyAlignment="1" applyProtection="1">
      <alignment horizontal="center" vertical="center"/>
      <protection locked="0"/>
    </xf>
    <xf numFmtId="0" fontId="59" fillId="12" borderId="10" xfId="32" applyFont="1" applyFill="1" applyBorder="1" applyAlignment="1" applyProtection="1">
      <alignment horizontal="left" vertical="center"/>
      <protection locked="0"/>
    </xf>
    <xf numFmtId="0" fontId="38" fillId="3" borderId="8" xfId="32" applyFont="1" applyFill="1" applyBorder="1" applyAlignment="1">
      <alignment wrapText="1"/>
    </xf>
    <xf numFmtId="0" fontId="44" fillId="3" borderId="8" xfId="32" applyFont="1" applyFill="1" applyBorder="1" applyAlignment="1">
      <alignment wrapText="1"/>
    </xf>
    <xf numFmtId="10" fontId="60" fillId="12" borderId="22" xfId="32" applyNumberFormat="1" applyFont="1" applyFill="1" applyBorder="1" applyAlignment="1">
      <alignment horizontal="center" vertical="center"/>
    </xf>
    <xf numFmtId="0" fontId="52" fillId="15" borderId="0" xfId="31" applyFont="1" applyFill="1" applyAlignment="1" applyProtection="1">
      <alignment horizontal="center" vertical="center"/>
      <protection locked="0"/>
    </xf>
    <xf numFmtId="0" fontId="46" fillId="9" borderId="8" xfId="32" applyFont="1" applyFill="1" applyBorder="1" applyAlignment="1" applyProtection="1">
      <alignment horizontal="left" vertical="center"/>
    </xf>
    <xf numFmtId="14" fontId="46" fillId="14" borderId="10" xfId="32" applyNumberFormat="1" applyFont="1" applyFill="1" applyBorder="1" applyAlignment="1" applyProtection="1">
      <alignment horizontal="left" vertical="center" wrapText="1"/>
    </xf>
    <xf numFmtId="0" fontId="61" fillId="8" borderId="0" xfId="33" applyFont="1" applyFill="1" applyBorder="1" applyAlignment="1" applyProtection="1">
      <alignment horizontal="center" vertical="center"/>
      <protection locked="0"/>
    </xf>
    <xf numFmtId="0" fontId="46" fillId="9" borderId="12" xfId="32" applyFont="1" applyFill="1" applyBorder="1" applyAlignment="1" applyProtection="1">
      <alignment horizontal="left" vertical="center"/>
    </xf>
    <xf numFmtId="178" fontId="56" fillId="14" borderId="23" xfId="32" applyNumberFormat="1" applyFont="1" applyFill="1" applyBorder="1" applyAlignment="1" applyProtection="1">
      <alignment horizontal="left" vertical="center" wrapText="1"/>
    </xf>
    <xf numFmtId="0" fontId="61" fillId="8" borderId="0" xfId="33" applyFont="1" applyFill="1" applyBorder="1" applyAlignment="1" applyProtection="1">
      <alignment horizontal="left" vertical="center"/>
      <protection locked="0"/>
    </xf>
    <xf numFmtId="0" fontId="52" fillId="8" borderId="0" xfId="33" applyFont="1" applyFill="1" applyBorder="1" applyAlignment="1" applyProtection="1">
      <alignment vertical="center"/>
      <protection locked="0"/>
    </xf>
    <xf numFmtId="0" fontId="52" fillId="8" borderId="0" xfId="33" applyFont="1" applyFill="1" applyBorder="1" applyAlignment="1" applyProtection="1">
      <alignment horizontal="center" vertical="center"/>
      <protection locked="0"/>
    </xf>
    <xf numFmtId="0" fontId="53" fillId="8" borderId="0" xfId="33" applyFont="1" applyFill="1" applyBorder="1" applyAlignment="1" applyProtection="1">
      <alignment vertical="center"/>
      <protection locked="0"/>
    </xf>
    <xf numFmtId="0" fontId="62" fillId="8" borderId="0" xfId="33" applyFont="1" applyFill="1" applyBorder="1" applyAlignment="1" applyProtection="1">
      <protection locked="0"/>
    </xf>
    <xf numFmtId="0" fontId="46" fillId="8" borderId="0" xfId="33" applyFill="1" applyBorder="1" applyAlignment="1" applyProtection="1">
      <protection locked="0"/>
    </xf>
    <xf numFmtId="184" fontId="52" fillId="8" borderId="0" xfId="33" applyNumberFormat="1" applyFont="1" applyFill="1" applyBorder="1" applyAlignment="1" applyProtection="1">
      <alignment horizontal="center" vertical="center"/>
      <protection locked="0"/>
    </xf>
    <xf numFmtId="0" fontId="53" fillId="8" borderId="0" xfId="33" applyFont="1" applyFill="1" applyBorder="1" applyAlignment="1" applyProtection="1">
      <alignment horizontal="center" vertical="center"/>
      <protection locked="0"/>
    </xf>
    <xf numFmtId="0" fontId="52" fillId="8" borderId="0" xfId="33" applyFont="1" applyFill="1" applyBorder="1" applyAlignment="1" applyProtection="1">
      <alignment horizontal="left" vertical="center"/>
      <protection locked="0"/>
    </xf>
    <xf numFmtId="0" fontId="52" fillId="8" borderId="0" xfId="33" applyNumberFormat="1" applyFont="1" applyFill="1" applyBorder="1" applyAlignment="1" applyProtection="1">
      <alignment horizontal="left" vertical="center"/>
      <protection locked="0"/>
    </xf>
    <xf numFmtId="38" fontId="52" fillId="8" borderId="0" xfId="33" applyNumberFormat="1" applyFont="1" applyFill="1" applyBorder="1" applyAlignment="1" applyProtection="1">
      <alignment horizontal="right" vertical="center"/>
      <protection locked="0"/>
    </xf>
    <xf numFmtId="0" fontId="52" fillId="8" borderId="0" xfId="33" applyNumberFormat="1" applyFont="1" applyFill="1" applyBorder="1" applyAlignment="1" applyProtection="1">
      <alignment horizontal="center" vertical="center"/>
      <protection locked="0"/>
    </xf>
    <xf numFmtId="0" fontId="46" fillId="8" borderId="0" xfId="33" applyFont="1" applyFill="1" applyBorder="1" applyAlignment="1" applyProtection="1">
      <alignment vertical="center"/>
      <protection locked="0"/>
    </xf>
    <xf numFmtId="0" fontId="52" fillId="14" borderId="0" xfId="31" applyFont="1" applyFill="1" applyAlignment="1">
      <alignment horizontal="center" vertical="center"/>
    </xf>
    <xf numFmtId="0" fontId="52" fillId="12" borderId="0" xfId="31" applyFont="1" applyFill="1" applyAlignment="1">
      <alignment horizontal="center" vertical="center"/>
    </xf>
    <xf numFmtId="0" fontId="52" fillId="18" borderId="2" xfId="33" applyFont="1" applyFill="1" applyBorder="1" applyAlignment="1" applyProtection="1">
      <alignment horizontal="center" vertical="center"/>
      <protection locked="0"/>
    </xf>
    <xf numFmtId="0" fontId="52" fillId="8" borderId="2" xfId="33" applyFont="1" applyFill="1" applyBorder="1" applyAlignment="1" applyProtection="1">
      <alignment horizontal="center" vertical="center"/>
      <protection locked="0"/>
    </xf>
    <xf numFmtId="0" fontId="61" fillId="8" borderId="0" xfId="31" applyFont="1" applyFill="1" applyBorder="1" applyAlignment="1">
      <alignment vertical="center"/>
    </xf>
    <xf numFmtId="0" fontId="61" fillId="8" borderId="0" xfId="31" applyFont="1" applyFill="1" applyAlignment="1">
      <alignment vertical="center"/>
    </xf>
    <xf numFmtId="0" fontId="61" fillId="8" borderId="0" xfId="31" applyFont="1" applyFill="1" applyAlignment="1">
      <alignment horizontal="left" vertical="center"/>
    </xf>
    <xf numFmtId="0" fontId="61" fillId="8" borderId="0" xfId="31" applyFont="1" applyFill="1" applyAlignment="1">
      <alignment horizontal="center" vertical="center"/>
    </xf>
    <xf numFmtId="0" fontId="67" fillId="8" borderId="0" xfId="31" applyFont="1" applyFill="1" applyAlignment="1">
      <alignment horizontal="center" vertical="center"/>
    </xf>
    <xf numFmtId="181" fontId="52" fillId="8" borderId="0" xfId="31" applyNumberFormat="1" applyFont="1" applyFill="1" applyAlignment="1">
      <alignment horizontal="center" vertical="center"/>
    </xf>
    <xf numFmtId="185" fontId="52" fillId="8" borderId="0" xfId="31" applyNumberFormat="1" applyFont="1" applyFill="1" applyAlignment="1">
      <alignment horizontal="center" vertical="center"/>
    </xf>
    <xf numFmtId="0" fontId="54" fillId="12" borderId="24" xfId="31" applyFont="1" applyFill="1" applyBorder="1" applyAlignment="1">
      <alignment horizontal="left" vertical="center"/>
    </xf>
    <xf numFmtId="14" fontId="58" fillId="12" borderId="10" xfId="32" applyNumberFormat="1" applyFont="1" applyFill="1" applyBorder="1" applyAlignment="1" applyProtection="1">
      <alignment horizontal="left" vertical="center"/>
      <protection locked="0"/>
    </xf>
    <xf numFmtId="0" fontId="46" fillId="0" borderId="2" xfId="23" applyBorder="1" applyAlignment="1">
      <alignment horizontal="center" vertical="center"/>
    </xf>
    <xf numFmtId="183" fontId="71" fillId="0" borderId="2" xfId="29" applyNumberFormat="1" applyFont="1" applyFill="1" applyBorder="1" applyAlignment="1">
      <alignment horizontal="center" vertical="center"/>
    </xf>
    <xf numFmtId="0" fontId="45" fillId="0" borderId="0" xfId="0" applyFont="1" applyBorder="1" applyAlignment="1" applyProtection="1">
      <alignment horizontal="center" vertical="center"/>
    </xf>
    <xf numFmtId="0" fontId="73" fillId="0" borderId="2" xfId="5" applyFont="1" applyBorder="1" applyAlignment="1" applyProtection="1">
      <alignment horizontal="center" vertical="center" wrapText="1"/>
    </xf>
    <xf numFmtId="0" fontId="41" fillId="0" borderId="0" xfId="5" applyFont="1" applyAlignment="1" applyProtection="1">
      <alignment horizontal="center" vertical="center" wrapText="1"/>
    </xf>
    <xf numFmtId="0" fontId="46" fillId="0" borderId="2" xfId="23" applyBorder="1" applyAlignment="1">
      <alignment horizontal="center" vertical="center" wrapText="1"/>
    </xf>
    <xf numFmtId="43" fontId="73" fillId="0" borderId="2" xfId="5" applyNumberFormat="1" applyFont="1" applyBorder="1" applyAlignment="1" applyProtection="1">
      <alignment horizontal="center" vertical="center" wrapText="1"/>
    </xf>
    <xf numFmtId="0" fontId="73" fillId="0" borderId="0" xfId="5" applyFont="1" applyBorder="1" applyAlignment="1" applyProtection="1">
      <alignment horizontal="center" vertical="center" wrapText="1"/>
    </xf>
    <xf numFmtId="43" fontId="73" fillId="0" borderId="0" xfId="5" applyNumberFormat="1" applyFont="1" applyBorder="1" applyAlignment="1" applyProtection="1">
      <alignment horizontal="center" vertical="center" wrapText="1"/>
    </xf>
    <xf numFmtId="183" fontId="71" fillId="0" borderId="0" xfId="29" applyNumberFormat="1" applyFont="1" applyFill="1" applyBorder="1" applyAlignment="1">
      <alignment horizontal="center" vertical="center"/>
    </xf>
    <xf numFmtId="0" fontId="74" fillId="0" borderId="0" xfId="5" applyFont="1" applyBorder="1" applyAlignment="1" applyProtection="1">
      <alignment horizontal="center" vertical="center" wrapText="1"/>
    </xf>
    <xf numFmtId="0" fontId="74" fillId="0" borderId="2" xfId="5" applyFont="1" applyBorder="1" applyAlignment="1" applyProtection="1">
      <alignment horizontal="center" vertical="center" wrapText="1"/>
    </xf>
    <xf numFmtId="0" fontId="59" fillId="0" borderId="0" xfId="5" applyFont="1" applyAlignment="1" applyProtection="1">
      <alignment horizontal="left" vertical="center" wrapText="1"/>
    </xf>
    <xf numFmtId="0" fontId="73" fillId="0" borderId="2" xfId="5" applyFont="1" applyBorder="1" applyAlignment="1" applyProtection="1">
      <alignment horizontal="left" vertical="center" wrapText="1"/>
    </xf>
    <xf numFmtId="43" fontId="73" fillId="12" borderId="2" xfId="5" applyNumberFormat="1" applyFont="1" applyFill="1" applyBorder="1" applyAlignment="1" applyProtection="1">
      <alignment horizontal="center" vertical="center" wrapText="1"/>
    </xf>
    <xf numFmtId="183" fontId="71" fillId="12" borderId="2" xfId="29" applyNumberFormat="1" applyFont="1" applyFill="1" applyBorder="1" applyAlignment="1">
      <alignment horizontal="center" vertical="center"/>
    </xf>
    <xf numFmtId="43" fontId="73" fillId="12" borderId="11" xfId="5" applyNumberFormat="1" applyFont="1" applyFill="1" applyBorder="1" applyAlignment="1" applyProtection="1">
      <alignment horizontal="center" vertical="center" wrapText="1"/>
    </xf>
    <xf numFmtId="183" fontId="38" fillId="0" borderId="2" xfId="29" applyNumberFormat="1" applyFont="1" applyFill="1" applyBorder="1" applyAlignment="1">
      <alignment horizontal="center" vertical="center" wrapText="1"/>
    </xf>
    <xf numFmtId="0" fontId="10" fillId="0" borderId="11" xfId="23" applyFont="1" applyFill="1" applyBorder="1" applyAlignment="1">
      <alignment horizontal="center" vertical="center"/>
    </xf>
    <xf numFmtId="0" fontId="75" fillId="0" borderId="2" xfId="0" applyFont="1" applyFill="1" applyBorder="1" applyAlignment="1">
      <alignment horizontal="center" vertical="center"/>
    </xf>
    <xf numFmtId="0" fontId="75" fillId="0" borderId="2" xfId="0" applyFont="1" applyFill="1" applyBorder="1" applyAlignment="1">
      <alignment horizontal="center" vertical="center" wrapText="1"/>
    </xf>
    <xf numFmtId="0" fontId="77" fillId="0" borderId="2" xfId="0" applyFont="1" applyFill="1" applyBorder="1" applyAlignment="1">
      <alignment horizontal="center" vertical="center" wrapText="1"/>
    </xf>
    <xf numFmtId="43" fontId="73" fillId="0" borderId="2" xfId="5" applyNumberFormat="1" applyFont="1" applyFill="1" applyBorder="1" applyAlignment="1" applyProtection="1">
      <alignment horizontal="center" vertical="center" wrapText="1"/>
    </xf>
    <xf numFmtId="0" fontId="78" fillId="0" borderId="26" xfId="0" applyFont="1" applyFill="1" applyBorder="1" applyAlignment="1">
      <alignment vertical="center" wrapText="1"/>
    </xf>
    <xf numFmtId="0" fontId="78" fillId="0" borderId="27" xfId="0" applyFont="1" applyFill="1" applyBorder="1" applyAlignment="1">
      <alignment vertical="center" wrapText="1"/>
    </xf>
    <xf numFmtId="0" fontId="78" fillId="0" borderId="25" xfId="0" applyFont="1" applyFill="1" applyBorder="1" applyAlignment="1">
      <alignment vertical="center" wrapText="1"/>
    </xf>
    <xf numFmtId="0" fontId="78" fillId="0" borderId="28" xfId="0" applyFont="1" applyFill="1" applyBorder="1" applyAlignment="1">
      <alignment vertical="center" wrapText="1"/>
    </xf>
    <xf numFmtId="0" fontId="78" fillId="0" borderId="30" xfId="0" applyFont="1" applyFill="1" applyBorder="1" applyAlignment="1">
      <alignment vertical="center" wrapText="1"/>
    </xf>
    <xf numFmtId="183" fontId="39" fillId="7" borderId="10" xfId="5" applyNumberFormat="1" applyFont="1" applyFill="1" applyBorder="1" applyAlignment="1" applyProtection="1">
      <alignment horizontal="left" vertical="center"/>
    </xf>
    <xf numFmtId="0" fontId="78" fillId="0" borderId="26" xfId="0" applyFont="1" applyFill="1" applyBorder="1" applyAlignment="1">
      <alignment vertical="center"/>
    </xf>
    <xf numFmtId="0" fontId="78" fillId="0" borderId="27" xfId="0" applyFont="1" applyFill="1" applyBorder="1" applyAlignment="1">
      <alignment vertical="center"/>
    </xf>
    <xf numFmtId="0" fontId="78" fillId="0" borderId="25" xfId="0" applyFont="1" applyFill="1" applyBorder="1" applyAlignment="1">
      <alignment vertical="center"/>
    </xf>
    <xf numFmtId="0" fontId="78" fillId="0" borderId="29" xfId="0" applyFont="1" applyFill="1" applyBorder="1" applyAlignment="1">
      <alignment vertical="center"/>
    </xf>
    <xf numFmtId="0" fontId="9" fillId="2" borderId="10" xfId="32" applyFont="1" applyFill="1" applyBorder="1" applyAlignment="1" applyProtection="1">
      <alignment vertical="center" wrapText="1"/>
      <protection locked="0"/>
    </xf>
    <xf numFmtId="0" fontId="36" fillId="7" borderId="20" xfId="32" applyFont="1" applyFill="1" applyBorder="1" applyAlignment="1" applyProtection="1">
      <alignment horizontal="left" vertical="center" wrapText="1"/>
      <protection locked="0"/>
    </xf>
    <xf numFmtId="0" fontId="36" fillId="7" borderId="10" xfId="32" applyFont="1" applyFill="1" applyBorder="1" applyAlignment="1" applyProtection="1">
      <alignment horizontal="left" vertical="center"/>
      <protection locked="0"/>
    </xf>
    <xf numFmtId="49" fontId="37" fillId="7" borderId="10" xfId="32" applyNumberFormat="1" applyFont="1" applyFill="1" applyBorder="1" applyAlignment="1" applyProtection="1">
      <alignment horizontal="left" vertical="center"/>
      <protection locked="0"/>
    </xf>
    <xf numFmtId="0" fontId="9" fillId="7" borderId="10" xfId="32" applyFont="1" applyFill="1" applyBorder="1" applyAlignment="1" applyProtection="1">
      <alignment horizontal="left" vertical="center"/>
      <protection locked="0"/>
    </xf>
    <xf numFmtId="0" fontId="37" fillId="7" borderId="10" xfId="32" applyFont="1" applyFill="1" applyBorder="1" applyAlignment="1" applyProtection="1">
      <alignment horizontal="left" vertical="center"/>
      <protection locked="0"/>
    </xf>
    <xf numFmtId="183" fontId="37" fillId="7" borderId="10" xfId="29" applyNumberFormat="1" applyFont="1" applyFill="1" applyBorder="1" applyAlignment="1" applyProtection="1">
      <alignment horizontal="left" vertical="center"/>
      <protection locked="0"/>
    </xf>
    <xf numFmtId="9" fontId="9" fillId="7" borderId="10" xfId="32" applyNumberFormat="1" applyFont="1" applyFill="1" applyBorder="1" applyAlignment="1" applyProtection="1">
      <alignment horizontal="left" vertical="center"/>
      <protection locked="0"/>
    </xf>
    <xf numFmtId="9" fontId="9" fillId="7" borderId="10" xfId="32" applyNumberFormat="1" applyFont="1" applyFill="1" applyBorder="1" applyAlignment="1" applyProtection="1">
      <alignment horizontal="left" vertical="center"/>
    </xf>
    <xf numFmtId="0" fontId="37" fillId="7" borderId="10" xfId="32" applyFont="1" applyFill="1" applyBorder="1" applyAlignment="1" applyProtection="1">
      <alignment horizontal="left" vertical="center" wrapText="1"/>
      <protection locked="0"/>
    </xf>
    <xf numFmtId="14" fontId="36" fillId="9" borderId="10" xfId="32" applyNumberFormat="1" applyFont="1" applyFill="1" applyBorder="1" applyAlignment="1" applyProtection="1">
      <alignment horizontal="left" vertical="center" wrapText="1"/>
    </xf>
    <xf numFmtId="0" fontId="37" fillId="9" borderId="23" xfId="32" applyNumberFormat="1" applyFont="1" applyFill="1" applyBorder="1" applyAlignment="1" applyProtection="1">
      <alignment horizontal="left" vertical="center" wrapText="1"/>
    </xf>
    <xf numFmtId="0" fontId="74" fillId="0" borderId="2" xfId="5" applyFont="1" applyBorder="1" applyAlignment="1" applyProtection="1">
      <alignment horizontal="left" vertical="center" wrapText="1"/>
    </xf>
    <xf numFmtId="0" fontId="56" fillId="0" borderId="0" xfId="32" applyFont="1" applyFill="1" applyBorder="1" applyAlignment="1">
      <alignment vertical="center"/>
    </xf>
    <xf numFmtId="0" fontId="80" fillId="0" borderId="0" xfId="37" applyFont="1" applyBorder="1" applyAlignment="1" applyProtection="1">
      <alignment horizontal="center" vertical="center"/>
    </xf>
    <xf numFmtId="0" fontId="37" fillId="0" borderId="0" xfId="37" applyFont="1" applyAlignment="1" applyProtection="1">
      <alignment horizontal="left" vertical="center"/>
    </xf>
    <xf numFmtId="43" fontId="37" fillId="0" borderId="0" xfId="38" applyFont="1" applyAlignment="1" applyProtection="1">
      <alignment horizontal="left" vertical="center"/>
    </xf>
    <xf numFmtId="0" fontId="39" fillId="7" borderId="2" xfId="39" applyFont="1" applyFill="1" applyBorder="1" applyAlignment="1" applyProtection="1">
      <alignment horizontal="left" vertical="center"/>
    </xf>
    <xf numFmtId="0" fontId="82" fillId="20" borderId="2" xfId="37" applyFont="1" applyFill="1" applyBorder="1" applyAlignment="1" applyProtection="1">
      <alignment wrapText="1"/>
    </xf>
    <xf numFmtId="186" fontId="39" fillId="7" borderId="2" xfId="37" applyNumberFormat="1" applyFont="1" applyFill="1" applyBorder="1" applyAlignment="1" applyProtection="1">
      <alignment horizontal="left" vertical="center"/>
    </xf>
    <xf numFmtId="0" fontId="9" fillId="0" borderId="0" xfId="37" applyFont="1" applyAlignment="1" applyProtection="1">
      <alignment horizontal="left" vertical="center"/>
    </xf>
    <xf numFmtId="187" fontId="39" fillId="7" borderId="2" xfId="37" applyNumberFormat="1" applyFont="1" applyFill="1" applyBorder="1" applyAlignment="1" applyProtection="1">
      <alignment horizontal="left" vertical="center"/>
    </xf>
    <xf numFmtId="43" fontId="37" fillId="0" borderId="0" xfId="37" applyNumberFormat="1" applyFont="1" applyAlignment="1" applyProtection="1">
      <alignment horizontal="left" vertical="center"/>
    </xf>
    <xf numFmtId="181" fontId="39" fillId="7" borderId="2" xfId="37" applyNumberFormat="1" applyFont="1" applyFill="1" applyBorder="1" applyAlignment="1" applyProtection="1">
      <alignment horizontal="left" vertical="center"/>
    </xf>
    <xf numFmtId="0" fontId="73" fillId="0" borderId="0" xfId="37" applyFont="1" applyAlignment="1" applyProtection="1">
      <alignment horizontal="left" vertical="center"/>
    </xf>
    <xf numFmtId="9" fontId="44" fillId="7" borderId="2" xfId="37" applyNumberFormat="1" applyFont="1" applyFill="1" applyBorder="1" applyAlignment="1" applyProtection="1">
      <alignment horizontal="left" vertical="center"/>
    </xf>
    <xf numFmtId="0" fontId="9" fillId="13" borderId="2" xfId="37" applyFont="1" applyFill="1" applyBorder="1" applyAlignment="1" applyProtection="1">
      <alignment wrapText="1"/>
    </xf>
    <xf numFmtId="0" fontId="83" fillId="20" borderId="2" xfId="37" applyFont="1" applyFill="1" applyBorder="1" applyAlignment="1" applyProtection="1">
      <alignment vertical="center" wrapText="1"/>
    </xf>
    <xf numFmtId="0" fontId="37" fillId="0" borderId="0" xfId="37" applyFont="1" applyAlignment="1" applyProtection="1">
      <alignment horizontal="left" vertical="center" wrapText="1"/>
    </xf>
    <xf numFmtId="0" fontId="44" fillId="7" borderId="2" xfId="37" applyFont="1" applyFill="1" applyBorder="1" applyAlignment="1" applyProtection="1">
      <alignment horizontal="left" vertical="center"/>
    </xf>
    <xf numFmtId="0" fontId="39" fillId="7" borderId="2" xfId="37" applyFont="1" applyFill="1" applyBorder="1" applyAlignment="1" applyProtection="1">
      <alignment horizontal="left" vertical="center"/>
    </xf>
    <xf numFmtId="14" fontId="39" fillId="7" borderId="2" xfId="37" applyNumberFormat="1" applyFont="1" applyFill="1" applyBorder="1" applyAlignment="1" applyProtection="1">
      <alignment horizontal="left" vertical="center"/>
    </xf>
    <xf numFmtId="0" fontId="41" fillId="7" borderId="2" xfId="37" applyFont="1" applyFill="1" applyBorder="1" applyAlignment="1" applyProtection="1">
      <alignment horizontal="left" vertical="center"/>
    </xf>
    <xf numFmtId="10" fontId="39" fillId="7" borderId="2" xfId="37" applyNumberFormat="1" applyFont="1" applyFill="1" applyBorder="1" applyAlignment="1" applyProtection="1">
      <alignment horizontal="left" vertical="center"/>
    </xf>
    <xf numFmtId="0" fontId="83" fillId="9" borderId="2" xfId="37" applyFont="1" applyFill="1" applyBorder="1" applyAlignment="1">
      <alignment horizontal="left" vertical="center" wrapText="1"/>
    </xf>
    <xf numFmtId="0" fontId="44" fillId="0" borderId="0" xfId="37" applyFont="1" applyFill="1" applyBorder="1" applyAlignment="1" applyProtection="1">
      <alignment wrapText="1"/>
    </xf>
    <xf numFmtId="0" fontId="37" fillId="0" borderId="0" xfId="37" applyFont="1" applyAlignment="1" applyProtection="1">
      <alignment horizontal="center" vertical="center" wrapText="1"/>
    </xf>
    <xf numFmtId="0" fontId="83" fillId="0" borderId="2" xfId="37" applyFont="1" applyFill="1" applyBorder="1" applyAlignment="1">
      <alignment horizontal="center" vertical="center" wrapText="1"/>
    </xf>
    <xf numFmtId="0" fontId="41" fillId="0" borderId="2" xfId="37" applyFont="1" applyFill="1" applyBorder="1" applyAlignment="1">
      <alignment horizontal="center" vertical="center"/>
    </xf>
    <xf numFmtId="0" fontId="37" fillId="0" borderId="2" xfId="37" applyFont="1" applyFill="1" applyBorder="1" applyAlignment="1" applyProtection="1">
      <alignment horizontal="center" vertical="center" wrapText="1"/>
    </xf>
    <xf numFmtId="43" fontId="36" fillId="0" borderId="2" xfId="38" applyFont="1" applyFill="1" applyBorder="1" applyAlignment="1" applyProtection="1">
      <alignment horizontal="center" vertical="center" wrapText="1"/>
    </xf>
    <xf numFmtId="43" fontId="37" fillId="0" borderId="2" xfId="38" applyFont="1" applyFill="1" applyBorder="1" applyAlignment="1" applyProtection="1">
      <alignment horizontal="center" vertical="center" wrapText="1"/>
    </xf>
    <xf numFmtId="0" fontId="10" fillId="22" borderId="2" xfId="37" applyFont="1" applyFill="1" applyBorder="1" applyAlignment="1">
      <alignment horizontal="center" vertical="center"/>
    </xf>
    <xf numFmtId="181" fontId="37" fillId="22" borderId="2" xfId="37" applyNumberFormat="1" applyFont="1" applyFill="1" applyBorder="1" applyAlignment="1">
      <alignment horizontal="center" vertical="center"/>
    </xf>
    <xf numFmtId="178" fontId="37" fillId="22" borderId="2" xfId="37" applyNumberFormat="1" applyFont="1" applyFill="1" applyBorder="1" applyAlignment="1">
      <alignment horizontal="center" vertical="center"/>
    </xf>
    <xf numFmtId="181" fontId="37" fillId="22" borderId="2" xfId="37" applyNumberFormat="1" applyFont="1" applyFill="1" applyBorder="1" applyAlignment="1">
      <alignment horizontal="right" vertical="center"/>
    </xf>
    <xf numFmtId="0" fontId="87" fillId="22" borderId="2" xfId="41" applyFont="1" applyFill="1" applyBorder="1" applyAlignment="1" applyProtection="1">
      <alignment horizontal="left" vertical="center" shrinkToFit="1"/>
    </xf>
    <xf numFmtId="0" fontId="37" fillId="0" borderId="2" xfId="37" applyFont="1" applyBorder="1" applyAlignment="1" applyProtection="1">
      <alignment horizontal="left" vertical="center" wrapText="1"/>
    </xf>
    <xf numFmtId="181" fontId="39" fillId="0" borderId="2" xfId="37" applyNumberFormat="1" applyFont="1" applyBorder="1" applyAlignment="1" applyProtection="1">
      <alignment horizontal="left" vertical="center"/>
    </xf>
    <xf numFmtId="178" fontId="37" fillId="0" borderId="2" xfId="37" applyNumberFormat="1" applyFont="1" applyFill="1" applyBorder="1" applyAlignment="1">
      <alignment horizontal="center" vertical="center"/>
    </xf>
    <xf numFmtId="43" fontId="39" fillId="0" borderId="2" xfId="38" applyFont="1" applyBorder="1" applyAlignment="1" applyProtection="1">
      <alignment horizontal="right" vertical="center"/>
    </xf>
    <xf numFmtId="43" fontId="37" fillId="0" borderId="0" xfId="37" applyNumberFormat="1" applyFont="1" applyAlignment="1" applyProtection="1"/>
    <xf numFmtId="0" fontId="37" fillId="0" borderId="0" xfId="37" applyFont="1" applyAlignment="1" applyProtection="1"/>
    <xf numFmtId="181" fontId="39" fillId="0" borderId="2" xfId="37" applyNumberFormat="1" applyFont="1" applyBorder="1" applyAlignment="1" applyProtection="1"/>
    <xf numFmtId="43" fontId="39" fillId="0" borderId="2" xfId="38" applyFont="1" applyBorder="1" applyAlignment="1" applyProtection="1"/>
    <xf numFmtId="43" fontId="37" fillId="0" borderId="0" xfId="38" applyFont="1" applyAlignment="1" applyProtection="1"/>
    <xf numFmtId="0" fontId="37" fillId="0" borderId="0" xfId="32" applyFont="1" applyBorder="1" applyAlignment="1" applyProtection="1">
      <alignment horizontal="left" vertical="center"/>
    </xf>
    <xf numFmtId="0" fontId="37" fillId="0" borderId="1" xfId="37" applyFont="1" applyBorder="1" applyAlignment="1" applyProtection="1">
      <alignment horizontal="left" vertical="center"/>
    </xf>
    <xf numFmtId="43" fontId="36" fillId="0" borderId="0" xfId="38" applyFont="1" applyAlignment="1" applyProtection="1">
      <alignment horizontal="center" vertical="center"/>
    </xf>
    <xf numFmtId="0" fontId="41" fillId="0" borderId="1" xfId="32" applyFont="1" applyFill="1" applyBorder="1" applyAlignment="1" applyProtection="1">
      <alignment horizontal="center" vertical="center"/>
    </xf>
    <xf numFmtId="43" fontId="37" fillId="0" borderId="0" xfId="38" applyFont="1" applyAlignment="1" applyProtection="1">
      <alignment horizontal="center" vertical="center"/>
    </xf>
    <xf numFmtId="4" fontId="72" fillId="0" borderId="0" xfId="37" applyNumberFormat="1" applyFont="1">
      <alignment vertical="center"/>
    </xf>
    <xf numFmtId="183" fontId="37" fillId="7" borderId="10" xfId="32" applyNumberFormat="1" applyFont="1" applyFill="1" applyBorder="1" applyAlignment="1" applyProtection="1">
      <alignment horizontal="left" vertical="center"/>
      <protection locked="0"/>
    </xf>
    <xf numFmtId="0" fontId="59" fillId="0" borderId="0" xfId="5" applyFont="1" applyAlignment="1" applyProtection="1">
      <alignment horizontal="left" vertical="center"/>
    </xf>
    <xf numFmtId="0" fontId="86" fillId="0" borderId="2" xfId="41" quotePrefix="1" applyFill="1" applyBorder="1" applyAlignment="1" applyProtection="1">
      <alignment horizontal="left" vertical="center" shrinkToFit="1"/>
    </xf>
    <xf numFmtId="0" fontId="10" fillId="0" borderId="2" xfId="37" applyFont="1" applyFill="1" applyBorder="1" applyAlignment="1">
      <alignment horizontal="center" vertical="center"/>
    </xf>
    <xf numFmtId="181" fontId="37" fillId="0" borderId="2" xfId="37" applyNumberFormat="1" applyFont="1" applyFill="1" applyBorder="1" applyAlignment="1">
      <alignment horizontal="center" vertical="center"/>
    </xf>
    <xf numFmtId="181" fontId="37" fillId="0" borderId="2" xfId="37" applyNumberFormat="1" applyFont="1" applyFill="1" applyBorder="1" applyAlignment="1">
      <alignment horizontal="right" vertical="center"/>
    </xf>
    <xf numFmtId="0" fontId="86" fillId="0" borderId="2" xfId="41" applyFill="1" applyBorder="1" applyAlignment="1" applyProtection="1">
      <alignment horizontal="left" vertical="center" shrinkToFit="1"/>
    </xf>
    <xf numFmtId="0" fontId="66" fillId="0" borderId="2" xfId="41" applyFont="1" applyFill="1" applyBorder="1" applyAlignment="1" applyProtection="1">
      <alignment horizontal="left" vertical="center" shrinkToFit="1"/>
    </xf>
    <xf numFmtId="0" fontId="74" fillId="0" borderId="2" xfId="37" applyFont="1" applyFill="1" applyBorder="1" applyAlignment="1">
      <alignment horizontal="center" vertical="center"/>
    </xf>
    <xf numFmtId="181" fontId="73" fillId="0" borderId="2" xfId="37" applyNumberFormat="1" applyFont="1" applyFill="1" applyBorder="1" applyAlignment="1">
      <alignment horizontal="center" vertical="center"/>
    </xf>
    <xf numFmtId="178" fontId="73" fillId="0" borderId="2" xfId="37" applyNumberFormat="1" applyFont="1" applyFill="1" applyBorder="1" applyAlignment="1">
      <alignment horizontal="center" vertical="center"/>
    </xf>
    <xf numFmtId="181" fontId="73" fillId="0" borderId="2" xfId="37" applyNumberFormat="1" applyFont="1" applyFill="1" applyBorder="1" applyAlignment="1">
      <alignment horizontal="right" vertical="center"/>
    </xf>
    <xf numFmtId="0" fontId="81" fillId="0" borderId="0" xfId="40"/>
    <xf numFmtId="0" fontId="52" fillId="16" borderId="2" xfId="42" applyFont="1" applyFill="1" applyBorder="1" applyAlignment="1">
      <alignment horizontal="center" vertical="center"/>
    </xf>
    <xf numFmtId="0" fontId="52" fillId="16" borderId="2" xfId="42" applyFont="1" applyFill="1" applyBorder="1" applyAlignment="1">
      <alignment horizontal="center" vertical="center" wrapText="1"/>
    </xf>
    <xf numFmtId="43" fontId="52" fillId="8" borderId="0" xfId="43" applyFont="1" applyFill="1" applyBorder="1" applyAlignment="1" applyProtection="1">
      <alignment vertical="center"/>
      <protection locked="0"/>
    </xf>
    <xf numFmtId="43" fontId="52" fillId="14" borderId="2" xfId="43" applyFont="1" applyFill="1" applyBorder="1" applyAlignment="1">
      <alignment horizontal="center" vertical="center"/>
    </xf>
    <xf numFmtId="43" fontId="52" fillId="12" borderId="2" xfId="43" applyFont="1" applyFill="1" applyBorder="1" applyAlignment="1">
      <alignment horizontal="center" vertical="center"/>
    </xf>
    <xf numFmtId="9" fontId="52" fillId="14" borderId="2" xfId="44" applyFont="1" applyFill="1" applyBorder="1" applyAlignment="1">
      <alignment horizontal="center" vertical="center"/>
    </xf>
    <xf numFmtId="43" fontId="52" fillId="0" borderId="2" xfId="43" applyFont="1" applyBorder="1" applyAlignment="1">
      <alignment horizontal="center" vertical="center"/>
    </xf>
    <xf numFmtId="43" fontId="52" fillId="8" borderId="0" xfId="43" applyFont="1" applyFill="1" applyBorder="1" applyAlignment="1" applyProtection="1">
      <alignment horizontal="center" vertical="center"/>
      <protection locked="0"/>
    </xf>
    <xf numFmtId="43" fontId="53" fillId="8" borderId="0" xfId="43" applyFont="1" applyFill="1" applyBorder="1" applyAlignment="1" applyProtection="1">
      <alignment horizontal="center" vertical="center"/>
      <protection locked="0"/>
    </xf>
    <xf numFmtId="0" fontId="64" fillId="17" borderId="2" xfId="42" applyFont="1" applyFill="1" applyBorder="1" applyAlignment="1">
      <alignment horizontal="left" vertical="center"/>
    </xf>
    <xf numFmtId="0" fontId="64" fillId="17" borderId="2" xfId="42" applyFont="1" applyFill="1" applyBorder="1" applyAlignment="1">
      <alignment horizontal="center" vertical="center"/>
    </xf>
    <xf numFmtId="0" fontId="65" fillId="18" borderId="2" xfId="42" applyFont="1" applyFill="1" applyBorder="1" applyAlignment="1">
      <alignment horizontal="center" vertical="center"/>
    </xf>
    <xf numFmtId="0" fontId="52" fillId="0" borderId="2" xfId="42" applyFont="1" applyBorder="1" applyAlignment="1">
      <alignment horizontal="left" vertical="center"/>
    </xf>
    <xf numFmtId="0" fontId="52" fillId="0" borderId="2" xfId="42" applyFont="1" applyBorder="1" applyAlignment="1">
      <alignment horizontal="center" vertical="center"/>
    </xf>
    <xf numFmtId="9" fontId="65" fillId="0" borderId="2" xfId="44" applyFont="1" applyBorder="1" applyAlignment="1">
      <alignment horizontal="center" vertical="center"/>
    </xf>
    <xf numFmtId="0" fontId="52" fillId="0" borderId="2" xfId="42" applyFont="1" applyBorder="1" applyAlignment="1">
      <alignment vertical="center"/>
    </xf>
    <xf numFmtId="9" fontId="65" fillId="0" borderId="2" xfId="42" applyNumberFormat="1" applyFont="1" applyBorder="1" applyAlignment="1">
      <alignment horizontal="center" vertical="center"/>
    </xf>
    <xf numFmtId="0" fontId="52" fillId="19" borderId="2" xfId="42" applyFont="1" applyFill="1" applyBorder="1" applyAlignment="1">
      <alignment horizontal="left" vertical="center"/>
    </xf>
    <xf numFmtId="0" fontId="52" fillId="19" borderId="2" xfId="42" applyFont="1" applyFill="1" applyBorder="1" applyAlignment="1">
      <alignment horizontal="center" vertical="center"/>
    </xf>
    <xf numFmtId="0" fontId="46" fillId="0" borderId="2" xfId="42" applyFont="1" applyBorder="1" applyAlignment="1">
      <alignment horizontal="left" vertical="center"/>
    </xf>
    <xf numFmtId="0" fontId="68" fillId="0" borderId="2" xfId="42" applyFont="1" applyBorder="1" applyAlignment="1">
      <alignment horizontal="center" vertical="center"/>
    </xf>
    <xf numFmtId="0" fontId="68" fillId="0" borderId="2" xfId="42" applyFont="1" applyBorder="1" applyAlignment="1">
      <alignment horizontal="center" vertical="center" wrapText="1"/>
    </xf>
    <xf numFmtId="0" fontId="69" fillId="0" borderId="2" xfId="42" applyFont="1" applyBorder="1" applyAlignment="1">
      <alignment horizontal="center" vertical="center"/>
    </xf>
    <xf numFmtId="0" fontId="69" fillId="0" borderId="2" xfId="42" applyFont="1" applyBorder="1" applyAlignment="1">
      <alignment horizontal="center" vertical="center" wrapText="1"/>
    </xf>
    <xf numFmtId="9" fontId="37" fillId="0" borderId="0" xfId="37" applyNumberFormat="1" applyFont="1" applyAlignment="1" applyProtection="1">
      <alignment horizontal="center" vertical="center" wrapText="1"/>
    </xf>
    <xf numFmtId="0" fontId="87" fillId="13" borderId="2" xfId="41" applyFont="1" applyFill="1" applyBorder="1" applyAlignment="1" applyProtection="1">
      <alignment horizontal="left" vertical="center" shrinkToFit="1"/>
    </xf>
    <xf numFmtId="0" fontId="10" fillId="13" borderId="2" xfId="37" applyFont="1" applyFill="1" applyBorder="1" applyAlignment="1">
      <alignment horizontal="center" vertical="center"/>
    </xf>
    <xf numFmtId="181" fontId="37" fillId="13" borderId="2" xfId="37" applyNumberFormat="1" applyFont="1" applyFill="1" applyBorder="1" applyAlignment="1">
      <alignment horizontal="center" vertical="center"/>
    </xf>
    <xf numFmtId="178" fontId="37" fillId="13" borderId="2" xfId="37" applyNumberFormat="1" applyFont="1" applyFill="1" applyBorder="1" applyAlignment="1">
      <alignment horizontal="center" vertical="center"/>
    </xf>
    <xf numFmtId="181" fontId="37" fillId="13" borderId="2" xfId="37" applyNumberFormat="1" applyFont="1" applyFill="1" applyBorder="1" applyAlignment="1">
      <alignment horizontal="right" vertical="center"/>
    </xf>
    <xf numFmtId="43" fontId="52" fillId="12" borderId="10" xfId="31" applyNumberFormat="1" applyFont="1" applyFill="1" applyBorder="1" applyAlignment="1" applyProtection="1">
      <alignment horizontal="left" vertical="center"/>
      <protection locked="0"/>
    </xf>
    <xf numFmtId="0" fontId="70" fillId="0" borderId="0" xfId="35"/>
    <xf numFmtId="0" fontId="58" fillId="7" borderId="10" xfId="32" applyFont="1" applyFill="1" applyBorder="1" applyAlignment="1" applyProtection="1">
      <alignment horizontal="left" vertical="center" wrapText="1"/>
      <protection locked="0"/>
    </xf>
    <xf numFmtId="0" fontId="65" fillId="18" borderId="2" xfId="36" applyFont="1" applyFill="1" applyBorder="1" applyAlignment="1">
      <alignment horizontal="center" vertical="center"/>
    </xf>
    <xf numFmtId="9" fontId="65" fillId="0" borderId="2" xfId="36" applyNumberFormat="1" applyFont="1" applyBorder="1" applyAlignment="1">
      <alignment horizontal="center" vertical="center"/>
    </xf>
    <xf numFmtId="0" fontId="68" fillId="0" borderId="2" xfId="36" applyFont="1" applyBorder="1" applyAlignment="1">
      <alignment horizontal="center" vertical="center" wrapText="1"/>
    </xf>
    <xf numFmtId="0" fontId="69" fillId="0" borderId="2" xfId="36" applyFont="1" applyBorder="1" applyAlignment="1">
      <alignment horizontal="center" vertical="center" wrapText="1"/>
    </xf>
    <xf numFmtId="0" fontId="52" fillId="13" borderId="15" xfId="32" applyFont="1" applyFill="1" applyBorder="1" applyAlignment="1" applyProtection="1">
      <alignment horizontal="left" vertical="center" wrapText="1"/>
    </xf>
    <xf numFmtId="0" fontId="52" fillId="13" borderId="8" xfId="32" applyFont="1" applyFill="1" applyBorder="1" applyAlignment="1" applyProtection="1">
      <alignment horizontal="left" vertical="center" wrapText="1"/>
    </xf>
    <xf numFmtId="0" fontId="46" fillId="9" borderId="8" xfId="32" applyFont="1" applyFill="1" applyBorder="1" applyAlignment="1" applyProtection="1">
      <alignment horizontal="left" vertical="center" wrapText="1"/>
    </xf>
    <xf numFmtId="0" fontId="46" fillId="9" borderId="12" xfId="32" applyFont="1" applyFill="1" applyBorder="1" applyAlignment="1" applyProtection="1">
      <alignment horizontal="left" vertical="center" wrapText="1"/>
    </xf>
    <xf numFmtId="0" fontId="62" fillId="8" borderId="0" xfId="33" applyFont="1" applyFill="1" applyBorder="1" applyAlignment="1" applyProtection="1">
      <alignment wrapText="1"/>
      <protection locked="0"/>
    </xf>
    <xf numFmtId="0" fontId="52" fillId="8" borderId="0" xfId="33" applyFont="1" applyFill="1" applyBorder="1" applyAlignment="1" applyProtection="1">
      <alignment vertical="center" wrapText="1"/>
      <protection locked="0"/>
    </xf>
    <xf numFmtId="0" fontId="46" fillId="8" borderId="0" xfId="33" applyFont="1" applyFill="1" applyBorder="1" applyAlignment="1" applyProtection="1">
      <alignment vertical="center" wrapText="1"/>
      <protection locked="0"/>
    </xf>
    <xf numFmtId="0" fontId="52" fillId="14" borderId="0" xfId="31" applyFont="1" applyFill="1" applyAlignment="1">
      <alignment horizontal="center" vertical="center" wrapText="1"/>
    </xf>
    <xf numFmtId="0" fontId="52" fillId="12" borderId="0" xfId="31" applyFont="1" applyFill="1" applyAlignment="1">
      <alignment horizontal="center" vertical="center" wrapText="1"/>
    </xf>
    <xf numFmtId="0" fontId="64" fillId="17" borderId="2" xfId="36" applyFont="1" applyFill="1" applyBorder="1" applyAlignment="1">
      <alignment horizontal="left" vertical="center" wrapText="1"/>
    </xf>
    <xf numFmtId="0" fontId="52" fillId="0" borderId="2" xfId="36" applyFont="1" applyBorder="1" applyAlignment="1">
      <alignment horizontal="left" vertical="center" wrapText="1"/>
    </xf>
    <xf numFmtId="0" fontId="52" fillId="0" borderId="2" xfId="36" applyFont="1" applyBorder="1" applyAlignment="1">
      <alignment vertical="center" wrapText="1"/>
    </xf>
    <xf numFmtId="0" fontId="52" fillId="19" borderId="2" xfId="36" applyFont="1" applyFill="1" applyBorder="1" applyAlignment="1">
      <alignment horizontal="left" vertical="center" wrapText="1"/>
    </xf>
    <xf numFmtId="0" fontId="61" fillId="8" borderId="0" xfId="31" applyFont="1" applyFill="1" applyAlignment="1">
      <alignment vertical="center" wrapText="1"/>
    </xf>
    <xf numFmtId="0" fontId="67" fillId="8" borderId="0" xfId="31" applyFont="1" applyFill="1" applyAlignment="1">
      <alignment horizontal="center" vertical="center" wrapText="1"/>
    </xf>
    <xf numFmtId="0" fontId="68" fillId="0" borderId="2" xfId="36" applyFont="1" applyBorder="1" applyAlignment="1">
      <alignment horizontal="center" vertical="center" wrapText="1"/>
    </xf>
    <xf numFmtId="0" fontId="52" fillId="8" borderId="0" xfId="31" applyFont="1" applyFill="1" applyAlignment="1">
      <alignment vertical="center" wrapText="1"/>
    </xf>
    <xf numFmtId="0" fontId="70" fillId="0" borderId="0" xfId="35" applyAlignment="1">
      <alignment wrapText="1"/>
    </xf>
    <xf numFmtId="0" fontId="52" fillId="14" borderId="20" xfId="31" applyFont="1" applyFill="1" applyBorder="1" applyAlignment="1" applyProtection="1">
      <alignment horizontal="left" vertical="center" wrapText="1"/>
      <protection locked="0"/>
    </xf>
    <xf numFmtId="0" fontId="52" fillId="14" borderId="10" xfId="31" applyFont="1" applyFill="1" applyBorder="1" applyAlignment="1" applyProtection="1">
      <alignment horizontal="left" vertical="center" wrapText="1"/>
      <protection locked="0"/>
    </xf>
    <xf numFmtId="49" fontId="52" fillId="14" borderId="10" xfId="31" applyNumberFormat="1" applyFont="1" applyFill="1" applyBorder="1" applyAlignment="1" applyProtection="1">
      <alignment horizontal="left" vertical="center" wrapText="1"/>
      <protection locked="0"/>
    </xf>
    <xf numFmtId="0" fontId="53" fillId="13" borderId="10" xfId="31" applyFont="1" applyFill="1" applyBorder="1" applyAlignment="1" applyProtection="1">
      <alignment horizontal="left" vertical="center" wrapText="1"/>
      <protection locked="0"/>
    </xf>
    <xf numFmtId="0" fontId="52" fillId="13" borderId="10" xfId="32" applyFont="1" applyFill="1" applyBorder="1" applyAlignment="1" applyProtection="1">
      <alignment horizontal="left" vertical="center" wrapText="1"/>
      <protection locked="0"/>
    </xf>
    <xf numFmtId="183" fontId="58" fillId="7" borderId="10" xfId="29" applyNumberFormat="1" applyFont="1" applyFill="1" applyBorder="1" applyAlignment="1" applyProtection="1">
      <alignment vertical="center" wrapText="1"/>
      <protection locked="0"/>
    </xf>
    <xf numFmtId="9" fontId="88" fillId="7" borderId="10" xfId="32" applyNumberFormat="1" applyFont="1" applyFill="1" applyBorder="1" applyAlignment="1" applyProtection="1">
      <alignment horizontal="left" vertical="center" wrapText="1"/>
      <protection locked="0"/>
    </xf>
    <xf numFmtId="0" fontId="88" fillId="7" borderId="10" xfId="32" applyFont="1" applyFill="1" applyBorder="1" applyAlignment="1" applyProtection="1">
      <alignment horizontal="left" vertical="center" wrapText="1"/>
      <protection locked="0"/>
    </xf>
    <xf numFmtId="14" fontId="58" fillId="7" borderId="10" xfId="32" applyNumberFormat="1" applyFont="1" applyFill="1" applyBorder="1" applyAlignment="1" applyProtection="1">
      <alignment horizontal="left" vertical="center" wrapText="1"/>
      <protection locked="0"/>
    </xf>
    <xf numFmtId="0" fontId="59" fillId="7" borderId="10" xfId="32" applyFont="1" applyFill="1" applyBorder="1" applyAlignment="1" applyProtection="1">
      <alignment horizontal="left" vertical="center" wrapText="1"/>
      <protection locked="0"/>
    </xf>
    <xf numFmtId="0" fontId="45" fillId="0" borderId="0" xfId="0" applyFont="1" applyBorder="1" applyAlignment="1" applyProtection="1">
      <alignment horizontal="center" vertical="center" wrapText="1"/>
    </xf>
    <xf numFmtId="0" fontId="45" fillId="0" borderId="2" xfId="0" applyFont="1" applyBorder="1" applyAlignment="1" applyProtection="1">
      <alignment horizontal="center" vertical="center" wrapText="1"/>
    </xf>
    <xf numFmtId="0" fontId="64" fillId="17" borderId="2" xfId="36" applyFont="1" applyFill="1" applyBorder="1" applyAlignment="1">
      <alignment horizontal="center" vertical="center" wrapText="1"/>
    </xf>
    <xf numFmtId="0" fontId="52" fillId="0" borderId="2" xfId="36" applyFont="1" applyBorder="1" applyAlignment="1">
      <alignment horizontal="center" vertical="center" wrapText="1"/>
    </xf>
    <xf numFmtId="0" fontId="52" fillId="19" borderId="2" xfId="36" applyFont="1" applyFill="1" applyBorder="1" applyAlignment="1">
      <alignment horizontal="center" vertical="center" wrapText="1"/>
    </xf>
    <xf numFmtId="0" fontId="78" fillId="0" borderId="26" xfId="0" applyFont="1" applyFill="1" applyBorder="1" applyAlignment="1">
      <alignment horizontal="left" vertical="center" wrapText="1"/>
    </xf>
    <xf numFmtId="0" fontId="78" fillId="0" borderId="27" xfId="0" applyFont="1" applyFill="1" applyBorder="1" applyAlignment="1">
      <alignment horizontal="left" vertical="center" wrapText="1"/>
    </xf>
    <xf numFmtId="0" fontId="78" fillId="0" borderId="25" xfId="0" applyFont="1" applyFill="1" applyBorder="1" applyAlignment="1">
      <alignment horizontal="left" vertical="center" wrapText="1"/>
    </xf>
    <xf numFmtId="0" fontId="78" fillId="0" borderId="28" xfId="0" applyFont="1" applyFill="1" applyBorder="1" applyAlignment="1">
      <alignment horizontal="left" vertical="center" wrapText="1"/>
    </xf>
    <xf numFmtId="0" fontId="78" fillId="0" borderId="25" xfId="0" applyFont="1" applyFill="1" applyBorder="1" applyAlignment="1">
      <alignment horizontal="left" vertical="center"/>
    </xf>
    <xf numFmtId="0" fontId="78" fillId="0" borderId="29" xfId="0" applyFont="1" applyFill="1" applyBorder="1" applyAlignment="1">
      <alignment horizontal="left" vertical="center"/>
    </xf>
    <xf numFmtId="0" fontId="78" fillId="0" borderId="30" xfId="0" applyFont="1" applyFill="1" applyBorder="1" applyAlignment="1">
      <alignment horizontal="left" vertical="center" wrapText="1"/>
    </xf>
    <xf numFmtId="0" fontId="73" fillId="12" borderId="2" xfId="5" applyFont="1" applyFill="1" applyBorder="1" applyAlignment="1" applyProtection="1">
      <alignment horizontal="left" vertical="center" wrapText="1"/>
    </xf>
    <xf numFmtId="43" fontId="73" fillId="13" borderId="2" xfId="5" applyNumberFormat="1" applyFont="1" applyFill="1" applyBorder="1" applyAlignment="1" applyProtection="1">
      <alignment horizontal="center" vertical="center" wrapText="1"/>
    </xf>
    <xf numFmtId="9" fontId="73" fillId="14" borderId="2" xfId="5" applyNumberFormat="1" applyFont="1" applyFill="1" applyBorder="1" applyAlignment="1" applyProtection="1">
      <alignment horizontal="center" vertical="center" wrapText="1"/>
    </xf>
    <xf numFmtId="183" fontId="71" fillId="13" borderId="2" xfId="29" applyNumberFormat="1" applyFont="1" applyFill="1" applyBorder="1" applyAlignment="1">
      <alignment horizontal="center" vertical="center"/>
    </xf>
    <xf numFmtId="183" fontId="58" fillId="7" borderId="10" xfId="32" applyNumberFormat="1" applyFont="1" applyFill="1" applyBorder="1" applyAlignment="1" applyProtection="1">
      <alignment horizontal="left" vertical="center" wrapText="1"/>
      <protection locked="0"/>
    </xf>
    <xf numFmtId="0" fontId="52" fillId="13" borderId="24" xfId="31" applyFont="1" applyFill="1" applyBorder="1" applyAlignment="1">
      <alignment horizontal="left" vertical="center" wrapText="1"/>
    </xf>
    <xf numFmtId="0" fontId="73" fillId="12" borderId="2" xfId="5" applyFont="1" applyFill="1" applyBorder="1" applyAlignment="1" applyProtection="1">
      <alignment horizontal="center" vertical="center" wrapText="1"/>
    </xf>
    <xf numFmtId="0" fontId="45" fillId="12" borderId="2" xfId="0" applyFont="1" applyFill="1" applyBorder="1" applyAlignment="1" applyProtection="1">
      <alignment horizontal="center" vertical="center"/>
    </xf>
    <xf numFmtId="43" fontId="73" fillId="13" borderId="11" xfId="5" applyNumberFormat="1" applyFont="1" applyFill="1" applyBorder="1" applyAlignment="1" applyProtection="1">
      <alignment horizontal="center" vertical="center" wrapText="1"/>
    </xf>
    <xf numFmtId="0" fontId="61" fillId="0" borderId="0" xfId="33" applyFont="1" applyFill="1" applyBorder="1" applyAlignment="1" applyProtection="1">
      <alignment horizontal="center" vertical="center"/>
      <protection locked="0"/>
    </xf>
    <xf numFmtId="0" fontId="62" fillId="0" borderId="0" xfId="33" applyFont="1" applyFill="1" applyBorder="1" applyAlignment="1" applyProtection="1">
      <protection locked="0"/>
    </xf>
    <xf numFmtId="0" fontId="46" fillId="0" borderId="0" xfId="33" applyFill="1" applyBorder="1" applyAlignment="1" applyProtection="1">
      <protection locked="0"/>
    </xf>
    <xf numFmtId="0" fontId="61" fillId="0" borderId="0" xfId="33" applyFont="1" applyFill="1" applyBorder="1" applyAlignment="1" applyProtection="1">
      <alignment horizontal="left" vertical="center"/>
      <protection locked="0"/>
    </xf>
    <xf numFmtId="0" fontId="52" fillId="0" borderId="0" xfId="33" applyFont="1" applyFill="1" applyBorder="1" applyAlignment="1" applyProtection="1">
      <alignment vertical="center"/>
      <protection locked="0"/>
    </xf>
    <xf numFmtId="0" fontId="52" fillId="0" borderId="0" xfId="33" applyFont="1" applyFill="1" applyBorder="1" applyAlignment="1" applyProtection="1">
      <alignment horizontal="center" vertical="center"/>
      <protection locked="0"/>
    </xf>
    <xf numFmtId="0" fontId="53" fillId="0" borderId="0" xfId="33" applyFont="1" applyFill="1" applyBorder="1" applyAlignment="1" applyProtection="1">
      <alignment vertical="center"/>
      <protection locked="0"/>
    </xf>
    <xf numFmtId="0" fontId="62" fillId="0" borderId="0" xfId="33" applyFont="1" applyFill="1" applyBorder="1" applyAlignment="1" applyProtection="1">
      <alignment wrapText="1"/>
      <protection locked="0"/>
    </xf>
    <xf numFmtId="0" fontId="0" fillId="0" borderId="0" xfId="0" applyAlignment="1">
      <alignment wrapText="1"/>
    </xf>
    <xf numFmtId="0" fontId="52" fillId="0" borderId="14" xfId="31" applyFont="1" applyFill="1" applyBorder="1" applyAlignment="1">
      <alignment vertical="center"/>
    </xf>
    <xf numFmtId="0" fontId="52" fillId="0" borderId="0" xfId="31" applyFont="1" applyFill="1" applyBorder="1" applyAlignment="1">
      <alignment vertical="center"/>
    </xf>
    <xf numFmtId="0" fontId="52" fillId="0" borderId="0" xfId="31" applyFont="1" applyFill="1" applyBorder="1" applyAlignment="1">
      <alignment horizontal="center" vertical="center"/>
    </xf>
    <xf numFmtId="0" fontId="52" fillId="0" borderId="0" xfId="31" applyFont="1" applyFill="1" applyAlignment="1">
      <alignment horizontal="left" vertical="center"/>
    </xf>
    <xf numFmtId="0" fontId="52" fillId="0" borderId="0" xfId="31" applyFont="1" applyFill="1" applyAlignment="1">
      <alignment vertical="center"/>
    </xf>
    <xf numFmtId="0" fontId="52" fillId="0" borderId="0" xfId="31" applyFont="1" applyFill="1" applyAlignment="1">
      <alignment horizontal="center" vertical="center"/>
    </xf>
    <xf numFmtId="0" fontId="46" fillId="0" borderId="0" xfId="31" applyFont="1" applyFill="1" applyAlignment="1">
      <alignment horizontal="left" vertical="center"/>
    </xf>
    <xf numFmtId="0" fontId="0" fillId="0" borderId="0" xfId="0" applyFill="1" applyAlignment="1"/>
    <xf numFmtId="0" fontId="52" fillId="0" borderId="0" xfId="31" applyFont="1" applyFill="1" applyAlignment="1" applyProtection="1">
      <alignment horizontal="center" vertical="center"/>
      <protection locked="0"/>
    </xf>
    <xf numFmtId="0" fontId="52" fillId="0" borderId="0" xfId="31" applyFont="1" applyFill="1" applyAlignment="1" applyProtection="1">
      <alignment horizontal="left" vertical="center"/>
      <protection locked="0"/>
    </xf>
    <xf numFmtId="0" fontId="53" fillId="0" borderId="0" xfId="31" applyFont="1" applyFill="1" applyAlignment="1" applyProtection="1">
      <alignment horizontal="center" vertical="center"/>
      <protection locked="0"/>
    </xf>
    <xf numFmtId="0" fontId="46" fillId="0" borderId="8" xfId="32" applyFont="1" applyFill="1" applyBorder="1" applyAlignment="1" applyProtection="1">
      <alignment horizontal="left" vertical="center" wrapText="1"/>
    </xf>
    <xf numFmtId="14" fontId="46" fillId="0" borderId="10" xfId="32" applyNumberFormat="1" applyFont="1" applyFill="1" applyBorder="1" applyAlignment="1" applyProtection="1">
      <alignment horizontal="left" vertical="center" wrapText="1"/>
    </xf>
    <xf numFmtId="0" fontId="46" fillId="0" borderId="12" xfId="32" applyFont="1" applyFill="1" applyBorder="1" applyAlignment="1" applyProtection="1">
      <alignment horizontal="left" vertical="center" wrapText="1"/>
    </xf>
    <xf numFmtId="178" fontId="56" fillId="0" borderId="23" xfId="32" applyNumberFormat="1" applyFont="1" applyFill="1" applyBorder="1" applyAlignment="1" applyProtection="1">
      <alignment horizontal="left" vertical="center" wrapText="1"/>
    </xf>
    <xf numFmtId="10" fontId="73" fillId="14" borderId="2" xfId="5" applyNumberFormat="1" applyFont="1" applyFill="1" applyBorder="1" applyAlignment="1" applyProtection="1">
      <alignment horizontal="center" vertical="center" wrapText="1"/>
    </xf>
    <xf numFmtId="0" fontId="46" fillId="0" borderId="2" xfId="23" applyFill="1" applyBorder="1" applyAlignment="1">
      <alignment horizontal="center" vertical="center" wrapText="1"/>
    </xf>
    <xf numFmtId="183" fontId="89" fillId="12" borderId="2" xfId="29" applyNumberFormat="1" applyFont="1" applyFill="1" applyBorder="1" applyAlignment="1">
      <alignment horizontal="center" vertical="center"/>
    </xf>
    <xf numFmtId="0" fontId="91" fillId="12" borderId="24" xfId="31" applyFont="1" applyFill="1" applyBorder="1" applyAlignment="1">
      <alignment horizontal="left" vertical="center"/>
    </xf>
    <xf numFmtId="0" fontId="58" fillId="12" borderId="10" xfId="32" applyFont="1" applyFill="1" applyBorder="1" applyAlignment="1" applyProtection="1">
      <alignment horizontal="left" vertical="center"/>
      <protection locked="0"/>
    </xf>
    <xf numFmtId="0" fontId="52" fillId="16" borderId="2" xfId="36" applyFont="1" applyFill="1" applyBorder="1" applyAlignment="1">
      <alignment horizontal="center" vertical="center"/>
    </xf>
    <xf numFmtId="0" fontId="52" fillId="16" borderId="2" xfId="36" applyFont="1" applyFill="1" applyBorder="1" applyAlignment="1">
      <alignment horizontal="center" vertical="center" wrapText="1"/>
    </xf>
    <xf numFmtId="43" fontId="52" fillId="8" borderId="0" xfId="45" applyFont="1" applyFill="1" applyBorder="1" applyAlignment="1" applyProtection="1">
      <alignment vertical="center"/>
      <protection locked="0"/>
    </xf>
    <xf numFmtId="43" fontId="52" fillId="14" borderId="2" xfId="45" applyFont="1" applyFill="1" applyBorder="1" applyAlignment="1">
      <alignment horizontal="center" vertical="center"/>
    </xf>
    <xf numFmtId="43" fontId="52" fillId="12" borderId="2" xfId="45" applyFont="1" applyFill="1" applyBorder="1" applyAlignment="1">
      <alignment horizontal="center" vertical="center"/>
    </xf>
    <xf numFmtId="9" fontId="52" fillId="14" borderId="2" xfId="18" applyFont="1" applyFill="1" applyBorder="1" applyAlignment="1">
      <alignment horizontal="center" vertical="center"/>
    </xf>
    <xf numFmtId="43" fontId="52" fillId="0" borderId="2" xfId="45" applyFont="1" applyBorder="1" applyAlignment="1">
      <alignment horizontal="center" vertical="center"/>
    </xf>
    <xf numFmtId="43" fontId="52" fillId="8" borderId="0" xfId="45" applyFont="1" applyFill="1" applyBorder="1" applyAlignment="1" applyProtection="1">
      <alignment horizontal="center" vertical="center"/>
      <protection locked="0"/>
    </xf>
    <xf numFmtId="43" fontId="53" fillId="8" borderId="0" xfId="45" applyFont="1" applyFill="1" applyBorder="1" applyAlignment="1" applyProtection="1">
      <alignment horizontal="center" vertical="center"/>
      <protection locked="0"/>
    </xf>
    <xf numFmtId="0" fontId="64" fillId="17" borderId="2" xfId="36" applyFont="1" applyFill="1" applyBorder="1" applyAlignment="1">
      <alignment horizontal="left" vertical="center"/>
    </xf>
    <xf numFmtId="0" fontId="64" fillId="17" borderId="2" xfId="36" applyFont="1" applyFill="1" applyBorder="1" applyAlignment="1">
      <alignment horizontal="center" vertical="center"/>
    </xf>
    <xf numFmtId="0" fontId="52" fillId="0" borderId="2" xfId="36" applyFont="1" applyBorder="1" applyAlignment="1">
      <alignment horizontal="left" vertical="center"/>
    </xf>
    <xf numFmtId="0" fontId="52" fillId="0" borderId="2" xfId="36" applyFont="1" applyBorder="1" applyAlignment="1">
      <alignment horizontal="center" vertical="center"/>
    </xf>
    <xf numFmtId="9" fontId="65" fillId="0" borderId="2" xfId="18" applyFont="1" applyBorder="1" applyAlignment="1">
      <alignment horizontal="center" vertical="center"/>
    </xf>
    <xf numFmtId="0" fontId="52" fillId="0" borderId="2" xfId="36" applyFont="1" applyBorder="1" applyAlignment="1">
      <alignment vertical="center"/>
    </xf>
    <xf numFmtId="0" fontId="52" fillId="19" borderId="2" xfId="36" applyFont="1" applyFill="1" applyBorder="1" applyAlignment="1">
      <alignment horizontal="left" vertical="center"/>
    </xf>
    <xf numFmtId="0" fontId="52" fillId="19" borderId="2" xfId="36" applyFont="1" applyFill="1" applyBorder="1" applyAlignment="1">
      <alignment horizontal="center" vertical="center"/>
    </xf>
    <xf numFmtId="0" fontId="46" fillId="0" borderId="2" xfId="36" applyFont="1" applyBorder="1" applyAlignment="1">
      <alignment horizontal="left" vertical="center"/>
    </xf>
    <xf numFmtId="0" fontId="68" fillId="0" borderId="2" xfId="36" applyFont="1" applyBorder="1" applyAlignment="1">
      <alignment horizontal="center" vertical="center"/>
    </xf>
    <xf numFmtId="0" fontId="69" fillId="0" borderId="2" xfId="36" applyFont="1" applyBorder="1" applyAlignment="1">
      <alignment horizontal="center" vertical="center"/>
    </xf>
    <xf numFmtId="0" fontId="52" fillId="15" borderId="0" xfId="31" applyFont="1" applyFill="1" applyAlignment="1">
      <alignment horizontal="center" vertical="center"/>
    </xf>
    <xf numFmtId="0" fontId="53" fillId="13" borderId="24" xfId="31" applyFont="1" applyFill="1" applyBorder="1" applyAlignment="1">
      <alignment horizontal="left" vertical="center"/>
    </xf>
    <xf numFmtId="0" fontId="36" fillId="0" borderId="0" xfId="37" applyFont="1" applyAlignment="1" applyProtection="1">
      <alignment horizontal="left" vertical="center"/>
    </xf>
    <xf numFmtId="43" fontId="36" fillId="0" borderId="0" xfId="38" applyFont="1" applyAlignment="1" applyProtection="1">
      <alignment horizontal="left" vertical="center"/>
    </xf>
    <xf numFmtId="0" fontId="68" fillId="0" borderId="2" xfId="36" applyFont="1" applyBorder="1" applyAlignment="1">
      <alignment horizontal="center" vertical="center"/>
    </xf>
    <xf numFmtId="0" fontId="52" fillId="12" borderId="0" xfId="31" applyFont="1" applyFill="1" applyBorder="1" applyAlignment="1">
      <alignment horizontal="center" vertical="center"/>
    </xf>
    <xf numFmtId="0" fontId="38" fillId="12" borderId="21" xfId="32" applyFont="1" applyFill="1" applyBorder="1" applyAlignment="1">
      <alignment horizontal="center" vertical="center" wrapText="1"/>
    </xf>
    <xf numFmtId="0" fontId="0" fillId="12" borderId="22" xfId="32" applyFont="1" applyFill="1" applyBorder="1" applyAlignment="1">
      <alignment horizontal="center" vertical="center"/>
    </xf>
    <xf numFmtId="0" fontId="52" fillId="8" borderId="0" xfId="33" applyFont="1" applyFill="1" applyBorder="1" applyAlignment="1" applyProtection="1">
      <alignment horizontal="left" vertical="center" wrapText="1"/>
      <protection locked="0"/>
    </xf>
    <xf numFmtId="0" fontId="75" fillId="0" borderId="2" xfId="0" applyFont="1" applyFill="1" applyBorder="1" applyAlignment="1">
      <alignment horizontal="center" vertical="center"/>
    </xf>
    <xf numFmtId="0" fontId="52" fillId="0" borderId="0" xfId="31" applyFont="1" applyFill="1" applyBorder="1" applyAlignment="1">
      <alignment horizontal="center" vertical="center"/>
    </xf>
    <xf numFmtId="0" fontId="0" fillId="12" borderId="22" xfId="32" applyFont="1" applyFill="1" applyBorder="1" applyAlignment="1">
      <alignment horizontal="center" vertical="center" wrapText="1"/>
    </xf>
    <xf numFmtId="0" fontId="41" fillId="0" borderId="0" xfId="5" applyFont="1" applyBorder="1" applyAlignment="1" applyProtection="1">
      <alignment horizontal="center" vertical="center" wrapText="1"/>
    </xf>
    <xf numFmtId="0" fontId="42" fillId="0" borderId="0" xfId="5" applyFont="1" applyBorder="1" applyAlignment="1" applyProtection="1">
      <alignment horizontal="center" vertical="center"/>
    </xf>
    <xf numFmtId="43" fontId="38" fillId="3" borderId="21" xfId="29" applyNumberFormat="1" applyFont="1" applyFill="1" applyBorder="1" applyAlignment="1" applyProtection="1">
      <alignment horizontal="center" vertical="center" wrapText="1"/>
    </xf>
    <xf numFmtId="0" fontId="10" fillId="0" borderId="22" xfId="29" applyNumberFormat="1" applyFont="1" applyBorder="1" applyAlignment="1" applyProtection="1">
      <alignment horizontal="center" vertical="center"/>
    </xf>
    <xf numFmtId="0" fontId="46" fillId="0" borderId="0" xfId="31" applyFont="1" applyFill="1" applyBorder="1" applyAlignment="1">
      <alignment horizontal="center" vertical="center"/>
    </xf>
    <xf numFmtId="0" fontId="68" fillId="0" borderId="2" xfId="36" applyFont="1" applyBorder="1" applyAlignment="1">
      <alignment horizontal="center" vertical="center" wrapText="1"/>
    </xf>
    <xf numFmtId="0" fontId="75" fillId="0" borderId="2" xfId="0" applyFont="1" applyFill="1" applyBorder="1" applyAlignment="1">
      <alignment horizontal="left" vertical="center"/>
    </xf>
    <xf numFmtId="0" fontId="79" fillId="0" borderId="0" xfId="32" applyFont="1" applyBorder="1" applyAlignment="1" applyProtection="1">
      <alignment horizontal="center" vertical="center" wrapText="1"/>
      <protection locked="0"/>
    </xf>
    <xf numFmtId="0" fontId="79" fillId="0" borderId="0" xfId="32" applyFont="1" applyBorder="1" applyAlignment="1" applyProtection="1">
      <alignment horizontal="center" vertical="center"/>
      <protection locked="0"/>
    </xf>
    <xf numFmtId="43" fontId="40" fillId="3" borderId="21" xfId="29" applyNumberFormat="1" applyFont="1" applyFill="1" applyBorder="1" applyAlignment="1">
      <alignment horizontal="left" vertical="center" wrapText="1"/>
    </xf>
    <xf numFmtId="0" fontId="10" fillId="0" borderId="22" xfId="29" applyNumberFormat="1" applyFont="1" applyBorder="1" applyAlignment="1">
      <alignment horizontal="left" vertical="center"/>
    </xf>
    <xf numFmtId="0" fontId="68" fillId="0" borderId="2" xfId="42" applyFont="1" applyBorder="1" applyAlignment="1">
      <alignment horizontal="center" vertical="center"/>
    </xf>
    <xf numFmtId="0" fontId="83" fillId="9" borderId="2" xfId="37" applyFont="1" applyFill="1" applyBorder="1" applyAlignment="1">
      <alignment horizontal="left" vertical="center" wrapText="1"/>
    </xf>
    <xf numFmtId="0" fontId="82" fillId="0" borderId="2" xfId="32" applyFont="1" applyFill="1" applyBorder="1" applyAlignment="1" applyProtection="1">
      <alignment horizontal="center" vertical="center" wrapText="1"/>
    </xf>
    <xf numFmtId="0" fontId="37" fillId="7" borderId="2" xfId="37" applyFont="1" applyFill="1" applyBorder="1" applyAlignment="1" applyProtection="1">
      <alignment horizontal="left" vertical="center" wrapText="1"/>
    </xf>
    <xf numFmtId="0" fontId="73" fillId="0" borderId="2" xfId="37" applyFont="1" applyBorder="1" applyAlignment="1">
      <alignment horizontal="left" vertical="center" wrapText="1"/>
    </xf>
    <xf numFmtId="0" fontId="84" fillId="21" borderId="2" xfId="40" applyFont="1" applyFill="1" applyBorder="1" applyAlignment="1">
      <alignment horizontal="left" vertical="center" wrapText="1" readingOrder="1"/>
    </xf>
    <xf numFmtId="0" fontId="85" fillId="21" borderId="2" xfId="40" applyFont="1" applyFill="1" applyBorder="1" applyAlignment="1">
      <alignment horizontal="left" vertical="center" wrapText="1" readingOrder="1"/>
    </xf>
    <xf numFmtId="0" fontId="39" fillId="0" borderId="1" xfId="37" applyFont="1" applyBorder="1" applyAlignment="1" applyProtection="1">
      <alignment horizontal="center" vertical="center" wrapText="1"/>
    </xf>
    <xf numFmtId="0" fontId="73" fillId="0" borderId="1" xfId="37" applyFont="1" applyBorder="1" applyAlignment="1" applyProtection="1">
      <alignment horizontal="center" vertical="center"/>
    </xf>
    <xf numFmtId="0" fontId="21" fillId="0" borderId="2" xfId="23" applyFont="1" applyBorder="1" applyAlignment="1">
      <alignment horizontal="center" vertical="center" wrapText="1"/>
    </xf>
    <xf numFmtId="0" fontId="22" fillId="0" borderId="2" xfId="23" applyFont="1" applyBorder="1" applyAlignment="1">
      <alignment horizontal="center" vertical="center" wrapText="1"/>
    </xf>
    <xf numFmtId="0" fontId="23" fillId="7" borderId="6" xfId="24" applyFont="1" applyFill="1" applyBorder="1" applyAlignment="1">
      <alignment horizontal="center" vertical="center" wrapText="1"/>
    </xf>
    <xf numFmtId="0" fontId="23" fillId="7" borderId="7" xfId="24" applyFont="1" applyFill="1" applyBorder="1" applyAlignment="1">
      <alignment horizontal="center" vertical="center" wrapText="1"/>
    </xf>
    <xf numFmtId="0" fontId="23" fillId="9" borderId="2" xfId="24" applyFont="1" applyFill="1" applyBorder="1" applyAlignment="1">
      <alignment horizontal="center" vertical="center" wrapText="1"/>
    </xf>
    <xf numFmtId="4" fontId="24" fillId="0" borderId="6" xfId="24" applyNumberFormat="1" applyFont="1" applyFill="1" applyBorder="1" applyAlignment="1">
      <alignment horizontal="center" vertical="center" wrapText="1"/>
    </xf>
    <xf numFmtId="4" fontId="24" fillId="0" borderId="7" xfId="24" applyNumberFormat="1" applyFont="1" applyFill="1" applyBorder="1" applyAlignment="1">
      <alignment horizontal="center" vertical="center" wrapText="1"/>
    </xf>
    <xf numFmtId="4" fontId="24" fillId="0" borderId="11" xfId="24" applyNumberFormat="1" applyFont="1" applyFill="1" applyBorder="1" applyAlignment="1">
      <alignment horizontal="center" vertical="center" wrapText="1"/>
    </xf>
    <xf numFmtId="180" fontId="24" fillId="0" borderId="2" xfId="15" applyNumberFormat="1" applyFont="1" applyBorder="1" applyAlignment="1">
      <alignment horizontal="center" vertical="center"/>
    </xf>
    <xf numFmtId="0" fontId="24" fillId="0" borderId="2" xfId="15" applyFont="1" applyBorder="1" applyAlignment="1">
      <alignment horizontal="center" vertical="center"/>
    </xf>
    <xf numFmtId="0" fontId="25" fillId="0" borderId="6" xfId="24" applyFont="1" applyFill="1" applyBorder="1" applyAlignment="1">
      <alignment horizontal="center" vertical="center" wrapText="1"/>
    </xf>
    <xf numFmtId="0" fontId="25" fillId="0" borderId="7" xfId="24" applyFont="1" applyFill="1" applyBorder="1" applyAlignment="1">
      <alignment horizontal="center" vertical="center" wrapText="1"/>
    </xf>
    <xf numFmtId="0" fontId="24" fillId="0" borderId="2" xfId="24" applyFont="1" applyFill="1" applyBorder="1" applyAlignment="1">
      <alignment horizontal="center" vertical="center" wrapText="1"/>
    </xf>
    <xf numFmtId="0" fontId="7" fillId="0" borderId="14" xfId="15" applyFont="1" applyBorder="1" applyAlignment="1">
      <alignment horizontal="center"/>
    </xf>
    <xf numFmtId="0" fontId="7" fillId="0" borderId="0" xfId="15" applyFont="1" applyBorder="1" applyAlignment="1">
      <alignment horizontal="center"/>
    </xf>
    <xf numFmtId="0" fontId="23" fillId="10" borderId="16" xfId="24" applyFont="1" applyFill="1" applyBorder="1" applyAlignment="1">
      <alignment horizontal="center" vertical="center"/>
    </xf>
    <xf numFmtId="0" fontId="23" fillId="11" borderId="2" xfId="24" applyFont="1" applyFill="1" applyBorder="1" applyAlignment="1">
      <alignment horizontal="center" vertical="center" wrapText="1"/>
    </xf>
    <xf numFmtId="0" fontId="24" fillId="11" borderId="2" xfId="24" applyFont="1" applyFill="1" applyBorder="1" applyAlignment="1">
      <alignment horizontal="center" vertical="center" wrapText="1"/>
    </xf>
    <xf numFmtId="0" fontId="25" fillId="0" borderId="2" xfId="24" applyFont="1" applyFill="1" applyBorder="1" applyAlignment="1">
      <alignment horizontal="center" vertical="center" wrapText="1"/>
    </xf>
    <xf numFmtId="0" fontId="24" fillId="0" borderId="6" xfId="24" applyFont="1" applyFill="1" applyBorder="1" applyAlignment="1">
      <alignment horizontal="center" vertical="center" wrapText="1"/>
    </xf>
    <xf numFmtId="0" fontId="24" fillId="0" borderId="7" xfId="24" applyFont="1" applyFill="1" applyBorder="1" applyAlignment="1">
      <alignment horizontal="center" vertical="center" wrapText="1"/>
    </xf>
    <xf numFmtId="0" fontId="24" fillId="0" borderId="11" xfId="24" applyFont="1" applyFill="1" applyBorder="1" applyAlignment="1">
      <alignment horizontal="center" vertical="center" wrapText="1"/>
    </xf>
    <xf numFmtId="180" fontId="24" fillId="0" borderId="6" xfId="24" applyNumberFormat="1" applyFont="1" applyFill="1" applyBorder="1" applyAlignment="1">
      <alignment horizontal="center" vertical="center" wrapText="1"/>
    </xf>
    <xf numFmtId="180" fontId="24" fillId="0" borderId="7" xfId="24" applyNumberFormat="1" applyFont="1" applyFill="1" applyBorder="1" applyAlignment="1">
      <alignment horizontal="center" vertical="center" wrapText="1"/>
    </xf>
    <xf numFmtId="180" fontId="24" fillId="0" borderId="11" xfId="24" applyNumberFormat="1" applyFont="1" applyFill="1" applyBorder="1" applyAlignment="1">
      <alignment horizontal="center" vertical="center" wrapText="1"/>
    </xf>
    <xf numFmtId="0" fontId="7" fillId="0" borderId="2" xfId="15" applyFont="1" applyBorder="1" applyAlignment="1">
      <alignment horizontal="center" vertical="center"/>
    </xf>
    <xf numFmtId="0" fontId="25" fillId="0" borderId="17" xfId="24" applyFont="1" applyFill="1" applyBorder="1" applyAlignment="1">
      <alignment horizontal="center" vertical="center" wrapText="1"/>
    </xf>
    <xf numFmtId="0" fontId="25" fillId="0" borderId="18" xfId="24" applyFont="1" applyFill="1" applyBorder="1" applyAlignment="1">
      <alignment horizontal="center" vertical="center" wrapText="1"/>
    </xf>
    <xf numFmtId="0" fontId="25" fillId="0" borderId="19" xfId="24" applyFont="1" applyFill="1" applyBorder="1" applyAlignment="1">
      <alignment horizontal="center" vertical="center" wrapText="1"/>
    </xf>
    <xf numFmtId="0" fontId="7" fillId="0" borderId="2" xfId="15" applyFont="1" applyBorder="1" applyAlignment="1">
      <alignment horizontal="center"/>
    </xf>
    <xf numFmtId="0" fontId="7" fillId="7" borderId="2" xfId="15" applyFont="1" applyFill="1" applyBorder="1" applyAlignment="1">
      <alignment horizontal="center" vertical="center"/>
    </xf>
    <xf numFmtId="0" fontId="25" fillId="0" borderId="6" xfId="24" applyFont="1" applyFill="1" applyBorder="1" applyAlignment="1">
      <alignment horizontal="left" vertical="center" wrapText="1"/>
    </xf>
    <xf numFmtId="0" fontId="25" fillId="0" borderId="7" xfId="24" applyFont="1" applyFill="1" applyBorder="1" applyAlignment="1">
      <alignment horizontal="left" vertical="center" wrapText="1"/>
    </xf>
    <xf numFmtId="0" fontId="25" fillId="0" borderId="11" xfId="24" applyFont="1" applyFill="1" applyBorder="1" applyAlignment="1">
      <alignment horizontal="left" vertical="center" wrapText="1"/>
    </xf>
    <xf numFmtId="0" fontId="7" fillId="0" borderId="2" xfId="15" applyFont="1" applyBorder="1" applyAlignment="1">
      <alignment horizontal="center" wrapText="1"/>
    </xf>
    <xf numFmtId="0" fontId="7" fillId="0" borderId="2" xfId="15" applyFont="1" applyBorder="1" applyAlignment="1">
      <alignment horizontal="center" vertical="center" wrapText="1"/>
    </xf>
    <xf numFmtId="0" fontId="20" fillId="0" borderId="1" xfId="5" applyFont="1" applyFill="1" applyBorder="1" applyAlignment="1">
      <alignment horizontal="center"/>
    </xf>
    <xf numFmtId="0" fontId="32" fillId="0" borderId="2" xfId="17" applyFont="1" applyFill="1" applyBorder="1" applyAlignment="1">
      <alignment horizontal="center" vertical="center"/>
    </xf>
    <xf numFmtId="0" fontId="33" fillId="0" borderId="2" xfId="17" applyFont="1" applyFill="1" applyBorder="1" applyAlignment="1">
      <alignment horizontal="center" vertical="center"/>
    </xf>
    <xf numFmtId="0" fontId="17" fillId="0" borderId="1" xfId="0" applyFont="1" applyFill="1" applyBorder="1" applyAlignment="1">
      <alignment horizontal="left"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3" xfId="8" applyFont="1" applyBorder="1" applyAlignment="1">
      <alignment horizontal="center" vertical="center" wrapText="1"/>
    </xf>
    <xf numFmtId="0" fontId="1" fillId="0" borderId="4" xfId="8" applyFont="1" applyBorder="1" applyAlignment="1">
      <alignment horizontal="center" vertical="center" wrapText="1"/>
    </xf>
    <xf numFmtId="0" fontId="14" fillId="0" borderId="2" xfId="0" applyFont="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xf>
    <xf numFmtId="0" fontId="3" fillId="0" borderId="1" xfId="5" applyFont="1" applyFill="1" applyBorder="1" applyAlignment="1">
      <alignment horizontal="center"/>
    </xf>
    <xf numFmtId="0" fontId="0" fillId="0" borderId="2" xfId="17" applyFont="1" applyFill="1" applyBorder="1" applyAlignment="1">
      <alignment horizontal="center" vertical="center"/>
    </xf>
    <xf numFmtId="0" fontId="8" fillId="0" borderId="2" xfId="17" applyFont="1" applyFill="1" applyBorder="1" applyAlignment="1">
      <alignment horizontal="center" vertical="center"/>
    </xf>
  </cellXfs>
  <cellStyles count="46">
    <cellStyle name="??&amp;O龡&amp;H?_x0008_??_x0007__x0001__x0001_" xfId="5"/>
    <cellStyle name="??&amp;O龡&amp;H?_x0008_??_x0007__x0001__x0001_ 13" xfId="4"/>
    <cellStyle name="??&amp;O龡&amp;H?_x0008_??_x0007__x0001__x0001_ 2" xfId="7"/>
    <cellStyle name="??&amp;O龡&amp;H?_x0008_??_x0007__x0001__x0001_ 2 2" xfId="32"/>
    <cellStyle name="??&amp;O龡&amp;H?_x0008_??_x0007__x0001__x0001_ 2 3" xfId="31"/>
    <cellStyle name="??&amp;O龡&amp;H?_x0008_??_x0007__x0001__x0001_ 3" xfId="8"/>
    <cellStyle name="??&amp;O龡&amp;H?_x0008_??_x0007__x0001__x0001_ 3 2" xfId="9"/>
    <cellStyle name="??&amp;O龡&amp;H?_x0008_??_x0007__x0001__x0001_ 3 3" xfId="11"/>
    <cellStyle name="??&amp;O龡&amp;H?_x0008_??_x0007__x0001__x0001_ 4" xfId="12"/>
    <cellStyle name="?鹎%U龡&amp;H鼼_x0008__x0001__x001f_?_x0007__x0001__x0001_" xfId="13"/>
    <cellStyle name="?鹎%U龡&amp;H鼼_x0008__x0001__x001f_?_x0007__x0001__x0001_ 2" xfId="16"/>
    <cellStyle name="百分比" xfId="3" builtinId="5"/>
    <cellStyle name="百分比 2" xfId="18"/>
    <cellStyle name="百分比 2 2" xfId="19"/>
    <cellStyle name="百分比 3" xfId="21"/>
    <cellStyle name="百分比 3 2" xfId="44"/>
    <cellStyle name="常规" xfId="0" builtinId="0"/>
    <cellStyle name="常规 14 2" xfId="37"/>
    <cellStyle name="常规 2" xfId="22"/>
    <cellStyle name="常规 2 2" xfId="23"/>
    <cellStyle name="常规 2 2 2" xfId="24"/>
    <cellStyle name="常规 2 2 3" xfId="36"/>
    <cellStyle name="常规 2 3" xfId="25"/>
    <cellStyle name="常规 2 4" xfId="26"/>
    <cellStyle name="常规 2 5" xfId="39"/>
    <cellStyle name="常规 2 5 2" xfId="42"/>
    <cellStyle name="常规 3" xfId="27"/>
    <cellStyle name="常规 3 2" xfId="2"/>
    <cellStyle name="常规 4" xfId="15"/>
    <cellStyle name="常规 4 3" xfId="34"/>
    <cellStyle name="常规 5" xfId="28"/>
    <cellStyle name="常规 6" xfId="17"/>
    <cellStyle name="常规 7" xfId="35"/>
    <cellStyle name="常规 8" xfId="40"/>
    <cellStyle name="常规_RX Quotation Header Format 2" xfId="33"/>
    <cellStyle name="常规_Sheet2" xfId="6"/>
    <cellStyle name="超链接" xfId="41" builtinId="8"/>
    <cellStyle name="千位分隔 2" xfId="14"/>
    <cellStyle name="千位分隔 3" xfId="38"/>
    <cellStyle name="千位分隔 3 2" xfId="45"/>
    <cellStyle name="千位分隔 5" xfId="20"/>
    <cellStyle name="千位分隔 7" xfId="43"/>
    <cellStyle name="千位分隔[0] 2" xfId="29"/>
    <cellStyle name="千位分隔[0] 2 2" xfId="10"/>
    <cellStyle name="千位分隔[0] 3" xfId="1"/>
    <cellStyle name="样式 1" xfId="30"/>
  </cellStyles>
  <dxfs count="480">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
      <fill>
        <patternFill>
          <fgColor indexed="10"/>
          <bgColor indexed="41"/>
        </patternFill>
      </fill>
    </dxf>
    <dxf>
      <fill>
        <patternFill>
          <fgColor indexed="10"/>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externalLink" Target="externalLinks/externalLink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externalLink" Target="externalLinks/externalLink1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externalLink" Target="externalLinks/externalLink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externalLink" Target="externalLinks/externalLink1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7.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2.jpe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2.jpe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452437</xdr:colOff>
      <xdr:row>23</xdr:row>
      <xdr:rowOff>142875</xdr:rowOff>
    </xdr:from>
    <xdr:to>
      <xdr:col>6</xdr:col>
      <xdr:colOff>213519</xdr:colOff>
      <xdr:row>31</xdr:row>
      <xdr:rowOff>188912</xdr:rowOff>
    </xdr:to>
    <xdr:sp macro="" textlink="">
      <xdr:nvSpPr>
        <xdr:cNvPr id="2" name="文本框 1"/>
        <xdr:cNvSpPr txBox="1"/>
      </xdr:nvSpPr>
      <xdr:spPr>
        <a:xfrm>
          <a:off x="10334625" y="5298281"/>
          <a:ext cx="5321300" cy="168910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zh-CN" altLang="en-US" sz="1200" baseline="0">
              <a:solidFill>
                <a:schemeClr val="lt1"/>
              </a:solidFill>
              <a:latin typeface="微软雅黑" panose="020B0503020204020204" pitchFamily="34" charset="-122"/>
              <a:ea typeface="微软雅黑" panose="020B0503020204020204" pitchFamily="34" charset="-122"/>
              <a:cs typeface="+mn-cs"/>
            </a:rPr>
            <a:t>报价：</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1</a:t>
          </a:r>
          <a:r>
            <a:rPr lang="zh-CN" altLang="en-US" sz="1200" baseline="0">
              <a:solidFill>
                <a:schemeClr val="lt1"/>
              </a:solidFill>
              <a:latin typeface="微软雅黑" panose="020B0503020204020204" pitchFamily="34" charset="-122"/>
              <a:ea typeface="微软雅黑" panose="020B0503020204020204" pitchFamily="34" charset="-122"/>
              <a:cs typeface="+mn-cs"/>
            </a:rPr>
            <a:t>、添加</a:t>
          </a:r>
          <a:r>
            <a:rPr lang="en-US" altLang="zh-CN" sz="1200" baseline="0">
              <a:solidFill>
                <a:schemeClr val="lt1"/>
              </a:solidFill>
              <a:latin typeface="微软雅黑" panose="020B0503020204020204" pitchFamily="34" charset="-122"/>
              <a:ea typeface="微软雅黑" panose="020B0503020204020204" pitchFamily="34" charset="-122"/>
              <a:cs typeface="+mn-cs"/>
            </a:rPr>
            <a:t>yellow page</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2</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、添加表头及项目基本信息；</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3</a:t>
          </a:r>
          <a:r>
            <a:rPr lang="zh-CN" altLang="en-US" sz="1200" baseline="0">
              <a:solidFill>
                <a:schemeClr val="lt1"/>
              </a:solidFill>
              <a:latin typeface="微软雅黑" panose="020B0503020204020204" pitchFamily="34" charset="-122"/>
              <a:ea typeface="微软雅黑" panose="020B0503020204020204" pitchFamily="34" charset="-122"/>
              <a:cs typeface="+mn-cs"/>
            </a:rPr>
            <a:t>、确定需要报价费用类型，是否包含创新优化费用，以及创新优化费用类型；</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4</a:t>
          </a:r>
          <a:r>
            <a:rPr lang="zh-CN" altLang="en-US" sz="1200" baseline="0">
              <a:solidFill>
                <a:schemeClr val="lt1"/>
              </a:solidFill>
              <a:latin typeface="微软雅黑" panose="020B0503020204020204" pitchFamily="34" charset="-122"/>
              <a:ea typeface="微软雅黑" panose="020B0503020204020204" pitchFamily="34" charset="-122"/>
              <a:cs typeface="+mn-cs"/>
            </a:rPr>
            <a:t>、选择对应的供应商，将供应商的价格信息填写到下表灰色区域；</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5</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、添加蓝色填充区域的创新优化比例。</a:t>
          </a:r>
          <a:endParaRPr lang="zh-CN" altLang="zh-CN" sz="1200">
            <a:solidFill>
              <a:schemeClr val="lt1"/>
            </a:solidFill>
            <a:latin typeface="微软雅黑" panose="020B0503020204020204" pitchFamily="34" charset="-122"/>
            <a:ea typeface="微软雅黑" panose="020B0503020204020204" pitchFamily="34" charset="-122"/>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464343</xdr:colOff>
      <xdr:row>18</xdr:row>
      <xdr:rowOff>154782</xdr:rowOff>
    </xdr:from>
    <xdr:to>
      <xdr:col>6</xdr:col>
      <xdr:colOff>225425</xdr:colOff>
      <xdr:row>26</xdr:row>
      <xdr:rowOff>200820</xdr:rowOff>
    </xdr:to>
    <xdr:sp macro="" textlink="">
      <xdr:nvSpPr>
        <xdr:cNvPr id="2" name="文本框 1"/>
        <xdr:cNvSpPr txBox="1"/>
      </xdr:nvSpPr>
      <xdr:spPr>
        <a:xfrm>
          <a:off x="10346531" y="4095751"/>
          <a:ext cx="5321300" cy="168910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zh-CN" altLang="en-US" sz="1200" baseline="0">
              <a:solidFill>
                <a:schemeClr val="lt1"/>
              </a:solidFill>
              <a:latin typeface="微软雅黑" panose="020B0503020204020204" pitchFamily="34" charset="-122"/>
              <a:ea typeface="微软雅黑" panose="020B0503020204020204" pitchFamily="34" charset="-122"/>
              <a:cs typeface="+mn-cs"/>
            </a:rPr>
            <a:t>报价：</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1</a:t>
          </a:r>
          <a:r>
            <a:rPr lang="zh-CN" altLang="en-US" sz="1200" baseline="0">
              <a:solidFill>
                <a:schemeClr val="lt1"/>
              </a:solidFill>
              <a:latin typeface="微软雅黑" panose="020B0503020204020204" pitchFamily="34" charset="-122"/>
              <a:ea typeface="微软雅黑" panose="020B0503020204020204" pitchFamily="34" charset="-122"/>
              <a:cs typeface="+mn-cs"/>
            </a:rPr>
            <a:t>、添加</a:t>
          </a:r>
          <a:r>
            <a:rPr lang="en-US" altLang="zh-CN" sz="1200" baseline="0">
              <a:solidFill>
                <a:schemeClr val="lt1"/>
              </a:solidFill>
              <a:latin typeface="微软雅黑" panose="020B0503020204020204" pitchFamily="34" charset="-122"/>
              <a:ea typeface="微软雅黑" panose="020B0503020204020204" pitchFamily="34" charset="-122"/>
              <a:cs typeface="+mn-cs"/>
            </a:rPr>
            <a:t>yellow page</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2</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、添加表头及项目基本信息；</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3</a:t>
          </a:r>
          <a:r>
            <a:rPr lang="zh-CN" altLang="en-US" sz="1200" baseline="0">
              <a:solidFill>
                <a:schemeClr val="lt1"/>
              </a:solidFill>
              <a:latin typeface="微软雅黑" panose="020B0503020204020204" pitchFamily="34" charset="-122"/>
              <a:ea typeface="微软雅黑" panose="020B0503020204020204" pitchFamily="34" charset="-122"/>
              <a:cs typeface="+mn-cs"/>
            </a:rPr>
            <a:t>、确定需要报价费用类型，是否包含创新优化费用，以及创新优化费用类型；</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4</a:t>
          </a:r>
          <a:r>
            <a:rPr lang="zh-CN" altLang="en-US" sz="1200" baseline="0">
              <a:solidFill>
                <a:schemeClr val="lt1"/>
              </a:solidFill>
              <a:latin typeface="微软雅黑" panose="020B0503020204020204" pitchFamily="34" charset="-122"/>
              <a:ea typeface="微软雅黑" panose="020B0503020204020204" pitchFamily="34" charset="-122"/>
              <a:cs typeface="+mn-cs"/>
            </a:rPr>
            <a:t>、选择对应的供应商，将供应商的价格信息填写到下表灰色区域；</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5</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、添加蓝色填充区域的创新优化比例。</a:t>
          </a:r>
          <a:endParaRPr lang="zh-CN" altLang="zh-CN" sz="1200">
            <a:solidFill>
              <a:schemeClr val="lt1"/>
            </a:solidFill>
            <a:latin typeface="微软雅黑" panose="020B0503020204020204" pitchFamily="34" charset="-122"/>
            <a:ea typeface="微软雅黑" panose="020B0503020204020204" pitchFamily="34" charset="-122"/>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749300</xdr:colOff>
      <xdr:row>17</xdr:row>
      <xdr:rowOff>152401</xdr:rowOff>
    </xdr:from>
    <xdr:to>
      <xdr:col>8</xdr:col>
      <xdr:colOff>0</xdr:colOff>
      <xdr:row>25</xdr:row>
      <xdr:rowOff>177801</xdr:rowOff>
    </xdr:to>
    <xdr:sp macro="" textlink="">
      <xdr:nvSpPr>
        <xdr:cNvPr id="2" name="文本框 1"/>
        <xdr:cNvSpPr txBox="1"/>
      </xdr:nvSpPr>
      <xdr:spPr>
        <a:xfrm>
          <a:off x="9867900" y="4483101"/>
          <a:ext cx="5321300" cy="168910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en-US" altLang="zh-CN" sz="1200" baseline="0">
              <a:solidFill>
                <a:schemeClr val="lt1"/>
              </a:solidFill>
              <a:latin typeface="微软雅黑" panose="020B0503020204020204" pitchFamily="34" charset="-122"/>
              <a:ea typeface="微软雅黑" panose="020B0503020204020204" pitchFamily="34" charset="-122"/>
              <a:cs typeface="+mn-cs"/>
            </a:rPr>
            <a:t>GIL BBU</a:t>
          </a:r>
          <a:r>
            <a:rPr lang="zh-CN" altLang="en-US" sz="1200" baseline="0">
              <a:solidFill>
                <a:schemeClr val="lt1"/>
              </a:solidFill>
              <a:latin typeface="微软雅黑" panose="020B0503020204020204" pitchFamily="34" charset="-122"/>
              <a:ea typeface="微软雅黑" panose="020B0503020204020204" pitchFamily="34" charset="-122"/>
              <a:cs typeface="+mn-cs"/>
            </a:rPr>
            <a:t>报价：</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1</a:t>
          </a:r>
          <a:r>
            <a:rPr lang="zh-CN" altLang="en-US" sz="1200" baseline="0">
              <a:solidFill>
                <a:schemeClr val="lt1"/>
              </a:solidFill>
              <a:latin typeface="微软雅黑" panose="020B0503020204020204" pitchFamily="34" charset="-122"/>
              <a:ea typeface="微软雅黑" panose="020B0503020204020204" pitchFamily="34" charset="-122"/>
              <a:cs typeface="+mn-cs"/>
            </a:rPr>
            <a:t>、添加</a:t>
          </a:r>
          <a:r>
            <a:rPr lang="en-US" altLang="zh-CN" sz="1200" baseline="0">
              <a:solidFill>
                <a:schemeClr val="lt1"/>
              </a:solidFill>
              <a:latin typeface="微软雅黑" panose="020B0503020204020204" pitchFamily="34" charset="-122"/>
              <a:ea typeface="微软雅黑" panose="020B0503020204020204" pitchFamily="34" charset="-122"/>
              <a:cs typeface="+mn-cs"/>
            </a:rPr>
            <a:t>yellow page</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2</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、添加表头及项目基本信息；</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3</a:t>
          </a:r>
          <a:r>
            <a:rPr lang="zh-CN" altLang="en-US" sz="1200" baseline="0">
              <a:solidFill>
                <a:schemeClr val="lt1"/>
              </a:solidFill>
              <a:latin typeface="微软雅黑" panose="020B0503020204020204" pitchFamily="34" charset="-122"/>
              <a:ea typeface="微软雅黑" panose="020B0503020204020204" pitchFamily="34" charset="-122"/>
              <a:cs typeface="+mn-cs"/>
            </a:rPr>
            <a:t>、确定需要报价费用类型，是否包含生产制作费；</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4</a:t>
          </a:r>
          <a:r>
            <a:rPr lang="zh-CN" altLang="en-US" sz="1200" baseline="0">
              <a:solidFill>
                <a:schemeClr val="lt1"/>
              </a:solidFill>
              <a:latin typeface="微软雅黑" panose="020B0503020204020204" pitchFamily="34" charset="-122"/>
              <a:ea typeface="微软雅黑" panose="020B0503020204020204" pitchFamily="34" charset="-122"/>
              <a:cs typeface="+mn-cs"/>
            </a:rPr>
            <a:t>、报价包含生产制作费后，将供应商报价信息填写至下面表格灰色填充区域；</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5</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、添加蓝色填充区域的创新优化比例。</a:t>
          </a:r>
          <a:endParaRPr lang="zh-CN" altLang="zh-CN" sz="1200">
            <a:solidFill>
              <a:schemeClr val="lt1"/>
            </a:solidFill>
            <a:latin typeface="微软雅黑" panose="020B0503020204020204" pitchFamily="34" charset="-122"/>
            <a:ea typeface="微软雅黑" panose="020B0503020204020204" pitchFamily="34" charset="-122"/>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638175</xdr:colOff>
      <xdr:row>17</xdr:row>
      <xdr:rowOff>118222</xdr:rowOff>
    </xdr:from>
    <xdr:to>
      <xdr:col>7</xdr:col>
      <xdr:colOff>782171</xdr:colOff>
      <xdr:row>26</xdr:row>
      <xdr:rowOff>33618</xdr:rowOff>
    </xdr:to>
    <xdr:sp macro="" textlink="">
      <xdr:nvSpPr>
        <xdr:cNvPr id="2" name="文本框 1"/>
        <xdr:cNvSpPr txBox="1"/>
      </xdr:nvSpPr>
      <xdr:spPr>
        <a:xfrm>
          <a:off x="7854763" y="4432487"/>
          <a:ext cx="4323790" cy="2033307"/>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en-US" altLang="zh-CN" sz="1200" baseline="0">
              <a:solidFill>
                <a:schemeClr val="lt1"/>
              </a:solidFill>
              <a:latin typeface="微软雅黑" panose="020B0503020204020204" pitchFamily="34" charset="-122"/>
              <a:ea typeface="微软雅黑" panose="020B0503020204020204" pitchFamily="34" charset="-122"/>
              <a:cs typeface="+mn-cs"/>
            </a:rPr>
            <a:t>HC BBU</a:t>
          </a:r>
          <a:r>
            <a:rPr lang="zh-CN" altLang="en-US" sz="1200" baseline="0">
              <a:solidFill>
                <a:schemeClr val="lt1"/>
              </a:solidFill>
              <a:latin typeface="微软雅黑" panose="020B0503020204020204" pitchFamily="34" charset="-122"/>
              <a:ea typeface="微软雅黑" panose="020B0503020204020204" pitchFamily="34" charset="-122"/>
              <a:cs typeface="+mn-cs"/>
            </a:rPr>
            <a:t>报价：</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1</a:t>
          </a:r>
          <a:r>
            <a:rPr lang="zh-CN" altLang="en-US" sz="1200" baseline="0">
              <a:solidFill>
                <a:schemeClr val="lt1"/>
              </a:solidFill>
              <a:latin typeface="微软雅黑" panose="020B0503020204020204" pitchFamily="34" charset="-122"/>
              <a:ea typeface="微软雅黑" panose="020B0503020204020204" pitchFamily="34" charset="-122"/>
              <a:cs typeface="+mn-cs"/>
            </a:rPr>
            <a:t>、添加</a:t>
          </a:r>
          <a:r>
            <a:rPr lang="en-US" altLang="zh-CN" sz="1200" baseline="0">
              <a:solidFill>
                <a:schemeClr val="lt1"/>
              </a:solidFill>
              <a:latin typeface="微软雅黑" panose="020B0503020204020204" pitchFamily="34" charset="-122"/>
              <a:ea typeface="微软雅黑" panose="020B0503020204020204" pitchFamily="34" charset="-122"/>
              <a:cs typeface="+mn-cs"/>
            </a:rPr>
            <a:t>yellow page</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2</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、添加表头及项目基本信息；</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3</a:t>
          </a:r>
          <a:r>
            <a:rPr lang="zh-CN" altLang="en-US" sz="1200" baseline="0">
              <a:solidFill>
                <a:schemeClr val="lt1"/>
              </a:solidFill>
              <a:latin typeface="微软雅黑" panose="020B0503020204020204" pitchFamily="34" charset="-122"/>
              <a:ea typeface="微软雅黑" panose="020B0503020204020204" pitchFamily="34" charset="-122"/>
              <a:cs typeface="+mn-cs"/>
            </a:rPr>
            <a:t>、确定需要报价费用类型，是否包含生产制作费；</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4</a:t>
          </a:r>
          <a:r>
            <a:rPr lang="zh-CN" altLang="en-US" sz="1200" baseline="0">
              <a:solidFill>
                <a:schemeClr val="lt1"/>
              </a:solidFill>
              <a:latin typeface="微软雅黑" panose="020B0503020204020204" pitchFamily="34" charset="-122"/>
              <a:ea typeface="微软雅黑" panose="020B0503020204020204" pitchFamily="34" charset="-122"/>
              <a:cs typeface="+mn-cs"/>
            </a:rPr>
            <a:t>、报价包含生产制作费后，将供应商报价信息填写至下面表格灰色填充区域；</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5</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、添加蓝色填充区域的创新优化比例。</a:t>
          </a:r>
          <a:endParaRPr lang="zh-CN" altLang="zh-CN" sz="1200">
            <a:solidFill>
              <a:schemeClr val="lt1"/>
            </a:solidFill>
            <a:latin typeface="微软雅黑" panose="020B0503020204020204" pitchFamily="34" charset="-122"/>
            <a:ea typeface="微软雅黑" panose="020B0503020204020204" pitchFamily="34" charset="-122"/>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476250</xdr:colOff>
      <xdr:row>4</xdr:row>
      <xdr:rowOff>166688</xdr:rowOff>
    </xdr:from>
    <xdr:to>
      <xdr:col>5</xdr:col>
      <xdr:colOff>1098177</xdr:colOff>
      <xdr:row>13</xdr:row>
      <xdr:rowOff>56029</xdr:rowOff>
    </xdr:to>
    <xdr:sp macro="" textlink="">
      <xdr:nvSpPr>
        <xdr:cNvPr id="2" name="文本框 1"/>
        <xdr:cNvSpPr txBox="1"/>
      </xdr:nvSpPr>
      <xdr:spPr>
        <a:xfrm>
          <a:off x="10359838" y="1063159"/>
          <a:ext cx="4319868" cy="1704694"/>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en-US" altLang="zh-CN" sz="1200">
              <a:solidFill>
                <a:schemeClr val="lt1"/>
              </a:solidFill>
              <a:latin typeface="微软雅黑" panose="020B0503020204020204" pitchFamily="34" charset="-122"/>
              <a:ea typeface="微软雅黑" panose="020B0503020204020204" pitchFamily="34" charset="-122"/>
              <a:cs typeface="+mn-cs"/>
            </a:rPr>
            <a:t>My</a:t>
          </a:r>
          <a:r>
            <a:rPr lang="en-US" altLang="zh-CN" sz="1200" baseline="0">
              <a:solidFill>
                <a:schemeClr val="lt1"/>
              </a:solidFill>
              <a:latin typeface="微软雅黑" panose="020B0503020204020204" pitchFamily="34" charset="-122"/>
              <a:ea typeface="微软雅黑" panose="020B0503020204020204" pitchFamily="34" charset="-122"/>
              <a:cs typeface="+mn-cs"/>
            </a:rPr>
            <a:t> Castle</a:t>
          </a:r>
          <a:r>
            <a:rPr lang="zh-CN" altLang="en-US" sz="1200" baseline="0">
              <a:solidFill>
                <a:schemeClr val="lt1"/>
              </a:solidFill>
              <a:latin typeface="微软雅黑" panose="020B0503020204020204" pitchFamily="34" charset="-122"/>
              <a:ea typeface="微软雅黑" panose="020B0503020204020204" pitchFamily="34" charset="-122"/>
              <a:cs typeface="+mn-cs"/>
            </a:rPr>
            <a:t>报价：</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1</a:t>
          </a:r>
          <a:r>
            <a:rPr lang="zh-CN" altLang="en-US" sz="1200" baseline="0">
              <a:solidFill>
                <a:schemeClr val="lt1"/>
              </a:solidFill>
              <a:latin typeface="微软雅黑" panose="020B0503020204020204" pitchFamily="34" charset="-122"/>
              <a:ea typeface="微软雅黑" panose="020B0503020204020204" pitchFamily="34" charset="-122"/>
              <a:cs typeface="+mn-cs"/>
            </a:rPr>
            <a:t>、添加</a:t>
          </a:r>
          <a:r>
            <a:rPr lang="en-US" altLang="zh-CN" sz="1200" baseline="0">
              <a:solidFill>
                <a:schemeClr val="lt1"/>
              </a:solidFill>
              <a:latin typeface="微软雅黑" panose="020B0503020204020204" pitchFamily="34" charset="-122"/>
              <a:ea typeface="微软雅黑" panose="020B0503020204020204" pitchFamily="34" charset="-122"/>
              <a:cs typeface="+mn-cs"/>
            </a:rPr>
            <a:t>yellow page</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2</a:t>
          </a:r>
          <a:r>
            <a:rPr lang="zh-CN" altLang="en-US" sz="1200" baseline="0">
              <a:solidFill>
                <a:schemeClr val="lt1"/>
              </a:solidFill>
              <a:latin typeface="微软雅黑" panose="020B0503020204020204" pitchFamily="34" charset="-122"/>
              <a:ea typeface="微软雅黑" panose="020B0503020204020204" pitchFamily="34" charset="-122"/>
              <a:cs typeface="+mn-cs"/>
            </a:rPr>
            <a:t>、添加表头及项目基本信息；</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3</a:t>
          </a:r>
          <a:r>
            <a:rPr lang="zh-CN" altLang="en-US" sz="1200" baseline="0">
              <a:solidFill>
                <a:schemeClr val="lt1"/>
              </a:solidFill>
              <a:latin typeface="微软雅黑" panose="020B0503020204020204" pitchFamily="34" charset="-122"/>
              <a:ea typeface="微软雅黑" panose="020B0503020204020204" pitchFamily="34" charset="-122"/>
              <a:cs typeface="+mn-cs"/>
            </a:rPr>
            <a:t>、确定需要报价费用类型，是否包含</a:t>
          </a:r>
          <a:r>
            <a:rPr lang="en-US" altLang="zh-CN" sz="1200" baseline="0">
              <a:solidFill>
                <a:schemeClr val="lt1"/>
              </a:solidFill>
              <a:latin typeface="微软雅黑" panose="020B0503020204020204" pitchFamily="34" charset="-122"/>
              <a:ea typeface="微软雅黑" panose="020B0503020204020204" pitchFamily="34" charset="-122"/>
              <a:cs typeface="+mn-cs"/>
            </a:rPr>
            <a:t>Base</a:t>
          </a:r>
          <a:r>
            <a:rPr lang="zh-CN" altLang="en-US" sz="1200" baseline="0">
              <a:solidFill>
                <a:schemeClr val="lt1"/>
              </a:solidFill>
              <a:latin typeface="微软雅黑" panose="020B0503020204020204" pitchFamily="34" charset="-122"/>
              <a:ea typeface="微软雅黑" panose="020B0503020204020204" pitchFamily="34" charset="-122"/>
              <a:cs typeface="+mn-cs"/>
            </a:rPr>
            <a:t>的服务费；</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4</a:t>
          </a:r>
          <a:r>
            <a:rPr lang="zh-CN" altLang="en-US" sz="1200" baseline="0">
              <a:solidFill>
                <a:schemeClr val="lt1"/>
              </a:solidFill>
              <a:latin typeface="微软雅黑" panose="020B0503020204020204" pitchFamily="34" charset="-122"/>
              <a:ea typeface="微软雅黑" panose="020B0503020204020204" pitchFamily="34" charset="-122"/>
              <a:cs typeface="+mn-cs"/>
            </a:rPr>
            <a:t>、确定包含</a:t>
          </a:r>
          <a:r>
            <a:rPr lang="en-US" altLang="zh-CN" sz="1200" baseline="0">
              <a:solidFill>
                <a:schemeClr val="lt1"/>
              </a:solidFill>
              <a:latin typeface="微软雅黑" panose="020B0503020204020204" pitchFamily="34" charset="-122"/>
              <a:ea typeface="微软雅黑" panose="020B0503020204020204" pitchFamily="34" charset="-122"/>
              <a:cs typeface="+mn-cs"/>
            </a:rPr>
            <a:t>Base</a:t>
          </a:r>
          <a:r>
            <a:rPr lang="zh-CN" altLang="en-US" sz="1200" baseline="0">
              <a:solidFill>
                <a:schemeClr val="lt1"/>
              </a:solidFill>
              <a:latin typeface="微软雅黑" panose="020B0503020204020204" pitchFamily="34" charset="-122"/>
              <a:ea typeface="微软雅黑" panose="020B0503020204020204" pitchFamily="34" charset="-122"/>
              <a:cs typeface="+mn-cs"/>
            </a:rPr>
            <a:t>服务费后，转到供应商报价</a:t>
          </a:r>
          <a:r>
            <a:rPr lang="en-US" altLang="zh-CN" sz="1200" baseline="0">
              <a:solidFill>
                <a:schemeClr val="lt1"/>
              </a:solidFill>
              <a:latin typeface="微软雅黑" panose="020B0503020204020204" pitchFamily="34" charset="-122"/>
              <a:ea typeface="微软雅黑" panose="020B0503020204020204" pitchFamily="34" charset="-122"/>
              <a:cs typeface="+mn-cs"/>
            </a:rPr>
            <a:t>yellow page</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en-US" altLang="zh-CN" sz="1200" baseline="0">
            <a:solidFill>
              <a:schemeClr val="lt1"/>
            </a:solidFill>
            <a:latin typeface="微软雅黑" panose="020B0503020204020204" pitchFamily="34" charset="-122"/>
            <a:ea typeface="微软雅黑" panose="020B0503020204020204" pitchFamily="34" charset="-122"/>
            <a:cs typeface="+mn-cs"/>
          </a:endParaRPr>
        </a:p>
        <a:p>
          <a:r>
            <a:rPr lang="en-US" altLang="zh-CN" sz="1200" baseline="0">
              <a:solidFill>
                <a:schemeClr val="lt1"/>
              </a:solidFill>
              <a:latin typeface="微软雅黑" panose="020B0503020204020204" pitchFamily="34" charset="-122"/>
              <a:ea typeface="微软雅黑" panose="020B0503020204020204" pitchFamily="34" charset="-122"/>
              <a:cs typeface="+mn-cs"/>
            </a:rPr>
            <a:t>8</a:t>
          </a:r>
          <a:r>
            <a:rPr lang="zh-CN" altLang="en-US" sz="1200" baseline="0">
              <a:solidFill>
                <a:schemeClr val="lt1"/>
              </a:solidFill>
              <a:latin typeface="微软雅黑" panose="020B0503020204020204" pitchFamily="34" charset="-122"/>
              <a:ea typeface="微软雅黑" panose="020B0503020204020204" pitchFamily="34" charset="-122"/>
              <a:cs typeface="+mn-cs"/>
            </a:rPr>
            <a:t>、数量等于报价总价，单价填</a:t>
          </a:r>
          <a:r>
            <a:rPr lang="en-US" altLang="zh-CN" sz="1200" baseline="0">
              <a:solidFill>
                <a:schemeClr val="lt1"/>
              </a:solidFill>
              <a:latin typeface="微软雅黑" panose="020B0503020204020204" pitchFamily="34" charset="-122"/>
              <a:ea typeface="微软雅黑" panose="020B0503020204020204" pitchFamily="34" charset="-122"/>
              <a:cs typeface="+mn-cs"/>
            </a:rPr>
            <a:t>1</a:t>
          </a:r>
          <a:r>
            <a:rPr lang="zh-CN" altLang="en-US" sz="1200" baseline="0">
              <a:solidFill>
                <a:schemeClr val="lt1"/>
              </a:solidFill>
              <a:latin typeface="微软雅黑" panose="020B0503020204020204" pitchFamily="34" charset="-122"/>
              <a:ea typeface="微软雅黑" panose="020B0503020204020204" pitchFamily="34" charset="-122"/>
              <a:cs typeface="+mn-cs"/>
            </a:rPr>
            <a:t>。</a:t>
          </a:r>
          <a:endParaRPr lang="zh-CN" altLang="zh-CN" sz="1200">
            <a:solidFill>
              <a:schemeClr val="lt1"/>
            </a:solidFill>
            <a:latin typeface="微软雅黑" panose="020B0503020204020204" pitchFamily="34" charset="-122"/>
            <a:ea typeface="微软雅黑" panose="020B0503020204020204" pitchFamily="34" charset="-122"/>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92870</xdr:colOff>
      <xdr:row>27</xdr:row>
      <xdr:rowOff>14848</xdr:rowOff>
    </xdr:from>
    <xdr:to>
      <xdr:col>15</xdr:col>
      <xdr:colOff>23812</xdr:colOff>
      <xdr:row>29</xdr:row>
      <xdr:rowOff>285750</xdr:rowOff>
    </xdr:to>
    <xdr:sp macro="" textlink="">
      <xdr:nvSpPr>
        <xdr:cNvPr id="4" name="文本框 3"/>
        <xdr:cNvSpPr txBox="1"/>
      </xdr:nvSpPr>
      <xdr:spPr>
        <a:xfrm>
          <a:off x="9272589" y="622067"/>
          <a:ext cx="5729286" cy="890027"/>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en-US" altLang="zh-CN" sz="1200">
              <a:solidFill>
                <a:schemeClr val="lt1"/>
              </a:solidFill>
              <a:latin typeface="微软雅黑" panose="020B0503020204020204" pitchFamily="34" charset="-122"/>
              <a:ea typeface="微软雅黑" panose="020B0503020204020204" pitchFamily="34" charset="-122"/>
              <a:cs typeface="+mn-cs"/>
            </a:rPr>
            <a:t>5</a:t>
          </a:r>
          <a:r>
            <a:rPr lang="zh-CN" altLang="en-US" sz="1200">
              <a:solidFill>
                <a:schemeClr val="lt1"/>
              </a:solidFill>
              <a:latin typeface="微软雅黑" panose="020B0503020204020204" pitchFamily="34" charset="-122"/>
              <a:ea typeface="微软雅黑" panose="020B0503020204020204" pitchFamily="34" charset="-122"/>
              <a:cs typeface="+mn-cs"/>
            </a:rPr>
            <a:t>、</a:t>
          </a:r>
          <a:r>
            <a:rPr lang="zh-CN" altLang="zh-CN" sz="1200">
              <a:solidFill>
                <a:schemeClr val="lt1"/>
              </a:solidFill>
              <a:latin typeface="微软雅黑" panose="020B0503020204020204" pitchFamily="34" charset="-122"/>
              <a:ea typeface="微软雅黑" panose="020B0503020204020204" pitchFamily="34" charset="-122"/>
              <a:cs typeface="+mn-cs"/>
            </a:rPr>
            <a:t>在供应商报价表</a:t>
          </a:r>
          <a:r>
            <a:rPr lang="zh-CN" altLang="en-US" sz="1200">
              <a:solidFill>
                <a:schemeClr val="lt1"/>
              </a:solidFill>
              <a:latin typeface="微软雅黑" panose="020B0503020204020204" pitchFamily="34" charset="-122"/>
              <a:ea typeface="微软雅黑" panose="020B0503020204020204" pitchFamily="34" charset="-122"/>
              <a:cs typeface="+mn-cs"/>
            </a:rPr>
            <a:t>找到“</a:t>
          </a:r>
          <a:r>
            <a:rPr lang="en-US" altLang="zh-CN" sz="1200">
              <a:solidFill>
                <a:schemeClr val="lt1"/>
              </a:solidFill>
              <a:latin typeface="微软雅黑" panose="020B0503020204020204" pitchFamily="34" charset="-122"/>
              <a:ea typeface="微软雅黑" panose="020B0503020204020204" pitchFamily="34" charset="-122"/>
              <a:cs typeface="+mn-cs"/>
            </a:rPr>
            <a:t>OSD Base</a:t>
          </a:r>
          <a:r>
            <a:rPr lang="zh-CN" altLang="en-US" sz="1200">
              <a:solidFill>
                <a:schemeClr val="lt1"/>
              </a:solidFill>
              <a:latin typeface="微软雅黑" panose="020B0503020204020204" pitchFamily="34" charset="-122"/>
              <a:ea typeface="微软雅黑" panose="020B0503020204020204" pitchFamily="34" charset="-122"/>
              <a:cs typeface="+mn-cs"/>
            </a:rPr>
            <a:t>（长途、仓储、快递）服务费”一项；</a:t>
          </a:r>
          <a:endParaRPr lang="en-US" altLang="zh-CN" sz="1200">
            <a:solidFill>
              <a:schemeClr val="lt1"/>
            </a:solidFill>
            <a:latin typeface="微软雅黑" panose="020B0503020204020204" pitchFamily="34" charset="-122"/>
            <a:ea typeface="微软雅黑" panose="020B0503020204020204" pitchFamily="34" charset="-122"/>
            <a:cs typeface="+mn-cs"/>
          </a:endParaRPr>
        </a:p>
        <a:p>
          <a:r>
            <a:rPr lang="en-US" altLang="zh-CN" sz="1200">
              <a:solidFill>
                <a:schemeClr val="lt1"/>
              </a:solidFill>
              <a:latin typeface="微软雅黑" panose="020B0503020204020204" pitchFamily="34" charset="-122"/>
              <a:ea typeface="微软雅黑" panose="020B0503020204020204" pitchFamily="34" charset="-122"/>
              <a:cs typeface="+mn-cs"/>
            </a:rPr>
            <a:t>6</a:t>
          </a:r>
          <a:r>
            <a:rPr lang="zh-CN" altLang="en-US" sz="1200">
              <a:solidFill>
                <a:schemeClr val="lt1"/>
              </a:solidFill>
              <a:latin typeface="微软雅黑" panose="020B0503020204020204" pitchFamily="34" charset="-122"/>
              <a:ea typeface="微软雅黑" panose="020B0503020204020204" pitchFamily="34" charset="-122"/>
              <a:cs typeface="+mn-cs"/>
            </a:rPr>
            <a:t>、在</a:t>
          </a:r>
          <a:r>
            <a:rPr lang="zh-CN" altLang="zh-CN" sz="1200">
              <a:solidFill>
                <a:schemeClr val="lt1"/>
              </a:solidFill>
              <a:effectLst/>
              <a:latin typeface="+mn-lt"/>
              <a:ea typeface="+mn-ea"/>
              <a:cs typeface="+mn-cs"/>
            </a:rPr>
            <a:t>“</a:t>
          </a:r>
          <a:r>
            <a:rPr lang="en-US" altLang="zh-CN" sz="1200">
              <a:solidFill>
                <a:schemeClr val="lt1"/>
              </a:solidFill>
              <a:effectLst/>
              <a:latin typeface="+mn-lt"/>
              <a:ea typeface="+mn-ea"/>
              <a:cs typeface="+mn-cs"/>
            </a:rPr>
            <a:t>OSD Base</a:t>
          </a:r>
          <a:r>
            <a:rPr lang="zh-CN" altLang="zh-CN" sz="1200">
              <a:solidFill>
                <a:schemeClr val="lt1"/>
              </a:solidFill>
              <a:effectLst/>
              <a:latin typeface="+mn-lt"/>
              <a:ea typeface="+mn-ea"/>
              <a:cs typeface="+mn-cs"/>
            </a:rPr>
            <a:t>（长途、仓储、快递）服务费”一项</a:t>
          </a:r>
          <a:r>
            <a:rPr lang="zh-CN" altLang="en-US" sz="1200">
              <a:solidFill>
                <a:schemeClr val="lt1"/>
              </a:solidFill>
              <a:effectLst/>
              <a:latin typeface="+mn-lt"/>
              <a:ea typeface="+mn-ea"/>
              <a:cs typeface="+mn-cs"/>
            </a:rPr>
            <a:t>下方</a:t>
          </a:r>
          <a:r>
            <a:rPr lang="zh-CN" altLang="zh-CN" sz="1200">
              <a:solidFill>
                <a:schemeClr val="lt1"/>
              </a:solidFill>
              <a:latin typeface="微软雅黑" panose="020B0503020204020204" pitchFamily="34" charset="-122"/>
              <a:ea typeface="微软雅黑" panose="020B0503020204020204" pitchFamily="34" charset="-122"/>
              <a:cs typeface="+mn-cs"/>
            </a:rPr>
            <a:t>添加黄色填充区域一行</a:t>
          </a:r>
          <a:r>
            <a:rPr lang="en-US" altLang="zh-CN" sz="1200">
              <a:solidFill>
                <a:schemeClr val="lt1"/>
              </a:solidFill>
              <a:latin typeface="微软雅黑" panose="020B0503020204020204" pitchFamily="34" charset="-122"/>
              <a:ea typeface="微软雅黑" panose="020B0503020204020204" pitchFamily="34" charset="-122"/>
              <a:cs typeface="+mn-cs"/>
            </a:rPr>
            <a:t> </a:t>
          </a:r>
          <a:r>
            <a:rPr lang="zh-CN" altLang="en-US" sz="1200">
              <a:solidFill>
                <a:schemeClr val="lt1"/>
              </a:solidFill>
              <a:latin typeface="微软雅黑" panose="020B0503020204020204" pitchFamily="34" charset="-122"/>
              <a:ea typeface="微软雅黑" panose="020B0503020204020204" pitchFamily="34" charset="-122"/>
              <a:cs typeface="+mn-cs"/>
            </a:rPr>
            <a:t>；</a:t>
          </a:r>
          <a:endParaRPr lang="en-US" altLang="zh-CN" sz="1200">
            <a:solidFill>
              <a:schemeClr val="lt1"/>
            </a:solidFill>
            <a:latin typeface="微软雅黑" panose="020B0503020204020204" pitchFamily="34" charset="-122"/>
            <a:ea typeface="微软雅黑" panose="020B0503020204020204" pitchFamily="34" charset="-122"/>
            <a:cs typeface="+mn-cs"/>
          </a:endParaRPr>
        </a:p>
        <a:p>
          <a:r>
            <a:rPr lang="en-US" altLang="zh-CN" sz="1200">
              <a:solidFill>
                <a:schemeClr val="lt1"/>
              </a:solidFill>
              <a:latin typeface="微软雅黑" panose="020B0503020204020204" pitchFamily="34" charset="-122"/>
              <a:ea typeface="微软雅黑" panose="020B0503020204020204" pitchFamily="34" charset="-122"/>
              <a:cs typeface="+mn-cs"/>
            </a:rPr>
            <a:t>7</a:t>
          </a:r>
          <a:r>
            <a:rPr lang="zh-CN" altLang="en-US" sz="1200">
              <a:solidFill>
                <a:schemeClr val="lt1"/>
              </a:solidFill>
              <a:latin typeface="微软雅黑" panose="020B0503020204020204" pitchFamily="34" charset="-122"/>
              <a:ea typeface="微软雅黑" panose="020B0503020204020204" pitchFamily="34" charset="-122"/>
              <a:cs typeface="+mn-cs"/>
            </a:rPr>
            <a:t>、</a:t>
          </a:r>
          <a:r>
            <a:rPr lang="zh-CN" altLang="zh-CN" sz="1200">
              <a:solidFill>
                <a:schemeClr val="lt1"/>
              </a:solidFill>
              <a:latin typeface="微软雅黑" panose="020B0503020204020204" pitchFamily="34" charset="-122"/>
              <a:ea typeface="微软雅黑" panose="020B0503020204020204" pitchFamily="34" charset="-122"/>
              <a:cs typeface="+mn-cs"/>
            </a:rPr>
            <a:t>增加创新优化费用</a:t>
          </a:r>
          <a:r>
            <a:rPr lang="en-US" altLang="zh-CN" sz="1200">
              <a:solidFill>
                <a:schemeClr val="lt1"/>
              </a:solidFill>
              <a:latin typeface="微软雅黑" panose="020B0503020204020204" pitchFamily="34" charset="-122"/>
              <a:ea typeface="微软雅黑" panose="020B0503020204020204" pitchFamily="34" charset="-122"/>
              <a:cs typeface="+mn-cs"/>
            </a:rPr>
            <a:t>45% </a:t>
          </a:r>
          <a:r>
            <a:rPr lang="zh-CN" altLang="en-US" sz="1200">
              <a:solidFill>
                <a:schemeClr val="lt1"/>
              </a:solidFill>
              <a:latin typeface="微软雅黑" panose="020B0503020204020204" pitchFamily="34" charset="-122"/>
              <a:ea typeface="微软雅黑" panose="020B0503020204020204" pitchFamily="34" charset="-122"/>
              <a:cs typeface="+mn-cs"/>
            </a:rPr>
            <a:t>，</a:t>
          </a:r>
          <a:r>
            <a:rPr lang="zh-CN" altLang="zh-CN" sz="1200">
              <a:solidFill>
                <a:schemeClr val="lt1"/>
              </a:solidFill>
              <a:latin typeface="微软雅黑" panose="020B0503020204020204" pitchFamily="34" charset="-122"/>
              <a:ea typeface="微软雅黑" panose="020B0503020204020204" pitchFamily="34" charset="-122"/>
              <a:cs typeface="+mn-cs"/>
            </a:rPr>
            <a:t>总价即发生变化。</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733425</xdr:colOff>
      <xdr:row>13</xdr:row>
      <xdr:rowOff>114300</xdr:rowOff>
    </xdr:from>
    <xdr:to>
      <xdr:col>5</xdr:col>
      <xdr:colOff>333375</xdr:colOff>
      <xdr:row>14</xdr:row>
      <xdr:rowOff>161925</xdr:rowOff>
    </xdr:to>
    <xdr:pic>
      <xdr:nvPicPr>
        <xdr:cNvPr id="9217" name="图片 2" descr="2008010244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290" t="72337" r="2464" b="16409"/>
        <a:stretch>
          <a:fillRect/>
        </a:stretch>
      </xdr:blipFill>
      <xdr:spPr bwMode="auto">
        <a:xfrm>
          <a:off x="1609725" y="3486150"/>
          <a:ext cx="31051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47625</xdr:colOff>
      <xdr:row>13</xdr:row>
      <xdr:rowOff>57150</xdr:rowOff>
    </xdr:from>
    <xdr:to>
      <xdr:col>6</xdr:col>
      <xdr:colOff>733425</xdr:colOff>
      <xdr:row>15</xdr:row>
      <xdr:rowOff>9525</xdr:rowOff>
    </xdr:to>
    <xdr:pic>
      <xdr:nvPicPr>
        <xdr:cNvPr id="9218" name="图片 1" descr="20080102448.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3020" t="52727" r="52136" b="26859"/>
        <a:stretch>
          <a:fillRect/>
        </a:stretch>
      </xdr:blipFill>
      <xdr:spPr bwMode="auto">
        <a:xfrm>
          <a:off x="5305425" y="3429000"/>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257175</xdr:colOff>
      <xdr:row>13</xdr:row>
      <xdr:rowOff>76200</xdr:rowOff>
    </xdr:from>
    <xdr:to>
      <xdr:col>10</xdr:col>
      <xdr:colOff>257175</xdr:colOff>
      <xdr:row>14</xdr:row>
      <xdr:rowOff>133350</xdr:rowOff>
    </xdr:to>
    <xdr:pic>
      <xdr:nvPicPr>
        <xdr:cNvPr id="9219" name="图片 3" descr="20080101442.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t="23630" b="12070"/>
        <a:stretch>
          <a:fillRect/>
        </a:stretch>
      </xdr:blipFill>
      <xdr:spPr bwMode="auto">
        <a:xfrm>
          <a:off x="8143875" y="3448050"/>
          <a:ext cx="87630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733425</xdr:colOff>
      <xdr:row>13</xdr:row>
      <xdr:rowOff>114300</xdr:rowOff>
    </xdr:from>
    <xdr:to>
      <xdr:col>4</xdr:col>
      <xdr:colOff>857250</xdr:colOff>
      <xdr:row>14</xdr:row>
      <xdr:rowOff>28575</xdr:rowOff>
    </xdr:to>
    <xdr:pic>
      <xdr:nvPicPr>
        <xdr:cNvPr id="11265" name="图片 2" descr="2008010244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290" t="72337" r="2464" b="16409"/>
        <a:stretch>
          <a:fillRect/>
        </a:stretch>
      </xdr:blipFill>
      <xdr:spPr bwMode="auto">
        <a:xfrm>
          <a:off x="2333625" y="2486025"/>
          <a:ext cx="3095625"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47625</xdr:colOff>
      <xdr:row>13</xdr:row>
      <xdr:rowOff>57150</xdr:rowOff>
    </xdr:from>
    <xdr:to>
      <xdr:col>6</xdr:col>
      <xdr:colOff>733425</xdr:colOff>
      <xdr:row>13</xdr:row>
      <xdr:rowOff>200025</xdr:rowOff>
    </xdr:to>
    <xdr:pic>
      <xdr:nvPicPr>
        <xdr:cNvPr id="11266" name="图片 1" descr="20080102448.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3020" t="52727" r="52136" b="26859"/>
        <a:stretch>
          <a:fillRect/>
        </a:stretch>
      </xdr:blipFill>
      <xdr:spPr bwMode="auto">
        <a:xfrm>
          <a:off x="6600825" y="2428875"/>
          <a:ext cx="6858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257175</xdr:colOff>
      <xdr:row>13</xdr:row>
      <xdr:rowOff>76200</xdr:rowOff>
    </xdr:from>
    <xdr:to>
      <xdr:col>10</xdr:col>
      <xdr:colOff>361950</xdr:colOff>
      <xdr:row>13</xdr:row>
      <xdr:rowOff>219075</xdr:rowOff>
    </xdr:to>
    <xdr:pic>
      <xdr:nvPicPr>
        <xdr:cNvPr id="11267" name="图片 3" descr="20080101442.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t="23630" b="12070"/>
        <a:stretch>
          <a:fillRect/>
        </a:stretch>
      </xdr:blipFill>
      <xdr:spPr bwMode="auto">
        <a:xfrm>
          <a:off x="9153525" y="2447925"/>
          <a:ext cx="8763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733425</xdr:colOff>
      <xdr:row>13</xdr:row>
      <xdr:rowOff>114300</xdr:rowOff>
    </xdr:from>
    <xdr:to>
      <xdr:col>4</xdr:col>
      <xdr:colOff>857250</xdr:colOff>
      <xdr:row>14</xdr:row>
      <xdr:rowOff>104775</xdr:rowOff>
    </xdr:to>
    <xdr:pic>
      <xdr:nvPicPr>
        <xdr:cNvPr id="13313" name="图片 2" descr="2008010244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290" t="72337" r="2464" b="16409"/>
        <a:stretch>
          <a:fillRect/>
        </a:stretch>
      </xdr:blipFill>
      <xdr:spPr bwMode="auto">
        <a:xfrm>
          <a:off x="2333625" y="2486025"/>
          <a:ext cx="30956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47625</xdr:colOff>
      <xdr:row>13</xdr:row>
      <xdr:rowOff>57150</xdr:rowOff>
    </xdr:from>
    <xdr:to>
      <xdr:col>6</xdr:col>
      <xdr:colOff>733425</xdr:colOff>
      <xdr:row>14</xdr:row>
      <xdr:rowOff>123825</xdr:rowOff>
    </xdr:to>
    <xdr:pic>
      <xdr:nvPicPr>
        <xdr:cNvPr id="13314" name="图片 1" descr="20080102448.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3020" t="52727" r="52136" b="26859"/>
        <a:stretch>
          <a:fillRect/>
        </a:stretch>
      </xdr:blipFill>
      <xdr:spPr bwMode="auto">
        <a:xfrm>
          <a:off x="6600825" y="2428875"/>
          <a:ext cx="6858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257175</xdr:colOff>
      <xdr:row>13</xdr:row>
      <xdr:rowOff>76200</xdr:rowOff>
    </xdr:from>
    <xdr:to>
      <xdr:col>10</xdr:col>
      <xdr:colOff>361950</xdr:colOff>
      <xdr:row>14</xdr:row>
      <xdr:rowOff>76200</xdr:rowOff>
    </xdr:to>
    <xdr:pic>
      <xdr:nvPicPr>
        <xdr:cNvPr id="13315" name="图片 3" descr="20080101442.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t="23630" b="12070"/>
        <a:stretch>
          <a:fillRect/>
        </a:stretch>
      </xdr:blipFill>
      <xdr:spPr bwMode="auto">
        <a:xfrm>
          <a:off x="9153525" y="2447925"/>
          <a:ext cx="876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733425</xdr:colOff>
      <xdr:row>13</xdr:row>
      <xdr:rowOff>114300</xdr:rowOff>
    </xdr:from>
    <xdr:to>
      <xdr:col>4</xdr:col>
      <xdr:colOff>857250</xdr:colOff>
      <xdr:row>14</xdr:row>
      <xdr:rowOff>104775</xdr:rowOff>
    </xdr:to>
    <xdr:pic>
      <xdr:nvPicPr>
        <xdr:cNvPr id="15361" name="图片 2" descr="2008010244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290" t="72337" r="2464" b="16409"/>
        <a:stretch>
          <a:fillRect/>
        </a:stretch>
      </xdr:blipFill>
      <xdr:spPr bwMode="auto">
        <a:xfrm>
          <a:off x="2333625" y="2486025"/>
          <a:ext cx="30956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47625</xdr:colOff>
      <xdr:row>13</xdr:row>
      <xdr:rowOff>57150</xdr:rowOff>
    </xdr:from>
    <xdr:to>
      <xdr:col>6</xdr:col>
      <xdr:colOff>733425</xdr:colOff>
      <xdr:row>14</xdr:row>
      <xdr:rowOff>123825</xdr:rowOff>
    </xdr:to>
    <xdr:pic>
      <xdr:nvPicPr>
        <xdr:cNvPr id="15362" name="图片 1" descr="20080102448.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3020" t="52727" r="52136" b="26859"/>
        <a:stretch>
          <a:fillRect/>
        </a:stretch>
      </xdr:blipFill>
      <xdr:spPr bwMode="auto">
        <a:xfrm>
          <a:off x="6600825" y="2428875"/>
          <a:ext cx="6858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257175</xdr:colOff>
      <xdr:row>13</xdr:row>
      <xdr:rowOff>76200</xdr:rowOff>
    </xdr:from>
    <xdr:to>
      <xdr:col>10</xdr:col>
      <xdr:colOff>361950</xdr:colOff>
      <xdr:row>14</xdr:row>
      <xdr:rowOff>76200</xdr:rowOff>
    </xdr:to>
    <xdr:pic>
      <xdr:nvPicPr>
        <xdr:cNvPr id="15363" name="图片 3" descr="20080101442.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t="23630" b="12070"/>
        <a:stretch>
          <a:fillRect/>
        </a:stretch>
      </xdr:blipFill>
      <xdr:spPr bwMode="auto">
        <a:xfrm>
          <a:off x="9153525" y="2447925"/>
          <a:ext cx="876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nny/AppData/Local/Microsoft/Windows/Temporary%20Internet%20Files/Documents%20and%20Settings/bj1413/My%20Documents/display/Metal-Wood%20Annual%20Price%20List/2010%20sourcing/BBU/material%20list/&#26679;&#26495;&#21046;&#20316;/&#22806;&#26469;&#25991;&#20214;/&#26448;&#26009;&#34920;/&#26588;&#20013;&#26588;1700H(09081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Administrator\AppData\Local\Microsoft\Windows\Temporary%20Internet%20Files\Content.Outlook\6DLQPDKE\1026\quotation\MWR%20DISPLAY%20RAC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6376;&#24230;&#24320;&#21457;&#21333;/&#21345;&#29611;&#23572;/&#21345;&#29611;&#23572;&#23624;&#33251;&#27663;Hotspot/&#25253;&#20215;/AAD%20CAM&#21345;&#29611;&#23572;&#23624;&#33251;&#27663;Hotspot&#25253;&#20215;&#349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ject/Hair%20I%20Center/&#25253;&#20215;/&#35843;&#33267;&#21518;/&#25253;&#20215;&#27169;&#26495;/BBU%20RX&#23637;&#31034;&#21697;&#65288;&#21547;&#36816;&#36755;&#23433;&#35013;&#36153;&#65289;--%20hair%20i%20center&#27979;&#37327;&#35774;&#35745;&#21046;&#20316;&#36816;&#36755;&#23433;&#35013;&#3615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6376;&#24230;&#24320;&#21457;&#21333;/OLAY/&#29577;&#20848;&#27833;&#22235;&#38754;&#38472;&#21015;&#26550;/&#25253;&#20215;/&#21152;&#21333;100&#22871;1227/&#29577;&#20848;&#27833;&#22235;&#38754;&#38472;&#21015;&#26550;&#25253;&#20215;&#349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4037;&#20316;&#36164;&#26009;/&#19987;&#26588;&#31867;/hair%201%20counter/Hair%20I&#26032;&#26087;&#20215;&#26684;&#23545;&#27604;/Aria%20AWJBHHC101202-19%20Hair%20I%20center&#20248;&#21270;&#29256;&#21046;&#20316;&#3615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24037;&#20316;&#36164;&#26009;\&#19987;&#26588;&#31867;\hair%201%20counter\Hair%20I&#26032;&#26087;&#20215;&#26684;&#23545;&#27604;\Aria%20AWJBHHC101202-19%20Hair%20I%20center&#20248;&#21270;&#29256;&#21046;&#20316;&#3615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Leo/AppData/Local/Microsoft/Windows/Temporary%20Internet%20Files/Content.Outlook/OSE4DBIF/YXPCCOPYJ%2020150608%20My%20Castle%20PCCJAS'15-16.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360&#20113;&#30424;/ONE%20PLUS/2015/&#39033;&#30446;&#31649;&#29702;/&#25253;&#20215;/&#25253;&#20215;&#34920;/&#23458;&#25143;&#25253;&#20215;/YXHC(DMC)OPYJ%2020150626%20My%20Castle%20HC(DMC)JAS'15-16.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360&#20113;&#30424;\&#25991;&#26723;\Gillette\2015&#27454;%20&#21513;&#21015;3.0\&#21513;&#21015;My%20castel&#24212;&#29992;&#26041;&#26696;\&#21513;&#21015;BBU%203.0&#25253;&#20215;&#27719;&#24635;\BBU%20OP%20&#23637;&#31034;&#21697;%20FY1415%20Gillette%20MCC%203.0&#39640;&#26588;%20%20%20&#22823;&#28070;&#21457;&#29256;&#25253;&#20215;%20(4.8&#3185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360&#20113;&#30424;\&#25991;&#26723;\Gillette\2015&#27454;%20&#21513;&#21015;3.0\&#21513;&#21015;My%20castel&#24212;&#29992;&#26041;&#26696;\&#21513;&#21015;BBU%203.0&#25253;&#20215;&#27719;&#24635;\BBU%20OP%20&#23637;&#31034;&#21697;%20FY1415%20Gillette%20MCC%203.0&#39640;&#26588;%20%20%20&#32463;&#27982;&#29256;&#25253;&#20215;(4.8%20&#31859;&#65289;.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360&#20113;&#30424;\&#25991;&#26723;\Gillette\2015&#27454;%20&#21513;&#21015;3.0\&#21513;&#21015;My%20castel&#24212;&#29992;&#26041;&#26696;\&#21513;&#21015;BBU%203.0&#25253;&#20215;&#27719;&#24635;\BBU%20OP%20&#23637;&#31034;&#21697;%20FY1415%20Gillette%20MCC%203.0&#39640;&#26588;%20%20%20&#26071;&#33328;&#29256;&#25253;&#20215;%20(4.8&#3185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柜中柜1100L"/>
      <sheetName val="Sheet2"/>
      <sheetName val="1100L"/>
      <sheetName val="柜中柜1300L"/>
      <sheetName val="1300L"/>
      <sheetName val="柜中柜1500L"/>
      <sheetName val="1500L"/>
      <sheetName val="柜中柜1700L"/>
      <sheetName val="1700L"/>
      <sheetName val="柜中柜1900L"/>
      <sheetName val="1900L"/>
    </sheetNames>
    <sheetDataSet>
      <sheetData sheetId="0"/>
      <sheetData sheetId="1">
        <row r="4">
          <cell r="B4" t="str">
            <v>25*25方管（冷管）</v>
          </cell>
        </row>
        <row r="5">
          <cell r="B5" t="str">
            <v>25*25方管（热管）</v>
          </cell>
        </row>
        <row r="6">
          <cell r="B6" t="str">
            <v>20*20方管（冷管）</v>
          </cell>
        </row>
        <row r="7">
          <cell r="B7" t="str">
            <v>20*20方管（热管）</v>
          </cell>
        </row>
        <row r="8">
          <cell r="B8" t="str">
            <v>16*16方管（冷管）</v>
          </cell>
        </row>
        <row r="9">
          <cell r="B9" t="str">
            <v>16*16方管（热管）</v>
          </cell>
        </row>
        <row r="10">
          <cell r="B10" t="str">
            <v>15*30扁管（冷管）</v>
          </cell>
        </row>
        <row r="11">
          <cell r="B11" t="str">
            <v>15*30扁管（热管）</v>
          </cell>
        </row>
        <row r="12">
          <cell r="B12" t="str">
            <v>10*20扁管（冷管）</v>
          </cell>
        </row>
        <row r="13">
          <cell r="B13" t="str">
            <v>10*20扁管（热管）</v>
          </cell>
        </row>
        <row r="14">
          <cell r="B14" t="str">
            <v>Φ20圆管（冷管）</v>
          </cell>
        </row>
        <row r="15">
          <cell r="B15" t="str">
            <v>Φ20圆管（热管）</v>
          </cell>
        </row>
        <row r="16">
          <cell r="B16" t="str">
            <v>Φ19圆管（冷管）</v>
          </cell>
        </row>
        <row r="17">
          <cell r="B17" t="str">
            <v>Φ19圆管（热管）</v>
          </cell>
        </row>
        <row r="18">
          <cell r="B18" t="str">
            <v>Φ16圆管（冷管）</v>
          </cell>
        </row>
        <row r="19">
          <cell r="B19" t="str">
            <v>Φ16圆管（热管）</v>
          </cell>
        </row>
        <row r="20">
          <cell r="B20" t="str">
            <v>Φ13圆管（冷管）</v>
          </cell>
        </row>
        <row r="21">
          <cell r="B21" t="str">
            <v>Φ13圆管（热管）</v>
          </cell>
        </row>
        <row r="22">
          <cell r="B22" t="str">
            <v>Φ5冷拉丝</v>
          </cell>
        </row>
        <row r="23">
          <cell r="B23" t="str">
            <v>Φ4冷拉丝</v>
          </cell>
        </row>
        <row r="24">
          <cell r="B24" t="str">
            <v>25*25AA铁方管柱</v>
          </cell>
        </row>
        <row r="27">
          <cell r="B27" t="str">
            <v>材料名称</v>
          </cell>
        </row>
        <row r="28">
          <cell r="B28" t="str">
            <v>1.5mm奶白/瓷白片（国产）</v>
          </cell>
        </row>
        <row r="29">
          <cell r="B29" t="str">
            <v>2.0mm奶白/瓷白片（国产）</v>
          </cell>
        </row>
        <row r="30">
          <cell r="B30" t="str">
            <v>2.5mm奶白/瓷白片（国产）</v>
          </cell>
        </row>
        <row r="31">
          <cell r="B31" t="str">
            <v>3.0mm奶白/瓷白片（国产）</v>
          </cell>
        </row>
        <row r="32">
          <cell r="B32" t="str">
            <v>4.0mm奶白/瓷白片（国产）</v>
          </cell>
        </row>
        <row r="33">
          <cell r="B33" t="str">
            <v>5.0mm奶白/瓷白片（国产）</v>
          </cell>
        </row>
        <row r="34">
          <cell r="B34" t="str">
            <v>1.5mm有色有机片（国产）</v>
          </cell>
        </row>
        <row r="35">
          <cell r="B35" t="str">
            <v>2.0mm有色有机片（国产）</v>
          </cell>
        </row>
        <row r="36">
          <cell r="B36" t="str">
            <v>2.5mm有色有机片（国产）</v>
          </cell>
        </row>
        <row r="37">
          <cell r="B37" t="str">
            <v>3.0mm有色有机片（国产）</v>
          </cell>
        </row>
        <row r="38">
          <cell r="B38" t="str">
            <v>4.0mm有色有机片（国产）</v>
          </cell>
        </row>
        <row r="39">
          <cell r="B39" t="str">
            <v>5.0mm有色有机片（国产）</v>
          </cell>
        </row>
        <row r="40">
          <cell r="B40" t="str">
            <v>1.5mm透明有机片（国产）</v>
          </cell>
        </row>
        <row r="41">
          <cell r="B41" t="str">
            <v>2.0mm透明有机片（国产）</v>
          </cell>
        </row>
        <row r="42">
          <cell r="B42" t="str">
            <v>2.5mm透明有机片（国产）</v>
          </cell>
        </row>
        <row r="43">
          <cell r="B43" t="str">
            <v>3.0mm透明有机片（国产）</v>
          </cell>
        </row>
        <row r="44">
          <cell r="B44" t="str">
            <v>4.0mm透明有机片（国产）</v>
          </cell>
        </row>
        <row r="45">
          <cell r="B45" t="str">
            <v>5.0mm透明有机片（国产）</v>
          </cell>
        </row>
        <row r="46">
          <cell r="B46" t="str">
            <v>1.5mm透明有色片（国产）</v>
          </cell>
        </row>
        <row r="47">
          <cell r="B47" t="str">
            <v>2.0mm透明有色片（国产）</v>
          </cell>
        </row>
        <row r="48">
          <cell r="B48" t="str">
            <v>2.5mm透明有色片（国产）</v>
          </cell>
        </row>
        <row r="49">
          <cell r="B49" t="str">
            <v>3.0mm透明有色片（国产）</v>
          </cell>
        </row>
        <row r="50">
          <cell r="B50" t="str">
            <v>4.0mm透明有色片（国产）</v>
          </cell>
        </row>
        <row r="51">
          <cell r="B51" t="str">
            <v>5.0mm透明有色片（国产）</v>
          </cell>
        </row>
        <row r="52">
          <cell r="B52" t="str">
            <v>1.5mm透明磨沙片（国产）</v>
          </cell>
        </row>
        <row r="53">
          <cell r="B53" t="str">
            <v>2.0mm透明磨沙片（国产）</v>
          </cell>
        </row>
        <row r="54">
          <cell r="B54" t="str">
            <v>2.5mm透明磨沙片（国产）</v>
          </cell>
        </row>
        <row r="55">
          <cell r="B55" t="str">
            <v>3.0mm透明磨沙片（国产）</v>
          </cell>
        </row>
        <row r="56">
          <cell r="B56" t="str">
            <v>4.0mm透明磨沙片（国产）</v>
          </cell>
        </row>
        <row r="57">
          <cell r="B57" t="str">
            <v>5.0mm透明磨沙片（国产）</v>
          </cell>
        </row>
        <row r="58">
          <cell r="B58" t="str">
            <v>2.5mmHIPS（国产）</v>
          </cell>
        </row>
        <row r="59">
          <cell r="B59" t="str">
            <v>2.0mm白色PP（国产）</v>
          </cell>
        </row>
        <row r="60">
          <cell r="B60" t="str">
            <v>3.0mm白色PP（国产）</v>
          </cell>
        </row>
        <row r="61">
          <cell r="B61" t="str">
            <v>2.0mm白色PET（国产）</v>
          </cell>
        </row>
        <row r="62">
          <cell r="B62" t="str">
            <v>3.0mm白色PET（国产）</v>
          </cell>
        </row>
        <row r="63">
          <cell r="B63" t="str">
            <v>2.0mm白色ABS（国产）</v>
          </cell>
        </row>
        <row r="64">
          <cell r="B64" t="str">
            <v>3.0mm白色ABS（国产）</v>
          </cell>
        </row>
        <row r="65">
          <cell r="B65" t="str">
            <v>Acrylic圆管</v>
          </cell>
        </row>
        <row r="66">
          <cell r="B66" t="str">
            <v>￠13蛇皮管</v>
          </cell>
        </row>
        <row r="67">
          <cell r="B67" t="str">
            <v>φ16黄蜡管</v>
          </cell>
        </row>
        <row r="68">
          <cell r="B68" t="str">
            <v>φ12黄蜡管</v>
          </cell>
        </row>
        <row r="69">
          <cell r="B69" t="str">
            <v>￠10黄蜡管</v>
          </cell>
        </row>
        <row r="70">
          <cell r="B70" t="str">
            <v>￠8黄蜡管</v>
          </cell>
        </row>
        <row r="71">
          <cell r="B71" t="str">
            <v>￠6黄蜡管</v>
          </cell>
        </row>
        <row r="72">
          <cell r="B72" t="str">
            <v>1.5mm奶白/瓷白片（进口）</v>
          </cell>
        </row>
        <row r="73">
          <cell r="B73" t="str">
            <v>2.0mm奶白/瓷白片（进口）</v>
          </cell>
        </row>
        <row r="74">
          <cell r="B74" t="str">
            <v>2.5mm奶白/瓷白片（进口）</v>
          </cell>
        </row>
        <row r="75">
          <cell r="B75" t="str">
            <v>3.0mm奶白/瓷白片（进口）</v>
          </cell>
        </row>
        <row r="76">
          <cell r="B76" t="str">
            <v>4.0mm奶白/瓷白片（进口）</v>
          </cell>
        </row>
        <row r="77">
          <cell r="B77" t="str">
            <v>5.0mm奶白/瓷白片（进口）</v>
          </cell>
        </row>
        <row r="78">
          <cell r="B78" t="str">
            <v>1.5mm有色有机片（进口）</v>
          </cell>
        </row>
        <row r="79">
          <cell r="B79" t="str">
            <v>2.0mm有色有机片（进口）</v>
          </cell>
        </row>
        <row r="80">
          <cell r="B80" t="str">
            <v>2.5mm有色有机片（进口）</v>
          </cell>
        </row>
        <row r="81">
          <cell r="B81" t="str">
            <v>3.0mm有色有机片（进口）</v>
          </cell>
        </row>
        <row r="82">
          <cell r="B82" t="str">
            <v>4.0mm有色有机片（进口）</v>
          </cell>
        </row>
        <row r="83">
          <cell r="B83" t="str">
            <v>5.0mm有色有机片（进口）</v>
          </cell>
        </row>
        <row r="84">
          <cell r="B84" t="str">
            <v>1.5mm透明有机片（进口）</v>
          </cell>
        </row>
        <row r="85">
          <cell r="B85" t="str">
            <v>2.0mm透明有机片（进口）</v>
          </cell>
        </row>
        <row r="86">
          <cell r="B86" t="str">
            <v>2.5mm透明有机片（进口）</v>
          </cell>
        </row>
        <row r="87">
          <cell r="B87" t="str">
            <v>3.0mm透明有机片（进口）</v>
          </cell>
        </row>
        <row r="88">
          <cell r="B88" t="str">
            <v>4.0mm透明有机片（进口）</v>
          </cell>
        </row>
        <row r="89">
          <cell r="B89" t="str">
            <v>5.0mm透明有机片（进口）</v>
          </cell>
        </row>
        <row r="90">
          <cell r="B90" t="str">
            <v>1.5mm透明有色片（进口）</v>
          </cell>
        </row>
        <row r="91">
          <cell r="B91" t="str">
            <v>2.0mm透明有色片（进口）</v>
          </cell>
        </row>
        <row r="92">
          <cell r="B92" t="str">
            <v>2.5mm透明有色片（进口）</v>
          </cell>
        </row>
        <row r="93">
          <cell r="B93" t="str">
            <v>3.0mm透明有色片（进口）</v>
          </cell>
        </row>
        <row r="94">
          <cell r="B94" t="str">
            <v>4.0mm透明有色片（进口）</v>
          </cell>
        </row>
        <row r="95">
          <cell r="B95" t="str">
            <v>5.0mm透明有色片（进口）</v>
          </cell>
        </row>
        <row r="96">
          <cell r="B96" t="str">
            <v>1.5mm透明磨沙片（进口）</v>
          </cell>
        </row>
        <row r="97">
          <cell r="B97" t="str">
            <v>2.0mm透明磨沙片（进口）</v>
          </cell>
        </row>
        <row r="98">
          <cell r="B98" t="str">
            <v>2.5mm透明磨沙片（进口）</v>
          </cell>
        </row>
        <row r="99">
          <cell r="B99" t="str">
            <v>3.0mm透明磨沙片（进口）</v>
          </cell>
        </row>
        <row r="100">
          <cell r="B100" t="str">
            <v>4.0mm透明磨沙片（进口）</v>
          </cell>
        </row>
        <row r="101">
          <cell r="B101" t="str">
            <v>5.0mm透明磨沙片（进口）</v>
          </cell>
        </row>
        <row r="102">
          <cell r="B102" t="str">
            <v>2.5mmHIPS（进口）</v>
          </cell>
        </row>
        <row r="103">
          <cell r="B103" t="str">
            <v>2.0mm白色PP（进口）</v>
          </cell>
        </row>
        <row r="104">
          <cell r="B104" t="str">
            <v>3.0mm白色PP（进口）</v>
          </cell>
        </row>
        <row r="105">
          <cell r="B105" t="str">
            <v>2.0mm白色PET（进口）</v>
          </cell>
        </row>
        <row r="106">
          <cell r="B106" t="str">
            <v>3.0mm白色PET（进口）</v>
          </cell>
        </row>
        <row r="107">
          <cell r="B107" t="str">
            <v>2.0mm白色ABS（进口）</v>
          </cell>
        </row>
        <row r="108">
          <cell r="B108" t="str">
            <v>3.0mm白色ABS（进口）</v>
          </cell>
        </row>
        <row r="111">
          <cell r="B111" t="str">
            <v>材料名称</v>
          </cell>
        </row>
        <row r="112">
          <cell r="B112" t="str">
            <v>HIPS</v>
          </cell>
        </row>
        <row r="113">
          <cell r="B113" t="str">
            <v>ABS</v>
          </cell>
        </row>
        <row r="114">
          <cell r="B114" t="str">
            <v>Acrylic</v>
          </cell>
        </row>
        <row r="115">
          <cell r="B115" t="str">
            <v>PVC</v>
          </cell>
        </row>
        <row r="116">
          <cell r="B116" t="str">
            <v>透明PVC</v>
          </cell>
        </row>
        <row r="119">
          <cell r="B119" t="str">
            <v>材料名称</v>
          </cell>
        </row>
        <row r="120">
          <cell r="B120" t="str">
            <v>15mm木夹板</v>
          </cell>
        </row>
        <row r="121">
          <cell r="B121" t="str">
            <v>12mm木夹板</v>
          </cell>
        </row>
        <row r="122">
          <cell r="B122" t="str">
            <v>9mm木夹板</v>
          </cell>
        </row>
        <row r="123">
          <cell r="B123" t="str">
            <v>18mm双白中纤板</v>
          </cell>
        </row>
        <row r="124">
          <cell r="B124" t="str">
            <v>15mm双白中纤板</v>
          </cell>
        </row>
        <row r="125">
          <cell r="B125" t="str">
            <v>12mm双白中纤板</v>
          </cell>
        </row>
        <row r="126">
          <cell r="B126" t="str">
            <v>9mm双白中纤板</v>
          </cell>
        </row>
        <row r="127">
          <cell r="B127" t="str">
            <v>5mm双白中纤板</v>
          </cell>
        </row>
        <row r="128">
          <cell r="B128" t="str">
            <v>3mm双白中纤板</v>
          </cell>
        </row>
        <row r="129">
          <cell r="B129" t="str">
            <v>25mm中纤板</v>
          </cell>
        </row>
        <row r="130">
          <cell r="B130" t="str">
            <v>18mm中纤板</v>
          </cell>
        </row>
        <row r="131">
          <cell r="B131" t="str">
            <v>15mm中纤板</v>
          </cell>
        </row>
        <row r="132">
          <cell r="B132" t="str">
            <v>12mm中纤板</v>
          </cell>
        </row>
        <row r="133">
          <cell r="B133" t="str">
            <v>9mm中纤板</v>
          </cell>
        </row>
        <row r="134">
          <cell r="B134" t="str">
            <v>5mm中纤板</v>
          </cell>
        </row>
        <row r="135">
          <cell r="B135" t="str">
            <v>3mm中纤板</v>
          </cell>
        </row>
        <row r="136">
          <cell r="B136" t="str">
            <v>8mmAD板</v>
          </cell>
        </row>
        <row r="137">
          <cell r="B137" t="str">
            <v>5mmAD板</v>
          </cell>
        </row>
        <row r="138">
          <cell r="B138" t="str">
            <v>4mmAD板</v>
          </cell>
        </row>
        <row r="139">
          <cell r="B139" t="str">
            <v>3mmAD板</v>
          </cell>
        </row>
        <row r="140">
          <cell r="B140" t="str">
            <v>2mmAD板</v>
          </cell>
        </row>
        <row r="141">
          <cell r="B141" t="str">
            <v>5mmKT板</v>
          </cell>
        </row>
        <row r="142">
          <cell r="B142" t="str">
            <v>3mmKT板</v>
          </cell>
        </row>
        <row r="143">
          <cell r="B143" t="str">
            <v>40mm发泡板</v>
          </cell>
        </row>
        <row r="144">
          <cell r="B144" t="str">
            <v>40mm封博板</v>
          </cell>
        </row>
        <row r="145">
          <cell r="B145" t="str">
            <v>25mm发泡板</v>
          </cell>
        </row>
        <row r="146">
          <cell r="B146" t="str">
            <v>25mm封博板</v>
          </cell>
        </row>
        <row r="147">
          <cell r="B147" t="str">
            <v>20mm发泡板</v>
          </cell>
        </row>
        <row r="148">
          <cell r="B148" t="str">
            <v>20mm封博板</v>
          </cell>
        </row>
        <row r="149">
          <cell r="B149" t="str">
            <v>18mm三聚氰氨板(单面)</v>
          </cell>
        </row>
        <row r="150">
          <cell r="B150" t="str">
            <v>15mm三聚氰氨板(单面)</v>
          </cell>
        </row>
        <row r="151">
          <cell r="B151" t="str">
            <v>12mm三聚氰氨板(单面)</v>
          </cell>
        </row>
        <row r="152">
          <cell r="B152" t="str">
            <v>9mm三聚氰氨板(单面)</v>
          </cell>
        </row>
        <row r="153">
          <cell r="B153" t="str">
            <v>5mm三聚氰氨板(单面)</v>
          </cell>
        </row>
        <row r="154">
          <cell r="B154" t="str">
            <v>18mm三聚氰氨板(双面)</v>
          </cell>
        </row>
        <row r="155">
          <cell r="B155" t="str">
            <v>15mm三聚氰氨板(双面)</v>
          </cell>
        </row>
        <row r="156">
          <cell r="B156" t="str">
            <v>12mm三聚氰氨板(双面)</v>
          </cell>
        </row>
        <row r="157">
          <cell r="B157" t="str">
            <v>9mm三聚氰氨板(双面)</v>
          </cell>
        </row>
        <row r="158">
          <cell r="B158" t="str">
            <v>5mm三聚氰氨板(双面)</v>
          </cell>
        </row>
        <row r="159">
          <cell r="B159" t="str">
            <v>1.0mm富美家防火板（纯色）</v>
          </cell>
        </row>
        <row r="160">
          <cell r="B160" t="str">
            <v>9mm淋油板</v>
          </cell>
        </row>
        <row r="161">
          <cell r="B161" t="str">
            <v>2.0mm冷板</v>
          </cell>
        </row>
        <row r="162">
          <cell r="B162" t="str">
            <v>1.5mm冷板</v>
          </cell>
        </row>
        <row r="163">
          <cell r="B163" t="str">
            <v>1.2mm冷板</v>
          </cell>
        </row>
        <row r="164">
          <cell r="B164" t="str">
            <v>1.0mm冷板</v>
          </cell>
        </row>
        <row r="165">
          <cell r="B165" t="str">
            <v>0.5mm冷板</v>
          </cell>
        </row>
        <row r="166">
          <cell r="B166" t="str">
            <v>2.0mm不锈钢板</v>
          </cell>
        </row>
        <row r="167">
          <cell r="B167" t="str">
            <v>1.0mm不锈钢板</v>
          </cell>
        </row>
        <row r="168">
          <cell r="B168" t="str">
            <v>0.5mm不锈钢板</v>
          </cell>
        </row>
        <row r="172">
          <cell r="B172" t="str">
            <v>产品规格</v>
          </cell>
        </row>
        <row r="173">
          <cell r="B173" t="str">
            <v>T4一体化6W(不带PC罩)</v>
          </cell>
        </row>
        <row r="174">
          <cell r="B174" t="str">
            <v>T4一体化8W(不带PC罩)</v>
          </cell>
        </row>
        <row r="175">
          <cell r="B175" t="str">
            <v>T4一体化8W(带PC罩)</v>
          </cell>
        </row>
        <row r="176">
          <cell r="B176" t="str">
            <v>T4一体化12W(不带PC罩)</v>
          </cell>
        </row>
        <row r="177">
          <cell r="B177" t="str">
            <v>T4一体化12W(带PC罩)</v>
          </cell>
        </row>
        <row r="178">
          <cell r="B178" t="str">
            <v>T4一体化16W(不带PC罩)</v>
          </cell>
        </row>
        <row r="179">
          <cell r="B179" t="str">
            <v>T4一体化16W(带PC罩)</v>
          </cell>
        </row>
        <row r="180">
          <cell r="B180" t="str">
            <v>T4一体化20W(不带PC罩)</v>
          </cell>
        </row>
        <row r="181">
          <cell r="B181" t="str">
            <v>T4一体化20W(带PC罩)</v>
          </cell>
        </row>
        <row r="182">
          <cell r="B182" t="str">
            <v>T4一体化22W(不带PC罩)</v>
          </cell>
        </row>
        <row r="183">
          <cell r="B183" t="str">
            <v>T4一体化22W(带PC罩)</v>
          </cell>
        </row>
        <row r="184">
          <cell r="B184" t="str">
            <v>T4一体化24W(不带PC罩)</v>
          </cell>
        </row>
        <row r="185">
          <cell r="B185" t="str">
            <v>T4一体化24W(带PC罩)</v>
          </cell>
        </row>
        <row r="186">
          <cell r="B186" t="str">
            <v>T4一体化26W(不带PC罩)</v>
          </cell>
        </row>
        <row r="187">
          <cell r="B187" t="str">
            <v>T4一体化26W(带PC罩)</v>
          </cell>
        </row>
        <row r="188">
          <cell r="B188" t="str">
            <v>T4一体化28W(不带PC罩)</v>
          </cell>
        </row>
        <row r="189">
          <cell r="B189" t="str">
            <v>T4一体化28W(带PC罩)</v>
          </cell>
        </row>
        <row r="190">
          <cell r="B190" t="str">
            <v>T5一体化4W(不带PC罩)</v>
          </cell>
        </row>
        <row r="191">
          <cell r="B191" t="str">
            <v>T5一体化4W(带PC罩)</v>
          </cell>
        </row>
        <row r="192">
          <cell r="B192" t="str">
            <v>T5一体化6W(不带PC罩)</v>
          </cell>
        </row>
        <row r="193">
          <cell r="B193" t="str">
            <v>T5一体化6W(带PC罩)</v>
          </cell>
        </row>
        <row r="194">
          <cell r="B194" t="str">
            <v>T5一体化8W(不带PC罩)</v>
          </cell>
        </row>
        <row r="195">
          <cell r="B195" t="str">
            <v>T5一体化8W(带PC罩)</v>
          </cell>
        </row>
        <row r="196">
          <cell r="B196" t="str">
            <v>T5一体化12W(不带PC罩)</v>
          </cell>
        </row>
        <row r="197">
          <cell r="B197" t="str">
            <v>T5一体化12W(带PC罩)</v>
          </cell>
        </row>
        <row r="198">
          <cell r="B198" t="str">
            <v>T5一体化13W(不带PC罩)</v>
          </cell>
        </row>
        <row r="199">
          <cell r="B199" t="str">
            <v>T5一体化13W(带PC罩)</v>
          </cell>
        </row>
        <row r="200">
          <cell r="B200" t="str">
            <v>T5一体化14W(不带PC罩)</v>
          </cell>
        </row>
        <row r="201">
          <cell r="B201" t="str">
            <v>T5一体化14W(带PC罩)</v>
          </cell>
        </row>
        <row r="202">
          <cell r="B202" t="str">
            <v>T5一体化21W(不带PC罩)</v>
          </cell>
        </row>
        <row r="203">
          <cell r="B203" t="str">
            <v>T5一体化21W(带PC罩)</v>
          </cell>
        </row>
        <row r="204">
          <cell r="B204" t="str">
            <v>T5一体化28W(不带PC罩)</v>
          </cell>
        </row>
        <row r="205">
          <cell r="B205" t="str">
            <v>T5一体化28W(带PC罩)</v>
          </cell>
        </row>
        <row r="206">
          <cell r="B206" t="str">
            <v>T5一体化35W(不带PC罩)</v>
          </cell>
        </row>
        <row r="207">
          <cell r="B207" t="str">
            <v>T5一体化35W(带PC罩)</v>
          </cell>
        </row>
        <row r="210">
          <cell r="B210" t="str">
            <v>产品                      规格</v>
          </cell>
        </row>
        <row r="211">
          <cell r="B211" t="str">
            <v>三雄18W（不带支架）</v>
          </cell>
        </row>
        <row r="212">
          <cell r="B212" t="str">
            <v>三雄18W（带支架）</v>
          </cell>
        </row>
        <row r="213">
          <cell r="B213" t="str">
            <v>三雄30W（不带支架）</v>
          </cell>
        </row>
        <row r="214">
          <cell r="B214" t="str">
            <v>三雄30W（带支架）</v>
          </cell>
        </row>
        <row r="215">
          <cell r="B215" t="str">
            <v>三雄36W（不带支架）</v>
          </cell>
        </row>
        <row r="216">
          <cell r="B216" t="str">
            <v>三雄36W（带支架）</v>
          </cell>
        </row>
        <row r="217">
          <cell r="B217" t="str">
            <v>飞利浦20W（不带支架）</v>
          </cell>
        </row>
        <row r="218">
          <cell r="B218" t="str">
            <v>飞利浦20W（带支架）</v>
          </cell>
        </row>
        <row r="219">
          <cell r="B219" t="str">
            <v>飞利浦40W（不带支架）</v>
          </cell>
        </row>
        <row r="220">
          <cell r="B220" t="str">
            <v>飞利浦40W（带支架）</v>
          </cell>
        </row>
        <row r="223">
          <cell r="B223" t="str">
            <v>名称</v>
          </cell>
        </row>
        <row r="224">
          <cell r="B224" t="str">
            <v>松本二三插</v>
          </cell>
        </row>
        <row r="225">
          <cell r="B225" t="str">
            <v>松本带开关二三插</v>
          </cell>
        </row>
        <row r="226">
          <cell r="B226" t="str">
            <v>奇胜E30二三插座10A</v>
          </cell>
        </row>
        <row r="227">
          <cell r="B227" t="str">
            <v>奇胜E30二三插座16A</v>
          </cell>
        </row>
        <row r="228">
          <cell r="B228" t="str">
            <v xml:space="preserve">TB1503接线端子 </v>
          </cell>
        </row>
        <row r="229">
          <cell r="B229" t="str">
            <v xml:space="preserve">TB1504接线端子 </v>
          </cell>
        </row>
        <row r="230">
          <cell r="B230" t="str">
            <v>空气开关</v>
          </cell>
        </row>
        <row r="231">
          <cell r="B231" t="str">
            <v>漏电开关</v>
          </cell>
        </row>
        <row r="232">
          <cell r="B232" t="str">
            <v>三雄(12V/50W)变压器</v>
          </cell>
        </row>
        <row r="233">
          <cell r="B233" t="str">
            <v>飞利浦(12V/50W)变压器</v>
          </cell>
        </row>
        <row r="234">
          <cell r="B234" t="str">
            <v>欧司朗(12V/50W)变压器</v>
          </cell>
        </row>
        <row r="235">
          <cell r="B235" t="str">
            <v>灯管码夹</v>
          </cell>
        </row>
        <row r="236">
          <cell r="B236" t="str">
            <v>一体化光管300MM连接线</v>
          </cell>
        </row>
        <row r="237">
          <cell r="B237" t="str">
            <v>一体化光管500MM连接线</v>
          </cell>
        </row>
        <row r="238">
          <cell r="B238" t="str">
            <v>双塑单芯1.5平方米电源线</v>
          </cell>
        </row>
        <row r="239">
          <cell r="B239" t="str">
            <v>双塑单芯2.5平方米电源线</v>
          </cell>
        </row>
        <row r="240">
          <cell r="B240" t="str">
            <v>公牛10A黑/白三插</v>
          </cell>
        </row>
        <row r="241">
          <cell r="B241" t="str">
            <v>快速三插</v>
          </cell>
        </row>
        <row r="244">
          <cell r="B244" t="str">
            <v>材料名称</v>
          </cell>
        </row>
        <row r="245">
          <cell r="B245" t="str">
            <v>木表面喷漆</v>
          </cell>
        </row>
        <row r="246">
          <cell r="B246" t="str">
            <v>喷聚酯亮光漆</v>
          </cell>
        </row>
        <row r="247">
          <cell r="B247" t="str">
            <v>喷硝基齐</v>
          </cell>
        </row>
        <row r="248">
          <cell r="B248" t="str">
            <v>不干胶印刷(单面\背胶)</v>
          </cell>
        </row>
        <row r="249">
          <cell r="B249" t="str">
            <v>背胶喷画(单面\背胶)</v>
          </cell>
        </row>
        <row r="250">
          <cell r="B250" t="str">
            <v>反裱过透明双面胶</v>
          </cell>
        </row>
        <row r="251">
          <cell r="B251" t="str">
            <v>丝网印刷</v>
          </cell>
        </row>
        <row r="252">
          <cell r="B252" t="str">
            <v>金属面喷塑</v>
          </cell>
        </row>
        <row r="253">
          <cell r="B253" t="str">
            <v>金属面喷漆</v>
          </cell>
        </row>
        <row r="254">
          <cell r="B254" t="str">
            <v>丝网印刷制版费</v>
          </cell>
        </row>
        <row r="255">
          <cell r="B255" t="str">
            <v>不干胶印刷制版费</v>
          </cell>
        </row>
        <row r="256">
          <cell r="B256" t="str">
            <v>外包装纸箱(含包装填充物)</v>
          </cell>
        </row>
        <row r="257">
          <cell r="B257" t="str">
            <v>木条框</v>
          </cell>
        </row>
        <row r="258">
          <cell r="B258" t="str">
            <v>木箱包装</v>
          </cell>
        </row>
        <row r="259">
          <cell r="B259" t="str">
            <v>魔术贴</v>
          </cell>
        </row>
        <row r="262">
          <cell r="B262" t="str">
            <v>材料名称</v>
          </cell>
        </row>
        <row r="263">
          <cell r="B263" t="str">
            <v>AA柱配套一字挂臂15CM</v>
          </cell>
        </row>
        <row r="264">
          <cell r="B264" t="str">
            <v>AA柱配套一字挂臂20CM</v>
          </cell>
        </row>
        <row r="265">
          <cell r="B265" t="str">
            <v>AA柱配套一字挂臂25CM</v>
          </cell>
        </row>
        <row r="266">
          <cell r="B266" t="str">
            <v>AA柱配套一字挂臂30CM</v>
          </cell>
        </row>
        <row r="267">
          <cell r="B267" t="str">
            <v>侧翼拉塑条</v>
          </cell>
        </row>
        <row r="268">
          <cell r="B268" t="str">
            <v>普通货架拉塑挡条</v>
          </cell>
        </row>
        <row r="269">
          <cell r="B269" t="str">
            <v>价格条(拉塑透明)</v>
          </cell>
        </row>
        <row r="270">
          <cell r="B270" t="str">
            <v>价格牌(拉塑)</v>
          </cell>
        </row>
        <row r="271">
          <cell r="B271" t="str">
            <v>侧翼铁夹(金属注塑件)</v>
          </cell>
        </row>
        <row r="272">
          <cell r="B272" t="str">
            <v>金属(铁)</v>
          </cell>
        </row>
        <row r="273">
          <cell r="B273" t="str">
            <v>金属(铝)</v>
          </cell>
        </row>
        <row r="274">
          <cell r="B274" t="str">
            <v>金色贴膜</v>
          </cell>
        </row>
        <row r="275">
          <cell r="B275" t="str">
            <v>普通贴膜</v>
          </cell>
        </row>
        <row r="276">
          <cell r="B276" t="str">
            <v>反裱喷画</v>
          </cell>
        </row>
      </sheetData>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GC Standard Quotation Header"/>
      <sheetName val="Quotation Details"/>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GC Standard Quotation Header"/>
      <sheetName val="Quotation Detail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GC Standard Quotation Header"/>
      <sheetName val="normal center（木背板+1213头层)"/>
      <sheetName val="最新版报价明细(伸缩背板+1213头层）"/>
      <sheetName val="最新版报价明细（伸缩背板+1314头层）"/>
      <sheetName val="灯具"/>
      <sheetName val="测量设计"/>
      <sheetName val="运输"/>
      <sheetName val="安装费"/>
      <sheetName val="维护费"/>
      <sheetName val="最新版报价明细(伸缩背板+1213头层） (2)"/>
      <sheetName val="灯具 (2)"/>
      <sheetName val="Sheet3"/>
    </sheetNames>
    <sheetDataSet>
      <sheetData sheetId="0"/>
      <sheetData sheetId="1"/>
      <sheetData sheetId="2"/>
      <sheetData sheetId="3"/>
      <sheetData sheetId="4"/>
      <sheetData sheetId="5"/>
      <sheetData sheetId="6">
        <row r="10">
          <cell r="D10">
            <v>1200</v>
          </cell>
        </row>
      </sheetData>
      <sheetData sheetId="7"/>
      <sheetData sheetId="8"/>
      <sheetData sheetId="9"/>
      <sheetData sheetId="10"/>
      <sheetData sheetId="11"/>
      <sheetData sheetId="1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GC Standard Quotation Header"/>
      <sheetName val="Quotation Details"/>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 Standard Quotation Header"/>
      <sheetName val="Quotation Details"/>
      <sheetName val="Sheet2"/>
      <sheetName val="Sheet3"/>
      <sheetName val="计划公式"/>
    </sheetNames>
    <sheetDataSet>
      <sheetData sheetId="0" refreshError="1"/>
      <sheetData sheetId="1" refreshError="1"/>
      <sheetData sheetId="2">
        <row r="90">
          <cell r="AB90" t="str">
            <v>30*30方管（冷管）</v>
          </cell>
        </row>
        <row r="91">
          <cell r="AB91" t="str">
            <v>30*30方管（热管）</v>
          </cell>
        </row>
        <row r="92">
          <cell r="AB92" t="str">
            <v>25*25方管（冷管）</v>
          </cell>
        </row>
        <row r="93">
          <cell r="AB93" t="str">
            <v>25*25方管（热管）</v>
          </cell>
        </row>
        <row r="94">
          <cell r="AB94" t="str">
            <v>22*22方管（冷管）</v>
          </cell>
        </row>
        <row r="95">
          <cell r="AB95" t="str">
            <v>22*22方管（热管）</v>
          </cell>
        </row>
        <row r="96">
          <cell r="AB96" t="str">
            <v>20*20方管（冷管）</v>
          </cell>
        </row>
        <row r="97">
          <cell r="AB97" t="str">
            <v>20*20方管（热管）</v>
          </cell>
        </row>
        <row r="98">
          <cell r="AB98" t="str">
            <v>19*19方管（冷管）</v>
          </cell>
        </row>
        <row r="99">
          <cell r="AB99" t="str">
            <v>19*19方管（热管）</v>
          </cell>
        </row>
        <row r="100">
          <cell r="AB100" t="str">
            <v>16*16方管（冷管）</v>
          </cell>
        </row>
        <row r="101">
          <cell r="AB101" t="str">
            <v>16*16方管（热管）</v>
          </cell>
        </row>
        <row r="102">
          <cell r="AB102" t="str">
            <v>15*15方管（冷管）</v>
          </cell>
        </row>
        <row r="103">
          <cell r="AB103" t="str">
            <v>15*15方管（热管）</v>
          </cell>
        </row>
        <row r="104">
          <cell r="AB104" t="str">
            <v>13*13方管（冷管）</v>
          </cell>
        </row>
        <row r="105">
          <cell r="AB105" t="str">
            <v>13*13方管（热管）</v>
          </cell>
        </row>
        <row r="106">
          <cell r="AB106" t="str">
            <v>10*10方管（冷管）</v>
          </cell>
        </row>
        <row r="107">
          <cell r="AB107" t="str">
            <v>10*10方管（热管）</v>
          </cell>
        </row>
        <row r="108">
          <cell r="AB108" t="str">
            <v>15*25扁管（冷管）</v>
          </cell>
        </row>
        <row r="109">
          <cell r="AB109" t="str">
            <v>15*25扁管（热管）</v>
          </cell>
        </row>
        <row r="110">
          <cell r="AB110" t="str">
            <v>25*50扁管（冷管）</v>
          </cell>
        </row>
        <row r="111">
          <cell r="AB111" t="str">
            <v>25*50扁管（热管）</v>
          </cell>
        </row>
        <row r="112">
          <cell r="AB112" t="str">
            <v>20*40扁管（冷管）</v>
          </cell>
        </row>
        <row r="113">
          <cell r="AB113" t="str">
            <v>20*40扁管（热管）</v>
          </cell>
        </row>
        <row r="114">
          <cell r="AB114" t="str">
            <v>15*30扁管（冷管）</v>
          </cell>
        </row>
        <row r="115">
          <cell r="AB115" t="str">
            <v>15*30扁管（热管）</v>
          </cell>
        </row>
        <row r="116">
          <cell r="AB116" t="str">
            <v>10*20扁管（冷管）</v>
          </cell>
        </row>
        <row r="117">
          <cell r="AB117" t="str">
            <v>10*20扁管（热管）</v>
          </cell>
        </row>
        <row r="118">
          <cell r="AB118" t="str">
            <v>Φ60圆管（冷管）</v>
          </cell>
        </row>
        <row r="119">
          <cell r="AB119" t="str">
            <v>Φ60圆管（热管）</v>
          </cell>
        </row>
        <row r="120">
          <cell r="AB120" t="str">
            <v>Φ25圆管（冷管）</v>
          </cell>
        </row>
        <row r="121">
          <cell r="AB121" t="str">
            <v>Φ25圆管（热管）</v>
          </cell>
        </row>
        <row r="122">
          <cell r="AB122" t="str">
            <v>Φ22圆管（冷管）</v>
          </cell>
        </row>
        <row r="123">
          <cell r="AB123" t="str">
            <v>Φ22圆管（热管）</v>
          </cell>
        </row>
        <row r="124">
          <cell r="AB124" t="str">
            <v>Φ20圆管（冷管）</v>
          </cell>
        </row>
        <row r="125">
          <cell r="AB125" t="str">
            <v>Φ20圆管（热管）</v>
          </cell>
        </row>
        <row r="126">
          <cell r="AB126" t="str">
            <v>Φ19圆管（冷管）</v>
          </cell>
        </row>
        <row r="127">
          <cell r="AB127" t="str">
            <v>Φ19圆管（热管）</v>
          </cell>
        </row>
        <row r="128">
          <cell r="AB128" t="str">
            <v>Φ16圆管（冷管）</v>
          </cell>
        </row>
        <row r="129">
          <cell r="AB129" t="str">
            <v>Φ16圆管（热管）</v>
          </cell>
        </row>
        <row r="130">
          <cell r="AB130" t="str">
            <v>Φ14圆管（冷管）</v>
          </cell>
        </row>
        <row r="131">
          <cell r="AB131" t="str">
            <v>Φ14圆管（热管）</v>
          </cell>
        </row>
        <row r="132">
          <cell r="AB132" t="str">
            <v>Φ13圆管（冷管）</v>
          </cell>
        </row>
        <row r="133">
          <cell r="AB133" t="str">
            <v>Φ13圆管（热管）</v>
          </cell>
        </row>
        <row r="134">
          <cell r="AB134" t="str">
            <v>Φ12圆管（冷管）</v>
          </cell>
        </row>
        <row r="135">
          <cell r="AB135" t="str">
            <v>Φ12圆管（热管）</v>
          </cell>
        </row>
        <row r="136">
          <cell r="AB136" t="str">
            <v>Φ10圆管（冷管）</v>
          </cell>
        </row>
        <row r="137">
          <cell r="AB137" t="str">
            <v>Φ10圆管（热管）</v>
          </cell>
        </row>
        <row r="138">
          <cell r="AB138" t="str">
            <v>Φ8冷拉丝</v>
          </cell>
        </row>
        <row r="139">
          <cell r="AB139" t="str">
            <v>Φ6冷拉丝</v>
          </cell>
        </row>
        <row r="140">
          <cell r="AB140" t="str">
            <v>Φ5冷拉丝</v>
          </cell>
        </row>
        <row r="141">
          <cell r="AB141" t="str">
            <v>Φ4冷拉丝</v>
          </cell>
        </row>
        <row r="142">
          <cell r="AB142" t="str">
            <v>Φ3冷拉丝</v>
          </cell>
        </row>
        <row r="143">
          <cell r="AB143" t="str">
            <v>25*25AA槽</v>
          </cell>
        </row>
        <row r="144">
          <cell r="AB144" t="str">
            <v>13*13 不锈钢管</v>
          </cell>
        </row>
        <row r="145">
          <cell r="AB145" t="str">
            <v>12*12不锈钢管</v>
          </cell>
        </row>
        <row r="146">
          <cell r="AB146" t="str">
            <v>16*16不锈钢管</v>
          </cell>
        </row>
        <row r="147">
          <cell r="AB147" t="str">
            <v>10*20不锈钢管</v>
          </cell>
        </row>
        <row r="148">
          <cell r="AB148" t="str">
            <v>Φ19不锈钢圆管</v>
          </cell>
        </row>
        <row r="149">
          <cell r="AB149" t="str">
            <v>Φ16不锈钢圆管</v>
          </cell>
        </row>
        <row r="150">
          <cell r="AB150" t="str">
            <v>Φ15不锈钢圆管</v>
          </cell>
        </row>
        <row r="151">
          <cell r="AB151" t="str">
            <v>Φ8不锈钢圆管</v>
          </cell>
        </row>
        <row r="152">
          <cell r="AB152" t="str">
            <v>Φ6不锈钢圆管</v>
          </cell>
        </row>
        <row r="153">
          <cell r="AB153" t="str">
            <v>3.0mm冷板</v>
          </cell>
        </row>
        <row r="154">
          <cell r="AB154" t="str">
            <v>2.0mm冷板</v>
          </cell>
        </row>
        <row r="155">
          <cell r="AB155" t="str">
            <v>1.5mm冷板</v>
          </cell>
        </row>
        <row r="156">
          <cell r="AB156" t="str">
            <v>1.2mm冷板</v>
          </cell>
        </row>
        <row r="157">
          <cell r="AB157" t="str">
            <v>1.0mm冷板</v>
          </cell>
        </row>
        <row r="158">
          <cell r="AB158" t="str">
            <v>0.5mm冷板</v>
          </cell>
        </row>
        <row r="159">
          <cell r="AB159" t="str">
            <v>1.2mm冲孔板</v>
          </cell>
        </row>
        <row r="160">
          <cell r="AB160" t="str">
            <v>1.0mm冲孔板</v>
          </cell>
        </row>
        <row r="161">
          <cell r="AB161" t="str">
            <v>0.6mm冲孔板</v>
          </cell>
        </row>
        <row r="162">
          <cell r="AB162" t="str">
            <v>2.0mm不锈钢板</v>
          </cell>
        </row>
        <row r="163">
          <cell r="AB163" t="str">
            <v>1.5mm不锈钢板</v>
          </cell>
        </row>
        <row r="164">
          <cell r="AB164" t="str">
            <v>1.0mm不锈钢板</v>
          </cell>
        </row>
        <row r="165">
          <cell r="AB165" t="str">
            <v>0.5mm不锈钢板</v>
          </cell>
        </row>
        <row r="166">
          <cell r="AB166" t="str">
            <v>1.5mm镜面不锈钢</v>
          </cell>
        </row>
        <row r="167">
          <cell r="AB167" t="str">
            <v>1.0mm镜面不锈钢</v>
          </cell>
        </row>
        <row r="170">
          <cell r="AB170" t="str">
            <v>材料名称</v>
          </cell>
        </row>
        <row r="171">
          <cell r="AB171" t="str">
            <v>Φ200PVC管（国产）</v>
          </cell>
        </row>
        <row r="172">
          <cell r="AB172" t="str">
            <v>Φ200PVC管（进口）</v>
          </cell>
        </row>
        <row r="173">
          <cell r="AB173" t="str">
            <v>Φ180PVC管（国产）</v>
          </cell>
        </row>
        <row r="174">
          <cell r="AB174" t="str">
            <v>Φ180PVC管（进口）</v>
          </cell>
        </row>
        <row r="175">
          <cell r="AB175" t="str">
            <v>Φ160PVC管（国产）</v>
          </cell>
        </row>
        <row r="176">
          <cell r="AB176" t="str">
            <v>Φ160PVC管（进口）</v>
          </cell>
        </row>
        <row r="177">
          <cell r="AB177" t="str">
            <v>Φ110PVC管（国产）</v>
          </cell>
        </row>
        <row r="178">
          <cell r="AB178" t="str">
            <v>Φ110PVC管（进口）</v>
          </cell>
        </row>
        <row r="179">
          <cell r="AB179" t="str">
            <v>Φ75 PVC管（国产）</v>
          </cell>
        </row>
        <row r="180">
          <cell r="AB180" t="str">
            <v>Φ75 PVC管（进口）</v>
          </cell>
        </row>
        <row r="181">
          <cell r="AB181" t="str">
            <v>直径32奶白/白色PVC管（国产）</v>
          </cell>
        </row>
        <row r="182">
          <cell r="AB182" t="str">
            <v>直径32奶白/白色PVC管（进口）</v>
          </cell>
        </row>
        <row r="183">
          <cell r="AB183" t="str">
            <v>直径28奶白/白色PVC管（国产）</v>
          </cell>
        </row>
        <row r="184">
          <cell r="AB184" t="str">
            <v>直径28奶白/白色PVC管（进口）</v>
          </cell>
        </row>
        <row r="185">
          <cell r="AB185" t="str">
            <v>直径25奶白/白色PVC管（国产）</v>
          </cell>
        </row>
        <row r="186">
          <cell r="AB186" t="str">
            <v>直径25奶白/白色PVC管（进口）</v>
          </cell>
        </row>
        <row r="187">
          <cell r="AB187" t="str">
            <v>1.0mm瓷白PVC（国产）</v>
          </cell>
        </row>
        <row r="188">
          <cell r="AB188" t="str">
            <v>1.5mm瓷白PVC（国产）</v>
          </cell>
        </row>
        <row r="189">
          <cell r="AB189" t="str">
            <v>2.0mm瓷白PVC（国产）</v>
          </cell>
        </row>
        <row r="190">
          <cell r="AB190" t="str">
            <v>3.0mm瓷白PVC（国产）</v>
          </cell>
        </row>
        <row r="191">
          <cell r="AB191" t="str">
            <v>4.0mm瓷白PVC（国产）</v>
          </cell>
        </row>
        <row r="192">
          <cell r="AB192" t="str">
            <v>5.0mm瓷白PVC（国产）</v>
          </cell>
        </row>
        <row r="193">
          <cell r="AB193" t="str">
            <v>1.0mm瓷白PVC（进口）</v>
          </cell>
        </row>
        <row r="194">
          <cell r="AB194" t="str">
            <v>1.5mm瓷白PVC（进口）</v>
          </cell>
        </row>
        <row r="195">
          <cell r="AB195" t="str">
            <v>2.0mm瓷白PVC（进口）</v>
          </cell>
        </row>
        <row r="196">
          <cell r="AB196" t="str">
            <v>3.0mm瓷白PVC（进口）</v>
          </cell>
        </row>
        <row r="197">
          <cell r="AB197" t="str">
            <v>4.0mm瓷白PVC（进口）</v>
          </cell>
        </row>
        <row r="198">
          <cell r="AB198" t="str">
            <v>5.0mm瓷白PVC（进口）</v>
          </cell>
        </row>
        <row r="199">
          <cell r="AB199" t="str">
            <v>0.3mm瓷白PVC（国产）</v>
          </cell>
        </row>
        <row r="200">
          <cell r="AB200" t="str">
            <v>0.5mm瓷白PVC（国产）</v>
          </cell>
        </row>
        <row r="201">
          <cell r="AB201" t="str">
            <v>0.8mm瓷白PVC（国产）</v>
          </cell>
        </row>
        <row r="202">
          <cell r="AB202" t="str">
            <v>0.3mm瓷白PVC（进口）</v>
          </cell>
        </row>
        <row r="203">
          <cell r="AB203" t="str">
            <v>0.5mm瓷白PVC（进口）</v>
          </cell>
        </row>
        <row r="204">
          <cell r="AB204" t="str">
            <v>0.8mm瓷白PVC（进口）</v>
          </cell>
        </row>
        <row r="205">
          <cell r="AB205" t="str">
            <v>三角骨补条</v>
          </cell>
        </row>
        <row r="206">
          <cell r="AB206" t="str">
            <v>Φ100透明有机圆管（国产）</v>
          </cell>
        </row>
        <row r="207">
          <cell r="AB207" t="str">
            <v>Φ100透明有机圆管（进口）</v>
          </cell>
        </row>
        <row r="208">
          <cell r="AB208" t="str">
            <v>Φ4有机棒</v>
          </cell>
        </row>
        <row r="209">
          <cell r="AB209" t="str">
            <v>Φ5有机棒</v>
          </cell>
        </row>
        <row r="210">
          <cell r="AB210" t="str">
            <v>Φ8有机棒</v>
          </cell>
        </row>
        <row r="211">
          <cell r="AB211" t="str">
            <v>Φ10有机棒</v>
          </cell>
        </row>
        <row r="212">
          <cell r="AB212" t="str">
            <v>Φ15有机棒</v>
          </cell>
        </row>
        <row r="213">
          <cell r="AB213" t="str">
            <v>Φ20有机棒</v>
          </cell>
        </row>
        <row r="214">
          <cell r="AB214" t="str">
            <v>Φ30有机棒</v>
          </cell>
        </row>
        <row r="215">
          <cell r="AB215" t="str">
            <v>1.5mm奶白/瓷白片（国产）</v>
          </cell>
        </row>
        <row r="216">
          <cell r="AB216" t="str">
            <v>1.5mm奶白/瓷白片（进口）</v>
          </cell>
        </row>
        <row r="217">
          <cell r="AB217" t="str">
            <v>2.0mm奶白/瓷白片（国产）</v>
          </cell>
        </row>
        <row r="218">
          <cell r="AB218" t="str">
            <v>2.0mm奶白/瓷白片（进口）</v>
          </cell>
        </row>
        <row r="219">
          <cell r="AB219" t="str">
            <v>2.5mm奶白/瓷白片（国产）</v>
          </cell>
        </row>
        <row r="220">
          <cell r="AB220" t="str">
            <v>2.5mm奶白/瓷白片（进口）</v>
          </cell>
        </row>
        <row r="221">
          <cell r="AB221" t="str">
            <v>3.0mm奶白/瓷白片（国产）</v>
          </cell>
        </row>
        <row r="222">
          <cell r="AB222" t="str">
            <v>3.0mm奶白/瓷白片（进口）</v>
          </cell>
        </row>
        <row r="223">
          <cell r="AB223" t="str">
            <v>4.0mm奶白/瓷白片（国产）</v>
          </cell>
        </row>
        <row r="224">
          <cell r="AB224" t="str">
            <v>4.0mm奶白/瓷白片（进口）</v>
          </cell>
        </row>
        <row r="225">
          <cell r="AB225" t="str">
            <v>5.0mm奶白/瓷白片（国产）</v>
          </cell>
        </row>
        <row r="226">
          <cell r="AB226" t="str">
            <v>5.0mm奶白/瓷白片（进口）</v>
          </cell>
        </row>
        <row r="227">
          <cell r="AB227" t="str">
            <v>6.0mm奶白/瓷白片（国产）</v>
          </cell>
        </row>
        <row r="228">
          <cell r="AB228" t="str">
            <v>6.0mm奶白/瓷白片（进口）</v>
          </cell>
        </row>
        <row r="229">
          <cell r="AB229" t="str">
            <v>8.0mm奶白/瓷白片（国产）</v>
          </cell>
        </row>
        <row r="230">
          <cell r="AB230" t="str">
            <v>8.0mm奶白/瓷白片（进口）</v>
          </cell>
        </row>
        <row r="231">
          <cell r="AB231" t="str">
            <v>9.0mm奶白/瓷白片（国产）</v>
          </cell>
        </row>
        <row r="232">
          <cell r="AB232" t="str">
            <v>9.0mm奶白/瓷白片（进口）</v>
          </cell>
        </row>
        <row r="233">
          <cell r="AB233" t="str">
            <v>10.0mm奶白/瓷白片（国产）</v>
          </cell>
        </row>
        <row r="234">
          <cell r="AB234" t="str">
            <v>10.0mm奶白/瓷白片（进口）</v>
          </cell>
        </row>
        <row r="235">
          <cell r="AB235" t="str">
            <v>1.5mm透明有机片（国产）</v>
          </cell>
        </row>
        <row r="236">
          <cell r="AB236" t="str">
            <v>1.5mm透明有机片（进口）</v>
          </cell>
        </row>
        <row r="237">
          <cell r="AB237" t="str">
            <v>2.0mm透明有机片（国产）</v>
          </cell>
        </row>
        <row r="238">
          <cell r="AB238" t="str">
            <v>2.0mm透明有机片（进口）</v>
          </cell>
        </row>
        <row r="239">
          <cell r="AB239" t="str">
            <v>2.5mm透明有机片（国产）</v>
          </cell>
        </row>
        <row r="240">
          <cell r="AB240" t="str">
            <v>2.5mm透明有机片（进口）</v>
          </cell>
        </row>
        <row r="241">
          <cell r="AB241" t="str">
            <v>3.0mm透明有机片（国产）</v>
          </cell>
        </row>
        <row r="242">
          <cell r="AB242" t="str">
            <v>3.0mm透明有机片（进口）</v>
          </cell>
        </row>
        <row r="243">
          <cell r="AB243" t="str">
            <v>4.0mm透明有机片（国产）</v>
          </cell>
        </row>
        <row r="244">
          <cell r="AB244" t="str">
            <v>4.0mm透明有机片（进口）</v>
          </cell>
        </row>
        <row r="245">
          <cell r="AB245" t="str">
            <v>5.0mm透明有机片（国产）</v>
          </cell>
        </row>
        <row r="246">
          <cell r="AB246" t="str">
            <v>5.0mm透明有机片（进口）</v>
          </cell>
        </row>
        <row r="247">
          <cell r="AB247" t="str">
            <v>6.0mm透明有机片（国产）</v>
          </cell>
        </row>
        <row r="248">
          <cell r="AB248" t="str">
            <v>6.0mm透明有机片（进口）</v>
          </cell>
        </row>
        <row r="249">
          <cell r="AB249" t="str">
            <v>8.0mm透明有机片（国产）</v>
          </cell>
        </row>
        <row r="250">
          <cell r="AB250" t="str">
            <v>8.0mm透明有机片（进口）</v>
          </cell>
        </row>
        <row r="251">
          <cell r="AB251" t="str">
            <v>10.0mm透明有机片（国产）</v>
          </cell>
        </row>
        <row r="252">
          <cell r="AB252" t="str">
            <v>10.0mm透明有机片（进口）</v>
          </cell>
        </row>
        <row r="253">
          <cell r="AB253" t="str">
            <v>11.0mm透明有机片（国产）</v>
          </cell>
        </row>
        <row r="254">
          <cell r="AB254" t="str">
            <v>11.0mm透明有机片（进口）</v>
          </cell>
        </row>
        <row r="255">
          <cell r="AB255" t="str">
            <v>12.0mm透明有机片（国产）</v>
          </cell>
        </row>
        <row r="256">
          <cell r="AB256" t="str">
            <v>12.0mm透明有机片（进口）</v>
          </cell>
        </row>
        <row r="257">
          <cell r="AB257" t="str">
            <v>13.0mm透明有机片（国产）</v>
          </cell>
        </row>
        <row r="258">
          <cell r="AB258" t="str">
            <v>13.0mm透明有机片（进口）</v>
          </cell>
        </row>
        <row r="259">
          <cell r="AB259" t="str">
            <v>14.0mm透明有机片（国产）</v>
          </cell>
        </row>
        <row r="260">
          <cell r="AB260" t="str">
            <v>14.0mm透明有机片（进口）</v>
          </cell>
        </row>
        <row r="261">
          <cell r="AB261" t="str">
            <v>15.0mm透明有机片（国产）</v>
          </cell>
        </row>
        <row r="262">
          <cell r="AB262" t="str">
            <v>15.0mm透明有机片（进口）</v>
          </cell>
        </row>
        <row r="263">
          <cell r="AB263" t="str">
            <v>16.0mm透明有机片（国产）</v>
          </cell>
        </row>
        <row r="264">
          <cell r="AB264" t="str">
            <v>16.0mm透明有机片（进口）</v>
          </cell>
        </row>
        <row r="265">
          <cell r="AB265" t="str">
            <v>18.0mm透明有机片（国产）</v>
          </cell>
        </row>
        <row r="266">
          <cell r="AB266" t="str">
            <v>18.0mm透明有机片（进口）</v>
          </cell>
        </row>
        <row r="267">
          <cell r="AB267" t="str">
            <v>20.0mm透明有机片（国产）</v>
          </cell>
        </row>
        <row r="268">
          <cell r="AB268" t="str">
            <v>20.0mm透明有机片（进口）</v>
          </cell>
        </row>
        <row r="269">
          <cell r="AB269" t="str">
            <v>1.5mm透明有色片（国产）</v>
          </cell>
        </row>
        <row r="270">
          <cell r="AB270" t="str">
            <v>1.5mm透明有色片（进口）</v>
          </cell>
        </row>
        <row r="271">
          <cell r="AB271" t="str">
            <v>2.0mm透明有色片（国产）</v>
          </cell>
        </row>
        <row r="272">
          <cell r="AB272" t="str">
            <v>2.0mm透明有色片（进口）</v>
          </cell>
        </row>
        <row r="273">
          <cell r="AB273" t="str">
            <v>2.5mm透明有色片（国产）</v>
          </cell>
        </row>
        <row r="274">
          <cell r="AB274" t="str">
            <v>2.5mm透明有色片（进口）</v>
          </cell>
        </row>
        <row r="275">
          <cell r="AB275" t="str">
            <v>3.0mm透明有色片（国产）</v>
          </cell>
        </row>
        <row r="276">
          <cell r="AB276" t="str">
            <v>3.0mm透明有色片（进口）</v>
          </cell>
        </row>
        <row r="277">
          <cell r="AB277" t="str">
            <v>4.0mm透明有色片（国产）</v>
          </cell>
        </row>
        <row r="278">
          <cell r="AB278" t="str">
            <v>4.0mm透明有色片（进口）</v>
          </cell>
        </row>
        <row r="279">
          <cell r="AB279" t="str">
            <v>5.0mm透明有色片（国产）</v>
          </cell>
        </row>
        <row r="280">
          <cell r="AB280" t="str">
            <v>5.0mm透明有色片（进口）</v>
          </cell>
        </row>
        <row r="281">
          <cell r="AB281" t="str">
            <v>6.0mm透明有色片（国产）</v>
          </cell>
        </row>
        <row r="282">
          <cell r="AB282" t="str">
            <v>6.0mm透明有色片（进口）</v>
          </cell>
        </row>
        <row r="283">
          <cell r="AB283" t="str">
            <v>8.0mm透明有色片（国产）</v>
          </cell>
        </row>
        <row r="284">
          <cell r="AB284" t="str">
            <v>8.0mm透明有色片（进口）</v>
          </cell>
        </row>
        <row r="285">
          <cell r="AB285" t="str">
            <v>10.0mm透明有色片（国产）</v>
          </cell>
        </row>
        <row r="286">
          <cell r="AB286" t="str">
            <v>10.0mm透明有色片（进口）</v>
          </cell>
        </row>
        <row r="287">
          <cell r="AB287" t="str">
            <v>1.5mm透明磨沙片（国产）</v>
          </cell>
        </row>
        <row r="288">
          <cell r="AB288" t="str">
            <v>1.5mm透明磨沙片（进口）</v>
          </cell>
        </row>
        <row r="289">
          <cell r="AB289" t="str">
            <v>2.0mm透明磨沙片（国产）</v>
          </cell>
        </row>
        <row r="290">
          <cell r="AB290" t="str">
            <v>2.0mm透明磨沙片（进口）</v>
          </cell>
        </row>
        <row r="291">
          <cell r="AB291" t="str">
            <v>2.5mm透明磨沙片（国产）</v>
          </cell>
        </row>
        <row r="292">
          <cell r="AB292" t="str">
            <v>2.5mm透明磨沙片（进口）</v>
          </cell>
        </row>
        <row r="293">
          <cell r="AB293" t="str">
            <v>3.0mm透明磨沙片（国产）</v>
          </cell>
        </row>
        <row r="294">
          <cell r="AB294" t="str">
            <v>3.0mm透明磨沙片（进口）</v>
          </cell>
        </row>
        <row r="295">
          <cell r="AB295" t="str">
            <v>4.0mm透明磨沙片（国产）</v>
          </cell>
        </row>
        <row r="296">
          <cell r="AB296" t="str">
            <v>4.0mm透明磨沙片（进口）</v>
          </cell>
        </row>
        <row r="297">
          <cell r="AB297" t="str">
            <v>5.0mm透明磨沙片（国产）</v>
          </cell>
        </row>
        <row r="298">
          <cell r="AB298" t="str">
            <v>5.0mm透明磨沙片（进口）</v>
          </cell>
        </row>
        <row r="299">
          <cell r="AB299" t="str">
            <v>6.0mm透明磨沙片（国产）</v>
          </cell>
        </row>
        <row r="300">
          <cell r="AB300" t="str">
            <v>6.0mm透明磨沙片（进口）</v>
          </cell>
        </row>
        <row r="301">
          <cell r="AB301" t="str">
            <v>8.0mm透明磨沙片（国产）</v>
          </cell>
        </row>
        <row r="302">
          <cell r="AB302" t="str">
            <v>8.0mm透明磨沙片（进口）</v>
          </cell>
        </row>
        <row r="303">
          <cell r="AB303" t="str">
            <v>10.0mm透明磨沙片（国产）</v>
          </cell>
        </row>
        <row r="304">
          <cell r="AB304" t="str">
            <v>10.0mm透明磨沙片（进口）</v>
          </cell>
        </row>
        <row r="305">
          <cell r="AB305" t="str">
            <v>2.0mm白色PP（国产）</v>
          </cell>
        </row>
        <row r="306">
          <cell r="AB306" t="str">
            <v>2.0mm白色PP（进口）</v>
          </cell>
        </row>
        <row r="307">
          <cell r="AB307" t="str">
            <v>3.0mm白色PP（国产）</v>
          </cell>
        </row>
        <row r="308">
          <cell r="AB308" t="str">
            <v>3.0mm白色PP（进口）</v>
          </cell>
        </row>
        <row r="309">
          <cell r="AB309" t="str">
            <v>0.3mm白色/透明PET（国产）</v>
          </cell>
        </row>
        <row r="310">
          <cell r="AB310" t="str">
            <v>0.3mm白色/透明PET（进口）</v>
          </cell>
        </row>
        <row r="311">
          <cell r="AB311" t="str">
            <v>0.5mm白色/透明PET（国产）</v>
          </cell>
        </row>
        <row r="312">
          <cell r="AB312" t="str">
            <v>0.5mm白色/透明PET（进口）</v>
          </cell>
        </row>
        <row r="313">
          <cell r="AB313" t="str">
            <v>0.8mm白色/透明PET（国产）</v>
          </cell>
        </row>
        <row r="314">
          <cell r="AB314" t="str">
            <v>0.8mm白色/透明PET（进口）</v>
          </cell>
        </row>
        <row r="315">
          <cell r="AB315" t="str">
            <v>1.0mm白色/透明PET（国产）</v>
          </cell>
        </row>
        <row r="316">
          <cell r="AB316" t="str">
            <v>1.0mm白色/透明PET（进口）</v>
          </cell>
        </row>
        <row r="317">
          <cell r="AB317" t="str">
            <v>1.5mm白色/透明PET（国产）</v>
          </cell>
        </row>
        <row r="318">
          <cell r="AB318" t="str">
            <v>1.5mm白色/透明PET（进口）</v>
          </cell>
        </row>
        <row r="319">
          <cell r="AB319" t="str">
            <v>2.0mm白色PET（国产）</v>
          </cell>
        </row>
        <row r="320">
          <cell r="AB320" t="str">
            <v>2.0mm白色PET（进口）</v>
          </cell>
        </row>
        <row r="321">
          <cell r="AB321" t="str">
            <v>3.0mm白色PET（国产）</v>
          </cell>
        </row>
        <row r="322">
          <cell r="AB322" t="str">
            <v>3.0mm白色PET（进口）</v>
          </cell>
        </row>
        <row r="323">
          <cell r="AB323" t="str">
            <v>2.0mm透明PET（国产）</v>
          </cell>
        </row>
        <row r="324">
          <cell r="AB324" t="str">
            <v>2.0mm透明PET（进口）</v>
          </cell>
        </row>
        <row r="325">
          <cell r="AB325" t="str">
            <v>3.0mm透明PET（国产）</v>
          </cell>
        </row>
        <row r="326">
          <cell r="AB326" t="str">
            <v>3.0mm透明PET（进口）</v>
          </cell>
        </row>
        <row r="327">
          <cell r="AB327" t="str">
            <v>2.0mmPC（国产）</v>
          </cell>
        </row>
        <row r="328">
          <cell r="AB328" t="str">
            <v>2.0mmPC（进口）</v>
          </cell>
        </row>
        <row r="329">
          <cell r="AB329" t="str">
            <v>3.0mmPC（国产）</v>
          </cell>
        </row>
        <row r="330">
          <cell r="AB330" t="str">
            <v>3.0mmPC（进口）</v>
          </cell>
        </row>
        <row r="331">
          <cell r="AB331" t="str">
            <v>2.0mmPS</v>
          </cell>
        </row>
        <row r="332">
          <cell r="AB332" t="str">
            <v>3.0mmPS</v>
          </cell>
        </row>
        <row r="333">
          <cell r="AB333" t="str">
            <v>10mm透明玻璃</v>
          </cell>
        </row>
        <row r="334">
          <cell r="AB334" t="str">
            <v>8mm透明玻璃</v>
          </cell>
        </row>
        <row r="335">
          <cell r="AB335" t="str">
            <v>6mm透明玻璃</v>
          </cell>
        </row>
        <row r="336">
          <cell r="AB336" t="str">
            <v>5mm透明玻璃</v>
          </cell>
        </row>
        <row r="337">
          <cell r="AB337" t="str">
            <v>10mm钢化玻璃</v>
          </cell>
        </row>
        <row r="338">
          <cell r="AB338" t="str">
            <v>8mm钢化玻璃</v>
          </cell>
        </row>
        <row r="339">
          <cell r="AB339" t="str">
            <v>6mm钢化玻璃</v>
          </cell>
        </row>
        <row r="340">
          <cell r="AB340" t="str">
            <v>5mm钢化玻璃</v>
          </cell>
        </row>
        <row r="341">
          <cell r="AB341" t="str">
            <v>10mm磨砂玻璃</v>
          </cell>
        </row>
        <row r="342">
          <cell r="AB342" t="str">
            <v>8mm磨砂玻璃</v>
          </cell>
        </row>
        <row r="343">
          <cell r="AB343" t="str">
            <v>6mm磨砂玻璃</v>
          </cell>
        </row>
        <row r="344">
          <cell r="AB344" t="str">
            <v>5mm磨砂玻璃</v>
          </cell>
        </row>
        <row r="345">
          <cell r="AB345" t="str">
            <v>玻璃顶</v>
          </cell>
        </row>
        <row r="346">
          <cell r="AB346" t="str">
            <v>Φ25玻璃吸盘</v>
          </cell>
        </row>
        <row r="347">
          <cell r="AB347" t="str">
            <v>PNT 蓝（带银粉）水晶板</v>
          </cell>
        </row>
        <row r="348">
          <cell r="AB348" t="str">
            <v>VST红水晶板</v>
          </cell>
        </row>
        <row r="349">
          <cell r="AB349" t="str">
            <v>黑色水晶板</v>
          </cell>
        </row>
        <row r="350">
          <cell r="AB350" t="str">
            <v>白色水晶板</v>
          </cell>
        </row>
        <row r="351">
          <cell r="AB351" t="str">
            <v>绿色水晶板</v>
          </cell>
        </row>
        <row r="352">
          <cell r="AB352" t="str">
            <v>5mm导光板</v>
          </cell>
        </row>
        <row r="353">
          <cell r="AB353" t="str">
            <v>8mm导光板</v>
          </cell>
        </row>
        <row r="354">
          <cell r="AB354" t="str">
            <v>2mm银色镜面片</v>
          </cell>
        </row>
        <row r="355">
          <cell r="AB355" t="str">
            <v>1.5mm银色镜面片</v>
          </cell>
        </row>
        <row r="356">
          <cell r="AB356" t="str">
            <v>2mm金色镜面片</v>
          </cell>
        </row>
        <row r="357">
          <cell r="AB357" t="str">
            <v>1.5mm金色镜面片</v>
          </cell>
        </row>
        <row r="360">
          <cell r="AB360" t="str">
            <v>材料名称</v>
          </cell>
        </row>
        <row r="361">
          <cell r="AB361" t="str">
            <v>15mm 木夹板</v>
          </cell>
        </row>
        <row r="362">
          <cell r="AB362" t="str">
            <v>12mm 木夹板</v>
          </cell>
        </row>
        <row r="363">
          <cell r="AB363" t="str">
            <v>9mm 木夹板</v>
          </cell>
        </row>
        <row r="364">
          <cell r="AB364" t="str">
            <v>5mm 木夹板</v>
          </cell>
        </row>
        <row r="365">
          <cell r="AB365" t="str">
            <v>18mm双白中纤板</v>
          </cell>
        </row>
        <row r="366">
          <cell r="AB366" t="str">
            <v>15mm双白中纤板</v>
          </cell>
        </row>
        <row r="367">
          <cell r="AB367" t="str">
            <v>12mm双白中纤板</v>
          </cell>
        </row>
        <row r="368">
          <cell r="AB368" t="str">
            <v>9mm双白中纤板</v>
          </cell>
        </row>
        <row r="369">
          <cell r="AB369" t="str">
            <v>5mm双白中纤板</v>
          </cell>
        </row>
        <row r="370">
          <cell r="AB370" t="str">
            <v>3mm双白中纤板</v>
          </cell>
        </row>
        <row r="371">
          <cell r="AB371" t="str">
            <v>25mm中纤板</v>
          </cell>
        </row>
        <row r="372">
          <cell r="AB372" t="str">
            <v>18mm中纤板</v>
          </cell>
        </row>
        <row r="373">
          <cell r="AB373" t="str">
            <v>15mm中纤板</v>
          </cell>
        </row>
        <row r="374">
          <cell r="AB374" t="str">
            <v>12mm中纤板</v>
          </cell>
        </row>
        <row r="375">
          <cell r="AB375" t="str">
            <v>9mm中纤板</v>
          </cell>
        </row>
        <row r="376">
          <cell r="AB376" t="str">
            <v>5mm中纤板</v>
          </cell>
        </row>
        <row r="377">
          <cell r="AB377" t="str">
            <v>3mm中纤板</v>
          </cell>
        </row>
        <row r="378">
          <cell r="AB378" t="str">
            <v>15mmAD板</v>
          </cell>
        </row>
        <row r="379">
          <cell r="AB379" t="str">
            <v>10mmAD板</v>
          </cell>
        </row>
        <row r="380">
          <cell r="AB380" t="str">
            <v>8mmAD板</v>
          </cell>
        </row>
        <row r="381">
          <cell r="AB381" t="str">
            <v>5mmAD板</v>
          </cell>
        </row>
        <row r="382">
          <cell r="AB382" t="str">
            <v>3mmAD板</v>
          </cell>
        </row>
        <row r="383">
          <cell r="AB383" t="str">
            <v>8mm黑色AD板</v>
          </cell>
        </row>
        <row r="384">
          <cell r="AB384" t="str">
            <v>5mm黑色AD板</v>
          </cell>
        </row>
        <row r="385">
          <cell r="AB385" t="str">
            <v>3mm黑色AD板</v>
          </cell>
        </row>
        <row r="386">
          <cell r="AB386" t="str">
            <v>5mm难燃夹板</v>
          </cell>
        </row>
        <row r="387">
          <cell r="AB387" t="str">
            <v>9mm难燃夹板</v>
          </cell>
        </row>
        <row r="388">
          <cell r="AB388" t="str">
            <v>12mm难燃夹板</v>
          </cell>
        </row>
        <row r="389">
          <cell r="AB389" t="str">
            <v>15mm难燃夹板</v>
          </cell>
        </row>
        <row r="390">
          <cell r="AB390" t="str">
            <v>18mm难燃夹板</v>
          </cell>
        </row>
        <row r="391">
          <cell r="AB391" t="str">
            <v>18mm三聚氰氨板(单面)</v>
          </cell>
        </row>
        <row r="392">
          <cell r="AB392" t="str">
            <v>15mm三聚氰氨板(单面)</v>
          </cell>
        </row>
        <row r="393">
          <cell r="AB393" t="str">
            <v>12mm三聚氰氨板(单面)</v>
          </cell>
        </row>
        <row r="394">
          <cell r="AB394" t="str">
            <v>9mm三聚氰氨板(单面)</v>
          </cell>
        </row>
        <row r="395">
          <cell r="AB395" t="str">
            <v>5mm三聚氰氨板(单面)</v>
          </cell>
        </row>
        <row r="396">
          <cell r="AB396" t="str">
            <v>18mm三聚氰氨板(双面)</v>
          </cell>
        </row>
        <row r="397">
          <cell r="AB397" t="str">
            <v>15mm三聚氰氨板(双面)</v>
          </cell>
        </row>
        <row r="398">
          <cell r="AB398" t="str">
            <v>12mm三聚氰氨板(双面)</v>
          </cell>
        </row>
        <row r="399">
          <cell r="AB399" t="str">
            <v>9mm三聚氰氨板(双面)</v>
          </cell>
        </row>
        <row r="400">
          <cell r="AB400" t="str">
            <v>5mm三聚氰氨板(双面)</v>
          </cell>
        </row>
        <row r="401">
          <cell r="AB401" t="str">
            <v>1.0mm富美家防火板</v>
          </cell>
        </row>
        <row r="402">
          <cell r="AB402" t="str">
            <v>1.0mm(厚)富美加拉丝防火板</v>
          </cell>
        </row>
        <row r="403">
          <cell r="AB403" t="str">
            <v>1.0mm普通防火板</v>
          </cell>
        </row>
        <row r="404">
          <cell r="AB404" t="str">
            <v>Print724G镜面防火板</v>
          </cell>
        </row>
        <row r="405">
          <cell r="AB405" t="str">
            <v>18mm宝丽板</v>
          </cell>
        </row>
        <row r="406">
          <cell r="AB406" t="str">
            <v>15mm宝丽板</v>
          </cell>
        </row>
        <row r="407">
          <cell r="AB407" t="str">
            <v>9mm宝丽板</v>
          </cell>
        </row>
        <row r="408">
          <cell r="AB408" t="str">
            <v>封边条</v>
          </cell>
        </row>
        <row r="412">
          <cell r="AB412" t="str">
            <v>产品规格</v>
          </cell>
        </row>
        <row r="413">
          <cell r="AB413" t="str">
            <v>T4一体化6W(不带PC罩)</v>
          </cell>
        </row>
        <row r="414">
          <cell r="AB414" t="str">
            <v>T4一体化8W(不带PC罩)</v>
          </cell>
        </row>
        <row r="415">
          <cell r="AB415" t="str">
            <v>T4一体化8W(带PC罩)</v>
          </cell>
        </row>
        <row r="416">
          <cell r="AB416" t="str">
            <v>T4一体化12W(不带PC罩)</v>
          </cell>
        </row>
        <row r="417">
          <cell r="AB417" t="str">
            <v>T4一体化12W(带PC罩)</v>
          </cell>
        </row>
        <row r="418">
          <cell r="AB418" t="str">
            <v>T4一体化16W(不带PC罩)</v>
          </cell>
        </row>
        <row r="419">
          <cell r="AB419" t="str">
            <v>T4一体化16W(带PC罩)</v>
          </cell>
        </row>
        <row r="420">
          <cell r="AB420" t="str">
            <v>T4一体化20W(不带PC罩)</v>
          </cell>
        </row>
        <row r="421">
          <cell r="AB421" t="str">
            <v>T4一体化20W(带PC罩)</v>
          </cell>
        </row>
        <row r="422">
          <cell r="AB422" t="str">
            <v>T4一体化22W(不带PC罩)</v>
          </cell>
        </row>
        <row r="423">
          <cell r="AB423" t="str">
            <v>T4一体化22W(带PC罩)</v>
          </cell>
        </row>
        <row r="424">
          <cell r="AB424" t="str">
            <v>T4一体化24W(不带PC罩)</v>
          </cell>
        </row>
        <row r="425">
          <cell r="AB425" t="str">
            <v>T4一体化24W(带PC罩)</v>
          </cell>
        </row>
        <row r="426">
          <cell r="AB426" t="str">
            <v>T4一体化26W(不带PC罩)</v>
          </cell>
        </row>
        <row r="427">
          <cell r="AB427" t="str">
            <v>T4一体化26W(带PC罩)</v>
          </cell>
        </row>
        <row r="428">
          <cell r="AB428" t="str">
            <v>T4一体化28W(不带PC罩)</v>
          </cell>
        </row>
        <row r="429">
          <cell r="AB429" t="str">
            <v>T4一体化28W(带PC罩)</v>
          </cell>
        </row>
        <row r="430">
          <cell r="AB430" t="str">
            <v>T5一体化4W(不带PC罩)</v>
          </cell>
        </row>
        <row r="431">
          <cell r="AB431" t="str">
            <v>T5一体化4W(带PC罩)</v>
          </cell>
        </row>
        <row r="432">
          <cell r="AB432" t="str">
            <v>T5一体化6W(不带PC罩)</v>
          </cell>
        </row>
        <row r="433">
          <cell r="AB433" t="str">
            <v>T5一体化6W(带PC罩)</v>
          </cell>
        </row>
        <row r="434">
          <cell r="AB434" t="str">
            <v>T5一体化8W(不带PC罩)</v>
          </cell>
        </row>
        <row r="435">
          <cell r="AB435" t="str">
            <v>T5一体化8W(带PC罩)</v>
          </cell>
        </row>
        <row r="436">
          <cell r="AB436" t="str">
            <v>T5一体化12W(不带PC罩)</v>
          </cell>
        </row>
        <row r="437">
          <cell r="AB437" t="str">
            <v>T5一体化12W(带PC罩)</v>
          </cell>
        </row>
        <row r="438">
          <cell r="AB438" t="str">
            <v>T5一体化13W(不带PC罩)</v>
          </cell>
        </row>
        <row r="439">
          <cell r="AB439" t="str">
            <v>T5一体化13W(带PC罩)</v>
          </cell>
        </row>
        <row r="440">
          <cell r="AB440" t="str">
            <v>T5一体化14W(不带PC罩)</v>
          </cell>
        </row>
        <row r="441">
          <cell r="AB441" t="str">
            <v>T5一体化14W(带PC罩)</v>
          </cell>
        </row>
        <row r="442">
          <cell r="AB442" t="str">
            <v>T5一体化21W(不带PC罩)</v>
          </cell>
        </row>
        <row r="443">
          <cell r="AB443" t="str">
            <v>T5一体化21W(带PC罩)</v>
          </cell>
        </row>
        <row r="444">
          <cell r="AB444" t="str">
            <v>T5一体化28W(不带PC罩)</v>
          </cell>
        </row>
        <row r="445">
          <cell r="AB445" t="str">
            <v>T5一体化28W(带PC罩)</v>
          </cell>
        </row>
        <row r="446">
          <cell r="AB446" t="str">
            <v>T5一体化35W(不带PC罩)</v>
          </cell>
        </row>
        <row r="447">
          <cell r="AB447" t="str">
            <v>T5一体化35W(带PC罩)</v>
          </cell>
        </row>
        <row r="450">
          <cell r="AB450" t="str">
            <v>产品                      规格</v>
          </cell>
        </row>
        <row r="451">
          <cell r="AB451" t="str">
            <v>三雄18W（不带支架）</v>
          </cell>
        </row>
        <row r="452">
          <cell r="AB452" t="str">
            <v>三雄18W（带支架）</v>
          </cell>
        </row>
        <row r="453">
          <cell r="AB453" t="str">
            <v>三雄30W（不带支架）</v>
          </cell>
        </row>
        <row r="454">
          <cell r="AB454" t="str">
            <v>三雄30W（带支架）</v>
          </cell>
        </row>
        <row r="455">
          <cell r="AB455" t="str">
            <v>三雄36W（不带支架）</v>
          </cell>
        </row>
        <row r="456">
          <cell r="AB456" t="str">
            <v>三雄36W（带支架）</v>
          </cell>
        </row>
        <row r="457">
          <cell r="AB457" t="str">
            <v>飞利浦20W（不带支架）</v>
          </cell>
        </row>
        <row r="458">
          <cell r="AB458" t="str">
            <v>飞利浦20W（带支架）</v>
          </cell>
        </row>
        <row r="459">
          <cell r="AB459" t="str">
            <v>飞利浦40W（不带支架）</v>
          </cell>
        </row>
        <row r="460">
          <cell r="AB460" t="str">
            <v>飞利浦40W（带支架）</v>
          </cell>
        </row>
        <row r="461">
          <cell r="AB461" t="str">
            <v>T8-32W环形灯管</v>
          </cell>
        </row>
        <row r="464">
          <cell r="AB464" t="str">
            <v>名称</v>
          </cell>
        </row>
        <row r="465">
          <cell r="AB465" t="str">
            <v>松本二三插</v>
          </cell>
        </row>
        <row r="466">
          <cell r="AB466" t="str">
            <v>松本带开关二三插</v>
          </cell>
        </row>
        <row r="467">
          <cell r="AB467" t="str">
            <v>奇胜E30二三插座10A</v>
          </cell>
        </row>
        <row r="468">
          <cell r="AB468" t="str">
            <v>奇胜E30二三插座16A</v>
          </cell>
        </row>
        <row r="469">
          <cell r="AB469" t="str">
            <v xml:space="preserve">TB1503接线端子 </v>
          </cell>
        </row>
        <row r="470">
          <cell r="AB470" t="str">
            <v xml:space="preserve">TB1504接线端子 </v>
          </cell>
        </row>
        <row r="471">
          <cell r="AB471" t="str">
            <v>空气开关</v>
          </cell>
        </row>
        <row r="472">
          <cell r="AB472" t="str">
            <v>梅兰日兰10A漏电开关</v>
          </cell>
        </row>
        <row r="473">
          <cell r="AB473" t="str">
            <v>朗能10A漏电开关</v>
          </cell>
        </row>
        <row r="474">
          <cell r="AB474" t="str">
            <v>朗能15A漏电开关</v>
          </cell>
        </row>
        <row r="475">
          <cell r="AB475" t="str">
            <v>三雄(12V/50W)变压器</v>
          </cell>
        </row>
        <row r="476">
          <cell r="AB476" t="str">
            <v>飞利浦(12V/50W)变压器</v>
          </cell>
        </row>
        <row r="477">
          <cell r="AB477" t="str">
            <v>欧司朗(12V/50W)变压器</v>
          </cell>
        </row>
        <row r="478">
          <cell r="AB478" t="str">
            <v>导电槽变压器DC12V</v>
          </cell>
        </row>
        <row r="479">
          <cell r="AB479" t="str">
            <v>LED灯变压器DC24V</v>
          </cell>
        </row>
        <row r="480">
          <cell r="AB480" t="str">
            <v>灯管码夹</v>
          </cell>
        </row>
        <row r="481">
          <cell r="AB481" t="str">
            <v>一体化光管300MM连接线</v>
          </cell>
        </row>
        <row r="482">
          <cell r="AB482" t="str">
            <v>一体化光管500MM连接线</v>
          </cell>
        </row>
        <row r="483">
          <cell r="AB483" t="str">
            <v>双塑单芯1.5平方米电源线</v>
          </cell>
        </row>
        <row r="484">
          <cell r="AB484" t="str">
            <v>双塑单芯2.5平方米电源线</v>
          </cell>
        </row>
        <row r="485">
          <cell r="AB485" t="str">
            <v>分支电源线</v>
          </cell>
        </row>
        <row r="486">
          <cell r="AB486" t="str">
            <v>软护套线</v>
          </cell>
        </row>
        <row r="487">
          <cell r="AB487" t="str">
            <v>25*15线槽</v>
          </cell>
        </row>
        <row r="488">
          <cell r="AB488" t="str">
            <v>24*14线槽</v>
          </cell>
        </row>
        <row r="489">
          <cell r="AB489" t="str">
            <v>导线槽</v>
          </cell>
        </row>
        <row r="490">
          <cell r="AB490" t="str">
            <v>接线头</v>
          </cell>
        </row>
        <row r="491">
          <cell r="AB491" t="str">
            <v>黑，白三插</v>
          </cell>
        </row>
        <row r="492">
          <cell r="AB492" t="str">
            <v>快速三插</v>
          </cell>
        </row>
        <row r="493">
          <cell r="AB493" t="str">
            <v>一位开关</v>
          </cell>
        </row>
        <row r="494">
          <cell r="AB494" t="str">
            <v>排气扇（80*80）</v>
          </cell>
        </row>
        <row r="495">
          <cell r="AB495" t="str">
            <v>排气扇（40*40）</v>
          </cell>
        </row>
        <row r="496">
          <cell r="AB496" t="str">
            <v>四口3C认证电脑插板</v>
          </cell>
        </row>
        <row r="497">
          <cell r="AB497" t="str">
            <v>六口3C认证电脑插板</v>
          </cell>
        </row>
        <row r="498">
          <cell r="AB498" t="str">
            <v>三节导轨</v>
          </cell>
        </row>
        <row r="499">
          <cell r="AB499" t="str">
            <v>两节导轨</v>
          </cell>
        </row>
        <row r="500">
          <cell r="AB500" t="str">
            <v>方灯头LED灯（带槽）</v>
          </cell>
        </row>
        <row r="501">
          <cell r="AB501" t="str">
            <v>双光线LED灯（不带槽）</v>
          </cell>
        </row>
        <row r="502">
          <cell r="AB502" t="str">
            <v>带管套LED灯</v>
          </cell>
        </row>
        <row r="503">
          <cell r="AB503" t="str">
            <v>方灯头LED软灯带</v>
          </cell>
        </row>
        <row r="504">
          <cell r="AB504" t="str">
            <v>LED灯带接线头</v>
          </cell>
        </row>
        <row r="505">
          <cell r="AB505" t="str">
            <v>LED灯变压器</v>
          </cell>
        </row>
        <row r="506">
          <cell r="AB506" t="str">
            <v>射灯</v>
          </cell>
        </row>
        <row r="507">
          <cell r="AB507" t="str">
            <v>平顶射灯</v>
          </cell>
        </row>
        <row r="508">
          <cell r="AB508" t="str">
            <v>射灯变压器</v>
          </cell>
        </row>
        <row r="511">
          <cell r="AB511" t="str">
            <v>材料名称</v>
          </cell>
        </row>
        <row r="512">
          <cell r="AB512" t="str">
            <v>木表面喷漆</v>
          </cell>
        </row>
        <row r="513">
          <cell r="AB513" t="str">
            <v>喷聚酯亮光漆</v>
          </cell>
        </row>
        <row r="514">
          <cell r="AB514" t="str">
            <v>PVC喷漆</v>
          </cell>
        </row>
        <row r="515">
          <cell r="AB515" t="str">
            <v>防火漆</v>
          </cell>
        </row>
        <row r="516">
          <cell r="AB516" t="str">
            <v>镀铬</v>
          </cell>
        </row>
        <row r="517">
          <cell r="AB517" t="str">
            <v>背胶喷画(单面\背胶)</v>
          </cell>
        </row>
        <row r="518">
          <cell r="AB518" t="str">
            <v>灯箱片</v>
          </cell>
        </row>
        <row r="519">
          <cell r="AB519" t="str">
            <v>丝网印刷</v>
          </cell>
        </row>
        <row r="520">
          <cell r="AB520" t="str">
            <v>金属面喷塑</v>
          </cell>
        </row>
        <row r="521">
          <cell r="AB521" t="str">
            <v>金属面喷漆</v>
          </cell>
        </row>
        <row r="522">
          <cell r="AB522" t="str">
            <v>反裱和半透喷画</v>
          </cell>
        </row>
        <row r="523">
          <cell r="AB523" t="str">
            <v>金属挂钩喷漆</v>
          </cell>
        </row>
        <row r="524">
          <cell r="AB524" t="str">
            <v>丝网印刷制版费</v>
          </cell>
        </row>
        <row r="525">
          <cell r="AB525" t="str">
            <v>魔术贴</v>
          </cell>
        </row>
        <row r="526">
          <cell r="AB526" t="str">
            <v>3M胶粒</v>
          </cell>
        </row>
        <row r="527">
          <cell r="AB527" t="str">
            <v>3M双面胶</v>
          </cell>
        </row>
        <row r="528">
          <cell r="AB528" t="str">
            <v>普通双面胶</v>
          </cell>
        </row>
        <row r="529">
          <cell r="AB529" t="str">
            <v>海绵胶</v>
          </cell>
        </row>
        <row r="530">
          <cell r="AB530" t="str">
            <v>不干胶</v>
          </cell>
        </row>
        <row r="531">
          <cell r="AB531" t="str">
            <v>防盗器</v>
          </cell>
        </row>
        <row r="532">
          <cell r="AB532" t="str">
            <v>Ø30防盗圈</v>
          </cell>
        </row>
        <row r="533">
          <cell r="AB533" t="str">
            <v>Ø35防盗圈</v>
          </cell>
        </row>
        <row r="534">
          <cell r="AB534" t="str">
            <v>Ø40防盗圈</v>
          </cell>
        </row>
        <row r="535">
          <cell r="AB535" t="str">
            <v>合页</v>
          </cell>
        </row>
        <row r="536">
          <cell r="AB536" t="str">
            <v>不锈钢机械锁</v>
          </cell>
        </row>
        <row r="537">
          <cell r="AB537" t="str">
            <v>抽屉锁</v>
          </cell>
        </row>
        <row r="538">
          <cell r="AB538" t="str">
            <v>铜插销</v>
          </cell>
        </row>
        <row r="539">
          <cell r="AB539" t="str">
            <v>磁铁条</v>
          </cell>
        </row>
        <row r="540">
          <cell r="AB540" t="str">
            <v>磁铁</v>
          </cell>
        </row>
        <row r="541">
          <cell r="AB541" t="str">
            <v>排铰</v>
          </cell>
        </row>
        <row r="542">
          <cell r="AB542" t="str">
            <v>烟斗铰</v>
          </cell>
        </row>
        <row r="543">
          <cell r="AB543" t="str">
            <v>门拉手</v>
          </cell>
        </row>
        <row r="544">
          <cell r="AB544" t="str">
            <v>酒杯脚</v>
          </cell>
        </row>
        <row r="545">
          <cell r="AB545" t="str">
            <v>外包装纸箱</v>
          </cell>
        </row>
        <row r="546">
          <cell r="AB546" t="str">
            <v>包装填充物</v>
          </cell>
        </row>
        <row r="549">
          <cell r="AB549" t="str">
            <v>材料名称</v>
          </cell>
        </row>
        <row r="550">
          <cell r="AB550" t="str">
            <v>AA柱配套一字挂臂15CM</v>
          </cell>
        </row>
        <row r="551">
          <cell r="AB551" t="str">
            <v>AA柱配套一字挂臂16CM</v>
          </cell>
        </row>
        <row r="552">
          <cell r="AB552" t="str">
            <v>AA柱配套一字挂臂20CM</v>
          </cell>
        </row>
        <row r="553">
          <cell r="AB553" t="str">
            <v>AA柱配套一字挂臂25CM</v>
          </cell>
        </row>
        <row r="554">
          <cell r="AB554" t="str">
            <v>AA柱配套一字挂臂30CM</v>
          </cell>
        </row>
        <row r="555">
          <cell r="AB555" t="str">
            <v>大铝条</v>
          </cell>
        </row>
        <row r="556">
          <cell r="AB556" t="str">
            <v>小铝条</v>
          </cell>
        </row>
        <row r="557">
          <cell r="AB557" t="str">
            <v>L型铝条</v>
          </cell>
        </row>
        <row r="558">
          <cell r="AB558" t="str">
            <v>管塞</v>
          </cell>
        </row>
        <row r="559">
          <cell r="AB559" t="str">
            <v>不锈钢透气盖</v>
          </cell>
        </row>
        <row r="560">
          <cell r="AB560" t="str">
            <v>塑料钩座</v>
          </cell>
        </row>
        <row r="561">
          <cell r="AB561" t="str">
            <v>广告钉</v>
          </cell>
        </row>
        <row r="562">
          <cell r="AB562" t="str">
            <v>镜钉</v>
          </cell>
        </row>
        <row r="563">
          <cell r="AB563" t="str">
            <v>装饰螺丝</v>
          </cell>
        </row>
      </sheetData>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 Standard Quotation Header"/>
      <sheetName val="Quotation Details"/>
      <sheetName val="Sheet2"/>
      <sheetName val="Sheet3"/>
      <sheetName val="计划公式"/>
    </sheetNames>
    <sheetDataSet>
      <sheetData sheetId="0" refreshError="1"/>
      <sheetData sheetId="1" refreshError="1"/>
      <sheetData sheetId="2">
        <row r="90">
          <cell r="AB90" t="str">
            <v>30*30方管（冷管）</v>
          </cell>
        </row>
        <row r="91">
          <cell r="AB91" t="str">
            <v>30*30方管（热管）</v>
          </cell>
        </row>
        <row r="92">
          <cell r="AB92" t="str">
            <v>25*25方管（冷管）</v>
          </cell>
        </row>
        <row r="93">
          <cell r="AB93" t="str">
            <v>25*25方管（热管）</v>
          </cell>
        </row>
        <row r="94">
          <cell r="AB94" t="str">
            <v>22*22方管（冷管）</v>
          </cell>
        </row>
        <row r="95">
          <cell r="AB95" t="str">
            <v>22*22方管（热管）</v>
          </cell>
        </row>
        <row r="96">
          <cell r="AB96" t="str">
            <v>20*20方管（冷管）</v>
          </cell>
        </row>
        <row r="97">
          <cell r="AB97" t="str">
            <v>20*20方管（热管）</v>
          </cell>
        </row>
        <row r="98">
          <cell r="AB98" t="str">
            <v>19*19方管（冷管）</v>
          </cell>
        </row>
        <row r="99">
          <cell r="AB99" t="str">
            <v>19*19方管（热管）</v>
          </cell>
        </row>
        <row r="100">
          <cell r="AB100" t="str">
            <v>16*16方管（冷管）</v>
          </cell>
        </row>
        <row r="101">
          <cell r="AB101" t="str">
            <v>16*16方管（热管）</v>
          </cell>
        </row>
        <row r="102">
          <cell r="AB102" t="str">
            <v>15*15方管（冷管）</v>
          </cell>
        </row>
        <row r="103">
          <cell r="AB103" t="str">
            <v>15*15方管（热管）</v>
          </cell>
        </row>
        <row r="104">
          <cell r="AB104" t="str">
            <v>13*13方管（冷管）</v>
          </cell>
        </row>
        <row r="105">
          <cell r="AB105" t="str">
            <v>13*13方管（热管）</v>
          </cell>
        </row>
        <row r="106">
          <cell r="AB106" t="str">
            <v>10*10方管（冷管）</v>
          </cell>
        </row>
        <row r="107">
          <cell r="AB107" t="str">
            <v>10*10方管（热管）</v>
          </cell>
        </row>
        <row r="108">
          <cell r="AB108" t="str">
            <v>15*25扁管（冷管）</v>
          </cell>
        </row>
        <row r="109">
          <cell r="AB109" t="str">
            <v>15*25扁管（热管）</v>
          </cell>
        </row>
        <row r="110">
          <cell r="AB110" t="str">
            <v>25*50扁管（冷管）</v>
          </cell>
        </row>
        <row r="111">
          <cell r="AB111" t="str">
            <v>25*50扁管（热管）</v>
          </cell>
        </row>
        <row r="112">
          <cell r="AB112" t="str">
            <v>20*40扁管（冷管）</v>
          </cell>
        </row>
        <row r="113">
          <cell r="AB113" t="str">
            <v>20*40扁管（热管）</v>
          </cell>
        </row>
        <row r="114">
          <cell r="AB114" t="str">
            <v>15*30扁管（冷管）</v>
          </cell>
        </row>
        <row r="115">
          <cell r="AB115" t="str">
            <v>15*30扁管（热管）</v>
          </cell>
        </row>
        <row r="116">
          <cell r="AB116" t="str">
            <v>10*20扁管（冷管）</v>
          </cell>
        </row>
        <row r="117">
          <cell r="AB117" t="str">
            <v>10*20扁管（热管）</v>
          </cell>
        </row>
        <row r="118">
          <cell r="AB118" t="str">
            <v>Φ60圆管（冷管）</v>
          </cell>
        </row>
        <row r="119">
          <cell r="AB119" t="str">
            <v>Φ60圆管（热管）</v>
          </cell>
        </row>
        <row r="120">
          <cell r="AB120" t="str">
            <v>Φ25圆管（冷管）</v>
          </cell>
        </row>
        <row r="121">
          <cell r="AB121" t="str">
            <v>Φ25圆管（热管）</v>
          </cell>
        </row>
        <row r="122">
          <cell r="AB122" t="str">
            <v>Φ22圆管（冷管）</v>
          </cell>
        </row>
        <row r="123">
          <cell r="AB123" t="str">
            <v>Φ22圆管（热管）</v>
          </cell>
        </row>
        <row r="124">
          <cell r="AB124" t="str">
            <v>Φ20圆管（冷管）</v>
          </cell>
        </row>
        <row r="125">
          <cell r="AB125" t="str">
            <v>Φ20圆管（热管）</v>
          </cell>
        </row>
        <row r="126">
          <cell r="AB126" t="str">
            <v>Φ19圆管（冷管）</v>
          </cell>
        </row>
        <row r="127">
          <cell r="AB127" t="str">
            <v>Φ19圆管（热管）</v>
          </cell>
        </row>
        <row r="128">
          <cell r="AB128" t="str">
            <v>Φ16圆管（冷管）</v>
          </cell>
        </row>
        <row r="129">
          <cell r="AB129" t="str">
            <v>Φ16圆管（热管）</v>
          </cell>
        </row>
        <row r="130">
          <cell r="AB130" t="str">
            <v>Φ14圆管（冷管）</v>
          </cell>
        </row>
        <row r="131">
          <cell r="AB131" t="str">
            <v>Φ14圆管（热管）</v>
          </cell>
        </row>
        <row r="132">
          <cell r="AB132" t="str">
            <v>Φ13圆管（冷管）</v>
          </cell>
        </row>
        <row r="133">
          <cell r="AB133" t="str">
            <v>Φ13圆管（热管）</v>
          </cell>
        </row>
        <row r="134">
          <cell r="AB134" t="str">
            <v>Φ12圆管（冷管）</v>
          </cell>
        </row>
        <row r="135">
          <cell r="AB135" t="str">
            <v>Φ12圆管（热管）</v>
          </cell>
        </row>
        <row r="136">
          <cell r="AB136" t="str">
            <v>Φ10圆管（冷管）</v>
          </cell>
        </row>
        <row r="137">
          <cell r="AB137" t="str">
            <v>Φ10圆管（热管）</v>
          </cell>
        </row>
        <row r="138">
          <cell r="AB138" t="str">
            <v>Φ8冷拉丝</v>
          </cell>
        </row>
        <row r="139">
          <cell r="AB139" t="str">
            <v>Φ6冷拉丝</v>
          </cell>
        </row>
        <row r="140">
          <cell r="AB140" t="str">
            <v>Φ5冷拉丝</v>
          </cell>
        </row>
        <row r="141">
          <cell r="AB141" t="str">
            <v>Φ4冷拉丝</v>
          </cell>
        </row>
        <row r="142">
          <cell r="AB142" t="str">
            <v>Φ3冷拉丝</v>
          </cell>
        </row>
        <row r="143">
          <cell r="AB143" t="str">
            <v>25*25AA槽</v>
          </cell>
        </row>
        <row r="144">
          <cell r="AB144" t="str">
            <v>13*13 不锈钢管</v>
          </cell>
        </row>
        <row r="145">
          <cell r="AB145" t="str">
            <v>12*12不锈钢管</v>
          </cell>
        </row>
        <row r="146">
          <cell r="AB146" t="str">
            <v>16*16不锈钢管</v>
          </cell>
        </row>
        <row r="147">
          <cell r="AB147" t="str">
            <v>10*20不锈钢管</v>
          </cell>
        </row>
        <row r="148">
          <cell r="AB148" t="str">
            <v>Φ19不锈钢圆管</v>
          </cell>
        </row>
        <row r="149">
          <cell r="AB149" t="str">
            <v>Φ16不锈钢圆管</v>
          </cell>
        </row>
        <row r="150">
          <cell r="AB150" t="str">
            <v>Φ15不锈钢圆管</v>
          </cell>
        </row>
        <row r="151">
          <cell r="AB151" t="str">
            <v>Φ8不锈钢圆管</v>
          </cell>
        </row>
        <row r="152">
          <cell r="AB152" t="str">
            <v>Φ6不锈钢圆管</v>
          </cell>
        </row>
        <row r="153">
          <cell r="AB153" t="str">
            <v>3.0mm冷板</v>
          </cell>
        </row>
        <row r="154">
          <cell r="AB154" t="str">
            <v>2.0mm冷板</v>
          </cell>
        </row>
        <row r="155">
          <cell r="AB155" t="str">
            <v>1.5mm冷板</v>
          </cell>
        </row>
        <row r="156">
          <cell r="AB156" t="str">
            <v>1.2mm冷板</v>
          </cell>
        </row>
        <row r="157">
          <cell r="AB157" t="str">
            <v>1.0mm冷板</v>
          </cell>
        </row>
        <row r="158">
          <cell r="AB158" t="str">
            <v>0.5mm冷板</v>
          </cell>
        </row>
        <row r="159">
          <cell r="AB159" t="str">
            <v>1.2mm冲孔板</v>
          </cell>
        </row>
        <row r="160">
          <cell r="AB160" t="str">
            <v>1.0mm冲孔板</v>
          </cell>
        </row>
        <row r="161">
          <cell r="AB161" t="str">
            <v>0.6mm冲孔板</v>
          </cell>
        </row>
        <row r="162">
          <cell r="AB162" t="str">
            <v>2.0mm不锈钢板</v>
          </cell>
        </row>
        <row r="163">
          <cell r="AB163" t="str">
            <v>1.5mm不锈钢板</v>
          </cell>
        </row>
        <row r="164">
          <cell r="AB164" t="str">
            <v>1.0mm不锈钢板</v>
          </cell>
        </row>
        <row r="165">
          <cell r="AB165" t="str">
            <v>0.5mm不锈钢板</v>
          </cell>
        </row>
        <row r="166">
          <cell r="AB166" t="str">
            <v>1.5mm镜面不锈钢</v>
          </cell>
        </row>
        <row r="167">
          <cell r="AB167" t="str">
            <v>1.0mm镜面不锈钢</v>
          </cell>
        </row>
        <row r="170">
          <cell r="AB170" t="str">
            <v>材料名称</v>
          </cell>
        </row>
        <row r="171">
          <cell r="AB171" t="str">
            <v>Φ200PVC管（国产）</v>
          </cell>
        </row>
        <row r="172">
          <cell r="AB172" t="str">
            <v>Φ200PVC管（进口）</v>
          </cell>
        </row>
        <row r="173">
          <cell r="AB173" t="str">
            <v>Φ180PVC管（国产）</v>
          </cell>
        </row>
        <row r="174">
          <cell r="AB174" t="str">
            <v>Φ180PVC管（进口）</v>
          </cell>
        </row>
        <row r="175">
          <cell r="AB175" t="str">
            <v>Φ160PVC管（国产）</v>
          </cell>
        </row>
        <row r="176">
          <cell r="AB176" t="str">
            <v>Φ160PVC管（进口）</v>
          </cell>
        </row>
        <row r="177">
          <cell r="AB177" t="str">
            <v>Φ110PVC管（国产）</v>
          </cell>
        </row>
        <row r="178">
          <cell r="AB178" t="str">
            <v>Φ110PVC管（进口）</v>
          </cell>
        </row>
        <row r="179">
          <cell r="AB179" t="str">
            <v>Φ75 PVC管（国产）</v>
          </cell>
        </row>
        <row r="180">
          <cell r="AB180" t="str">
            <v>Φ75 PVC管（进口）</v>
          </cell>
        </row>
        <row r="181">
          <cell r="AB181" t="str">
            <v>直径32奶白/白色PVC管（国产）</v>
          </cell>
        </row>
        <row r="182">
          <cell r="AB182" t="str">
            <v>直径32奶白/白色PVC管（进口）</v>
          </cell>
        </row>
        <row r="183">
          <cell r="AB183" t="str">
            <v>直径28奶白/白色PVC管（国产）</v>
          </cell>
        </row>
        <row r="184">
          <cell r="AB184" t="str">
            <v>直径28奶白/白色PVC管（进口）</v>
          </cell>
        </row>
        <row r="185">
          <cell r="AB185" t="str">
            <v>直径25奶白/白色PVC管（国产）</v>
          </cell>
        </row>
        <row r="186">
          <cell r="AB186" t="str">
            <v>直径25奶白/白色PVC管（进口）</v>
          </cell>
        </row>
        <row r="187">
          <cell r="AB187" t="str">
            <v>1.0mm瓷白PVC（国产）</v>
          </cell>
        </row>
        <row r="188">
          <cell r="AB188" t="str">
            <v>1.5mm瓷白PVC（国产）</v>
          </cell>
        </row>
        <row r="189">
          <cell r="AB189" t="str">
            <v>2.0mm瓷白PVC（国产）</v>
          </cell>
        </row>
        <row r="190">
          <cell r="AB190" t="str">
            <v>3.0mm瓷白PVC（国产）</v>
          </cell>
        </row>
        <row r="191">
          <cell r="AB191" t="str">
            <v>4.0mm瓷白PVC（国产）</v>
          </cell>
        </row>
        <row r="192">
          <cell r="AB192" t="str">
            <v>5.0mm瓷白PVC（国产）</v>
          </cell>
        </row>
        <row r="193">
          <cell r="AB193" t="str">
            <v>1.0mm瓷白PVC（进口）</v>
          </cell>
        </row>
        <row r="194">
          <cell r="AB194" t="str">
            <v>1.5mm瓷白PVC（进口）</v>
          </cell>
        </row>
        <row r="195">
          <cell r="AB195" t="str">
            <v>2.0mm瓷白PVC（进口）</v>
          </cell>
        </row>
        <row r="196">
          <cell r="AB196" t="str">
            <v>3.0mm瓷白PVC（进口）</v>
          </cell>
        </row>
        <row r="197">
          <cell r="AB197" t="str">
            <v>4.0mm瓷白PVC（进口）</v>
          </cell>
        </row>
        <row r="198">
          <cell r="AB198" t="str">
            <v>5.0mm瓷白PVC（进口）</v>
          </cell>
        </row>
        <row r="199">
          <cell r="AB199" t="str">
            <v>0.3mm瓷白PVC（国产）</v>
          </cell>
        </row>
        <row r="200">
          <cell r="AB200" t="str">
            <v>0.5mm瓷白PVC（国产）</v>
          </cell>
        </row>
        <row r="201">
          <cell r="AB201" t="str">
            <v>0.8mm瓷白PVC（国产）</v>
          </cell>
        </row>
        <row r="202">
          <cell r="AB202" t="str">
            <v>0.3mm瓷白PVC（进口）</v>
          </cell>
        </row>
        <row r="203">
          <cell r="AB203" t="str">
            <v>0.5mm瓷白PVC（进口）</v>
          </cell>
        </row>
        <row r="204">
          <cell r="AB204" t="str">
            <v>0.8mm瓷白PVC（进口）</v>
          </cell>
        </row>
        <row r="205">
          <cell r="AB205" t="str">
            <v>三角骨补条</v>
          </cell>
        </row>
        <row r="206">
          <cell r="AB206" t="str">
            <v>Φ100透明有机圆管（国产）</v>
          </cell>
        </row>
        <row r="207">
          <cell r="AB207" t="str">
            <v>Φ100透明有机圆管（进口）</v>
          </cell>
        </row>
        <row r="208">
          <cell r="AB208" t="str">
            <v>Φ4有机棒</v>
          </cell>
        </row>
        <row r="209">
          <cell r="AB209" t="str">
            <v>Φ5有机棒</v>
          </cell>
        </row>
        <row r="210">
          <cell r="AB210" t="str">
            <v>Φ8有机棒</v>
          </cell>
        </row>
        <row r="211">
          <cell r="AB211" t="str">
            <v>Φ10有机棒</v>
          </cell>
        </row>
        <row r="212">
          <cell r="AB212" t="str">
            <v>Φ15有机棒</v>
          </cell>
        </row>
        <row r="213">
          <cell r="AB213" t="str">
            <v>Φ20有机棒</v>
          </cell>
        </row>
        <row r="214">
          <cell r="AB214" t="str">
            <v>Φ30有机棒</v>
          </cell>
        </row>
        <row r="215">
          <cell r="AB215" t="str">
            <v>1.5mm奶白/瓷白片（国产）</v>
          </cell>
        </row>
        <row r="216">
          <cell r="AB216" t="str">
            <v>1.5mm奶白/瓷白片（进口）</v>
          </cell>
        </row>
        <row r="217">
          <cell r="AB217" t="str">
            <v>2.0mm奶白/瓷白片（国产）</v>
          </cell>
        </row>
        <row r="218">
          <cell r="AB218" t="str">
            <v>2.0mm奶白/瓷白片（进口）</v>
          </cell>
        </row>
        <row r="219">
          <cell r="AB219" t="str">
            <v>2.5mm奶白/瓷白片（国产）</v>
          </cell>
        </row>
        <row r="220">
          <cell r="AB220" t="str">
            <v>2.5mm奶白/瓷白片（进口）</v>
          </cell>
        </row>
        <row r="221">
          <cell r="AB221" t="str">
            <v>3.0mm奶白/瓷白片（国产）</v>
          </cell>
        </row>
        <row r="222">
          <cell r="AB222" t="str">
            <v>3.0mm奶白/瓷白片（进口）</v>
          </cell>
        </row>
        <row r="223">
          <cell r="AB223" t="str">
            <v>4.0mm奶白/瓷白片（国产）</v>
          </cell>
        </row>
        <row r="224">
          <cell r="AB224" t="str">
            <v>4.0mm奶白/瓷白片（进口）</v>
          </cell>
        </row>
        <row r="225">
          <cell r="AB225" t="str">
            <v>5.0mm奶白/瓷白片（国产）</v>
          </cell>
        </row>
        <row r="226">
          <cell r="AB226" t="str">
            <v>5.0mm奶白/瓷白片（进口）</v>
          </cell>
        </row>
        <row r="227">
          <cell r="AB227" t="str">
            <v>6.0mm奶白/瓷白片（国产）</v>
          </cell>
        </row>
        <row r="228">
          <cell r="AB228" t="str">
            <v>6.0mm奶白/瓷白片（进口）</v>
          </cell>
        </row>
        <row r="229">
          <cell r="AB229" t="str">
            <v>8.0mm奶白/瓷白片（国产）</v>
          </cell>
        </row>
        <row r="230">
          <cell r="AB230" t="str">
            <v>8.0mm奶白/瓷白片（进口）</v>
          </cell>
        </row>
        <row r="231">
          <cell r="AB231" t="str">
            <v>9.0mm奶白/瓷白片（国产）</v>
          </cell>
        </row>
        <row r="232">
          <cell r="AB232" t="str">
            <v>9.0mm奶白/瓷白片（进口）</v>
          </cell>
        </row>
        <row r="233">
          <cell r="AB233" t="str">
            <v>10.0mm奶白/瓷白片（国产）</v>
          </cell>
        </row>
        <row r="234">
          <cell r="AB234" t="str">
            <v>10.0mm奶白/瓷白片（进口）</v>
          </cell>
        </row>
        <row r="235">
          <cell r="AB235" t="str">
            <v>1.5mm透明有机片（国产）</v>
          </cell>
        </row>
        <row r="236">
          <cell r="AB236" t="str">
            <v>1.5mm透明有机片（进口）</v>
          </cell>
        </row>
        <row r="237">
          <cell r="AB237" t="str">
            <v>2.0mm透明有机片（国产）</v>
          </cell>
        </row>
        <row r="238">
          <cell r="AB238" t="str">
            <v>2.0mm透明有机片（进口）</v>
          </cell>
        </row>
        <row r="239">
          <cell r="AB239" t="str">
            <v>2.5mm透明有机片（国产）</v>
          </cell>
        </row>
        <row r="240">
          <cell r="AB240" t="str">
            <v>2.5mm透明有机片（进口）</v>
          </cell>
        </row>
        <row r="241">
          <cell r="AB241" t="str">
            <v>3.0mm透明有机片（国产）</v>
          </cell>
        </row>
        <row r="242">
          <cell r="AB242" t="str">
            <v>3.0mm透明有机片（进口）</v>
          </cell>
        </row>
        <row r="243">
          <cell r="AB243" t="str">
            <v>4.0mm透明有机片（国产）</v>
          </cell>
        </row>
        <row r="244">
          <cell r="AB244" t="str">
            <v>4.0mm透明有机片（进口）</v>
          </cell>
        </row>
        <row r="245">
          <cell r="AB245" t="str">
            <v>5.0mm透明有机片（国产）</v>
          </cell>
        </row>
        <row r="246">
          <cell r="AB246" t="str">
            <v>5.0mm透明有机片（进口）</v>
          </cell>
        </row>
        <row r="247">
          <cell r="AB247" t="str">
            <v>6.0mm透明有机片（国产）</v>
          </cell>
        </row>
        <row r="248">
          <cell r="AB248" t="str">
            <v>6.0mm透明有机片（进口）</v>
          </cell>
        </row>
        <row r="249">
          <cell r="AB249" t="str">
            <v>8.0mm透明有机片（国产）</v>
          </cell>
        </row>
        <row r="250">
          <cell r="AB250" t="str">
            <v>8.0mm透明有机片（进口）</v>
          </cell>
        </row>
        <row r="251">
          <cell r="AB251" t="str">
            <v>10.0mm透明有机片（国产）</v>
          </cell>
        </row>
        <row r="252">
          <cell r="AB252" t="str">
            <v>10.0mm透明有机片（进口）</v>
          </cell>
        </row>
        <row r="253">
          <cell r="AB253" t="str">
            <v>11.0mm透明有机片（国产）</v>
          </cell>
        </row>
        <row r="254">
          <cell r="AB254" t="str">
            <v>11.0mm透明有机片（进口）</v>
          </cell>
        </row>
        <row r="255">
          <cell r="AB255" t="str">
            <v>12.0mm透明有机片（国产）</v>
          </cell>
        </row>
        <row r="256">
          <cell r="AB256" t="str">
            <v>12.0mm透明有机片（进口）</v>
          </cell>
        </row>
        <row r="257">
          <cell r="AB257" t="str">
            <v>13.0mm透明有机片（国产）</v>
          </cell>
        </row>
        <row r="258">
          <cell r="AB258" t="str">
            <v>13.0mm透明有机片（进口）</v>
          </cell>
        </row>
        <row r="259">
          <cell r="AB259" t="str">
            <v>14.0mm透明有机片（国产）</v>
          </cell>
        </row>
        <row r="260">
          <cell r="AB260" t="str">
            <v>14.0mm透明有机片（进口）</v>
          </cell>
        </row>
        <row r="261">
          <cell r="AB261" t="str">
            <v>15.0mm透明有机片（国产）</v>
          </cell>
        </row>
        <row r="262">
          <cell r="AB262" t="str">
            <v>15.0mm透明有机片（进口）</v>
          </cell>
        </row>
        <row r="263">
          <cell r="AB263" t="str">
            <v>16.0mm透明有机片（国产）</v>
          </cell>
        </row>
        <row r="264">
          <cell r="AB264" t="str">
            <v>16.0mm透明有机片（进口）</v>
          </cell>
        </row>
        <row r="265">
          <cell r="AB265" t="str">
            <v>18.0mm透明有机片（国产）</v>
          </cell>
        </row>
        <row r="266">
          <cell r="AB266" t="str">
            <v>18.0mm透明有机片（进口）</v>
          </cell>
        </row>
        <row r="267">
          <cell r="AB267" t="str">
            <v>20.0mm透明有机片（国产）</v>
          </cell>
        </row>
        <row r="268">
          <cell r="AB268" t="str">
            <v>20.0mm透明有机片（进口）</v>
          </cell>
        </row>
        <row r="269">
          <cell r="AB269" t="str">
            <v>1.5mm透明有色片（国产）</v>
          </cell>
        </row>
        <row r="270">
          <cell r="AB270" t="str">
            <v>1.5mm透明有色片（进口）</v>
          </cell>
        </row>
        <row r="271">
          <cell r="AB271" t="str">
            <v>2.0mm透明有色片（国产）</v>
          </cell>
        </row>
        <row r="272">
          <cell r="AB272" t="str">
            <v>2.0mm透明有色片（进口）</v>
          </cell>
        </row>
        <row r="273">
          <cell r="AB273" t="str">
            <v>2.5mm透明有色片（国产）</v>
          </cell>
        </row>
        <row r="274">
          <cell r="AB274" t="str">
            <v>2.5mm透明有色片（进口）</v>
          </cell>
        </row>
        <row r="275">
          <cell r="AB275" t="str">
            <v>3.0mm透明有色片（国产）</v>
          </cell>
        </row>
        <row r="276">
          <cell r="AB276" t="str">
            <v>3.0mm透明有色片（进口）</v>
          </cell>
        </row>
        <row r="277">
          <cell r="AB277" t="str">
            <v>4.0mm透明有色片（国产）</v>
          </cell>
        </row>
        <row r="278">
          <cell r="AB278" t="str">
            <v>4.0mm透明有色片（进口）</v>
          </cell>
        </row>
        <row r="279">
          <cell r="AB279" t="str">
            <v>5.0mm透明有色片（国产）</v>
          </cell>
        </row>
        <row r="280">
          <cell r="AB280" t="str">
            <v>5.0mm透明有色片（进口）</v>
          </cell>
        </row>
        <row r="281">
          <cell r="AB281" t="str">
            <v>6.0mm透明有色片（国产）</v>
          </cell>
        </row>
        <row r="282">
          <cell r="AB282" t="str">
            <v>6.0mm透明有色片（进口）</v>
          </cell>
        </row>
        <row r="283">
          <cell r="AB283" t="str">
            <v>8.0mm透明有色片（国产）</v>
          </cell>
        </row>
        <row r="284">
          <cell r="AB284" t="str">
            <v>8.0mm透明有色片（进口）</v>
          </cell>
        </row>
        <row r="285">
          <cell r="AB285" t="str">
            <v>10.0mm透明有色片（国产）</v>
          </cell>
        </row>
        <row r="286">
          <cell r="AB286" t="str">
            <v>10.0mm透明有色片（进口）</v>
          </cell>
        </row>
        <row r="287">
          <cell r="AB287" t="str">
            <v>1.5mm透明磨沙片（国产）</v>
          </cell>
        </row>
        <row r="288">
          <cell r="AB288" t="str">
            <v>1.5mm透明磨沙片（进口）</v>
          </cell>
        </row>
        <row r="289">
          <cell r="AB289" t="str">
            <v>2.0mm透明磨沙片（国产）</v>
          </cell>
        </row>
        <row r="290">
          <cell r="AB290" t="str">
            <v>2.0mm透明磨沙片（进口）</v>
          </cell>
        </row>
        <row r="291">
          <cell r="AB291" t="str">
            <v>2.5mm透明磨沙片（国产）</v>
          </cell>
        </row>
        <row r="292">
          <cell r="AB292" t="str">
            <v>2.5mm透明磨沙片（进口）</v>
          </cell>
        </row>
        <row r="293">
          <cell r="AB293" t="str">
            <v>3.0mm透明磨沙片（国产）</v>
          </cell>
        </row>
        <row r="294">
          <cell r="AB294" t="str">
            <v>3.0mm透明磨沙片（进口）</v>
          </cell>
        </row>
        <row r="295">
          <cell r="AB295" t="str">
            <v>4.0mm透明磨沙片（国产）</v>
          </cell>
        </row>
        <row r="296">
          <cell r="AB296" t="str">
            <v>4.0mm透明磨沙片（进口）</v>
          </cell>
        </row>
        <row r="297">
          <cell r="AB297" t="str">
            <v>5.0mm透明磨沙片（国产）</v>
          </cell>
        </row>
        <row r="298">
          <cell r="AB298" t="str">
            <v>5.0mm透明磨沙片（进口）</v>
          </cell>
        </row>
        <row r="299">
          <cell r="AB299" t="str">
            <v>6.0mm透明磨沙片（国产）</v>
          </cell>
        </row>
        <row r="300">
          <cell r="AB300" t="str">
            <v>6.0mm透明磨沙片（进口）</v>
          </cell>
        </row>
        <row r="301">
          <cell r="AB301" t="str">
            <v>8.0mm透明磨沙片（国产）</v>
          </cell>
        </row>
        <row r="302">
          <cell r="AB302" t="str">
            <v>8.0mm透明磨沙片（进口）</v>
          </cell>
        </row>
        <row r="303">
          <cell r="AB303" t="str">
            <v>10.0mm透明磨沙片（国产）</v>
          </cell>
        </row>
        <row r="304">
          <cell r="AB304" t="str">
            <v>10.0mm透明磨沙片（进口）</v>
          </cell>
        </row>
        <row r="305">
          <cell r="AB305" t="str">
            <v>2.0mm白色PP（国产）</v>
          </cell>
        </row>
        <row r="306">
          <cell r="AB306" t="str">
            <v>2.0mm白色PP（进口）</v>
          </cell>
        </row>
        <row r="307">
          <cell r="AB307" t="str">
            <v>3.0mm白色PP（国产）</v>
          </cell>
        </row>
        <row r="308">
          <cell r="AB308" t="str">
            <v>3.0mm白色PP（进口）</v>
          </cell>
        </row>
        <row r="309">
          <cell r="AB309" t="str">
            <v>0.3mm白色/透明PET（国产）</v>
          </cell>
        </row>
        <row r="310">
          <cell r="AB310" t="str">
            <v>0.3mm白色/透明PET（进口）</v>
          </cell>
        </row>
        <row r="311">
          <cell r="AB311" t="str">
            <v>0.5mm白色/透明PET（国产）</v>
          </cell>
        </row>
        <row r="312">
          <cell r="AB312" t="str">
            <v>0.5mm白色/透明PET（进口）</v>
          </cell>
        </row>
        <row r="313">
          <cell r="AB313" t="str">
            <v>0.8mm白色/透明PET（国产）</v>
          </cell>
        </row>
        <row r="314">
          <cell r="AB314" t="str">
            <v>0.8mm白色/透明PET（进口）</v>
          </cell>
        </row>
        <row r="315">
          <cell r="AB315" t="str">
            <v>1.0mm白色/透明PET（国产）</v>
          </cell>
        </row>
        <row r="316">
          <cell r="AB316" t="str">
            <v>1.0mm白色/透明PET（进口）</v>
          </cell>
        </row>
        <row r="317">
          <cell r="AB317" t="str">
            <v>1.5mm白色/透明PET（国产）</v>
          </cell>
        </row>
        <row r="318">
          <cell r="AB318" t="str">
            <v>1.5mm白色/透明PET（进口）</v>
          </cell>
        </row>
        <row r="319">
          <cell r="AB319" t="str">
            <v>2.0mm白色PET（国产）</v>
          </cell>
        </row>
        <row r="320">
          <cell r="AB320" t="str">
            <v>2.0mm白色PET（进口）</v>
          </cell>
        </row>
        <row r="321">
          <cell r="AB321" t="str">
            <v>3.0mm白色PET（国产）</v>
          </cell>
        </row>
        <row r="322">
          <cell r="AB322" t="str">
            <v>3.0mm白色PET（进口）</v>
          </cell>
        </row>
        <row r="323">
          <cell r="AB323" t="str">
            <v>2.0mm透明PET（国产）</v>
          </cell>
        </row>
        <row r="324">
          <cell r="AB324" t="str">
            <v>2.0mm透明PET（进口）</v>
          </cell>
        </row>
        <row r="325">
          <cell r="AB325" t="str">
            <v>3.0mm透明PET（国产）</v>
          </cell>
        </row>
        <row r="326">
          <cell r="AB326" t="str">
            <v>3.0mm透明PET（进口）</v>
          </cell>
        </row>
        <row r="327">
          <cell r="AB327" t="str">
            <v>2.0mmPC（国产）</v>
          </cell>
        </row>
        <row r="328">
          <cell r="AB328" t="str">
            <v>2.0mmPC（进口）</v>
          </cell>
        </row>
        <row r="329">
          <cell r="AB329" t="str">
            <v>3.0mmPC（国产）</v>
          </cell>
        </row>
        <row r="330">
          <cell r="AB330" t="str">
            <v>3.0mmPC（进口）</v>
          </cell>
        </row>
        <row r="331">
          <cell r="AB331" t="str">
            <v>2.0mmPS</v>
          </cell>
        </row>
        <row r="332">
          <cell r="AB332" t="str">
            <v>3.0mmPS</v>
          </cell>
        </row>
        <row r="333">
          <cell r="AB333" t="str">
            <v>10mm透明玻璃</v>
          </cell>
        </row>
        <row r="334">
          <cell r="AB334" t="str">
            <v>8mm透明玻璃</v>
          </cell>
        </row>
        <row r="335">
          <cell r="AB335" t="str">
            <v>6mm透明玻璃</v>
          </cell>
        </row>
        <row r="336">
          <cell r="AB336" t="str">
            <v>5mm透明玻璃</v>
          </cell>
        </row>
        <row r="337">
          <cell r="AB337" t="str">
            <v>10mm钢化玻璃</v>
          </cell>
        </row>
        <row r="338">
          <cell r="AB338" t="str">
            <v>8mm钢化玻璃</v>
          </cell>
        </row>
        <row r="339">
          <cell r="AB339" t="str">
            <v>6mm钢化玻璃</v>
          </cell>
        </row>
        <row r="340">
          <cell r="AB340" t="str">
            <v>5mm钢化玻璃</v>
          </cell>
        </row>
        <row r="341">
          <cell r="AB341" t="str">
            <v>10mm磨砂玻璃</v>
          </cell>
        </row>
        <row r="342">
          <cell r="AB342" t="str">
            <v>8mm磨砂玻璃</v>
          </cell>
        </row>
        <row r="343">
          <cell r="AB343" t="str">
            <v>6mm磨砂玻璃</v>
          </cell>
        </row>
        <row r="344">
          <cell r="AB344" t="str">
            <v>5mm磨砂玻璃</v>
          </cell>
        </row>
        <row r="345">
          <cell r="AB345" t="str">
            <v>玻璃顶</v>
          </cell>
        </row>
        <row r="346">
          <cell r="AB346" t="str">
            <v>Φ25玻璃吸盘</v>
          </cell>
        </row>
        <row r="347">
          <cell r="AB347" t="str">
            <v>PNT 蓝（带银粉）水晶板</v>
          </cell>
        </row>
        <row r="348">
          <cell r="AB348" t="str">
            <v>VST红水晶板</v>
          </cell>
        </row>
        <row r="349">
          <cell r="AB349" t="str">
            <v>黑色水晶板</v>
          </cell>
        </row>
        <row r="350">
          <cell r="AB350" t="str">
            <v>白色水晶板</v>
          </cell>
        </row>
        <row r="351">
          <cell r="AB351" t="str">
            <v>绿色水晶板</v>
          </cell>
        </row>
        <row r="352">
          <cell r="AB352" t="str">
            <v>5mm导光板</v>
          </cell>
        </row>
        <row r="353">
          <cell r="AB353" t="str">
            <v>8mm导光板</v>
          </cell>
        </row>
        <row r="354">
          <cell r="AB354" t="str">
            <v>2mm银色镜面片</v>
          </cell>
        </row>
        <row r="355">
          <cell r="AB355" t="str">
            <v>1.5mm银色镜面片</v>
          </cell>
        </row>
        <row r="356">
          <cell r="AB356" t="str">
            <v>2mm金色镜面片</v>
          </cell>
        </row>
        <row r="357">
          <cell r="AB357" t="str">
            <v>1.5mm金色镜面片</v>
          </cell>
        </row>
        <row r="360">
          <cell r="AB360" t="str">
            <v>材料名称</v>
          </cell>
        </row>
        <row r="361">
          <cell r="AB361" t="str">
            <v>15mm 木夹板</v>
          </cell>
        </row>
        <row r="362">
          <cell r="AB362" t="str">
            <v>12mm 木夹板</v>
          </cell>
        </row>
        <row r="363">
          <cell r="AB363" t="str">
            <v>9mm 木夹板</v>
          </cell>
        </row>
        <row r="364">
          <cell r="AB364" t="str">
            <v>5mm 木夹板</v>
          </cell>
        </row>
        <row r="365">
          <cell r="AB365" t="str">
            <v>18mm双白中纤板</v>
          </cell>
        </row>
        <row r="366">
          <cell r="AB366" t="str">
            <v>15mm双白中纤板</v>
          </cell>
        </row>
        <row r="367">
          <cell r="AB367" t="str">
            <v>12mm双白中纤板</v>
          </cell>
        </row>
        <row r="368">
          <cell r="AB368" t="str">
            <v>9mm双白中纤板</v>
          </cell>
        </row>
        <row r="369">
          <cell r="AB369" t="str">
            <v>5mm双白中纤板</v>
          </cell>
        </row>
        <row r="370">
          <cell r="AB370" t="str">
            <v>3mm双白中纤板</v>
          </cell>
        </row>
        <row r="371">
          <cell r="AB371" t="str">
            <v>25mm中纤板</v>
          </cell>
        </row>
        <row r="372">
          <cell r="AB372" t="str">
            <v>18mm中纤板</v>
          </cell>
        </row>
        <row r="373">
          <cell r="AB373" t="str">
            <v>15mm中纤板</v>
          </cell>
        </row>
        <row r="374">
          <cell r="AB374" t="str">
            <v>12mm中纤板</v>
          </cell>
        </row>
        <row r="375">
          <cell r="AB375" t="str">
            <v>9mm中纤板</v>
          </cell>
        </row>
        <row r="376">
          <cell r="AB376" t="str">
            <v>5mm中纤板</v>
          </cell>
        </row>
        <row r="377">
          <cell r="AB377" t="str">
            <v>3mm中纤板</v>
          </cell>
        </row>
        <row r="378">
          <cell r="AB378" t="str">
            <v>15mmAD板</v>
          </cell>
        </row>
        <row r="379">
          <cell r="AB379" t="str">
            <v>10mmAD板</v>
          </cell>
        </row>
        <row r="380">
          <cell r="AB380" t="str">
            <v>8mmAD板</v>
          </cell>
        </row>
        <row r="381">
          <cell r="AB381" t="str">
            <v>5mmAD板</v>
          </cell>
        </row>
        <row r="382">
          <cell r="AB382" t="str">
            <v>3mmAD板</v>
          </cell>
        </row>
        <row r="383">
          <cell r="AB383" t="str">
            <v>8mm黑色AD板</v>
          </cell>
        </row>
        <row r="384">
          <cell r="AB384" t="str">
            <v>5mm黑色AD板</v>
          </cell>
        </row>
        <row r="385">
          <cell r="AB385" t="str">
            <v>3mm黑色AD板</v>
          </cell>
        </row>
        <row r="386">
          <cell r="AB386" t="str">
            <v>5mm难燃夹板</v>
          </cell>
        </row>
        <row r="387">
          <cell r="AB387" t="str">
            <v>9mm难燃夹板</v>
          </cell>
        </row>
        <row r="388">
          <cell r="AB388" t="str">
            <v>12mm难燃夹板</v>
          </cell>
        </row>
        <row r="389">
          <cell r="AB389" t="str">
            <v>15mm难燃夹板</v>
          </cell>
        </row>
        <row r="390">
          <cell r="AB390" t="str">
            <v>18mm难燃夹板</v>
          </cell>
        </row>
        <row r="391">
          <cell r="AB391" t="str">
            <v>18mm三聚氰氨板(单面)</v>
          </cell>
        </row>
        <row r="392">
          <cell r="AB392" t="str">
            <v>15mm三聚氰氨板(单面)</v>
          </cell>
        </row>
        <row r="393">
          <cell r="AB393" t="str">
            <v>12mm三聚氰氨板(单面)</v>
          </cell>
        </row>
        <row r="394">
          <cell r="AB394" t="str">
            <v>9mm三聚氰氨板(单面)</v>
          </cell>
        </row>
        <row r="395">
          <cell r="AB395" t="str">
            <v>5mm三聚氰氨板(单面)</v>
          </cell>
        </row>
        <row r="396">
          <cell r="AB396" t="str">
            <v>18mm三聚氰氨板(双面)</v>
          </cell>
        </row>
        <row r="397">
          <cell r="AB397" t="str">
            <v>15mm三聚氰氨板(双面)</v>
          </cell>
        </row>
        <row r="398">
          <cell r="AB398" t="str">
            <v>12mm三聚氰氨板(双面)</v>
          </cell>
        </row>
        <row r="399">
          <cell r="AB399" t="str">
            <v>9mm三聚氰氨板(双面)</v>
          </cell>
        </row>
        <row r="400">
          <cell r="AB400" t="str">
            <v>5mm三聚氰氨板(双面)</v>
          </cell>
        </row>
        <row r="401">
          <cell r="AB401" t="str">
            <v>1.0mm富美家防火板</v>
          </cell>
        </row>
        <row r="402">
          <cell r="AB402" t="str">
            <v>1.0mm(厚)富美加拉丝防火板</v>
          </cell>
        </row>
        <row r="403">
          <cell r="AB403" t="str">
            <v>1.0mm普通防火板</v>
          </cell>
        </row>
        <row r="404">
          <cell r="AB404" t="str">
            <v>Print724G镜面防火板</v>
          </cell>
        </row>
        <row r="405">
          <cell r="AB405" t="str">
            <v>18mm宝丽板</v>
          </cell>
        </row>
        <row r="406">
          <cell r="AB406" t="str">
            <v>15mm宝丽板</v>
          </cell>
        </row>
        <row r="407">
          <cell r="AB407" t="str">
            <v>9mm宝丽板</v>
          </cell>
        </row>
        <row r="408">
          <cell r="AB408" t="str">
            <v>封边条</v>
          </cell>
        </row>
        <row r="412">
          <cell r="AB412" t="str">
            <v>产品规格</v>
          </cell>
        </row>
        <row r="413">
          <cell r="AB413" t="str">
            <v>T4一体化6W(不带PC罩)</v>
          </cell>
        </row>
        <row r="414">
          <cell r="AB414" t="str">
            <v>T4一体化8W(不带PC罩)</v>
          </cell>
        </row>
        <row r="415">
          <cell r="AB415" t="str">
            <v>T4一体化8W(带PC罩)</v>
          </cell>
        </row>
        <row r="416">
          <cell r="AB416" t="str">
            <v>T4一体化12W(不带PC罩)</v>
          </cell>
        </row>
        <row r="417">
          <cell r="AB417" t="str">
            <v>T4一体化12W(带PC罩)</v>
          </cell>
        </row>
        <row r="418">
          <cell r="AB418" t="str">
            <v>T4一体化16W(不带PC罩)</v>
          </cell>
        </row>
        <row r="419">
          <cell r="AB419" t="str">
            <v>T4一体化16W(带PC罩)</v>
          </cell>
        </row>
        <row r="420">
          <cell r="AB420" t="str">
            <v>T4一体化20W(不带PC罩)</v>
          </cell>
        </row>
        <row r="421">
          <cell r="AB421" t="str">
            <v>T4一体化20W(带PC罩)</v>
          </cell>
        </row>
        <row r="422">
          <cell r="AB422" t="str">
            <v>T4一体化22W(不带PC罩)</v>
          </cell>
        </row>
        <row r="423">
          <cell r="AB423" t="str">
            <v>T4一体化22W(带PC罩)</v>
          </cell>
        </row>
        <row r="424">
          <cell r="AB424" t="str">
            <v>T4一体化24W(不带PC罩)</v>
          </cell>
        </row>
        <row r="425">
          <cell r="AB425" t="str">
            <v>T4一体化24W(带PC罩)</v>
          </cell>
        </row>
        <row r="426">
          <cell r="AB426" t="str">
            <v>T4一体化26W(不带PC罩)</v>
          </cell>
        </row>
        <row r="427">
          <cell r="AB427" t="str">
            <v>T4一体化26W(带PC罩)</v>
          </cell>
        </row>
        <row r="428">
          <cell r="AB428" t="str">
            <v>T4一体化28W(不带PC罩)</v>
          </cell>
        </row>
        <row r="429">
          <cell r="AB429" t="str">
            <v>T4一体化28W(带PC罩)</v>
          </cell>
        </row>
        <row r="430">
          <cell r="AB430" t="str">
            <v>T5一体化4W(不带PC罩)</v>
          </cell>
        </row>
        <row r="431">
          <cell r="AB431" t="str">
            <v>T5一体化4W(带PC罩)</v>
          </cell>
        </row>
        <row r="432">
          <cell r="AB432" t="str">
            <v>T5一体化6W(不带PC罩)</v>
          </cell>
        </row>
        <row r="433">
          <cell r="AB433" t="str">
            <v>T5一体化6W(带PC罩)</v>
          </cell>
        </row>
        <row r="434">
          <cell r="AB434" t="str">
            <v>T5一体化8W(不带PC罩)</v>
          </cell>
        </row>
        <row r="435">
          <cell r="AB435" t="str">
            <v>T5一体化8W(带PC罩)</v>
          </cell>
        </row>
        <row r="436">
          <cell r="AB436" t="str">
            <v>T5一体化12W(不带PC罩)</v>
          </cell>
        </row>
        <row r="437">
          <cell r="AB437" t="str">
            <v>T5一体化12W(带PC罩)</v>
          </cell>
        </row>
        <row r="438">
          <cell r="AB438" t="str">
            <v>T5一体化13W(不带PC罩)</v>
          </cell>
        </row>
        <row r="439">
          <cell r="AB439" t="str">
            <v>T5一体化13W(带PC罩)</v>
          </cell>
        </row>
        <row r="440">
          <cell r="AB440" t="str">
            <v>T5一体化14W(不带PC罩)</v>
          </cell>
        </row>
        <row r="441">
          <cell r="AB441" t="str">
            <v>T5一体化14W(带PC罩)</v>
          </cell>
        </row>
        <row r="442">
          <cell r="AB442" t="str">
            <v>T5一体化21W(不带PC罩)</v>
          </cell>
        </row>
        <row r="443">
          <cell r="AB443" t="str">
            <v>T5一体化21W(带PC罩)</v>
          </cell>
        </row>
        <row r="444">
          <cell r="AB444" t="str">
            <v>T5一体化28W(不带PC罩)</v>
          </cell>
        </row>
        <row r="445">
          <cell r="AB445" t="str">
            <v>T5一体化28W(带PC罩)</v>
          </cell>
        </row>
        <row r="446">
          <cell r="AB446" t="str">
            <v>T5一体化35W(不带PC罩)</v>
          </cell>
        </row>
        <row r="447">
          <cell r="AB447" t="str">
            <v>T5一体化35W(带PC罩)</v>
          </cell>
        </row>
        <row r="450">
          <cell r="AB450" t="str">
            <v>产品                      规格</v>
          </cell>
        </row>
        <row r="451">
          <cell r="AB451" t="str">
            <v>三雄18W（不带支架）</v>
          </cell>
        </row>
        <row r="452">
          <cell r="AB452" t="str">
            <v>三雄18W（带支架）</v>
          </cell>
        </row>
        <row r="453">
          <cell r="AB453" t="str">
            <v>三雄30W（不带支架）</v>
          </cell>
        </row>
        <row r="454">
          <cell r="AB454" t="str">
            <v>三雄30W（带支架）</v>
          </cell>
        </row>
        <row r="455">
          <cell r="AB455" t="str">
            <v>三雄36W（不带支架）</v>
          </cell>
        </row>
        <row r="456">
          <cell r="AB456" t="str">
            <v>三雄36W（带支架）</v>
          </cell>
        </row>
        <row r="457">
          <cell r="AB457" t="str">
            <v>飞利浦20W（不带支架）</v>
          </cell>
        </row>
        <row r="458">
          <cell r="AB458" t="str">
            <v>飞利浦20W（带支架）</v>
          </cell>
        </row>
        <row r="459">
          <cell r="AB459" t="str">
            <v>飞利浦40W（不带支架）</v>
          </cell>
        </row>
        <row r="460">
          <cell r="AB460" t="str">
            <v>飞利浦40W（带支架）</v>
          </cell>
        </row>
        <row r="461">
          <cell r="AB461" t="str">
            <v>T8-32W环形灯管</v>
          </cell>
        </row>
        <row r="464">
          <cell r="AB464" t="str">
            <v>名称</v>
          </cell>
        </row>
        <row r="465">
          <cell r="AB465" t="str">
            <v>松本二三插</v>
          </cell>
        </row>
        <row r="466">
          <cell r="AB466" t="str">
            <v>松本带开关二三插</v>
          </cell>
        </row>
        <row r="467">
          <cell r="AB467" t="str">
            <v>奇胜E30二三插座10A</v>
          </cell>
        </row>
        <row r="468">
          <cell r="AB468" t="str">
            <v>奇胜E30二三插座16A</v>
          </cell>
        </row>
        <row r="469">
          <cell r="AB469" t="str">
            <v xml:space="preserve">TB1503接线端子 </v>
          </cell>
        </row>
        <row r="470">
          <cell r="AB470" t="str">
            <v xml:space="preserve">TB1504接线端子 </v>
          </cell>
        </row>
        <row r="471">
          <cell r="AB471" t="str">
            <v>空气开关</v>
          </cell>
        </row>
        <row r="472">
          <cell r="AB472" t="str">
            <v>梅兰日兰10A漏电开关</v>
          </cell>
        </row>
        <row r="473">
          <cell r="AB473" t="str">
            <v>朗能10A漏电开关</v>
          </cell>
        </row>
        <row r="474">
          <cell r="AB474" t="str">
            <v>朗能15A漏电开关</v>
          </cell>
        </row>
        <row r="475">
          <cell r="AB475" t="str">
            <v>三雄(12V/50W)变压器</v>
          </cell>
        </row>
        <row r="476">
          <cell r="AB476" t="str">
            <v>飞利浦(12V/50W)变压器</v>
          </cell>
        </row>
        <row r="477">
          <cell r="AB477" t="str">
            <v>欧司朗(12V/50W)变压器</v>
          </cell>
        </row>
        <row r="478">
          <cell r="AB478" t="str">
            <v>导电槽变压器DC12V</v>
          </cell>
        </row>
        <row r="479">
          <cell r="AB479" t="str">
            <v>LED灯变压器DC24V</v>
          </cell>
        </row>
        <row r="480">
          <cell r="AB480" t="str">
            <v>灯管码夹</v>
          </cell>
        </row>
        <row r="481">
          <cell r="AB481" t="str">
            <v>一体化光管300MM连接线</v>
          </cell>
        </row>
        <row r="482">
          <cell r="AB482" t="str">
            <v>一体化光管500MM连接线</v>
          </cell>
        </row>
        <row r="483">
          <cell r="AB483" t="str">
            <v>双塑单芯1.5平方米电源线</v>
          </cell>
        </row>
        <row r="484">
          <cell r="AB484" t="str">
            <v>双塑单芯2.5平方米电源线</v>
          </cell>
        </row>
        <row r="485">
          <cell r="AB485" t="str">
            <v>分支电源线</v>
          </cell>
        </row>
        <row r="486">
          <cell r="AB486" t="str">
            <v>软护套线</v>
          </cell>
        </row>
        <row r="487">
          <cell r="AB487" t="str">
            <v>25*15线槽</v>
          </cell>
        </row>
        <row r="488">
          <cell r="AB488" t="str">
            <v>24*14线槽</v>
          </cell>
        </row>
        <row r="489">
          <cell r="AB489" t="str">
            <v>导线槽</v>
          </cell>
        </row>
        <row r="490">
          <cell r="AB490" t="str">
            <v>接线头</v>
          </cell>
        </row>
        <row r="491">
          <cell r="AB491" t="str">
            <v>黑，白三插</v>
          </cell>
        </row>
        <row r="492">
          <cell r="AB492" t="str">
            <v>快速三插</v>
          </cell>
        </row>
        <row r="493">
          <cell r="AB493" t="str">
            <v>一位开关</v>
          </cell>
        </row>
        <row r="494">
          <cell r="AB494" t="str">
            <v>排气扇（80*80）</v>
          </cell>
        </row>
        <row r="495">
          <cell r="AB495" t="str">
            <v>排气扇（40*40）</v>
          </cell>
        </row>
        <row r="496">
          <cell r="AB496" t="str">
            <v>四口3C认证电脑插板</v>
          </cell>
        </row>
        <row r="497">
          <cell r="AB497" t="str">
            <v>六口3C认证电脑插板</v>
          </cell>
        </row>
        <row r="498">
          <cell r="AB498" t="str">
            <v>三节导轨</v>
          </cell>
        </row>
        <row r="499">
          <cell r="AB499" t="str">
            <v>两节导轨</v>
          </cell>
        </row>
        <row r="500">
          <cell r="AB500" t="str">
            <v>方灯头LED灯（带槽）</v>
          </cell>
        </row>
        <row r="501">
          <cell r="AB501" t="str">
            <v>双光线LED灯（不带槽）</v>
          </cell>
        </row>
        <row r="502">
          <cell r="AB502" t="str">
            <v>带管套LED灯</v>
          </cell>
        </row>
        <row r="503">
          <cell r="AB503" t="str">
            <v>方灯头LED软灯带</v>
          </cell>
        </row>
        <row r="504">
          <cell r="AB504" t="str">
            <v>LED灯带接线头</v>
          </cell>
        </row>
        <row r="505">
          <cell r="AB505" t="str">
            <v>LED灯变压器</v>
          </cell>
        </row>
        <row r="506">
          <cell r="AB506" t="str">
            <v>射灯</v>
          </cell>
        </row>
        <row r="507">
          <cell r="AB507" t="str">
            <v>平顶射灯</v>
          </cell>
        </row>
        <row r="508">
          <cell r="AB508" t="str">
            <v>射灯变压器</v>
          </cell>
        </row>
        <row r="511">
          <cell r="AB511" t="str">
            <v>材料名称</v>
          </cell>
        </row>
        <row r="512">
          <cell r="AB512" t="str">
            <v>木表面喷漆</v>
          </cell>
        </row>
        <row r="513">
          <cell r="AB513" t="str">
            <v>喷聚酯亮光漆</v>
          </cell>
        </row>
        <row r="514">
          <cell r="AB514" t="str">
            <v>PVC喷漆</v>
          </cell>
        </row>
        <row r="515">
          <cell r="AB515" t="str">
            <v>防火漆</v>
          </cell>
        </row>
        <row r="516">
          <cell r="AB516" t="str">
            <v>镀铬</v>
          </cell>
        </row>
        <row r="517">
          <cell r="AB517" t="str">
            <v>背胶喷画(单面\背胶)</v>
          </cell>
        </row>
        <row r="518">
          <cell r="AB518" t="str">
            <v>灯箱片</v>
          </cell>
        </row>
        <row r="519">
          <cell r="AB519" t="str">
            <v>丝网印刷</v>
          </cell>
        </row>
        <row r="520">
          <cell r="AB520" t="str">
            <v>金属面喷塑</v>
          </cell>
        </row>
        <row r="521">
          <cell r="AB521" t="str">
            <v>金属面喷漆</v>
          </cell>
        </row>
        <row r="522">
          <cell r="AB522" t="str">
            <v>反裱和半透喷画</v>
          </cell>
        </row>
        <row r="523">
          <cell r="AB523" t="str">
            <v>金属挂钩喷漆</v>
          </cell>
        </row>
        <row r="524">
          <cell r="AB524" t="str">
            <v>丝网印刷制版费</v>
          </cell>
        </row>
        <row r="525">
          <cell r="AB525" t="str">
            <v>魔术贴</v>
          </cell>
        </row>
        <row r="526">
          <cell r="AB526" t="str">
            <v>3M胶粒</v>
          </cell>
        </row>
        <row r="527">
          <cell r="AB527" t="str">
            <v>3M双面胶</v>
          </cell>
        </row>
        <row r="528">
          <cell r="AB528" t="str">
            <v>普通双面胶</v>
          </cell>
        </row>
        <row r="529">
          <cell r="AB529" t="str">
            <v>海绵胶</v>
          </cell>
        </row>
        <row r="530">
          <cell r="AB530" t="str">
            <v>不干胶</v>
          </cell>
        </row>
        <row r="531">
          <cell r="AB531" t="str">
            <v>防盗器</v>
          </cell>
        </row>
        <row r="532">
          <cell r="AB532" t="str">
            <v>Ø30防盗圈</v>
          </cell>
        </row>
        <row r="533">
          <cell r="AB533" t="str">
            <v>Ø35防盗圈</v>
          </cell>
        </row>
        <row r="534">
          <cell r="AB534" t="str">
            <v>Ø40防盗圈</v>
          </cell>
        </row>
        <row r="535">
          <cell r="AB535" t="str">
            <v>合页</v>
          </cell>
        </row>
        <row r="536">
          <cell r="AB536" t="str">
            <v>不锈钢机械锁</v>
          </cell>
        </row>
        <row r="537">
          <cell r="AB537" t="str">
            <v>抽屉锁</v>
          </cell>
        </row>
        <row r="538">
          <cell r="AB538" t="str">
            <v>铜插销</v>
          </cell>
        </row>
        <row r="539">
          <cell r="AB539" t="str">
            <v>磁铁条</v>
          </cell>
        </row>
        <row r="540">
          <cell r="AB540" t="str">
            <v>磁铁</v>
          </cell>
        </row>
        <row r="541">
          <cell r="AB541" t="str">
            <v>排铰</v>
          </cell>
        </row>
        <row r="542">
          <cell r="AB542" t="str">
            <v>烟斗铰</v>
          </cell>
        </row>
        <row r="543">
          <cell r="AB543" t="str">
            <v>门拉手</v>
          </cell>
        </row>
        <row r="544">
          <cell r="AB544" t="str">
            <v>酒杯脚</v>
          </cell>
        </row>
        <row r="545">
          <cell r="AB545" t="str">
            <v>外包装纸箱</v>
          </cell>
        </row>
        <row r="546">
          <cell r="AB546" t="str">
            <v>包装填充物</v>
          </cell>
        </row>
        <row r="549">
          <cell r="AB549" t="str">
            <v>材料名称</v>
          </cell>
        </row>
        <row r="550">
          <cell r="AB550" t="str">
            <v>AA柱配套一字挂臂15CM</v>
          </cell>
        </row>
        <row r="551">
          <cell r="AB551" t="str">
            <v>AA柱配套一字挂臂16CM</v>
          </cell>
        </row>
        <row r="552">
          <cell r="AB552" t="str">
            <v>AA柱配套一字挂臂20CM</v>
          </cell>
        </row>
        <row r="553">
          <cell r="AB553" t="str">
            <v>AA柱配套一字挂臂25CM</v>
          </cell>
        </row>
        <row r="554">
          <cell r="AB554" t="str">
            <v>AA柱配套一字挂臂30CM</v>
          </cell>
        </row>
        <row r="555">
          <cell r="AB555" t="str">
            <v>大铝条</v>
          </cell>
        </row>
        <row r="556">
          <cell r="AB556" t="str">
            <v>小铝条</v>
          </cell>
        </row>
        <row r="557">
          <cell r="AB557" t="str">
            <v>L型铝条</v>
          </cell>
        </row>
        <row r="558">
          <cell r="AB558" t="str">
            <v>管塞</v>
          </cell>
        </row>
        <row r="559">
          <cell r="AB559" t="str">
            <v>不锈钢透气盖</v>
          </cell>
        </row>
        <row r="560">
          <cell r="AB560" t="str">
            <v>塑料钩座</v>
          </cell>
        </row>
        <row r="561">
          <cell r="AB561" t="str">
            <v>广告钉</v>
          </cell>
        </row>
        <row r="562">
          <cell r="AB562" t="str">
            <v>镜钉</v>
          </cell>
        </row>
        <row r="563">
          <cell r="AB563" t="str">
            <v>装饰螺丝</v>
          </cell>
        </row>
      </sheetData>
      <sheetData sheetId="3" refreshError="1"/>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 Standard Quotation Header"/>
      <sheetName val="PCC 品类报价汇总表"/>
      <sheetName val="OSD 运输仓储服务费"/>
      <sheetName val="Display Rack 运输仓储服务费"/>
      <sheetName val="热线费"/>
      <sheetName val="生产基地仓储费 (Display Rack)"/>
      <sheetName val="转财年生产&amp;服务费"/>
    </sheetNames>
    <sheetDataSet>
      <sheetData sheetId="0"/>
      <sheetData sheetId="1">
        <row r="38">
          <cell r="G38">
            <v>804402.82129127823</v>
          </cell>
        </row>
      </sheetData>
      <sheetData sheetId="2"/>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 Standard Quotation Header"/>
      <sheetName val="HC(DMC) 品类报价汇总表"/>
      <sheetName val="7月Pantene生产费"/>
      <sheetName val="Pantene 骨架生产费"/>
      <sheetName val="OSD 运输仓储服务费"/>
    </sheetNames>
    <sheetDataSet>
      <sheetData sheetId="0"/>
      <sheetData sheetId="1"/>
      <sheetData sheetId="2">
        <row r="56">
          <cell r="AW56">
            <v>500</v>
          </cell>
        </row>
      </sheetData>
      <sheetData sheetId="3">
        <row r="7">
          <cell r="Q7">
            <v>500</v>
          </cell>
        </row>
      </sheetData>
      <sheetData sheetId="4">
        <row r="4">
          <cell r="E4">
            <v>500</v>
          </cell>
        </row>
        <row r="5">
          <cell r="E5">
            <v>500</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头"/>
      <sheetName val="物料明细"/>
      <sheetName val="lighting detail"/>
      <sheetName val=" 测量费"/>
      <sheetName val="设计费"/>
      <sheetName val="运输费"/>
      <sheetName val="安装费"/>
    </sheetNames>
    <sheetDataSet>
      <sheetData sheetId="0" refreshError="1"/>
      <sheetData sheetId="1"/>
      <sheetData sheetId="2">
        <row r="31">
          <cell r="N31">
            <v>15638.995000000001</v>
          </cell>
        </row>
      </sheetData>
      <sheetData sheetId="3" refreshError="1"/>
      <sheetData sheetId="4" refreshError="1"/>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头"/>
      <sheetName val="测量"/>
      <sheetName val="设计"/>
      <sheetName val="运输费"/>
      <sheetName val="安装费"/>
      <sheetName val="物料明细"/>
      <sheetName val="lighting detail"/>
    </sheetNames>
    <sheetDataSet>
      <sheetData sheetId="0" refreshError="1"/>
      <sheetData sheetId="1" refreshError="1"/>
      <sheetData sheetId="2" refreshError="1"/>
      <sheetData sheetId="3" refreshError="1"/>
      <sheetData sheetId="4" refreshError="1"/>
      <sheetData sheetId="5"/>
      <sheetData sheetId="6">
        <row r="31">
          <cell r="N31">
            <v>3832.9</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头"/>
      <sheetName val="物料明细"/>
      <sheetName val="lighting detail"/>
      <sheetName val=" 测量费"/>
      <sheetName val="设计费"/>
      <sheetName val="运输费"/>
      <sheetName val="安装费"/>
    </sheetNames>
    <sheetDataSet>
      <sheetData sheetId="0"/>
      <sheetData sheetId="1"/>
      <sheetData sheetId="2">
        <row r="31">
          <cell r="N31">
            <v>16507.314999999999</v>
          </cell>
        </row>
      </sheetData>
      <sheetData sheetId="3"/>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showGridLines="0" topLeftCell="A19" zoomScale="80" workbookViewId="0">
      <selection activeCell="B116" sqref="B116"/>
    </sheetView>
  </sheetViews>
  <sheetFormatPr defaultRowHeight="13.5"/>
  <cols>
    <col min="1" max="1" width="9.125" customWidth="1"/>
    <col min="2" max="2" width="62.75" bestFit="1" customWidth="1"/>
    <col min="3" max="3" width="57.75" bestFit="1" customWidth="1"/>
    <col min="4" max="4" width="23.875" customWidth="1"/>
    <col min="5" max="5" width="24.75" customWidth="1"/>
    <col min="6" max="6" width="24.375" customWidth="1"/>
    <col min="7" max="7" width="19" bestFit="1" customWidth="1"/>
    <col min="8" max="8" width="18.5" customWidth="1"/>
    <col min="9" max="9" width="23.625" bestFit="1" customWidth="1"/>
    <col min="10" max="10" width="19.25" customWidth="1"/>
    <col min="11" max="11" width="19" bestFit="1" customWidth="1"/>
    <col min="12" max="12" width="9" customWidth="1"/>
  </cols>
  <sheetData>
    <row r="1" spans="1:11" ht="23.25" customHeight="1" thickBot="1">
      <c r="A1" s="358"/>
      <c r="B1" s="668" t="s">
        <v>979</v>
      </c>
      <c r="C1" s="668"/>
      <c r="D1" s="359"/>
      <c r="E1" s="359"/>
      <c r="F1" s="360"/>
      <c r="G1" s="361"/>
      <c r="H1" s="362"/>
      <c r="I1" s="363"/>
      <c r="J1" s="362"/>
      <c r="K1" s="362"/>
    </row>
    <row r="2" spans="1:11" ht="15.75">
      <c r="A2" s="363"/>
      <c r="B2" s="364" t="s">
        <v>868</v>
      </c>
      <c r="C2" s="365" t="s">
        <v>869</v>
      </c>
      <c r="D2" s="361"/>
      <c r="E2" s="362"/>
      <c r="F2" s="363"/>
      <c r="G2" s="362"/>
      <c r="H2" s="362"/>
      <c r="I2" s="362"/>
      <c r="J2" s="362"/>
      <c r="K2" s="362"/>
    </row>
    <row r="3" spans="1:11" ht="15.75">
      <c r="A3" s="363"/>
      <c r="B3" s="366" t="s">
        <v>870</v>
      </c>
      <c r="C3" s="367" t="s">
        <v>1054</v>
      </c>
      <c r="D3" s="361"/>
      <c r="E3" s="363"/>
      <c r="F3" s="363"/>
      <c r="G3" s="363"/>
      <c r="H3" s="363"/>
      <c r="I3" s="362"/>
      <c r="J3" s="362"/>
      <c r="K3" s="362"/>
    </row>
    <row r="4" spans="1:11" ht="15.75">
      <c r="A4" s="363"/>
      <c r="B4" s="366" t="s">
        <v>872</v>
      </c>
      <c r="C4" s="368" t="s">
        <v>873</v>
      </c>
      <c r="D4" s="363"/>
      <c r="E4" s="361"/>
      <c r="F4" s="363"/>
      <c r="G4" s="361"/>
      <c r="H4" s="362"/>
      <c r="I4" s="362"/>
      <c r="J4" s="362"/>
      <c r="K4" s="362"/>
    </row>
    <row r="5" spans="1:11" ht="15.75">
      <c r="A5" s="363"/>
      <c r="B5" s="366" t="s">
        <v>874</v>
      </c>
      <c r="C5" s="369" t="s">
        <v>875</v>
      </c>
      <c r="D5" s="361"/>
      <c r="E5" s="361"/>
      <c r="F5" s="363"/>
      <c r="G5" s="363"/>
      <c r="H5" s="363"/>
      <c r="I5" s="362"/>
      <c r="J5" s="362"/>
      <c r="K5" s="362"/>
    </row>
    <row r="6" spans="1:11" ht="15.75">
      <c r="A6" s="363"/>
      <c r="B6" s="366" t="s">
        <v>876</v>
      </c>
      <c r="C6" s="370" t="str">
        <f>VLOOKUP(B36,$B$48:$F$74,5,0)</f>
        <v>Yuki Qiu</v>
      </c>
      <c r="D6" s="371"/>
      <c r="E6" s="363"/>
      <c r="F6" s="363"/>
      <c r="G6" s="363"/>
      <c r="H6" s="363"/>
      <c r="I6" s="362"/>
      <c r="J6" s="362"/>
      <c r="K6" s="362"/>
    </row>
    <row r="7" spans="1:11" ht="15.75">
      <c r="A7" s="363"/>
      <c r="B7" s="366" t="s">
        <v>611</v>
      </c>
      <c r="C7" s="372" t="str">
        <f>VLOOKUP(B36,$B$48:$E$74,4,0)</f>
        <v>Irene Luo</v>
      </c>
      <c r="D7" s="361"/>
      <c r="E7" s="363"/>
      <c r="F7" s="363"/>
      <c r="G7" s="363"/>
      <c r="H7" s="363"/>
      <c r="I7" s="362"/>
      <c r="J7" s="362"/>
      <c r="K7" s="362"/>
    </row>
    <row r="8" spans="1:11" ht="15.75">
      <c r="A8" s="363"/>
      <c r="B8" s="366" t="s">
        <v>612</v>
      </c>
      <c r="C8" s="373" t="s">
        <v>613</v>
      </c>
      <c r="D8" s="361"/>
      <c r="E8" s="363"/>
      <c r="F8" s="363"/>
      <c r="G8" s="363"/>
      <c r="H8" s="363"/>
      <c r="I8" s="362"/>
      <c r="J8" s="362"/>
      <c r="K8" s="362"/>
    </row>
    <row r="9" spans="1:11" ht="15.75">
      <c r="A9" s="363"/>
      <c r="B9" s="366" t="s">
        <v>614</v>
      </c>
      <c r="C9" s="374" t="e">
        <f>#REF!</f>
        <v>#REF!</v>
      </c>
      <c r="D9" s="361"/>
      <c r="E9" s="363"/>
      <c r="F9" s="363"/>
      <c r="G9" s="363"/>
      <c r="H9" s="363"/>
      <c r="I9" s="362"/>
      <c r="J9" s="362"/>
      <c r="K9" s="362"/>
    </row>
    <row r="10" spans="1:11" ht="15.75">
      <c r="A10" s="363"/>
      <c r="B10" s="366" t="s">
        <v>615</v>
      </c>
      <c r="C10" s="375" t="e">
        <f>J36</f>
        <v>#REF!</v>
      </c>
      <c r="D10" s="361"/>
      <c r="E10" s="363"/>
      <c r="F10" s="363"/>
      <c r="G10" s="363"/>
      <c r="H10" s="363"/>
      <c r="I10" s="362"/>
      <c r="J10" s="362"/>
      <c r="K10" s="362"/>
    </row>
    <row r="11" spans="1:11" ht="15.75">
      <c r="A11" s="363"/>
      <c r="B11" s="366" t="s">
        <v>877</v>
      </c>
      <c r="C11" s="375" t="e">
        <f>C10*C9</f>
        <v>#REF!</v>
      </c>
      <c r="D11" s="361"/>
      <c r="E11" s="361"/>
      <c r="F11" s="363"/>
      <c r="G11" s="363"/>
      <c r="H11" s="363"/>
      <c r="I11" s="362"/>
      <c r="J11" s="362"/>
      <c r="K11" s="362"/>
    </row>
    <row r="12" spans="1:11" ht="15.75">
      <c r="A12" s="363"/>
      <c r="B12" s="366" t="s">
        <v>616</v>
      </c>
      <c r="C12" s="375" t="e">
        <f>C10*1.17</f>
        <v>#REF!</v>
      </c>
      <c r="D12" s="361"/>
      <c r="E12" s="361"/>
      <c r="F12" s="363"/>
      <c r="G12" s="363"/>
      <c r="H12" s="363"/>
      <c r="I12" s="362"/>
      <c r="J12" s="362"/>
      <c r="K12" s="362"/>
    </row>
    <row r="13" spans="1:11" ht="15.75">
      <c r="A13" s="363"/>
      <c r="B13" s="366" t="s">
        <v>617</v>
      </c>
      <c r="C13" s="375" t="e">
        <f>C12*C9</f>
        <v>#REF!</v>
      </c>
      <c r="D13" s="361"/>
      <c r="E13" s="363"/>
      <c r="F13" s="363"/>
      <c r="G13" s="363"/>
      <c r="H13" s="363"/>
      <c r="I13" s="362"/>
      <c r="J13" s="362"/>
      <c r="K13" s="362"/>
    </row>
    <row r="14" spans="1:11" ht="32.25" customHeight="1">
      <c r="A14" s="363"/>
      <c r="B14" s="376" t="s">
        <v>878</v>
      </c>
      <c r="C14" s="377">
        <v>0.17</v>
      </c>
      <c r="D14" s="361"/>
      <c r="E14" s="363"/>
      <c r="F14" s="363"/>
      <c r="G14" s="363"/>
      <c r="H14" s="363"/>
      <c r="I14" s="362"/>
      <c r="J14" s="362"/>
      <c r="K14" s="362"/>
    </row>
    <row r="15" spans="1:11" ht="32.25" customHeight="1">
      <c r="A15" s="663"/>
      <c r="B15" s="376" t="s">
        <v>1055</v>
      </c>
      <c r="C15" s="377"/>
      <c r="D15" s="361"/>
      <c r="E15" s="363"/>
      <c r="F15" s="363"/>
      <c r="G15" s="363"/>
      <c r="H15" s="363"/>
      <c r="I15" s="362"/>
      <c r="J15" s="362"/>
      <c r="K15" s="362"/>
    </row>
    <row r="16" spans="1:11" ht="15.75">
      <c r="A16" s="363"/>
      <c r="B16" s="376" t="s">
        <v>618</v>
      </c>
      <c r="C16" s="378" t="s">
        <v>804</v>
      </c>
      <c r="D16" s="361"/>
      <c r="E16" s="363"/>
      <c r="F16" s="363"/>
      <c r="G16" s="363"/>
      <c r="H16" s="363"/>
      <c r="I16" s="363"/>
      <c r="J16" s="362"/>
      <c r="K16" s="363"/>
    </row>
    <row r="17" spans="1:18" ht="15.75">
      <c r="A17" s="663"/>
      <c r="B17" s="376" t="s">
        <v>1056</v>
      </c>
      <c r="C17" s="664"/>
      <c r="D17" s="361"/>
      <c r="E17" s="363"/>
      <c r="F17" s="363"/>
      <c r="G17" s="363"/>
      <c r="H17" s="363"/>
      <c r="I17" s="363"/>
      <c r="J17" s="362"/>
      <c r="K17" s="363"/>
      <c r="L17" s="362"/>
      <c r="M17" s="362"/>
      <c r="N17" s="362"/>
      <c r="O17" s="362"/>
      <c r="P17" s="362"/>
      <c r="Q17" s="362"/>
      <c r="R17" s="362"/>
    </row>
    <row r="18" spans="1:18" ht="15.75">
      <c r="A18" s="363"/>
      <c r="B18" s="376" t="s">
        <v>619</v>
      </c>
      <c r="C18" s="641" t="s">
        <v>1057</v>
      </c>
      <c r="D18" s="361"/>
      <c r="E18" s="363"/>
      <c r="F18" s="363"/>
      <c r="G18" s="363"/>
      <c r="H18" s="363"/>
      <c r="I18" s="363"/>
      <c r="J18" s="362"/>
      <c r="K18" s="363"/>
      <c r="L18" s="362"/>
      <c r="M18" s="362"/>
      <c r="N18" s="362"/>
      <c r="O18" s="362"/>
      <c r="P18" s="362"/>
      <c r="Q18" s="362"/>
      <c r="R18" s="362"/>
    </row>
    <row r="19" spans="1:18" ht="15.75">
      <c r="A19" s="363"/>
      <c r="B19" s="376" t="s">
        <v>620</v>
      </c>
      <c r="C19" s="379"/>
      <c r="D19" s="361"/>
      <c r="E19" s="363"/>
      <c r="F19" s="363"/>
      <c r="G19" s="363"/>
      <c r="H19" s="363"/>
      <c r="I19" s="362"/>
      <c r="J19" s="362"/>
      <c r="K19" s="362"/>
      <c r="L19" s="362"/>
      <c r="M19" s="362"/>
      <c r="N19" s="362"/>
      <c r="O19" s="362"/>
      <c r="P19" s="362"/>
      <c r="Q19" s="362"/>
      <c r="R19" s="362"/>
    </row>
    <row r="20" spans="1:18" ht="15.75">
      <c r="A20" s="363"/>
      <c r="B20" s="376" t="s">
        <v>621</v>
      </c>
      <c r="C20" s="374" t="s">
        <v>1058</v>
      </c>
      <c r="D20" s="361"/>
      <c r="E20" s="363"/>
      <c r="F20" s="363"/>
      <c r="G20" s="363"/>
      <c r="H20" s="363"/>
      <c r="I20" s="362"/>
      <c r="J20" s="362"/>
      <c r="K20" s="362"/>
      <c r="L20" s="362"/>
      <c r="M20" s="362"/>
      <c r="N20" s="362"/>
      <c r="O20" s="362"/>
      <c r="P20" s="362"/>
      <c r="Q20" s="362"/>
      <c r="R20" s="362"/>
    </row>
    <row r="21" spans="1:18" ht="15.75">
      <c r="A21" s="663"/>
      <c r="B21" s="376" t="s">
        <v>1059</v>
      </c>
      <c r="C21" s="374"/>
      <c r="D21" s="361"/>
      <c r="E21" s="363"/>
      <c r="F21" s="363"/>
      <c r="G21" s="363"/>
      <c r="H21" s="363"/>
      <c r="I21" s="362"/>
      <c r="J21" s="362"/>
      <c r="K21" s="362"/>
      <c r="L21" s="362"/>
      <c r="M21" s="362"/>
      <c r="N21" s="362"/>
      <c r="O21" s="362"/>
      <c r="P21" s="362"/>
      <c r="Q21" s="362"/>
      <c r="R21" s="362"/>
    </row>
    <row r="22" spans="1:18" ht="15.75">
      <c r="A22" s="663"/>
      <c r="B22" s="376" t="s">
        <v>1060</v>
      </c>
      <c r="C22" s="374"/>
      <c r="D22" s="361"/>
      <c r="E22" s="363"/>
      <c r="F22" s="363"/>
      <c r="G22" s="363"/>
      <c r="H22" s="363"/>
      <c r="I22" s="362"/>
      <c r="J22" s="362"/>
      <c r="K22" s="362"/>
      <c r="L22" s="362"/>
      <c r="M22" s="362"/>
      <c r="N22" s="362"/>
      <c r="O22" s="362"/>
      <c r="P22" s="362"/>
      <c r="Q22" s="362"/>
      <c r="R22" s="362"/>
    </row>
    <row r="23" spans="1:18" ht="15.75">
      <c r="A23" s="663"/>
      <c r="B23" s="376" t="s">
        <v>1061</v>
      </c>
      <c r="C23" s="374"/>
      <c r="D23" s="361"/>
      <c r="E23" s="363"/>
      <c r="F23" s="363"/>
      <c r="G23" s="363"/>
      <c r="H23" s="363"/>
      <c r="I23" s="362"/>
      <c r="J23" s="362"/>
      <c r="K23" s="362"/>
      <c r="L23" s="362"/>
      <c r="M23" s="362"/>
      <c r="N23" s="362"/>
      <c r="O23" s="362"/>
      <c r="P23" s="362"/>
      <c r="Q23" s="362"/>
      <c r="R23" s="362"/>
    </row>
    <row r="24" spans="1:18" ht="15.75">
      <c r="A24" s="363"/>
      <c r="B24" s="366" t="s">
        <v>622</v>
      </c>
      <c r="C24" s="379"/>
      <c r="D24" s="361"/>
      <c r="E24" s="363"/>
      <c r="F24" s="363"/>
      <c r="G24" s="363"/>
      <c r="H24" s="363"/>
      <c r="I24" s="362"/>
      <c r="J24" s="362"/>
      <c r="K24" s="362"/>
      <c r="L24" s="362"/>
      <c r="M24" s="362"/>
      <c r="N24" s="362"/>
      <c r="O24" s="362"/>
      <c r="P24" s="362"/>
      <c r="Q24" s="362"/>
      <c r="R24" s="362"/>
    </row>
    <row r="25" spans="1:18" s="380" customFormat="1" ht="16.5">
      <c r="B25" s="381" t="s">
        <v>623</v>
      </c>
      <c r="C25" s="642" t="s">
        <v>1062</v>
      </c>
      <c r="D25" s="382"/>
      <c r="N25" s="383"/>
    </row>
    <row r="26" spans="1:18" s="380" customFormat="1" ht="16.5">
      <c r="B26" s="381" t="s">
        <v>624</v>
      </c>
      <c r="C26" s="384" t="s">
        <v>882</v>
      </c>
      <c r="D26" s="382"/>
      <c r="N26" s="383"/>
    </row>
    <row r="27" spans="1:18" s="380" customFormat="1" ht="15.75">
      <c r="B27" s="385" t="s">
        <v>625</v>
      </c>
      <c r="C27" s="669">
        <v>3544.2</v>
      </c>
      <c r="D27" s="382"/>
      <c r="N27" s="383"/>
    </row>
    <row r="28" spans="1:18" s="380" customFormat="1" ht="15.75">
      <c r="B28" s="386" t="s">
        <v>27</v>
      </c>
      <c r="C28" s="670"/>
      <c r="D28" s="382"/>
      <c r="N28" s="383"/>
    </row>
    <row r="29" spans="1:18" s="380" customFormat="1" ht="15.75">
      <c r="B29" s="385" t="s">
        <v>626</v>
      </c>
      <c r="C29" s="387">
        <v>3.5752918256398841E-2</v>
      </c>
      <c r="D29" s="382"/>
      <c r="N29" s="383"/>
    </row>
    <row r="30" spans="1:18" s="380" customFormat="1" ht="15.75">
      <c r="A30" s="388"/>
      <c r="B30" s="385" t="s">
        <v>627</v>
      </c>
      <c r="C30" s="387"/>
      <c r="D30" s="382"/>
      <c r="N30" s="383"/>
    </row>
    <row r="31" spans="1:18" s="380" customFormat="1" ht="15.75">
      <c r="B31" s="389" t="s">
        <v>628</v>
      </c>
      <c r="C31" s="390"/>
      <c r="D31" s="382"/>
      <c r="N31" s="383"/>
    </row>
    <row r="32" spans="1:18" s="395" customFormat="1" ht="16.5" thickBot="1">
      <c r="A32" s="391"/>
      <c r="B32" s="392" t="s">
        <v>629</v>
      </c>
      <c r="C32" s="393"/>
      <c r="D32" s="391"/>
      <c r="E32" s="394"/>
      <c r="F32" s="394"/>
      <c r="G32" s="394"/>
      <c r="I32" s="396"/>
      <c r="R32" s="397"/>
    </row>
    <row r="33" spans="1:18" s="395" customFormat="1" ht="21">
      <c r="A33" s="391"/>
      <c r="B33" s="398"/>
      <c r="C33" s="398"/>
      <c r="D33" s="398"/>
      <c r="E33" s="398"/>
      <c r="F33" s="399"/>
      <c r="G33" s="394"/>
      <c r="I33" s="396"/>
      <c r="R33" s="397"/>
    </row>
    <row r="34" spans="1:18" s="396" customFormat="1" ht="30">
      <c r="A34" s="395"/>
      <c r="B34" s="643" t="s">
        <v>630</v>
      </c>
      <c r="C34" s="643" t="s">
        <v>885</v>
      </c>
      <c r="D34" s="644" t="s">
        <v>631</v>
      </c>
      <c r="E34" s="644" t="s">
        <v>632</v>
      </c>
      <c r="F34" s="643" t="s">
        <v>633</v>
      </c>
      <c r="G34" s="643" t="s">
        <v>886</v>
      </c>
      <c r="H34" s="643" t="s">
        <v>887</v>
      </c>
      <c r="I34" s="643" t="s">
        <v>634</v>
      </c>
      <c r="J34" s="643" t="s">
        <v>888</v>
      </c>
      <c r="K34" s="400"/>
      <c r="R34" s="401"/>
    </row>
    <row r="35" spans="1:18" s="396" customFormat="1" ht="15.75">
      <c r="A35" s="395"/>
      <c r="B35" s="643"/>
      <c r="C35" s="643" t="s">
        <v>635</v>
      </c>
      <c r="D35" s="644" t="s">
        <v>636</v>
      </c>
      <c r="E35" s="644" t="s">
        <v>637</v>
      </c>
      <c r="F35" s="643" t="s">
        <v>889</v>
      </c>
      <c r="G35" s="643" t="s">
        <v>638</v>
      </c>
      <c r="H35" s="643" t="s">
        <v>639</v>
      </c>
      <c r="I35" s="643" t="s">
        <v>890</v>
      </c>
      <c r="J35" s="643" t="s">
        <v>891</v>
      </c>
      <c r="K35" s="400"/>
      <c r="R35" s="401"/>
    </row>
    <row r="36" spans="1:18" s="650" customFormat="1" ht="15.75">
      <c r="A36" s="645"/>
      <c r="B36" s="646" t="s">
        <v>659</v>
      </c>
      <c r="C36" s="647" t="e">
        <f>#REF!</f>
        <v>#REF!</v>
      </c>
      <c r="D36" s="647">
        <v>0</v>
      </c>
      <c r="E36" s="648">
        <v>0</v>
      </c>
      <c r="F36" s="648">
        <v>0</v>
      </c>
      <c r="G36" s="649" t="e">
        <f>ROUND((C36*E36+D36*F36),2)</f>
        <v>#REF!</v>
      </c>
      <c r="H36" s="649" t="e">
        <f>C36+D36+G36</f>
        <v>#REF!</v>
      </c>
      <c r="I36" s="649" t="e">
        <f>IF((E36+F36)&gt;0,0,ROUND(H36*(VLOOKUP(B36,B48:$D$74,3,0)),2))</f>
        <v>#REF!</v>
      </c>
      <c r="J36" s="649" t="e">
        <f>H36+I36</f>
        <v>#REF!</v>
      </c>
      <c r="R36" s="651"/>
    </row>
    <row r="37" spans="1:18" s="395" customFormat="1" ht="15.75">
      <c r="E37" s="402"/>
      <c r="F37" s="402"/>
      <c r="G37" s="402"/>
      <c r="H37" s="402"/>
      <c r="I37" s="396"/>
      <c r="J37" s="403"/>
      <c r="K37" s="404"/>
      <c r="R37" s="397"/>
    </row>
    <row r="38" spans="1:18" s="395" customFormat="1" ht="15.75">
      <c r="E38" s="402"/>
      <c r="F38" s="402"/>
      <c r="G38" s="402"/>
      <c r="H38" s="396"/>
      <c r="I38" s="396"/>
      <c r="J38" s="405"/>
      <c r="K38" s="404"/>
      <c r="R38" s="397"/>
    </row>
    <row r="39" spans="1:18" s="395" customFormat="1" ht="15.75" hidden="1" customHeight="1">
      <c r="B39" s="406" t="s">
        <v>641</v>
      </c>
      <c r="C39" s="671" t="s">
        <v>642</v>
      </c>
      <c r="D39" s="671"/>
      <c r="E39" s="402"/>
      <c r="F39" s="402"/>
      <c r="G39" s="402"/>
      <c r="H39" s="396"/>
      <c r="I39" s="396"/>
      <c r="J39" s="405"/>
      <c r="K39" s="404"/>
      <c r="R39" s="397"/>
    </row>
    <row r="40" spans="1:18" s="395" customFormat="1" ht="15.75" hidden="1">
      <c r="B40" s="407" t="s">
        <v>643</v>
      </c>
      <c r="C40" s="671"/>
      <c r="D40" s="671"/>
      <c r="E40" s="402"/>
      <c r="F40" s="402"/>
      <c r="G40" s="402"/>
      <c r="H40" s="396"/>
      <c r="I40" s="396"/>
      <c r="J40" s="405"/>
      <c r="K40" s="404"/>
      <c r="R40" s="397"/>
    </row>
    <row r="41" spans="1:18" s="395" customFormat="1" ht="15.75" hidden="1">
      <c r="B41" s="408" t="s">
        <v>644</v>
      </c>
      <c r="C41" s="671"/>
      <c r="D41" s="671"/>
      <c r="E41" s="402"/>
      <c r="F41" s="402"/>
      <c r="G41" s="402"/>
      <c r="H41" s="396"/>
      <c r="I41" s="396"/>
      <c r="J41" s="405"/>
      <c r="K41" s="404"/>
      <c r="R41" s="397"/>
    </row>
    <row r="42" spans="1:18" s="395" customFormat="1" ht="15.75" hidden="1">
      <c r="C42" s="671"/>
      <c r="D42" s="671"/>
      <c r="E42" s="402"/>
      <c r="F42" s="402"/>
      <c r="G42" s="402"/>
      <c r="H42" s="396"/>
      <c r="I42" s="396"/>
      <c r="J42" s="405"/>
      <c r="K42" s="404"/>
      <c r="R42" s="397"/>
    </row>
    <row r="43" spans="1:18" s="395" customFormat="1" ht="15.75" hidden="1">
      <c r="C43" s="671"/>
      <c r="D43" s="671"/>
      <c r="E43" s="402"/>
      <c r="F43" s="402"/>
      <c r="G43" s="402"/>
      <c r="H43" s="396"/>
      <c r="I43" s="396"/>
      <c r="J43" s="405"/>
      <c r="K43" s="404"/>
      <c r="R43" s="397"/>
    </row>
    <row r="44" spans="1:18" s="395" customFormat="1" ht="15.75" hidden="1">
      <c r="C44" s="671"/>
      <c r="D44" s="671"/>
      <c r="E44" s="402"/>
      <c r="F44" s="402"/>
      <c r="G44" s="402"/>
      <c r="H44" s="396"/>
      <c r="I44" s="396"/>
      <c r="J44" s="405"/>
      <c r="K44" s="404"/>
      <c r="R44" s="397"/>
    </row>
    <row r="45" spans="1:18" s="395" customFormat="1" ht="15.75" hidden="1">
      <c r="E45" s="402"/>
      <c r="F45" s="402"/>
      <c r="G45" s="402"/>
      <c r="H45" s="396"/>
      <c r="I45" s="396"/>
      <c r="J45" s="405"/>
      <c r="K45" s="404"/>
      <c r="R45" s="397"/>
    </row>
    <row r="46" spans="1:18" s="395" customFormat="1" ht="15.75" hidden="1">
      <c r="B46" s="406" t="s">
        <v>645</v>
      </c>
      <c r="E46" s="402"/>
      <c r="F46" s="402"/>
      <c r="G46" s="402"/>
      <c r="H46" s="396"/>
      <c r="I46" s="396"/>
      <c r="J46" s="405"/>
      <c r="K46" s="404"/>
      <c r="R46" s="397"/>
    </row>
    <row r="47" spans="1:18" s="395" customFormat="1" ht="15.75" hidden="1">
      <c r="B47" s="652" t="s">
        <v>646</v>
      </c>
      <c r="C47" s="653" t="s">
        <v>1063</v>
      </c>
      <c r="D47" s="561" t="s">
        <v>648</v>
      </c>
      <c r="E47" s="409" t="s">
        <v>892</v>
      </c>
      <c r="F47" s="409" t="s">
        <v>649</v>
      </c>
      <c r="M47" s="397"/>
    </row>
    <row r="48" spans="1:18" s="395" customFormat="1" ht="15.75" hidden="1">
      <c r="B48" s="654" t="s">
        <v>650</v>
      </c>
      <c r="C48" s="655" t="s">
        <v>651</v>
      </c>
      <c r="D48" s="656">
        <v>0</v>
      </c>
      <c r="E48" s="410" t="s">
        <v>652</v>
      </c>
      <c r="F48" s="410" t="s">
        <v>653</v>
      </c>
      <c r="M48" s="397"/>
    </row>
    <row r="49" spans="1:13" s="395" customFormat="1" ht="15.75" hidden="1">
      <c r="B49" s="657" t="s">
        <v>654</v>
      </c>
      <c r="C49" s="655" t="s">
        <v>655</v>
      </c>
      <c r="D49" s="562">
        <v>0.01</v>
      </c>
      <c r="E49" s="410" t="s">
        <v>652</v>
      </c>
      <c r="F49" s="410" t="s">
        <v>656</v>
      </c>
      <c r="M49" s="397"/>
    </row>
    <row r="50" spans="1:13" s="395" customFormat="1" ht="15.75" hidden="1">
      <c r="B50" s="657" t="s">
        <v>657</v>
      </c>
      <c r="C50" s="655" t="s">
        <v>655</v>
      </c>
      <c r="D50" s="562">
        <v>0.01</v>
      </c>
      <c r="E50" s="410" t="s">
        <v>652</v>
      </c>
      <c r="F50" s="410" t="s">
        <v>656</v>
      </c>
      <c r="M50" s="397"/>
    </row>
    <row r="51" spans="1:13" s="411" customFormat="1" ht="15.75" hidden="1">
      <c r="A51" s="395"/>
      <c r="B51" s="657" t="s">
        <v>658</v>
      </c>
      <c r="C51" s="655" t="s">
        <v>655</v>
      </c>
      <c r="D51" s="562">
        <v>0.01</v>
      </c>
      <c r="E51" s="410" t="s">
        <v>652</v>
      </c>
      <c r="F51" s="410" t="s">
        <v>653</v>
      </c>
    </row>
    <row r="52" spans="1:13" s="412" customFormat="1" ht="15.75" hidden="1">
      <c r="A52" s="395"/>
      <c r="B52" s="654" t="s">
        <v>659</v>
      </c>
      <c r="C52" s="655" t="s">
        <v>655</v>
      </c>
      <c r="D52" s="562">
        <v>0.01</v>
      </c>
      <c r="E52" s="410" t="s">
        <v>652</v>
      </c>
      <c r="F52" s="410" t="s">
        <v>653</v>
      </c>
    </row>
    <row r="53" spans="1:13" s="412" customFormat="1" ht="15.75" hidden="1">
      <c r="A53" s="395"/>
      <c r="B53" s="654" t="s">
        <v>660</v>
      </c>
      <c r="C53" s="655" t="s">
        <v>655</v>
      </c>
      <c r="D53" s="562">
        <v>0.01</v>
      </c>
      <c r="E53" s="410" t="s">
        <v>652</v>
      </c>
      <c r="F53" s="410" t="s">
        <v>653</v>
      </c>
    </row>
    <row r="54" spans="1:13" s="412" customFormat="1" ht="15.75" hidden="1">
      <c r="A54" s="395"/>
      <c r="B54" s="654" t="s">
        <v>661</v>
      </c>
      <c r="C54" s="655" t="s">
        <v>655</v>
      </c>
      <c r="D54" s="562">
        <v>0.01</v>
      </c>
      <c r="E54" s="410" t="s">
        <v>652</v>
      </c>
      <c r="F54" s="410" t="s">
        <v>656</v>
      </c>
    </row>
    <row r="55" spans="1:13" s="412" customFormat="1" ht="15.75" hidden="1">
      <c r="A55" s="395"/>
      <c r="B55" s="654" t="s">
        <v>662</v>
      </c>
      <c r="C55" s="655" t="s">
        <v>651</v>
      </c>
      <c r="D55" s="562">
        <v>0</v>
      </c>
      <c r="E55" s="410" t="s">
        <v>652</v>
      </c>
      <c r="F55" s="410" t="s">
        <v>653</v>
      </c>
    </row>
    <row r="56" spans="1:13" s="412" customFormat="1" ht="15.75" hidden="1">
      <c r="A56" s="395"/>
      <c r="B56" s="654" t="s">
        <v>663</v>
      </c>
      <c r="C56" s="655" t="s">
        <v>655</v>
      </c>
      <c r="D56" s="656">
        <v>0</v>
      </c>
      <c r="E56" s="410" t="s">
        <v>652</v>
      </c>
      <c r="F56" s="410" t="s">
        <v>653</v>
      </c>
    </row>
    <row r="57" spans="1:13" s="412" customFormat="1" ht="15.75" hidden="1">
      <c r="A57" s="395"/>
      <c r="B57" s="654" t="s">
        <v>640</v>
      </c>
      <c r="C57" s="655" t="s">
        <v>655</v>
      </c>
      <c r="D57" s="562">
        <v>0.01</v>
      </c>
      <c r="E57" s="410" t="s">
        <v>652</v>
      </c>
      <c r="F57" s="410" t="s">
        <v>653</v>
      </c>
    </row>
    <row r="58" spans="1:13" s="412" customFormat="1" ht="15.75" hidden="1">
      <c r="A58" s="395"/>
      <c r="B58" s="654" t="s">
        <v>664</v>
      </c>
      <c r="C58" s="655" t="s">
        <v>651</v>
      </c>
      <c r="D58" s="562">
        <v>0.01</v>
      </c>
      <c r="E58" s="410" t="s">
        <v>652</v>
      </c>
      <c r="F58" s="410" t="s">
        <v>656</v>
      </c>
    </row>
    <row r="59" spans="1:13" s="412" customFormat="1" ht="15.75" hidden="1">
      <c r="A59" s="395"/>
      <c r="B59" s="654" t="s">
        <v>665</v>
      </c>
      <c r="C59" s="655" t="s">
        <v>655</v>
      </c>
      <c r="D59" s="562">
        <v>0.01</v>
      </c>
      <c r="E59" s="410" t="s">
        <v>652</v>
      </c>
      <c r="F59" s="410" t="s">
        <v>653</v>
      </c>
    </row>
    <row r="60" spans="1:13" s="412" customFormat="1" ht="15.75" hidden="1">
      <c r="A60" s="395"/>
      <c r="B60" s="654" t="s">
        <v>666</v>
      </c>
      <c r="C60" s="655" t="s">
        <v>655</v>
      </c>
      <c r="D60" s="562">
        <v>0.01</v>
      </c>
      <c r="E60" s="410" t="s">
        <v>682</v>
      </c>
      <c r="F60" s="410" t="s">
        <v>667</v>
      </c>
    </row>
    <row r="61" spans="1:13" s="412" customFormat="1" ht="15.75" hidden="1">
      <c r="A61" s="395"/>
      <c r="B61" s="654" t="s">
        <v>668</v>
      </c>
      <c r="C61" s="655" t="s">
        <v>655</v>
      </c>
      <c r="D61" s="562">
        <v>0.01</v>
      </c>
      <c r="E61" s="410" t="s">
        <v>682</v>
      </c>
      <c r="F61" s="410" t="s">
        <v>667</v>
      </c>
    </row>
    <row r="62" spans="1:13" s="412" customFormat="1" ht="15.75" hidden="1">
      <c r="A62" s="395"/>
      <c r="B62" s="654" t="s">
        <v>893</v>
      </c>
      <c r="C62" s="655" t="s">
        <v>655</v>
      </c>
      <c r="D62" s="562">
        <v>0.01</v>
      </c>
      <c r="E62" s="410" t="s">
        <v>682</v>
      </c>
      <c r="F62" s="410" t="s">
        <v>667</v>
      </c>
    </row>
    <row r="63" spans="1:13" s="412" customFormat="1" ht="15.75" hidden="1">
      <c r="A63" s="395"/>
      <c r="B63" s="654" t="s">
        <v>669</v>
      </c>
      <c r="C63" s="655" t="s">
        <v>655</v>
      </c>
      <c r="D63" s="562">
        <v>0.01</v>
      </c>
      <c r="E63" s="410" t="s">
        <v>682</v>
      </c>
      <c r="F63" s="410" t="s">
        <v>667</v>
      </c>
    </row>
    <row r="64" spans="1:13" s="412" customFormat="1" ht="15.75" hidden="1">
      <c r="A64" s="395"/>
      <c r="B64" s="654" t="s">
        <v>670</v>
      </c>
      <c r="C64" s="655" t="s">
        <v>655</v>
      </c>
      <c r="D64" s="562">
        <v>0.01</v>
      </c>
      <c r="E64" s="410" t="s">
        <v>682</v>
      </c>
      <c r="F64" s="410" t="s">
        <v>667</v>
      </c>
    </row>
    <row r="65" spans="1:9" s="412" customFormat="1" ht="15.75" hidden="1">
      <c r="A65" s="395"/>
      <c r="B65" s="654" t="s">
        <v>671</v>
      </c>
      <c r="C65" s="655" t="s">
        <v>655</v>
      </c>
      <c r="D65" s="562">
        <v>0.01</v>
      </c>
      <c r="E65" s="410" t="s">
        <v>682</v>
      </c>
      <c r="F65" s="410" t="s">
        <v>667</v>
      </c>
    </row>
    <row r="66" spans="1:9" s="412" customFormat="1" ht="15.75" hidden="1">
      <c r="A66" s="395"/>
      <c r="B66" s="658" t="s">
        <v>672</v>
      </c>
      <c r="C66" s="659" t="s">
        <v>655</v>
      </c>
      <c r="D66" s="562">
        <v>0.01</v>
      </c>
      <c r="E66" s="410" t="s">
        <v>652</v>
      </c>
      <c r="F66" s="410" t="s">
        <v>673</v>
      </c>
    </row>
    <row r="67" spans="1:9" s="412" customFormat="1" ht="15.75" hidden="1">
      <c r="A67" s="395"/>
      <c r="B67" s="658" t="s">
        <v>674</v>
      </c>
      <c r="C67" s="659" t="s">
        <v>655</v>
      </c>
      <c r="D67" s="562">
        <v>0.01</v>
      </c>
      <c r="E67" s="410" t="s">
        <v>652</v>
      </c>
      <c r="F67" s="410" t="s">
        <v>673</v>
      </c>
    </row>
    <row r="68" spans="1:9" s="412" customFormat="1" ht="15.75" hidden="1">
      <c r="A68" s="395"/>
      <c r="B68" s="658" t="s">
        <v>675</v>
      </c>
      <c r="C68" s="659" t="s">
        <v>655</v>
      </c>
      <c r="D68" s="562">
        <v>0.01</v>
      </c>
      <c r="E68" s="410" t="s">
        <v>652</v>
      </c>
      <c r="F68" s="410" t="s">
        <v>673</v>
      </c>
    </row>
    <row r="69" spans="1:9" s="412" customFormat="1" ht="15.75" hidden="1">
      <c r="A69" s="395"/>
      <c r="B69" s="658" t="s">
        <v>676</v>
      </c>
      <c r="C69" s="659" t="s">
        <v>651</v>
      </c>
      <c r="D69" s="562">
        <v>0</v>
      </c>
      <c r="E69" s="410" t="s">
        <v>652</v>
      </c>
      <c r="F69" s="410" t="s">
        <v>673</v>
      </c>
    </row>
    <row r="70" spans="1:9" s="412" customFormat="1" ht="15.75" hidden="1">
      <c r="A70" s="395"/>
      <c r="B70" s="654" t="s">
        <v>677</v>
      </c>
      <c r="C70" s="655" t="s">
        <v>655</v>
      </c>
      <c r="D70" s="562">
        <v>0.01</v>
      </c>
      <c r="E70" s="410" t="s">
        <v>652</v>
      </c>
      <c r="F70" s="410" t="s">
        <v>673</v>
      </c>
    </row>
    <row r="71" spans="1:9" s="412" customFormat="1" ht="15.75" hidden="1">
      <c r="A71" s="395"/>
      <c r="B71" s="654" t="s">
        <v>678</v>
      </c>
      <c r="C71" s="655" t="s">
        <v>655</v>
      </c>
      <c r="D71" s="562">
        <v>0.01</v>
      </c>
      <c r="E71" s="410" t="s">
        <v>652</v>
      </c>
      <c r="F71" s="410" t="s">
        <v>673</v>
      </c>
    </row>
    <row r="72" spans="1:9" s="412" customFormat="1" ht="15.75" hidden="1">
      <c r="A72" s="395"/>
      <c r="B72" s="654" t="s">
        <v>679</v>
      </c>
      <c r="C72" s="655" t="s">
        <v>655</v>
      </c>
      <c r="D72" s="562">
        <v>0.01</v>
      </c>
      <c r="E72" s="410" t="s">
        <v>652</v>
      </c>
      <c r="F72" s="410" t="s">
        <v>673</v>
      </c>
    </row>
    <row r="73" spans="1:9" s="412" customFormat="1" ht="15.75" hidden="1">
      <c r="A73" s="395"/>
      <c r="B73" s="654" t="s">
        <v>680</v>
      </c>
      <c r="C73" s="655" t="s">
        <v>655</v>
      </c>
      <c r="D73" s="562">
        <v>0.01</v>
      </c>
      <c r="E73" s="410" t="s">
        <v>652</v>
      </c>
      <c r="F73" s="410" t="s">
        <v>673</v>
      </c>
    </row>
    <row r="74" spans="1:9" s="412" customFormat="1" ht="15.75" hidden="1">
      <c r="A74" s="395"/>
      <c r="B74" s="654" t="s">
        <v>681</v>
      </c>
      <c r="C74" s="655" t="s">
        <v>655</v>
      </c>
      <c r="D74" s="562">
        <v>0.01</v>
      </c>
      <c r="E74" s="410" t="s">
        <v>682</v>
      </c>
      <c r="F74" s="410" t="s">
        <v>667</v>
      </c>
    </row>
    <row r="75" spans="1:9" s="412" customFormat="1" ht="15.75" hidden="1">
      <c r="A75" s="395"/>
      <c r="B75" s="654" t="s">
        <v>683</v>
      </c>
      <c r="C75" s="655" t="s">
        <v>655</v>
      </c>
      <c r="D75" s="562">
        <v>0.01</v>
      </c>
      <c r="E75" s="410" t="s">
        <v>682</v>
      </c>
      <c r="F75" s="410" t="s">
        <v>667</v>
      </c>
    </row>
    <row r="76" spans="1:9" s="412" customFormat="1" ht="15.75" hidden="1">
      <c r="A76" s="395"/>
      <c r="B76" s="660" t="s">
        <v>684</v>
      </c>
      <c r="C76" s="655" t="s">
        <v>655</v>
      </c>
      <c r="D76" s="562">
        <v>0.01</v>
      </c>
      <c r="E76" s="410" t="s">
        <v>652</v>
      </c>
      <c r="F76" s="410" t="s">
        <v>667</v>
      </c>
    </row>
    <row r="77" spans="1:9" s="412" customFormat="1" ht="15.75" hidden="1">
      <c r="A77" s="395"/>
      <c r="B77" s="660" t="s">
        <v>894</v>
      </c>
      <c r="C77" s="655" t="s">
        <v>655</v>
      </c>
      <c r="D77" s="562">
        <v>0.01</v>
      </c>
      <c r="E77" s="410" t="s">
        <v>652</v>
      </c>
      <c r="F77" s="410" t="s">
        <v>673</v>
      </c>
    </row>
    <row r="78" spans="1:9" s="412" customFormat="1" ht="15.75" hidden="1">
      <c r="E78" s="413"/>
      <c r="F78" s="413"/>
      <c r="G78" s="413"/>
      <c r="I78" s="414"/>
    </row>
    <row r="79" spans="1:9" s="412" customFormat="1" ht="15.75" hidden="1">
      <c r="B79" s="415" t="s">
        <v>685</v>
      </c>
      <c r="C79" s="415" t="s">
        <v>895</v>
      </c>
      <c r="D79" s="415" t="s">
        <v>686</v>
      </c>
      <c r="E79" s="413"/>
      <c r="F79" s="413"/>
      <c r="G79" s="413"/>
      <c r="I79" s="414"/>
    </row>
    <row r="80" spans="1:9" s="412" customFormat="1" ht="15.75" hidden="1">
      <c r="B80" s="661" t="s">
        <v>687</v>
      </c>
      <c r="C80" s="661" t="s">
        <v>688</v>
      </c>
      <c r="D80" s="580" t="s">
        <v>689</v>
      </c>
      <c r="G80" s="413"/>
      <c r="I80" s="414"/>
    </row>
    <row r="81" spans="1:11" s="412" customFormat="1" ht="15.75" hidden="1">
      <c r="B81" s="667" t="s">
        <v>690</v>
      </c>
      <c r="C81" s="661" t="s">
        <v>691</v>
      </c>
      <c r="D81" s="580" t="s">
        <v>692</v>
      </c>
      <c r="G81" s="413"/>
      <c r="I81" s="414"/>
    </row>
    <row r="82" spans="1:11" ht="15.75" hidden="1">
      <c r="A82" s="363"/>
      <c r="B82" s="667"/>
      <c r="C82" s="661" t="s">
        <v>693</v>
      </c>
      <c r="D82" s="580" t="s">
        <v>694</v>
      </c>
      <c r="E82" s="362"/>
      <c r="F82" s="362"/>
      <c r="G82" s="361"/>
      <c r="H82" s="416"/>
      <c r="I82" s="417"/>
      <c r="J82" s="416"/>
      <c r="K82" s="361"/>
    </row>
    <row r="83" spans="1:11" ht="15.75" hidden="1">
      <c r="A83" s="363"/>
      <c r="B83" s="667"/>
      <c r="C83" s="661" t="s">
        <v>695</v>
      </c>
      <c r="D83" s="580" t="s">
        <v>696</v>
      </c>
      <c r="E83" s="362"/>
      <c r="F83" s="362"/>
      <c r="G83" s="361"/>
      <c r="H83" s="416"/>
      <c r="I83" s="417"/>
      <c r="J83" s="416"/>
      <c r="K83" s="361"/>
    </row>
    <row r="84" spans="1:11" ht="15.75" hidden="1">
      <c r="A84" s="363"/>
      <c r="B84" s="667" t="s">
        <v>697</v>
      </c>
      <c r="C84" s="661" t="s">
        <v>691</v>
      </c>
      <c r="D84" s="580" t="s">
        <v>698</v>
      </c>
      <c r="E84" s="362"/>
      <c r="F84" s="362"/>
      <c r="G84" s="361"/>
      <c r="H84" s="416"/>
      <c r="I84" s="417"/>
      <c r="J84" s="416"/>
      <c r="K84" s="361"/>
    </row>
    <row r="85" spans="1:11" ht="15.75" hidden="1">
      <c r="A85" s="363"/>
      <c r="B85" s="667"/>
      <c r="C85" s="661" t="s">
        <v>699</v>
      </c>
      <c r="D85" s="580" t="s">
        <v>700</v>
      </c>
      <c r="E85" s="362"/>
      <c r="F85" s="362"/>
      <c r="G85" s="361"/>
      <c r="H85" s="416"/>
      <c r="I85" s="417"/>
      <c r="J85" s="416"/>
      <c r="K85" s="361"/>
    </row>
    <row r="86" spans="1:11" ht="15.75" hidden="1">
      <c r="A86" s="363"/>
      <c r="B86" s="667"/>
      <c r="C86" s="661" t="s">
        <v>701</v>
      </c>
      <c r="D86" s="580" t="s">
        <v>702</v>
      </c>
      <c r="E86" s="362"/>
      <c r="F86" s="362"/>
      <c r="G86" s="361"/>
      <c r="H86" s="416"/>
      <c r="I86" s="417"/>
      <c r="J86" s="416"/>
      <c r="K86" s="361"/>
    </row>
    <row r="87" spans="1:11" ht="15.75" hidden="1">
      <c r="A87" s="363"/>
      <c r="B87" s="667" t="s">
        <v>703</v>
      </c>
      <c r="C87" s="661" t="s">
        <v>691</v>
      </c>
      <c r="D87" s="580" t="s">
        <v>704</v>
      </c>
      <c r="E87" s="362"/>
      <c r="F87" s="362"/>
      <c r="G87" s="361"/>
      <c r="H87" s="416"/>
      <c r="I87" s="417"/>
      <c r="J87" s="416"/>
      <c r="K87" s="361"/>
    </row>
    <row r="88" spans="1:11" ht="15.75" hidden="1">
      <c r="A88" s="363"/>
      <c r="B88" s="667"/>
      <c r="C88" s="661" t="s">
        <v>705</v>
      </c>
      <c r="D88" s="580" t="s">
        <v>706</v>
      </c>
      <c r="E88" s="362"/>
      <c r="F88" s="362"/>
      <c r="G88" s="361"/>
      <c r="H88" s="416"/>
      <c r="I88" s="417"/>
      <c r="J88" s="416"/>
      <c r="K88" s="361"/>
    </row>
    <row r="89" spans="1:11" ht="15.75" hidden="1">
      <c r="A89" s="363"/>
      <c r="B89" s="667"/>
      <c r="C89" s="661" t="s">
        <v>707</v>
      </c>
      <c r="D89" s="580" t="s">
        <v>708</v>
      </c>
      <c r="E89" s="362"/>
      <c r="F89" s="362"/>
      <c r="G89" s="361"/>
      <c r="H89" s="416"/>
      <c r="I89" s="417"/>
      <c r="J89" s="416"/>
      <c r="K89" s="361"/>
    </row>
    <row r="90" spans="1:11" ht="15.75" hidden="1">
      <c r="A90" s="363"/>
      <c r="B90" s="667"/>
      <c r="C90" s="661" t="s">
        <v>709</v>
      </c>
      <c r="D90" s="580" t="s">
        <v>710</v>
      </c>
      <c r="E90" s="362"/>
      <c r="F90" s="362"/>
      <c r="G90" s="361"/>
      <c r="H90" s="416"/>
      <c r="I90" s="417"/>
      <c r="J90" s="416"/>
      <c r="K90" s="361"/>
    </row>
    <row r="91" spans="1:11" ht="15.75" hidden="1">
      <c r="A91" s="363"/>
      <c r="B91" s="667"/>
      <c r="C91" s="661" t="s">
        <v>711</v>
      </c>
      <c r="D91" s="580" t="s">
        <v>712</v>
      </c>
      <c r="E91" s="362"/>
      <c r="F91" s="362"/>
      <c r="G91" s="361"/>
      <c r="H91" s="416"/>
      <c r="I91" s="417"/>
      <c r="J91" s="416"/>
      <c r="K91" s="361"/>
    </row>
    <row r="92" spans="1:11" ht="15.75" hidden="1">
      <c r="A92" s="363"/>
      <c r="B92" s="667"/>
      <c r="C92" s="662" t="s">
        <v>713</v>
      </c>
      <c r="D92" s="564" t="s">
        <v>714</v>
      </c>
      <c r="E92" s="362"/>
      <c r="F92" s="362"/>
      <c r="G92" s="361"/>
      <c r="H92" s="416"/>
      <c r="I92" s="417"/>
      <c r="J92" s="416"/>
      <c r="K92" s="361"/>
    </row>
    <row r="93" spans="1:11" ht="15.75" hidden="1">
      <c r="A93" s="362"/>
      <c r="B93" s="667"/>
      <c r="C93" s="662" t="s">
        <v>715</v>
      </c>
      <c r="D93" s="564" t="s">
        <v>716</v>
      </c>
      <c r="E93" s="362"/>
      <c r="F93" s="362"/>
      <c r="G93" s="361"/>
      <c r="H93" s="362"/>
      <c r="I93" s="363"/>
      <c r="J93" s="362"/>
      <c r="K93" s="362"/>
    </row>
    <row r="94" spans="1:11" ht="15.75" hidden="1">
      <c r="A94" s="362"/>
      <c r="B94" s="667"/>
      <c r="C94" s="662" t="s">
        <v>717</v>
      </c>
      <c r="D94" s="564" t="s">
        <v>717</v>
      </c>
      <c r="E94" s="362"/>
      <c r="F94" s="362"/>
      <c r="G94" s="361"/>
      <c r="H94" s="362"/>
      <c r="I94" s="363"/>
      <c r="J94" s="362"/>
      <c r="K94" s="362"/>
    </row>
    <row r="95" spans="1:11" ht="15.75" hidden="1">
      <c r="A95" s="363"/>
      <c r="B95" s="667"/>
      <c r="C95" s="662" t="s">
        <v>718</v>
      </c>
      <c r="D95" s="564" t="s">
        <v>719</v>
      </c>
      <c r="E95" s="362"/>
      <c r="F95" s="362"/>
      <c r="G95" s="361"/>
      <c r="H95" s="416"/>
      <c r="I95" s="417"/>
      <c r="J95" s="416"/>
      <c r="K95" s="361"/>
    </row>
    <row r="96" spans="1:11" ht="15.75" hidden="1">
      <c r="A96" s="363"/>
      <c r="B96" s="667" t="s">
        <v>720</v>
      </c>
      <c r="C96" s="661" t="s">
        <v>691</v>
      </c>
      <c r="D96" s="580" t="s">
        <v>721</v>
      </c>
      <c r="E96" s="362"/>
      <c r="F96" s="362"/>
      <c r="G96" s="361"/>
      <c r="H96" s="416"/>
      <c r="I96" s="417"/>
      <c r="J96" s="416"/>
      <c r="K96" s="361"/>
    </row>
    <row r="97" spans="2:6" ht="15.75" hidden="1">
      <c r="B97" s="667"/>
      <c r="C97" s="661" t="s">
        <v>722</v>
      </c>
      <c r="D97" s="580" t="s">
        <v>723</v>
      </c>
      <c r="E97" s="362"/>
      <c r="F97" s="362"/>
    </row>
    <row r="98" spans="2:6" ht="15.75" hidden="1">
      <c r="B98" s="667"/>
      <c r="C98" s="661" t="s">
        <v>724</v>
      </c>
      <c r="D98" s="580" t="s">
        <v>725</v>
      </c>
      <c r="E98" s="362"/>
      <c r="F98" s="362"/>
    </row>
    <row r="99" spans="2:6" ht="15.75" hidden="1">
      <c r="B99" s="667" t="s">
        <v>726</v>
      </c>
      <c r="C99" s="661" t="s">
        <v>691</v>
      </c>
      <c r="D99" s="580" t="s">
        <v>726</v>
      </c>
      <c r="E99" s="362"/>
      <c r="F99" s="362"/>
    </row>
    <row r="100" spans="2:6" ht="15.75" hidden="1">
      <c r="B100" s="667"/>
      <c r="C100" s="661" t="s">
        <v>727</v>
      </c>
      <c r="D100" s="580" t="s">
        <v>728</v>
      </c>
      <c r="E100" s="361"/>
      <c r="F100" s="361"/>
    </row>
    <row r="101" spans="2:6" ht="15.75" hidden="1">
      <c r="B101" s="667"/>
      <c r="C101" s="661" t="s">
        <v>729</v>
      </c>
      <c r="D101" s="580" t="s">
        <v>730</v>
      </c>
      <c r="E101" s="361"/>
      <c r="F101" s="361"/>
    </row>
    <row r="102" spans="2:6" ht="15.75" hidden="1">
      <c r="B102" s="667"/>
      <c r="C102" s="661" t="s">
        <v>731</v>
      </c>
      <c r="D102" s="580" t="s">
        <v>732</v>
      </c>
      <c r="E102" s="361"/>
      <c r="F102" s="361"/>
    </row>
    <row r="103" spans="2:6" ht="15.75" hidden="1">
      <c r="B103" s="667" t="s">
        <v>733</v>
      </c>
      <c r="C103" s="661" t="s">
        <v>691</v>
      </c>
      <c r="D103" s="580" t="s">
        <v>734</v>
      </c>
      <c r="E103" s="361"/>
      <c r="F103" s="361"/>
    </row>
    <row r="104" spans="2:6" ht="15.75" hidden="1">
      <c r="B104" s="667"/>
      <c r="C104" s="661" t="s">
        <v>735</v>
      </c>
      <c r="D104" s="580" t="s">
        <v>735</v>
      </c>
      <c r="E104" s="361"/>
      <c r="F104" s="361"/>
    </row>
    <row r="105" spans="2:6" ht="15.75" hidden="1">
      <c r="B105" s="667"/>
      <c r="C105" s="661" t="s">
        <v>736</v>
      </c>
      <c r="D105" s="580" t="s">
        <v>737</v>
      </c>
      <c r="E105" s="361"/>
      <c r="F105" s="361"/>
    </row>
    <row r="106" spans="2:6" ht="15.75" hidden="1">
      <c r="B106" s="667"/>
      <c r="C106" s="661" t="s">
        <v>738</v>
      </c>
      <c r="D106" s="580" t="s">
        <v>739</v>
      </c>
      <c r="E106" s="361"/>
      <c r="F106" s="361"/>
    </row>
    <row r="107" spans="2:6" ht="15.75" hidden="1">
      <c r="B107" s="661" t="s">
        <v>21</v>
      </c>
      <c r="C107" s="661" t="s">
        <v>21</v>
      </c>
      <c r="D107" s="580" t="s">
        <v>740</v>
      </c>
      <c r="E107" s="361"/>
      <c r="F107" s="361"/>
    </row>
    <row r="108" spans="2:6" ht="15.75" hidden="1">
      <c r="B108" s="661" t="s">
        <v>741</v>
      </c>
      <c r="C108" s="661" t="s">
        <v>742</v>
      </c>
      <c r="D108" s="580" t="s">
        <v>743</v>
      </c>
      <c r="E108" s="361"/>
      <c r="F108" s="361"/>
    </row>
    <row r="109" spans="2:6" ht="15.75" hidden="1">
      <c r="B109" s="661" t="s">
        <v>744</v>
      </c>
      <c r="C109" s="661" t="s">
        <v>744</v>
      </c>
      <c r="D109" s="580" t="s">
        <v>745</v>
      </c>
      <c r="E109" s="361"/>
      <c r="F109" s="361"/>
    </row>
    <row r="110" spans="2:6" ht="15.75" hidden="1">
      <c r="B110" s="661" t="s">
        <v>746</v>
      </c>
      <c r="C110" s="661" t="s">
        <v>746</v>
      </c>
      <c r="D110" s="580" t="s">
        <v>746</v>
      </c>
      <c r="E110" s="361"/>
      <c r="F110" s="361"/>
    </row>
    <row r="111" spans="2:6" ht="15.75" hidden="1">
      <c r="B111" s="667" t="s">
        <v>747</v>
      </c>
      <c r="C111" s="661" t="s">
        <v>747</v>
      </c>
      <c r="D111" s="580" t="s">
        <v>748</v>
      </c>
      <c r="E111" s="361"/>
      <c r="F111" s="361"/>
    </row>
    <row r="112" spans="2:6" ht="15.75" hidden="1">
      <c r="B112" s="667"/>
      <c r="C112" s="661" t="s">
        <v>749</v>
      </c>
      <c r="D112" s="580" t="s">
        <v>750</v>
      </c>
      <c r="E112" s="361"/>
      <c r="F112" s="361"/>
    </row>
    <row r="113" spans="2:4" ht="14.25" hidden="1">
      <c r="B113" s="661" t="s">
        <v>751</v>
      </c>
      <c r="C113" s="661" t="s">
        <v>751</v>
      </c>
      <c r="D113" s="580" t="s">
        <v>752</v>
      </c>
    </row>
    <row r="114" spans="2:4" ht="15.75">
      <c r="B114" s="362"/>
      <c r="C114" s="362"/>
      <c r="D114" s="362"/>
    </row>
  </sheetData>
  <protectedRanges>
    <protectedRange sqref="C2" name="範圍1_2"/>
    <protectedRange sqref="C25:C26" name="範圍1_1_2_1"/>
    <protectedRange sqref="C27:C28" name="範圍1_1_2_1_1"/>
    <protectedRange sqref="C29:C30" name="範圍1_1_2_1_2"/>
  </protectedRanges>
  <mergeCells count="10">
    <mergeCell ref="B96:B98"/>
    <mergeCell ref="B99:B102"/>
    <mergeCell ref="B103:B106"/>
    <mergeCell ref="B111:B112"/>
    <mergeCell ref="B1:C1"/>
    <mergeCell ref="C27:C28"/>
    <mergeCell ref="C39:D44"/>
    <mergeCell ref="B81:B83"/>
    <mergeCell ref="B84:B86"/>
    <mergeCell ref="B87:B95"/>
  </mergeCells>
  <phoneticPr fontId="29" type="noConversion"/>
  <dataValidations count="4">
    <dataValidation type="list" allowBlank="1" showInputMessage="1" showErrorMessage="1" sqref="C20:C23">
      <formula1>$C$80:$C$113</formula1>
    </dataValidation>
    <dataValidation type="list" allowBlank="1" showInputMessage="1" sqref="C2">
      <formula1>$M$3:$S$3</formula1>
    </dataValidation>
    <dataValidation type="list" allowBlank="1" showInputMessage="1" sqref="C8">
      <formula1>$I$2:$N$2</formula1>
    </dataValidation>
    <dataValidation type="list" allowBlank="1" showInputMessage="1" showErrorMessage="1" sqref="B36">
      <formula1>$B$48:$B$77</formula1>
    </dataValidation>
  </dataValidations>
  <printOptions horizontalCentered="1"/>
  <pageMargins left="0.2361111111111111" right="0.15694444444444444" top="0.46944444444444444" bottom="0.50972222222222219" header="0.15902777777777777" footer="0.236111111111111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tabSelected="1" zoomScale="70" zoomScaleNormal="70" workbookViewId="0">
      <selection activeCell="B33" sqref="B33"/>
    </sheetView>
  </sheetViews>
  <sheetFormatPr defaultRowHeight="13.5"/>
  <cols>
    <col min="1" max="1" width="9.125" customWidth="1"/>
    <col min="2" max="2" width="62.75" bestFit="1" customWidth="1"/>
    <col min="3" max="3" width="57.75" bestFit="1" customWidth="1"/>
    <col min="4" max="4" width="23.875" customWidth="1"/>
    <col min="5" max="5" width="24.75" customWidth="1"/>
    <col min="6" max="6" width="24.375" customWidth="1"/>
    <col min="7" max="7" width="19" bestFit="1" customWidth="1"/>
    <col min="8" max="8" width="18.5" customWidth="1"/>
    <col min="9" max="9" width="23.625" bestFit="1" customWidth="1"/>
    <col min="10" max="10" width="19.25" customWidth="1"/>
    <col min="11" max="11" width="19" bestFit="1" customWidth="1"/>
    <col min="12" max="12" width="9" customWidth="1"/>
  </cols>
  <sheetData>
    <row r="1" spans="1:11" ht="23.25" customHeight="1" thickBot="1">
      <c r="A1" s="358"/>
      <c r="B1" s="668" t="s">
        <v>979</v>
      </c>
      <c r="C1" s="668"/>
      <c r="D1" s="359"/>
      <c r="E1" s="359"/>
      <c r="F1" s="360"/>
      <c r="G1" s="361"/>
      <c r="H1" s="362"/>
      <c r="I1" s="363"/>
      <c r="J1" s="362"/>
      <c r="K1" s="362"/>
    </row>
    <row r="2" spans="1:11" ht="15.75">
      <c r="A2" s="363"/>
      <c r="B2" s="364" t="s">
        <v>868</v>
      </c>
      <c r="C2" s="365" t="s">
        <v>980</v>
      </c>
      <c r="D2" s="361"/>
      <c r="E2" s="362"/>
      <c r="F2" s="363"/>
      <c r="G2" s="362"/>
      <c r="H2" s="362"/>
      <c r="I2" s="362"/>
      <c r="J2" s="362"/>
      <c r="K2" s="362"/>
    </row>
    <row r="3" spans="1:11" ht="15.75">
      <c r="A3" s="363"/>
      <c r="B3" s="366" t="s">
        <v>981</v>
      </c>
      <c r="C3" s="367" t="s">
        <v>982</v>
      </c>
      <c r="D3" s="361"/>
      <c r="E3" s="363"/>
      <c r="F3" s="363"/>
      <c r="G3" s="363"/>
      <c r="H3" s="363"/>
      <c r="I3" s="362"/>
      <c r="J3" s="362"/>
      <c r="K3" s="362"/>
    </row>
    <row r="4" spans="1:11" ht="15.75">
      <c r="A4" s="363"/>
      <c r="B4" s="366" t="s">
        <v>983</v>
      </c>
      <c r="C4" s="368" t="s">
        <v>984</v>
      </c>
      <c r="D4" s="363"/>
      <c r="E4" s="361"/>
      <c r="F4" s="363"/>
      <c r="G4" s="361"/>
      <c r="H4" s="362"/>
      <c r="I4" s="362"/>
      <c r="J4" s="362"/>
      <c r="K4" s="362"/>
    </row>
    <row r="5" spans="1:11" ht="15.75">
      <c r="A5" s="363"/>
      <c r="B5" s="366" t="s">
        <v>985</v>
      </c>
      <c r="C5" s="369" t="s">
        <v>986</v>
      </c>
      <c r="D5" s="361"/>
      <c r="E5" s="361"/>
      <c r="F5" s="363"/>
      <c r="G5" s="363"/>
      <c r="H5" s="363"/>
      <c r="I5" s="362"/>
      <c r="J5" s="362"/>
      <c r="K5" s="362"/>
    </row>
    <row r="6" spans="1:11" ht="15.75">
      <c r="A6" s="363"/>
      <c r="B6" s="366" t="s">
        <v>987</v>
      </c>
      <c r="C6" s="370" t="str">
        <f>VLOOKUP(B31,$B$43:$F$69,5,0)</f>
        <v>Sanny Song</v>
      </c>
      <c r="D6" s="371"/>
      <c r="E6" s="363"/>
      <c r="F6" s="363"/>
      <c r="G6" s="363"/>
      <c r="H6" s="363"/>
      <c r="I6" s="362"/>
      <c r="J6" s="362"/>
      <c r="K6" s="362"/>
    </row>
    <row r="7" spans="1:11" ht="15.75">
      <c r="A7" s="363"/>
      <c r="B7" s="366" t="s">
        <v>988</v>
      </c>
      <c r="C7" s="372" t="str">
        <f>VLOOKUP(B31,$B$43:$E$69,4,0)</f>
        <v>Irene Luo</v>
      </c>
      <c r="D7" s="361"/>
      <c r="E7" s="363"/>
      <c r="F7" s="363"/>
      <c r="G7" s="363"/>
      <c r="H7" s="363"/>
      <c r="I7" s="362"/>
      <c r="J7" s="362"/>
      <c r="K7" s="362"/>
    </row>
    <row r="8" spans="1:11" ht="15.75">
      <c r="A8" s="363"/>
      <c r="B8" s="366" t="s">
        <v>989</v>
      </c>
      <c r="C8" s="373" t="s">
        <v>990</v>
      </c>
      <c r="D8" s="361"/>
      <c r="E8" s="363"/>
      <c r="F8" s="363"/>
      <c r="G8" s="363"/>
      <c r="H8" s="363"/>
      <c r="I8" s="362"/>
      <c r="J8" s="362"/>
      <c r="K8" s="362"/>
    </row>
    <row r="9" spans="1:11" ht="15.75">
      <c r="A9" s="363"/>
      <c r="B9" s="366" t="s">
        <v>991</v>
      </c>
      <c r="C9" s="374" t="e">
        <f>#REF!</f>
        <v>#REF!</v>
      </c>
      <c r="D9" s="361"/>
      <c r="E9" s="363"/>
      <c r="F9" s="363"/>
      <c r="G9" s="363"/>
      <c r="H9" s="363"/>
      <c r="I9" s="362"/>
      <c r="J9" s="362"/>
      <c r="K9" s="362"/>
    </row>
    <row r="10" spans="1:11" ht="15.75">
      <c r="A10" s="363"/>
      <c r="B10" s="366" t="s">
        <v>992</v>
      </c>
      <c r="C10" s="375" t="e">
        <f>J31</f>
        <v>#REF!</v>
      </c>
      <c r="D10" s="361"/>
      <c r="E10" s="363"/>
      <c r="F10" s="363"/>
      <c r="G10" s="363"/>
      <c r="H10" s="363"/>
      <c r="I10" s="362"/>
      <c r="J10" s="362"/>
      <c r="K10" s="362"/>
    </row>
    <row r="11" spans="1:11" ht="15.75">
      <c r="A11" s="363"/>
      <c r="B11" s="366" t="s">
        <v>993</v>
      </c>
      <c r="C11" s="375" t="e">
        <f>C10*C9</f>
        <v>#REF!</v>
      </c>
      <c r="D11" s="361"/>
      <c r="E11" s="361"/>
      <c r="F11" s="363"/>
      <c r="G11" s="363"/>
      <c r="H11" s="363"/>
      <c r="I11" s="362"/>
      <c r="J11" s="362"/>
      <c r="K11" s="362"/>
    </row>
    <row r="12" spans="1:11" ht="15.75">
      <c r="A12" s="363"/>
      <c r="B12" s="366" t="s">
        <v>994</v>
      </c>
      <c r="C12" s="375" t="e">
        <f>C10*1.17</f>
        <v>#REF!</v>
      </c>
      <c r="D12" s="361"/>
      <c r="E12" s="361"/>
      <c r="F12" s="363"/>
      <c r="G12" s="363"/>
      <c r="H12" s="363"/>
      <c r="I12" s="362"/>
      <c r="J12" s="362"/>
      <c r="K12" s="362"/>
    </row>
    <row r="13" spans="1:11" ht="15.75">
      <c r="A13" s="363"/>
      <c r="B13" s="366" t="s">
        <v>995</v>
      </c>
      <c r="C13" s="375" t="e">
        <f>C12*C9</f>
        <v>#REF!</v>
      </c>
      <c r="D13" s="361"/>
      <c r="E13" s="363"/>
      <c r="F13" s="363"/>
      <c r="G13" s="363"/>
      <c r="H13" s="363"/>
      <c r="I13" s="362"/>
      <c r="J13" s="362"/>
      <c r="K13" s="362"/>
    </row>
    <row r="14" spans="1:11" ht="32.25" customHeight="1">
      <c r="A14" s="363"/>
      <c r="B14" s="376" t="s">
        <v>996</v>
      </c>
      <c r="C14" s="377">
        <v>0.17</v>
      </c>
      <c r="D14" s="361"/>
      <c r="E14" s="363"/>
      <c r="F14" s="363"/>
      <c r="G14" s="363"/>
      <c r="H14" s="363"/>
      <c r="I14" s="362"/>
      <c r="J14" s="362"/>
      <c r="K14" s="362"/>
    </row>
    <row r="15" spans="1:11" ht="15.75">
      <c r="A15" s="363"/>
      <c r="B15" s="366" t="s">
        <v>997</v>
      </c>
      <c r="C15" s="378" t="s">
        <v>998</v>
      </c>
      <c r="D15" s="361"/>
      <c r="E15" s="363"/>
      <c r="F15" s="363"/>
      <c r="G15" s="363"/>
      <c r="H15" s="363"/>
      <c r="I15" s="363"/>
      <c r="J15" s="362"/>
      <c r="K15" s="363"/>
    </row>
    <row r="16" spans="1:11" ht="15.75">
      <c r="A16" s="363"/>
      <c r="B16" s="366" t="s">
        <v>999</v>
      </c>
      <c r="C16" s="641" t="s">
        <v>1000</v>
      </c>
      <c r="D16" s="361"/>
      <c r="E16" s="363"/>
      <c r="F16" s="363"/>
      <c r="G16" s="363"/>
      <c r="H16" s="363"/>
      <c r="I16" s="363"/>
      <c r="J16" s="362"/>
      <c r="K16" s="363"/>
    </row>
    <row r="17" spans="1:18" ht="15.75">
      <c r="A17" s="363"/>
      <c r="B17" s="366" t="s">
        <v>1001</v>
      </c>
      <c r="C17" s="379"/>
      <c r="D17" s="361"/>
      <c r="E17" s="363"/>
      <c r="F17" s="363"/>
      <c r="G17" s="363"/>
      <c r="H17" s="363"/>
      <c r="I17" s="362"/>
      <c r="J17" s="362"/>
      <c r="K17" s="362"/>
      <c r="L17" s="362"/>
      <c r="M17" s="362"/>
      <c r="N17" s="362"/>
      <c r="O17" s="362"/>
      <c r="P17" s="362"/>
      <c r="Q17" s="362"/>
      <c r="R17" s="362"/>
    </row>
    <row r="18" spans="1:18" ht="15.75">
      <c r="A18" s="363"/>
      <c r="B18" s="366" t="s">
        <v>1002</v>
      </c>
      <c r="C18" s="374" t="s">
        <v>1003</v>
      </c>
      <c r="D18" s="361"/>
      <c r="E18" s="363"/>
      <c r="F18" s="363"/>
      <c r="G18" s="363"/>
      <c r="H18" s="363"/>
      <c r="I18" s="362"/>
      <c r="J18" s="362"/>
      <c r="K18" s="362"/>
      <c r="L18" s="362"/>
      <c r="M18" s="362"/>
      <c r="N18" s="362"/>
      <c r="O18" s="362"/>
      <c r="P18" s="362"/>
      <c r="Q18" s="362"/>
      <c r="R18" s="362"/>
    </row>
    <row r="19" spans="1:18" ht="15.75">
      <c r="A19" s="363"/>
      <c r="B19" s="366" t="s">
        <v>1004</v>
      </c>
      <c r="C19" s="379"/>
      <c r="D19" s="361"/>
      <c r="E19" s="363"/>
      <c r="F19" s="363"/>
      <c r="G19" s="363"/>
      <c r="H19" s="363"/>
      <c r="I19" s="362"/>
      <c r="J19" s="362"/>
      <c r="K19" s="362"/>
      <c r="L19" s="362"/>
      <c r="M19" s="362"/>
      <c r="N19" s="362"/>
      <c r="O19" s="362"/>
      <c r="P19" s="362"/>
      <c r="Q19" s="362"/>
      <c r="R19" s="362"/>
    </row>
    <row r="20" spans="1:18" s="380" customFormat="1" ht="16.5">
      <c r="B20" s="381" t="s">
        <v>1005</v>
      </c>
      <c r="C20" s="642" t="s">
        <v>1006</v>
      </c>
      <c r="D20" s="382"/>
      <c r="N20" s="383"/>
    </row>
    <row r="21" spans="1:18" s="380" customFormat="1" ht="16.5">
      <c r="B21" s="381" t="s">
        <v>1007</v>
      </c>
      <c r="C21" s="384" t="s">
        <v>1008</v>
      </c>
      <c r="D21" s="382"/>
      <c r="N21" s="383"/>
    </row>
    <row r="22" spans="1:18" s="380" customFormat="1" ht="15.75">
      <c r="B22" s="385" t="s">
        <v>1009</v>
      </c>
      <c r="C22" s="669">
        <v>3544.2</v>
      </c>
      <c r="D22" s="382"/>
      <c r="N22" s="383"/>
    </row>
    <row r="23" spans="1:18" s="380" customFormat="1" ht="15.75">
      <c r="B23" s="386" t="s">
        <v>27</v>
      </c>
      <c r="C23" s="670"/>
      <c r="D23" s="382"/>
      <c r="N23" s="383"/>
    </row>
    <row r="24" spans="1:18" s="380" customFormat="1" ht="15.75">
      <c r="B24" s="385" t="s">
        <v>1010</v>
      </c>
      <c r="C24" s="387">
        <v>3.5752918256398841E-2</v>
      </c>
      <c r="D24" s="382"/>
      <c r="N24" s="383"/>
    </row>
    <row r="25" spans="1:18" s="380" customFormat="1" ht="15.75">
      <c r="A25" s="388"/>
      <c r="B25" s="385" t="s">
        <v>1011</v>
      </c>
      <c r="C25" s="387"/>
      <c r="D25" s="382"/>
      <c r="N25" s="383"/>
    </row>
    <row r="26" spans="1:18" s="380" customFormat="1" ht="15.75">
      <c r="B26" s="389" t="s">
        <v>1012</v>
      </c>
      <c r="C26" s="390"/>
      <c r="D26" s="382"/>
      <c r="N26" s="383"/>
    </row>
    <row r="27" spans="1:18" s="395" customFormat="1" ht="16.5" thickBot="1">
      <c r="A27" s="391"/>
      <c r="B27" s="392" t="s">
        <v>1013</v>
      </c>
      <c r="C27" s="393"/>
      <c r="D27" s="391"/>
      <c r="E27" s="394"/>
      <c r="F27" s="394"/>
      <c r="G27" s="394"/>
      <c r="I27" s="396"/>
      <c r="R27" s="397"/>
    </row>
    <row r="28" spans="1:18" s="395" customFormat="1" ht="21">
      <c r="A28" s="391"/>
      <c r="B28" s="398"/>
      <c r="C28" s="398"/>
      <c r="D28" s="398"/>
      <c r="E28" s="398"/>
      <c r="F28" s="399"/>
      <c r="G28" s="394"/>
      <c r="I28" s="396"/>
      <c r="R28" s="397"/>
    </row>
    <row r="29" spans="1:18" s="396" customFormat="1" ht="30">
      <c r="A29" s="395"/>
      <c r="B29" s="643" t="s">
        <v>1014</v>
      </c>
      <c r="C29" s="643" t="s">
        <v>1015</v>
      </c>
      <c r="D29" s="644" t="s">
        <v>1016</v>
      </c>
      <c r="E29" s="644" t="s">
        <v>1017</v>
      </c>
      <c r="F29" s="643" t="s">
        <v>1018</v>
      </c>
      <c r="G29" s="643" t="s">
        <v>1019</v>
      </c>
      <c r="H29" s="643" t="s">
        <v>1020</v>
      </c>
      <c r="I29" s="643" t="s">
        <v>1021</v>
      </c>
      <c r="J29" s="643" t="s">
        <v>1022</v>
      </c>
      <c r="K29" s="400"/>
      <c r="R29" s="401"/>
    </row>
    <row r="30" spans="1:18" s="396" customFormat="1" ht="15.75">
      <c r="A30" s="395"/>
      <c r="B30" s="643"/>
      <c r="C30" s="643" t="s">
        <v>1023</v>
      </c>
      <c r="D30" s="644" t="s">
        <v>1024</v>
      </c>
      <c r="E30" s="644" t="s">
        <v>1025</v>
      </c>
      <c r="F30" s="643" t="s">
        <v>1026</v>
      </c>
      <c r="G30" s="643" t="s">
        <v>1027</v>
      </c>
      <c r="H30" s="643" t="s">
        <v>1028</v>
      </c>
      <c r="I30" s="643" t="s">
        <v>890</v>
      </c>
      <c r="J30" s="643" t="s">
        <v>891</v>
      </c>
      <c r="K30" s="400"/>
      <c r="R30" s="401"/>
    </row>
    <row r="31" spans="1:18" s="650" customFormat="1" ht="15.75">
      <c r="A31" s="645"/>
      <c r="B31" s="646" t="s">
        <v>664</v>
      </c>
      <c r="C31" s="647" t="e">
        <f>#REF!</f>
        <v>#REF!</v>
      </c>
      <c r="D31" s="647">
        <v>0</v>
      </c>
      <c r="E31" s="648">
        <v>0</v>
      </c>
      <c r="F31" s="648">
        <v>0</v>
      </c>
      <c r="G31" s="649" t="e">
        <f>ROUND((C31*E31+D31*F31),2)</f>
        <v>#REF!</v>
      </c>
      <c r="H31" s="649" t="e">
        <f>C31+D31+G31</f>
        <v>#REF!</v>
      </c>
      <c r="I31" s="649" t="e">
        <f>IF((E31+F31)&gt;0,0,ROUND(H31*(VLOOKUP(B31,B43:$D$69,3,0)),2))</f>
        <v>#REF!</v>
      </c>
      <c r="J31" s="649" t="e">
        <f>H31+I31</f>
        <v>#REF!</v>
      </c>
      <c r="R31" s="651"/>
    </row>
    <row r="32" spans="1:18" s="395" customFormat="1" ht="15.75">
      <c r="E32" s="402"/>
      <c r="F32" s="402"/>
      <c r="G32" s="402"/>
      <c r="H32" s="402"/>
      <c r="I32" s="396"/>
      <c r="J32" s="403"/>
      <c r="K32" s="404"/>
      <c r="R32" s="397"/>
    </row>
    <row r="33" spans="1:18" s="395" customFormat="1" ht="15.75">
      <c r="E33" s="402"/>
      <c r="F33" s="402"/>
      <c r="G33" s="402"/>
      <c r="H33" s="396"/>
      <c r="I33" s="396"/>
      <c r="J33" s="405"/>
      <c r="K33" s="404"/>
      <c r="R33" s="397"/>
    </row>
    <row r="34" spans="1:18" s="395" customFormat="1" ht="15.75" hidden="1" customHeight="1">
      <c r="B34" s="406" t="s">
        <v>1029</v>
      </c>
      <c r="C34" s="671" t="s">
        <v>1030</v>
      </c>
      <c r="D34" s="671"/>
      <c r="E34" s="402"/>
      <c r="F34" s="402"/>
      <c r="G34" s="402"/>
      <c r="H34" s="396"/>
      <c r="I34" s="396"/>
      <c r="J34" s="405"/>
      <c r="K34" s="404"/>
      <c r="R34" s="397"/>
    </row>
    <row r="35" spans="1:18" s="395" customFormat="1" ht="15.75" hidden="1">
      <c r="B35" s="407" t="s">
        <v>1031</v>
      </c>
      <c r="C35" s="671"/>
      <c r="D35" s="671"/>
      <c r="E35" s="402"/>
      <c r="F35" s="402"/>
      <c r="G35" s="402"/>
      <c r="H35" s="396"/>
      <c r="I35" s="396"/>
      <c r="J35" s="405"/>
      <c r="K35" s="404"/>
      <c r="R35" s="397"/>
    </row>
    <row r="36" spans="1:18" s="395" customFormat="1" ht="15.75" hidden="1">
      <c r="B36" s="408" t="s">
        <v>1032</v>
      </c>
      <c r="C36" s="671"/>
      <c r="D36" s="671"/>
      <c r="E36" s="402"/>
      <c r="F36" s="402"/>
      <c r="G36" s="402"/>
      <c r="H36" s="396"/>
      <c r="I36" s="396"/>
      <c r="J36" s="405"/>
      <c r="K36" s="404"/>
      <c r="R36" s="397"/>
    </row>
    <row r="37" spans="1:18" s="395" customFormat="1" ht="15.75" hidden="1">
      <c r="C37" s="671"/>
      <c r="D37" s="671"/>
      <c r="E37" s="402"/>
      <c r="F37" s="402"/>
      <c r="G37" s="402"/>
      <c r="H37" s="396"/>
      <c r="I37" s="396"/>
      <c r="J37" s="405"/>
      <c r="K37" s="404"/>
      <c r="R37" s="397"/>
    </row>
    <row r="38" spans="1:18" s="395" customFormat="1" ht="15.75" hidden="1">
      <c r="C38" s="671"/>
      <c r="D38" s="671"/>
      <c r="E38" s="402"/>
      <c r="F38" s="402"/>
      <c r="G38" s="402"/>
      <c r="H38" s="396"/>
      <c r="I38" s="396"/>
      <c r="J38" s="405"/>
      <c r="K38" s="404"/>
      <c r="R38" s="397"/>
    </row>
    <row r="39" spans="1:18" s="395" customFormat="1" ht="15.75" hidden="1">
      <c r="C39" s="671"/>
      <c r="D39" s="671"/>
      <c r="E39" s="402"/>
      <c r="F39" s="402"/>
      <c r="G39" s="402"/>
      <c r="H39" s="396"/>
      <c r="I39" s="396"/>
      <c r="J39" s="405"/>
      <c r="K39" s="404"/>
      <c r="R39" s="397"/>
    </row>
    <row r="40" spans="1:18" s="395" customFormat="1" ht="15.75" hidden="1">
      <c r="E40" s="402"/>
      <c r="F40" s="402"/>
      <c r="G40" s="402"/>
      <c r="H40" s="396"/>
      <c r="I40" s="396"/>
      <c r="J40" s="405"/>
      <c r="K40" s="404"/>
      <c r="R40" s="397"/>
    </row>
    <row r="41" spans="1:18" s="395" customFormat="1" ht="15.75" hidden="1">
      <c r="B41" s="406" t="s">
        <v>1033</v>
      </c>
      <c r="E41" s="402"/>
      <c r="F41" s="402"/>
      <c r="G41" s="402"/>
      <c r="H41" s="396"/>
      <c r="I41" s="396"/>
      <c r="J41" s="405"/>
      <c r="K41" s="404"/>
      <c r="R41" s="397"/>
    </row>
    <row r="42" spans="1:18" s="395" customFormat="1" ht="15.75" hidden="1">
      <c r="B42" s="652" t="s">
        <v>646</v>
      </c>
      <c r="C42" s="653" t="s">
        <v>647</v>
      </c>
      <c r="D42" s="561" t="s">
        <v>1034</v>
      </c>
      <c r="E42" s="409" t="s">
        <v>1035</v>
      </c>
      <c r="F42" s="409" t="s">
        <v>1036</v>
      </c>
      <c r="M42" s="397"/>
    </row>
    <row r="43" spans="1:18" s="395" customFormat="1" ht="15.75" hidden="1">
      <c r="B43" s="654" t="s">
        <v>1037</v>
      </c>
      <c r="C43" s="655" t="s">
        <v>651</v>
      </c>
      <c r="D43" s="656">
        <v>0</v>
      </c>
      <c r="E43" s="410" t="s">
        <v>1038</v>
      </c>
      <c r="F43" s="410" t="s">
        <v>1039</v>
      </c>
      <c r="M43" s="397"/>
    </row>
    <row r="44" spans="1:18" s="395" customFormat="1" ht="15.75" hidden="1">
      <c r="B44" s="657" t="s">
        <v>654</v>
      </c>
      <c r="C44" s="655" t="s">
        <v>655</v>
      </c>
      <c r="D44" s="562">
        <v>0.01</v>
      </c>
      <c r="E44" s="410" t="s">
        <v>1038</v>
      </c>
      <c r="F44" s="410" t="s">
        <v>1040</v>
      </c>
      <c r="M44" s="397"/>
    </row>
    <row r="45" spans="1:18" s="395" customFormat="1" ht="15.75" hidden="1">
      <c r="B45" s="657" t="s">
        <v>657</v>
      </c>
      <c r="C45" s="655" t="s">
        <v>655</v>
      </c>
      <c r="D45" s="562">
        <v>0.01</v>
      </c>
      <c r="E45" s="410" t="s">
        <v>1038</v>
      </c>
      <c r="F45" s="410" t="s">
        <v>1040</v>
      </c>
      <c r="M45" s="397"/>
    </row>
    <row r="46" spans="1:18" s="411" customFormat="1" ht="15.75" hidden="1">
      <c r="A46" s="395"/>
      <c r="B46" s="657" t="s">
        <v>658</v>
      </c>
      <c r="C46" s="655" t="s">
        <v>655</v>
      </c>
      <c r="D46" s="562">
        <v>0.01</v>
      </c>
      <c r="E46" s="410" t="s">
        <v>1038</v>
      </c>
      <c r="F46" s="410" t="s">
        <v>1039</v>
      </c>
    </row>
    <row r="47" spans="1:18" s="412" customFormat="1" ht="15.75" hidden="1">
      <c r="A47" s="395"/>
      <c r="B47" s="654" t="s">
        <v>659</v>
      </c>
      <c r="C47" s="655" t="s">
        <v>655</v>
      </c>
      <c r="D47" s="562">
        <v>0.01</v>
      </c>
      <c r="E47" s="410" t="s">
        <v>1038</v>
      </c>
      <c r="F47" s="410" t="s">
        <v>1039</v>
      </c>
    </row>
    <row r="48" spans="1:18" s="412" customFormat="1" ht="15.75" hidden="1">
      <c r="A48" s="395"/>
      <c r="B48" s="654" t="s">
        <v>660</v>
      </c>
      <c r="C48" s="655" t="s">
        <v>655</v>
      </c>
      <c r="D48" s="562">
        <v>0.01</v>
      </c>
      <c r="E48" s="410" t="s">
        <v>1038</v>
      </c>
      <c r="F48" s="410" t="s">
        <v>1039</v>
      </c>
    </row>
    <row r="49" spans="1:6" s="412" customFormat="1" ht="15.75" hidden="1">
      <c r="A49" s="395"/>
      <c r="B49" s="654" t="s">
        <v>661</v>
      </c>
      <c r="C49" s="655" t="s">
        <v>655</v>
      </c>
      <c r="D49" s="562">
        <v>0.01</v>
      </c>
      <c r="E49" s="410" t="s">
        <v>1038</v>
      </c>
      <c r="F49" s="410" t="s">
        <v>1040</v>
      </c>
    </row>
    <row r="50" spans="1:6" s="412" customFormat="1" ht="15.75" hidden="1">
      <c r="A50" s="395"/>
      <c r="B50" s="654" t="s">
        <v>662</v>
      </c>
      <c r="C50" s="655" t="s">
        <v>651</v>
      </c>
      <c r="D50" s="562">
        <v>0</v>
      </c>
      <c r="E50" s="410" t="s">
        <v>1038</v>
      </c>
      <c r="F50" s="410" t="s">
        <v>1039</v>
      </c>
    </row>
    <row r="51" spans="1:6" s="412" customFormat="1" ht="15.75" hidden="1">
      <c r="A51" s="395"/>
      <c r="B51" s="654" t="s">
        <v>663</v>
      </c>
      <c r="C51" s="655" t="s">
        <v>655</v>
      </c>
      <c r="D51" s="656">
        <v>0</v>
      </c>
      <c r="E51" s="410" t="s">
        <v>1038</v>
      </c>
      <c r="F51" s="410" t="s">
        <v>1039</v>
      </c>
    </row>
    <row r="52" spans="1:6" s="412" customFormat="1" ht="15.75" hidden="1">
      <c r="A52" s="395"/>
      <c r="B52" s="654" t="s">
        <v>640</v>
      </c>
      <c r="C52" s="655" t="s">
        <v>655</v>
      </c>
      <c r="D52" s="562">
        <v>0.01</v>
      </c>
      <c r="E52" s="410" t="s">
        <v>1038</v>
      </c>
      <c r="F52" s="410" t="s">
        <v>1039</v>
      </c>
    </row>
    <row r="53" spans="1:6" s="412" customFormat="1" ht="15.75" hidden="1">
      <c r="A53" s="395"/>
      <c r="B53" s="654" t="s">
        <v>664</v>
      </c>
      <c r="C53" s="655" t="s">
        <v>651</v>
      </c>
      <c r="D53" s="562">
        <v>0.01</v>
      </c>
      <c r="E53" s="410" t="s">
        <v>1038</v>
      </c>
      <c r="F53" s="410" t="s">
        <v>1040</v>
      </c>
    </row>
    <row r="54" spans="1:6" s="412" customFormat="1" ht="15.75" hidden="1">
      <c r="A54" s="395"/>
      <c r="B54" s="654" t="s">
        <v>665</v>
      </c>
      <c r="C54" s="655" t="s">
        <v>655</v>
      </c>
      <c r="D54" s="562">
        <v>0.01</v>
      </c>
      <c r="E54" s="410" t="s">
        <v>1038</v>
      </c>
      <c r="F54" s="410" t="s">
        <v>1039</v>
      </c>
    </row>
    <row r="55" spans="1:6" s="412" customFormat="1" ht="15.75" hidden="1">
      <c r="A55" s="395"/>
      <c r="B55" s="654" t="s">
        <v>666</v>
      </c>
      <c r="C55" s="655" t="s">
        <v>655</v>
      </c>
      <c r="D55" s="562">
        <v>0.01</v>
      </c>
      <c r="E55" s="410" t="s">
        <v>1041</v>
      </c>
      <c r="F55" s="410" t="s">
        <v>1042</v>
      </c>
    </row>
    <row r="56" spans="1:6" s="412" customFormat="1" ht="15.75" hidden="1">
      <c r="A56" s="395"/>
      <c r="B56" s="654" t="s">
        <v>668</v>
      </c>
      <c r="C56" s="655" t="s">
        <v>655</v>
      </c>
      <c r="D56" s="562">
        <v>0.01</v>
      </c>
      <c r="E56" s="410" t="s">
        <v>1041</v>
      </c>
      <c r="F56" s="410" t="s">
        <v>1042</v>
      </c>
    </row>
    <row r="57" spans="1:6" s="412" customFormat="1" ht="15.75" hidden="1">
      <c r="A57" s="395"/>
      <c r="B57" s="654" t="s">
        <v>1043</v>
      </c>
      <c r="C57" s="655" t="s">
        <v>655</v>
      </c>
      <c r="D57" s="562">
        <v>0.01</v>
      </c>
      <c r="E57" s="410" t="s">
        <v>1041</v>
      </c>
      <c r="F57" s="410" t="s">
        <v>1042</v>
      </c>
    </row>
    <row r="58" spans="1:6" s="412" customFormat="1" ht="15.75" hidden="1">
      <c r="A58" s="395"/>
      <c r="B58" s="654" t="s">
        <v>669</v>
      </c>
      <c r="C58" s="655" t="s">
        <v>655</v>
      </c>
      <c r="D58" s="562">
        <v>0.01</v>
      </c>
      <c r="E58" s="410" t="s">
        <v>1041</v>
      </c>
      <c r="F58" s="410" t="s">
        <v>1042</v>
      </c>
    </row>
    <row r="59" spans="1:6" s="412" customFormat="1" ht="15.75" hidden="1">
      <c r="A59" s="395"/>
      <c r="B59" s="654" t="s">
        <v>670</v>
      </c>
      <c r="C59" s="655" t="s">
        <v>655</v>
      </c>
      <c r="D59" s="562">
        <v>0.01</v>
      </c>
      <c r="E59" s="410" t="s">
        <v>1041</v>
      </c>
      <c r="F59" s="410" t="s">
        <v>1042</v>
      </c>
    </row>
    <row r="60" spans="1:6" s="412" customFormat="1" ht="15.75" hidden="1">
      <c r="A60" s="395"/>
      <c r="B60" s="654" t="s">
        <v>671</v>
      </c>
      <c r="C60" s="655" t="s">
        <v>655</v>
      </c>
      <c r="D60" s="562">
        <v>0.01</v>
      </c>
      <c r="E60" s="410" t="s">
        <v>1041</v>
      </c>
      <c r="F60" s="410" t="s">
        <v>1042</v>
      </c>
    </row>
    <row r="61" spans="1:6" s="412" customFormat="1" ht="15.75" hidden="1">
      <c r="A61" s="395"/>
      <c r="B61" s="658" t="s">
        <v>672</v>
      </c>
      <c r="C61" s="659" t="s">
        <v>655</v>
      </c>
      <c r="D61" s="562">
        <v>0.01</v>
      </c>
      <c r="E61" s="410" t="s">
        <v>1038</v>
      </c>
      <c r="F61" s="410" t="s">
        <v>1044</v>
      </c>
    </row>
    <row r="62" spans="1:6" s="412" customFormat="1" ht="15.75" hidden="1">
      <c r="A62" s="395"/>
      <c r="B62" s="658" t="s">
        <v>674</v>
      </c>
      <c r="C62" s="659" t="s">
        <v>655</v>
      </c>
      <c r="D62" s="562">
        <v>0.01</v>
      </c>
      <c r="E62" s="410" t="s">
        <v>1038</v>
      </c>
      <c r="F62" s="410" t="s">
        <v>1044</v>
      </c>
    </row>
    <row r="63" spans="1:6" s="412" customFormat="1" ht="15.75" hidden="1">
      <c r="A63" s="395"/>
      <c r="B63" s="658" t="s">
        <v>675</v>
      </c>
      <c r="C63" s="659" t="s">
        <v>655</v>
      </c>
      <c r="D63" s="562">
        <v>0.01</v>
      </c>
      <c r="E63" s="410" t="s">
        <v>1038</v>
      </c>
      <c r="F63" s="410" t="s">
        <v>1044</v>
      </c>
    </row>
    <row r="64" spans="1:6" s="412" customFormat="1" ht="15.75" hidden="1">
      <c r="A64" s="395"/>
      <c r="B64" s="658" t="s">
        <v>1045</v>
      </c>
      <c r="C64" s="659" t="s">
        <v>651</v>
      </c>
      <c r="D64" s="562">
        <v>0</v>
      </c>
      <c r="E64" s="410" t="s">
        <v>1038</v>
      </c>
      <c r="F64" s="410" t="s">
        <v>1044</v>
      </c>
    </row>
    <row r="65" spans="1:9" s="412" customFormat="1" ht="15.75" hidden="1">
      <c r="A65" s="395"/>
      <c r="B65" s="654" t="s">
        <v>677</v>
      </c>
      <c r="C65" s="655" t="s">
        <v>655</v>
      </c>
      <c r="D65" s="562">
        <v>0.01</v>
      </c>
      <c r="E65" s="410" t="s">
        <v>1038</v>
      </c>
      <c r="F65" s="410" t="s">
        <v>1044</v>
      </c>
    </row>
    <row r="66" spans="1:9" s="412" customFormat="1" ht="15.75" hidden="1">
      <c r="A66" s="395"/>
      <c r="B66" s="654" t="s">
        <v>678</v>
      </c>
      <c r="C66" s="655" t="s">
        <v>655</v>
      </c>
      <c r="D66" s="562">
        <v>0.01</v>
      </c>
      <c r="E66" s="410" t="s">
        <v>1038</v>
      </c>
      <c r="F66" s="410" t="s">
        <v>1044</v>
      </c>
    </row>
    <row r="67" spans="1:9" s="412" customFormat="1" ht="15.75" hidden="1">
      <c r="A67" s="395"/>
      <c r="B67" s="654" t="s">
        <v>679</v>
      </c>
      <c r="C67" s="655" t="s">
        <v>655</v>
      </c>
      <c r="D67" s="562">
        <v>0.01</v>
      </c>
      <c r="E67" s="410" t="s">
        <v>1038</v>
      </c>
      <c r="F67" s="410" t="s">
        <v>1044</v>
      </c>
    </row>
    <row r="68" spans="1:9" s="412" customFormat="1" ht="15.75" hidden="1">
      <c r="A68" s="395"/>
      <c r="B68" s="654" t="s">
        <v>1046</v>
      </c>
      <c r="C68" s="655" t="s">
        <v>655</v>
      </c>
      <c r="D68" s="562">
        <v>0.01</v>
      </c>
      <c r="E68" s="410" t="s">
        <v>1038</v>
      </c>
      <c r="F68" s="410" t="s">
        <v>1044</v>
      </c>
    </row>
    <row r="69" spans="1:9" s="412" customFormat="1" ht="15.75" hidden="1">
      <c r="A69" s="395"/>
      <c r="B69" s="654" t="s">
        <v>1047</v>
      </c>
      <c r="C69" s="655" t="s">
        <v>655</v>
      </c>
      <c r="D69" s="562">
        <v>0.01</v>
      </c>
      <c r="E69" s="410" t="s">
        <v>1041</v>
      </c>
      <c r="F69" s="410" t="s">
        <v>1042</v>
      </c>
    </row>
    <row r="70" spans="1:9" s="412" customFormat="1" ht="15.75" hidden="1">
      <c r="A70" s="395"/>
      <c r="B70" s="654" t="s">
        <v>1048</v>
      </c>
      <c r="C70" s="655" t="s">
        <v>655</v>
      </c>
      <c r="D70" s="562">
        <v>0.01</v>
      </c>
      <c r="E70" s="410" t="s">
        <v>1041</v>
      </c>
      <c r="F70" s="410" t="s">
        <v>1042</v>
      </c>
    </row>
    <row r="71" spans="1:9" s="412" customFormat="1" ht="15.75" hidden="1">
      <c r="A71" s="395"/>
      <c r="B71" s="660" t="s">
        <v>1049</v>
      </c>
      <c r="C71" s="655" t="s">
        <v>655</v>
      </c>
      <c r="D71" s="562">
        <v>0.01</v>
      </c>
      <c r="E71" s="410" t="s">
        <v>1038</v>
      </c>
      <c r="F71" s="410" t="s">
        <v>1042</v>
      </c>
    </row>
    <row r="72" spans="1:9" s="412" customFormat="1" ht="15.75" hidden="1">
      <c r="A72" s="395"/>
      <c r="B72" s="660" t="s">
        <v>1050</v>
      </c>
      <c r="C72" s="655" t="s">
        <v>655</v>
      </c>
      <c r="D72" s="562">
        <v>0.01</v>
      </c>
      <c r="E72" s="410" t="s">
        <v>1038</v>
      </c>
      <c r="F72" s="410" t="s">
        <v>1044</v>
      </c>
    </row>
    <row r="73" spans="1:9" s="412" customFormat="1" ht="15.75" hidden="1">
      <c r="E73" s="413"/>
      <c r="F73" s="413"/>
      <c r="G73" s="413"/>
      <c r="I73" s="414"/>
    </row>
    <row r="74" spans="1:9" s="412" customFormat="1" ht="15.75" hidden="1">
      <c r="B74" s="415" t="s">
        <v>1051</v>
      </c>
      <c r="C74" s="415" t="s">
        <v>1052</v>
      </c>
      <c r="D74" s="415" t="s">
        <v>1053</v>
      </c>
      <c r="E74" s="413"/>
      <c r="F74" s="413"/>
      <c r="G74" s="413"/>
      <c r="I74" s="414"/>
    </row>
    <row r="75" spans="1:9" s="412" customFormat="1" ht="15.75" hidden="1">
      <c r="B75" s="661" t="s">
        <v>687</v>
      </c>
      <c r="C75" s="661" t="s">
        <v>688</v>
      </c>
      <c r="D75" s="580" t="s">
        <v>689</v>
      </c>
      <c r="G75" s="413"/>
      <c r="I75" s="414"/>
    </row>
    <row r="76" spans="1:9" s="412" customFormat="1" ht="15.75" hidden="1">
      <c r="B76" s="667" t="s">
        <v>690</v>
      </c>
      <c r="C76" s="661" t="s">
        <v>691</v>
      </c>
      <c r="D76" s="580" t="s">
        <v>692</v>
      </c>
      <c r="G76" s="413"/>
      <c r="I76" s="414"/>
    </row>
    <row r="77" spans="1:9" ht="15.75" hidden="1">
      <c r="A77" s="363"/>
      <c r="B77" s="667"/>
      <c r="C77" s="661" t="s">
        <v>693</v>
      </c>
      <c r="D77" s="580" t="s">
        <v>694</v>
      </c>
      <c r="E77" s="362"/>
      <c r="F77" s="362"/>
      <c r="G77" s="361"/>
      <c r="H77" s="416"/>
      <c r="I77" s="417"/>
    </row>
    <row r="78" spans="1:9" ht="15.75" hidden="1">
      <c r="A78" s="363"/>
      <c r="B78" s="667"/>
      <c r="C78" s="661" t="s">
        <v>695</v>
      </c>
      <c r="D78" s="580" t="s">
        <v>696</v>
      </c>
      <c r="E78" s="362"/>
      <c r="F78" s="362"/>
      <c r="G78" s="361"/>
      <c r="H78" s="416"/>
      <c r="I78" s="417"/>
    </row>
    <row r="79" spans="1:9" ht="15.75" hidden="1">
      <c r="A79" s="363"/>
      <c r="B79" s="667" t="s">
        <v>697</v>
      </c>
      <c r="C79" s="661" t="s">
        <v>691</v>
      </c>
      <c r="D79" s="580" t="s">
        <v>698</v>
      </c>
      <c r="E79" s="362"/>
      <c r="F79" s="362"/>
      <c r="G79" s="361"/>
      <c r="H79" s="416"/>
      <c r="I79" s="417"/>
    </row>
    <row r="80" spans="1:9" ht="15.75" hidden="1">
      <c r="A80" s="363"/>
      <c r="B80" s="667"/>
      <c r="C80" s="661" t="s">
        <v>699</v>
      </c>
      <c r="D80" s="580" t="s">
        <v>700</v>
      </c>
      <c r="E80" s="362"/>
      <c r="F80" s="362"/>
      <c r="G80" s="361"/>
      <c r="H80" s="416"/>
      <c r="I80" s="417"/>
    </row>
    <row r="81" spans="1:11" ht="15.75" hidden="1">
      <c r="A81" s="363"/>
      <c r="B81" s="667"/>
      <c r="C81" s="661" t="s">
        <v>701</v>
      </c>
      <c r="D81" s="580" t="s">
        <v>702</v>
      </c>
      <c r="E81" s="362"/>
      <c r="F81" s="362"/>
      <c r="G81" s="361"/>
      <c r="H81" s="416"/>
      <c r="I81" s="417"/>
      <c r="J81" s="416"/>
      <c r="K81" s="361"/>
    </row>
    <row r="82" spans="1:11" ht="15.75" hidden="1">
      <c r="A82" s="363"/>
      <c r="B82" s="667" t="s">
        <v>703</v>
      </c>
      <c r="C82" s="661" t="s">
        <v>691</v>
      </c>
      <c r="D82" s="580" t="s">
        <v>704</v>
      </c>
      <c r="E82" s="362"/>
      <c r="F82" s="362"/>
      <c r="G82" s="361"/>
      <c r="H82" s="416"/>
      <c r="I82" s="417"/>
      <c r="J82" s="416"/>
      <c r="K82" s="361"/>
    </row>
    <row r="83" spans="1:11" ht="15.75" hidden="1">
      <c r="A83" s="363"/>
      <c r="B83" s="667"/>
      <c r="C83" s="661" t="s">
        <v>705</v>
      </c>
      <c r="D83" s="580" t="s">
        <v>706</v>
      </c>
      <c r="E83" s="362"/>
      <c r="F83" s="362"/>
      <c r="G83" s="361"/>
      <c r="H83" s="416"/>
      <c r="I83" s="417"/>
      <c r="J83" s="416"/>
      <c r="K83" s="361"/>
    </row>
    <row r="84" spans="1:11" ht="15.75" hidden="1">
      <c r="A84" s="363"/>
      <c r="B84" s="667"/>
      <c r="C84" s="661" t="s">
        <v>707</v>
      </c>
      <c r="D84" s="580" t="s">
        <v>708</v>
      </c>
      <c r="E84" s="362"/>
      <c r="F84" s="362"/>
      <c r="G84" s="361"/>
      <c r="H84" s="416"/>
      <c r="I84" s="417"/>
      <c r="J84" s="416"/>
      <c r="K84" s="361"/>
    </row>
    <row r="85" spans="1:11" ht="15.75" hidden="1">
      <c r="A85" s="363"/>
      <c r="B85" s="667"/>
      <c r="C85" s="661" t="s">
        <v>709</v>
      </c>
      <c r="D85" s="580" t="s">
        <v>710</v>
      </c>
      <c r="E85" s="362"/>
      <c r="F85" s="362"/>
      <c r="G85" s="361"/>
      <c r="H85" s="416"/>
      <c r="I85" s="417"/>
      <c r="J85" s="416"/>
      <c r="K85" s="361"/>
    </row>
    <row r="86" spans="1:11" ht="15.75" hidden="1">
      <c r="A86" s="363"/>
      <c r="B86" s="667"/>
      <c r="C86" s="661" t="s">
        <v>711</v>
      </c>
      <c r="D86" s="580" t="s">
        <v>712</v>
      </c>
      <c r="E86" s="362"/>
      <c r="F86" s="362"/>
      <c r="G86" s="361"/>
      <c r="H86" s="416"/>
      <c r="I86" s="417"/>
      <c r="J86" s="416"/>
      <c r="K86" s="361"/>
    </row>
    <row r="87" spans="1:11" ht="15.75" hidden="1">
      <c r="A87" s="363"/>
      <c r="B87" s="667"/>
      <c r="C87" s="662" t="s">
        <v>713</v>
      </c>
      <c r="D87" s="564" t="s">
        <v>714</v>
      </c>
      <c r="E87" s="362"/>
      <c r="F87" s="362"/>
      <c r="G87" s="361"/>
      <c r="H87" s="416"/>
      <c r="I87" s="417"/>
      <c r="J87" s="416"/>
      <c r="K87" s="361"/>
    </row>
    <row r="88" spans="1:11" ht="15.75" hidden="1">
      <c r="A88" s="362"/>
      <c r="B88" s="667"/>
      <c r="C88" s="662" t="s">
        <v>715</v>
      </c>
      <c r="D88" s="564" t="s">
        <v>716</v>
      </c>
      <c r="E88" s="362"/>
      <c r="F88" s="362"/>
      <c r="G88" s="361"/>
      <c r="H88" s="362"/>
      <c r="I88" s="363"/>
      <c r="J88" s="362"/>
      <c r="K88" s="362"/>
    </row>
    <row r="89" spans="1:11" ht="15.75" hidden="1">
      <c r="A89" s="362"/>
      <c r="B89" s="667"/>
      <c r="C89" s="662" t="s">
        <v>717</v>
      </c>
      <c r="D89" s="564" t="s">
        <v>717</v>
      </c>
      <c r="E89" s="362"/>
      <c r="F89" s="362"/>
      <c r="G89" s="361"/>
      <c r="H89" s="362"/>
      <c r="I89" s="363"/>
      <c r="J89" s="362"/>
      <c r="K89" s="362"/>
    </row>
    <row r="90" spans="1:11" ht="15.75" hidden="1">
      <c r="A90" s="363"/>
      <c r="B90" s="667"/>
      <c r="C90" s="662" t="s">
        <v>718</v>
      </c>
      <c r="D90" s="564" t="s">
        <v>719</v>
      </c>
      <c r="E90" s="362"/>
      <c r="F90" s="362"/>
      <c r="G90" s="361"/>
      <c r="H90" s="416"/>
      <c r="I90" s="417"/>
      <c r="J90" s="416"/>
      <c r="K90" s="361"/>
    </row>
    <row r="91" spans="1:11" ht="15.75" hidden="1">
      <c r="A91" s="363"/>
      <c r="B91" s="667" t="s">
        <v>720</v>
      </c>
      <c r="C91" s="661" t="s">
        <v>691</v>
      </c>
      <c r="D91" s="580" t="s">
        <v>721</v>
      </c>
      <c r="E91" s="362"/>
      <c r="F91" s="362"/>
      <c r="G91" s="361"/>
      <c r="H91" s="416"/>
      <c r="I91" s="417"/>
      <c r="J91" s="416"/>
      <c r="K91" s="361"/>
    </row>
    <row r="92" spans="1:11" ht="15.75" hidden="1">
      <c r="A92" s="363"/>
      <c r="B92" s="667"/>
      <c r="C92" s="661" t="s">
        <v>722</v>
      </c>
      <c r="D92" s="580" t="s">
        <v>723</v>
      </c>
      <c r="E92" s="362"/>
      <c r="F92" s="362"/>
      <c r="G92" s="361"/>
      <c r="H92" s="416"/>
      <c r="I92" s="417"/>
      <c r="J92" s="416"/>
      <c r="K92" s="361"/>
    </row>
    <row r="93" spans="1:11" ht="15.75" hidden="1">
      <c r="A93" s="363"/>
      <c r="B93" s="667"/>
      <c r="C93" s="661" t="s">
        <v>724</v>
      </c>
      <c r="D93" s="580" t="s">
        <v>725</v>
      </c>
      <c r="E93" s="362"/>
      <c r="F93" s="362"/>
      <c r="G93" s="361"/>
      <c r="H93" s="416"/>
      <c r="I93" s="417"/>
      <c r="J93" s="416"/>
      <c r="K93" s="361"/>
    </row>
    <row r="94" spans="1:11" ht="15.75" hidden="1">
      <c r="A94" s="363"/>
      <c r="B94" s="667" t="s">
        <v>726</v>
      </c>
      <c r="C94" s="661" t="s">
        <v>691</v>
      </c>
      <c r="D94" s="580" t="s">
        <v>726</v>
      </c>
      <c r="E94" s="362"/>
      <c r="F94" s="362"/>
      <c r="G94" s="361"/>
      <c r="H94" s="416"/>
      <c r="I94" s="417"/>
      <c r="J94" s="416"/>
      <c r="K94" s="361"/>
    </row>
    <row r="95" spans="1:11" ht="15.75" hidden="1">
      <c r="A95" s="363"/>
      <c r="B95" s="667"/>
      <c r="C95" s="661" t="s">
        <v>727</v>
      </c>
      <c r="D95" s="580" t="s">
        <v>728</v>
      </c>
      <c r="E95" s="361"/>
      <c r="F95" s="361"/>
      <c r="G95" s="361"/>
      <c r="H95" s="416"/>
      <c r="I95" s="417"/>
      <c r="J95" s="416"/>
      <c r="K95" s="361"/>
    </row>
    <row r="96" spans="1:11" ht="15.75" hidden="1">
      <c r="A96" s="363"/>
      <c r="B96" s="667"/>
      <c r="C96" s="661" t="s">
        <v>729</v>
      </c>
      <c r="D96" s="580" t="s">
        <v>730</v>
      </c>
      <c r="E96" s="361"/>
      <c r="F96" s="361"/>
      <c r="G96" s="361"/>
      <c r="H96" s="416"/>
      <c r="I96" s="417"/>
      <c r="J96" s="416"/>
      <c r="K96" s="361"/>
    </row>
    <row r="97" spans="2:4" ht="14.25" hidden="1">
      <c r="B97" s="667"/>
      <c r="C97" s="661" t="s">
        <v>731</v>
      </c>
      <c r="D97" s="580" t="s">
        <v>732</v>
      </c>
    </row>
    <row r="98" spans="2:4" ht="14.25" hidden="1">
      <c r="B98" s="667" t="s">
        <v>733</v>
      </c>
      <c r="C98" s="661" t="s">
        <v>691</v>
      </c>
      <c r="D98" s="580" t="s">
        <v>734</v>
      </c>
    </row>
    <row r="99" spans="2:4" ht="14.25" hidden="1">
      <c r="B99" s="667"/>
      <c r="C99" s="661" t="s">
        <v>735</v>
      </c>
      <c r="D99" s="580" t="s">
        <v>735</v>
      </c>
    </row>
    <row r="100" spans="2:4" ht="14.25" hidden="1">
      <c r="B100" s="667"/>
      <c r="C100" s="661" t="s">
        <v>736</v>
      </c>
      <c r="D100" s="580" t="s">
        <v>737</v>
      </c>
    </row>
    <row r="101" spans="2:4" ht="14.25" hidden="1">
      <c r="B101" s="667"/>
      <c r="C101" s="661" t="s">
        <v>738</v>
      </c>
      <c r="D101" s="580" t="s">
        <v>739</v>
      </c>
    </row>
    <row r="102" spans="2:4" ht="14.25" hidden="1">
      <c r="B102" s="661" t="s">
        <v>21</v>
      </c>
      <c r="C102" s="661" t="s">
        <v>21</v>
      </c>
      <c r="D102" s="580" t="s">
        <v>740</v>
      </c>
    </row>
    <row r="103" spans="2:4" ht="14.25" hidden="1">
      <c r="B103" s="661" t="s">
        <v>741</v>
      </c>
      <c r="C103" s="661" t="s">
        <v>742</v>
      </c>
      <c r="D103" s="580" t="s">
        <v>743</v>
      </c>
    </row>
    <row r="104" spans="2:4" ht="14.25" hidden="1">
      <c r="B104" s="661" t="s">
        <v>744</v>
      </c>
      <c r="C104" s="661" t="s">
        <v>744</v>
      </c>
      <c r="D104" s="580" t="s">
        <v>745</v>
      </c>
    </row>
    <row r="105" spans="2:4" ht="14.25" hidden="1">
      <c r="B105" s="661" t="s">
        <v>746</v>
      </c>
      <c r="C105" s="661" t="s">
        <v>746</v>
      </c>
      <c r="D105" s="580" t="s">
        <v>746</v>
      </c>
    </row>
    <row r="106" spans="2:4" ht="14.25" hidden="1">
      <c r="B106" s="667" t="s">
        <v>747</v>
      </c>
      <c r="C106" s="661" t="s">
        <v>747</v>
      </c>
      <c r="D106" s="580" t="s">
        <v>748</v>
      </c>
    </row>
    <row r="107" spans="2:4" ht="14.25" hidden="1">
      <c r="B107" s="667"/>
      <c r="C107" s="661" t="s">
        <v>749</v>
      </c>
      <c r="D107" s="580" t="s">
        <v>750</v>
      </c>
    </row>
    <row r="108" spans="2:4" ht="14.25" hidden="1">
      <c r="B108" s="661" t="s">
        <v>751</v>
      </c>
      <c r="C108" s="661" t="s">
        <v>751</v>
      </c>
      <c r="D108" s="580" t="s">
        <v>752</v>
      </c>
    </row>
    <row r="109" spans="2:4" ht="15.75">
      <c r="B109" s="362"/>
      <c r="C109" s="362"/>
      <c r="D109" s="362"/>
    </row>
  </sheetData>
  <protectedRanges>
    <protectedRange sqref="C2" name="範圍1_2"/>
    <protectedRange sqref="C20:C21" name="範圍1_1_2_1"/>
    <protectedRange sqref="C22:C23" name="範圍1_1_2_1_1"/>
    <protectedRange sqref="C24:C25" name="範圍1_1_2_1_2"/>
  </protectedRanges>
  <mergeCells count="10">
    <mergeCell ref="B91:B93"/>
    <mergeCell ref="B94:B97"/>
    <mergeCell ref="B98:B101"/>
    <mergeCell ref="B106:B107"/>
    <mergeCell ref="B1:C1"/>
    <mergeCell ref="C22:C23"/>
    <mergeCell ref="C34:D39"/>
    <mergeCell ref="B76:B78"/>
    <mergeCell ref="B79:B81"/>
    <mergeCell ref="B82:B90"/>
  </mergeCells>
  <phoneticPr fontId="29" type="noConversion"/>
  <dataValidations count="4">
    <dataValidation type="list" allowBlank="1" showInputMessage="1" showErrorMessage="1" sqref="B31">
      <formula1>$B$43:$B$72</formula1>
    </dataValidation>
    <dataValidation type="list" allowBlank="1" showInputMessage="1" sqref="C8">
      <formula1>$I$2:$N$2</formula1>
    </dataValidation>
    <dataValidation type="list" allowBlank="1" showInputMessage="1" sqref="C2">
      <formula1>$M$3:$S$3</formula1>
    </dataValidation>
    <dataValidation type="list" allowBlank="1" showInputMessage="1" showErrorMessage="1" sqref="C18">
      <formula1>$C$75:$C$108</formula1>
    </dataValidation>
  </dataValidations>
  <printOptions horizontalCentered="1"/>
  <pageMargins left="0.2361111111111111" right="0.15694444444444444" top="0.46944444444444444" bottom="0.50972222222222219" header="0.15902777777777777" footer="0.2361111111111111"/>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opLeftCell="C17" zoomScale="75" zoomScaleNormal="75" workbookViewId="0">
      <selection activeCell="C31" sqref="C31"/>
    </sheetView>
  </sheetViews>
  <sheetFormatPr defaultRowHeight="13.5"/>
  <cols>
    <col min="1" max="1" width="9.125" customWidth="1"/>
    <col min="2" max="2" width="52.625" style="622" customWidth="1"/>
    <col min="3" max="3" width="57.75" style="622" bestFit="1" customWidth="1"/>
    <col min="4" max="4" width="14.5" bestFit="1" customWidth="1"/>
    <col min="5" max="5" width="12.125" bestFit="1" customWidth="1"/>
    <col min="6" max="6" width="15.5" bestFit="1" customWidth="1"/>
    <col min="7" max="7" width="19" bestFit="1" customWidth="1"/>
    <col min="8" max="8" width="18.5" customWidth="1"/>
    <col min="9" max="12" width="11" bestFit="1" customWidth="1"/>
    <col min="13" max="13" width="12.125" bestFit="1" customWidth="1"/>
    <col min="14" max="14" width="10.125" bestFit="1" customWidth="1"/>
    <col min="15" max="15" width="16.75" bestFit="1" customWidth="1"/>
    <col min="16" max="16" width="11" bestFit="1" customWidth="1"/>
    <col min="17" max="17" width="16.75" bestFit="1" customWidth="1"/>
  </cols>
  <sheetData>
    <row r="1" spans="1:11" s="627" customFormat="1" ht="23.25" customHeight="1" thickBot="1">
      <c r="A1" s="623"/>
      <c r="B1" s="673" t="s">
        <v>957</v>
      </c>
      <c r="C1" s="673"/>
      <c r="D1" s="624"/>
      <c r="E1" s="624"/>
      <c r="F1" s="625"/>
      <c r="G1" s="626"/>
      <c r="I1" s="628"/>
    </row>
    <row r="2" spans="1:11" s="627" customFormat="1" ht="15.75">
      <c r="A2" s="628"/>
      <c r="B2" s="565" t="s">
        <v>958</v>
      </c>
      <c r="C2" s="583" t="s">
        <v>959</v>
      </c>
      <c r="D2" s="626"/>
      <c r="F2" s="628"/>
    </row>
    <row r="3" spans="1:11" s="627" customFormat="1" ht="30">
      <c r="A3" s="628"/>
      <c r="B3" s="566" t="s">
        <v>960</v>
      </c>
      <c r="C3" s="610" t="s">
        <v>961</v>
      </c>
      <c r="D3" s="626"/>
      <c r="E3" s="628"/>
      <c r="F3" s="628"/>
      <c r="G3" s="628"/>
      <c r="H3" s="628"/>
    </row>
    <row r="4" spans="1:11" s="627" customFormat="1" ht="15.75">
      <c r="A4" s="628"/>
      <c r="B4" s="566" t="s">
        <v>962</v>
      </c>
      <c r="C4" s="584" t="s">
        <v>963</v>
      </c>
      <c r="D4" s="628"/>
      <c r="E4" s="626"/>
      <c r="F4" s="628"/>
      <c r="G4" s="626"/>
    </row>
    <row r="5" spans="1:11" s="627" customFormat="1" ht="15.75">
      <c r="A5" s="628"/>
      <c r="B5" s="566" t="s">
        <v>964</v>
      </c>
      <c r="C5" s="585" t="s">
        <v>965</v>
      </c>
      <c r="D5" s="626"/>
      <c r="E5" s="626"/>
      <c r="F5" s="628"/>
      <c r="G5" s="628"/>
      <c r="H5" s="628"/>
    </row>
    <row r="6" spans="1:11" s="627" customFormat="1" ht="15.75">
      <c r="A6" s="628"/>
      <c r="B6" s="566" t="s">
        <v>966</v>
      </c>
      <c r="C6" s="586" t="s">
        <v>941</v>
      </c>
      <c r="D6" s="629"/>
      <c r="E6" s="628"/>
      <c r="F6" s="628"/>
      <c r="G6" s="628"/>
      <c r="H6" s="628"/>
    </row>
    <row r="7" spans="1:11" s="627" customFormat="1" ht="31.5">
      <c r="A7" s="628"/>
      <c r="B7" s="566" t="s">
        <v>971</v>
      </c>
      <c r="C7" s="587" t="s">
        <v>940</v>
      </c>
      <c r="D7" s="626"/>
      <c r="E7" s="628"/>
      <c r="F7" s="628"/>
      <c r="G7" s="628"/>
      <c r="H7" s="628"/>
    </row>
    <row r="8" spans="1:11" s="627" customFormat="1" ht="15.75">
      <c r="A8" s="628"/>
      <c r="B8" s="566" t="s">
        <v>972</v>
      </c>
      <c r="C8" s="560" t="s">
        <v>967</v>
      </c>
      <c r="D8" s="626"/>
      <c r="E8" s="628"/>
      <c r="F8" s="628"/>
      <c r="G8" s="628"/>
      <c r="H8" s="628"/>
    </row>
    <row r="9" spans="1:11" s="627" customFormat="1" ht="15.75">
      <c r="A9" s="628"/>
      <c r="B9" s="566" t="s">
        <v>973</v>
      </c>
      <c r="C9" s="609">
        <f>O37</f>
        <v>134960</v>
      </c>
      <c r="D9" s="626"/>
      <c r="E9" s="628"/>
      <c r="F9" s="628"/>
      <c r="G9" s="628"/>
      <c r="H9" s="628"/>
    </row>
    <row r="10" spans="1:11" s="627" customFormat="1" ht="15.75">
      <c r="A10" s="628"/>
      <c r="B10" s="566" t="s">
        <v>974</v>
      </c>
      <c r="C10" s="588">
        <v>1</v>
      </c>
      <c r="D10" s="626"/>
      <c r="E10" s="628"/>
      <c r="F10" s="628"/>
      <c r="G10" s="628"/>
      <c r="H10" s="628"/>
    </row>
    <row r="11" spans="1:11" s="627" customFormat="1" ht="15.75">
      <c r="A11" s="628"/>
      <c r="B11" s="566" t="s">
        <v>975</v>
      </c>
      <c r="C11" s="588">
        <f>C10*C9</f>
        <v>134960</v>
      </c>
      <c r="D11" s="626"/>
      <c r="E11" s="626"/>
      <c r="F11" s="628"/>
      <c r="G11" s="628"/>
      <c r="H11" s="628"/>
    </row>
    <row r="12" spans="1:11" s="627" customFormat="1" ht="15.75">
      <c r="A12" s="628"/>
      <c r="B12" s="566" t="s">
        <v>914</v>
      </c>
      <c r="C12" s="588">
        <f>C10*1.17</f>
        <v>1.17</v>
      </c>
      <c r="D12" s="626"/>
      <c r="E12" s="626"/>
      <c r="F12" s="628"/>
      <c r="G12" s="628"/>
      <c r="H12" s="628"/>
    </row>
    <row r="13" spans="1:11" s="627" customFormat="1" ht="15.75">
      <c r="A13" s="628"/>
      <c r="B13" s="566" t="s">
        <v>915</v>
      </c>
      <c r="C13" s="588">
        <f>C12*C9</f>
        <v>157903.19999999998</v>
      </c>
      <c r="D13" s="626"/>
      <c r="E13" s="628"/>
      <c r="F13" s="628"/>
      <c r="G13" s="628"/>
      <c r="H13" s="628"/>
    </row>
    <row r="14" spans="1:11" s="627" customFormat="1" ht="32.25" customHeight="1">
      <c r="A14" s="628"/>
      <c r="B14" s="376" t="s">
        <v>916</v>
      </c>
      <c r="C14" s="589">
        <v>0.17</v>
      </c>
      <c r="D14" s="626"/>
      <c r="E14" s="628"/>
      <c r="F14" s="628"/>
      <c r="G14" s="628"/>
      <c r="H14" s="628"/>
    </row>
    <row r="15" spans="1:11" s="627" customFormat="1" ht="15.75">
      <c r="A15" s="628"/>
      <c r="B15" s="566" t="s">
        <v>917</v>
      </c>
      <c r="C15" s="590"/>
      <c r="D15" s="626"/>
      <c r="E15" s="628"/>
      <c r="F15" s="628"/>
      <c r="G15" s="628"/>
      <c r="H15" s="628"/>
      <c r="I15" s="628"/>
      <c r="K15" s="628"/>
    </row>
    <row r="16" spans="1:11" s="627" customFormat="1" ht="31.5">
      <c r="A16" s="628"/>
      <c r="B16" s="566" t="s">
        <v>918</v>
      </c>
      <c r="C16" s="560" t="s">
        <v>968</v>
      </c>
      <c r="D16" s="626"/>
      <c r="E16" s="628"/>
      <c r="F16" s="628"/>
      <c r="G16" s="628"/>
      <c r="H16" s="628"/>
      <c r="I16" s="628"/>
      <c r="K16" s="628"/>
    </row>
    <row r="17" spans="1:20" s="627" customFormat="1" ht="15.75">
      <c r="A17" s="628"/>
      <c r="B17" s="566" t="s">
        <v>919</v>
      </c>
      <c r="C17" s="590" t="s">
        <v>920</v>
      </c>
      <c r="D17" s="626"/>
      <c r="E17" s="628"/>
      <c r="F17" s="628"/>
      <c r="G17" s="628"/>
      <c r="H17" s="628"/>
      <c r="S17" s="630"/>
      <c r="T17" s="630"/>
    </row>
    <row r="18" spans="1:20" s="627" customFormat="1" ht="15.75">
      <c r="A18" s="628"/>
      <c r="B18" s="566" t="s">
        <v>921</v>
      </c>
      <c r="C18" s="560" t="s">
        <v>976</v>
      </c>
      <c r="D18" s="626"/>
      <c r="E18" s="628"/>
      <c r="F18" s="628"/>
      <c r="G18" s="628"/>
      <c r="H18" s="628"/>
      <c r="S18" s="630"/>
      <c r="T18" s="630"/>
    </row>
    <row r="19" spans="1:20" s="627" customFormat="1" ht="15.75">
      <c r="A19" s="628"/>
      <c r="B19" s="566" t="s">
        <v>923</v>
      </c>
      <c r="C19" s="590" t="s">
        <v>924</v>
      </c>
      <c r="D19" s="626"/>
      <c r="E19" s="628"/>
      <c r="F19" s="628"/>
      <c r="G19" s="628"/>
      <c r="H19" s="628"/>
      <c r="S19" s="630"/>
      <c r="T19" s="630"/>
    </row>
    <row r="20" spans="1:20" s="631" customFormat="1" ht="16.5">
      <c r="B20" s="381" t="s">
        <v>925</v>
      </c>
      <c r="C20" s="591">
        <v>42551</v>
      </c>
      <c r="D20" s="632"/>
      <c r="N20" s="633"/>
    </row>
    <row r="21" spans="1:20" s="631" customFormat="1" ht="16.5">
      <c r="B21" s="381" t="s">
        <v>926</v>
      </c>
      <c r="C21" s="592"/>
      <c r="D21" s="632"/>
      <c r="N21" s="633"/>
    </row>
    <row r="22" spans="1:20" s="631" customFormat="1" ht="15.75">
      <c r="B22" s="385" t="s">
        <v>928</v>
      </c>
      <c r="C22" s="669">
        <v>1051.43</v>
      </c>
      <c r="D22" s="632"/>
      <c r="N22" s="633"/>
    </row>
    <row r="23" spans="1:20" s="631" customFormat="1" ht="15.75">
      <c r="B23" s="386" t="s">
        <v>27</v>
      </c>
      <c r="C23" s="674"/>
      <c r="D23" s="632"/>
      <c r="N23" s="633"/>
    </row>
    <row r="24" spans="1:20" s="631" customFormat="1" ht="15.75">
      <c r="B24" s="567" t="s">
        <v>977</v>
      </c>
      <c r="C24" s="390"/>
      <c r="D24" s="632"/>
      <c r="N24" s="633"/>
    </row>
    <row r="25" spans="1:20" s="631" customFormat="1" ht="16.5" thickBot="1">
      <c r="B25" s="568" t="s">
        <v>978</v>
      </c>
      <c r="C25" s="393"/>
      <c r="D25" s="632"/>
      <c r="N25" s="633"/>
    </row>
    <row r="26" spans="1:20" s="631" customFormat="1" ht="15.75">
      <c r="B26" s="634" t="s">
        <v>969</v>
      </c>
      <c r="C26" s="635"/>
      <c r="D26" s="632"/>
      <c r="N26" s="633"/>
    </row>
    <row r="27" spans="1:20" s="618" customFormat="1" ht="16.5" thickBot="1">
      <c r="A27" s="614"/>
      <c r="B27" s="636" t="s">
        <v>970</v>
      </c>
      <c r="C27" s="637"/>
      <c r="D27" s="614"/>
      <c r="E27" s="617"/>
      <c r="F27" s="617"/>
      <c r="G27" s="617"/>
      <c r="I27" s="619"/>
      <c r="R27" s="620"/>
    </row>
    <row r="28" spans="1:20" s="618" customFormat="1" ht="21">
      <c r="A28" s="614"/>
      <c r="B28" s="621"/>
      <c r="C28" s="621"/>
      <c r="D28" s="615"/>
      <c r="E28" s="615"/>
      <c r="F28" s="616"/>
      <c r="G28" s="617"/>
      <c r="I28" s="619"/>
      <c r="R28" s="620"/>
    </row>
    <row r="30" spans="1:20" s="313" customFormat="1" ht="14.25">
      <c r="B30" s="432" t="s">
        <v>805</v>
      </c>
      <c r="D30" s="341"/>
      <c r="F30" s="342"/>
      <c r="G30" s="342"/>
      <c r="H30" s="342"/>
      <c r="O30" s="351"/>
    </row>
    <row r="31" spans="1:20" s="313" customFormat="1" ht="28.5">
      <c r="B31" s="425" t="s">
        <v>758</v>
      </c>
      <c r="C31" s="425" t="s">
        <v>768</v>
      </c>
      <c r="D31" s="425" t="s">
        <v>773</v>
      </c>
      <c r="E31" s="425" t="s">
        <v>774</v>
      </c>
      <c r="F31" s="425" t="s">
        <v>812</v>
      </c>
      <c r="G31" s="425" t="s">
        <v>955</v>
      </c>
      <c r="H31" s="425" t="s">
        <v>954</v>
      </c>
      <c r="I31" s="425" t="s">
        <v>769</v>
      </c>
      <c r="J31" s="425" t="s">
        <v>770</v>
      </c>
      <c r="K31" s="425" t="s">
        <v>771</v>
      </c>
      <c r="L31" s="425" t="s">
        <v>788</v>
      </c>
      <c r="M31" s="639" t="s">
        <v>780</v>
      </c>
      <c r="N31" s="437" t="s">
        <v>777</v>
      </c>
      <c r="O31" s="437" t="s">
        <v>778</v>
      </c>
      <c r="P31" s="438" t="s">
        <v>759</v>
      </c>
      <c r="Q31" s="437" t="s">
        <v>779</v>
      </c>
      <c r="T31" s="351"/>
    </row>
    <row r="32" spans="1:20" s="313" customFormat="1" ht="14.25">
      <c r="B32" s="605" t="s">
        <v>775</v>
      </c>
      <c r="C32" s="611" t="s">
        <v>766</v>
      </c>
      <c r="D32" s="434">
        <v>10000</v>
      </c>
      <c r="E32" s="434">
        <v>5000</v>
      </c>
      <c r="F32" s="606">
        <f>D32+E32</f>
        <v>15000</v>
      </c>
      <c r="G32" s="638">
        <v>8.3000000000000004E-2</v>
      </c>
      <c r="H32" s="606">
        <f>F32*(1+G32)</f>
        <v>16245</v>
      </c>
      <c r="I32" s="434">
        <v>50</v>
      </c>
      <c r="J32" s="434">
        <v>100</v>
      </c>
      <c r="K32" s="434">
        <v>150</v>
      </c>
      <c r="L32" s="434">
        <v>200</v>
      </c>
      <c r="M32" s="606">
        <f>SUM(H32:L32)</f>
        <v>16745</v>
      </c>
      <c r="N32" s="640">
        <v>2</v>
      </c>
      <c r="O32" s="608">
        <f>M32*N32</f>
        <v>33490</v>
      </c>
      <c r="P32" s="613">
        <f>O32*17%</f>
        <v>5693.3</v>
      </c>
      <c r="Q32" s="608">
        <f>O32+P32</f>
        <v>39183.300000000003</v>
      </c>
      <c r="T32" s="351"/>
    </row>
    <row r="33" spans="2:18" s="313" customFormat="1" ht="14.25">
      <c r="B33" s="605" t="s">
        <v>776</v>
      </c>
      <c r="C33" s="611" t="s">
        <v>766</v>
      </c>
      <c r="D33" s="434">
        <v>10000</v>
      </c>
      <c r="E33" s="434">
        <v>5000</v>
      </c>
      <c r="F33" s="606">
        <f t="shared" ref="F33:F36" si="0">D33+E33</f>
        <v>15000</v>
      </c>
      <c r="G33" s="638">
        <v>8.3000000000000004E-2</v>
      </c>
      <c r="H33" s="606">
        <f t="shared" ref="H33:H36" si="1">F33*(1+G33)</f>
        <v>16245</v>
      </c>
      <c r="I33" s="434">
        <v>50</v>
      </c>
      <c r="J33" s="434">
        <v>100</v>
      </c>
      <c r="K33" s="434">
        <v>150</v>
      </c>
      <c r="L33" s="434">
        <v>200</v>
      </c>
      <c r="M33" s="606">
        <f t="shared" ref="M33:M36" si="2">SUM(H33:L33)</f>
        <v>16745</v>
      </c>
      <c r="N33" s="640">
        <v>2</v>
      </c>
      <c r="O33" s="608">
        <f t="shared" ref="O33:O36" si="3">M33*N33</f>
        <v>33490</v>
      </c>
      <c r="P33" s="613">
        <f t="shared" ref="P33:P36" si="4">O33*17%</f>
        <v>5693.3</v>
      </c>
      <c r="Q33" s="608">
        <f t="shared" ref="Q33:Q36" si="5">O33+P33</f>
        <v>39183.300000000003</v>
      </c>
      <c r="R33" s="351"/>
    </row>
    <row r="34" spans="2:18" s="313" customFormat="1" ht="14.25">
      <c r="B34" s="605" t="s">
        <v>760</v>
      </c>
      <c r="C34" s="611" t="s">
        <v>767</v>
      </c>
      <c r="D34" s="434">
        <v>10000</v>
      </c>
      <c r="E34" s="434">
        <v>0</v>
      </c>
      <c r="F34" s="606">
        <f t="shared" si="0"/>
        <v>10000</v>
      </c>
      <c r="G34" s="638">
        <v>8.3000000000000004E-2</v>
      </c>
      <c r="H34" s="606">
        <f t="shared" si="1"/>
        <v>10830</v>
      </c>
      <c r="I34" s="434">
        <v>50</v>
      </c>
      <c r="J34" s="434">
        <v>100</v>
      </c>
      <c r="K34" s="434">
        <v>150</v>
      </c>
      <c r="L34" s="434">
        <v>200</v>
      </c>
      <c r="M34" s="606">
        <f t="shared" si="2"/>
        <v>11330</v>
      </c>
      <c r="N34" s="640">
        <v>2</v>
      </c>
      <c r="O34" s="608">
        <f t="shared" si="3"/>
        <v>22660</v>
      </c>
      <c r="P34" s="613">
        <f t="shared" si="4"/>
        <v>3852.2000000000003</v>
      </c>
      <c r="Q34" s="608">
        <f t="shared" si="5"/>
        <v>26512.2</v>
      </c>
      <c r="R34" s="351"/>
    </row>
    <row r="35" spans="2:18" s="313" customFormat="1" ht="14.25">
      <c r="B35" s="605" t="s">
        <v>761</v>
      </c>
      <c r="C35" s="611" t="s">
        <v>767</v>
      </c>
      <c r="D35" s="434">
        <v>10000</v>
      </c>
      <c r="E35" s="434">
        <v>0</v>
      </c>
      <c r="F35" s="606">
        <f t="shared" si="0"/>
        <v>10000</v>
      </c>
      <c r="G35" s="638">
        <v>8.3000000000000004E-2</v>
      </c>
      <c r="H35" s="606">
        <f t="shared" si="1"/>
        <v>10830</v>
      </c>
      <c r="I35" s="434">
        <v>50</v>
      </c>
      <c r="J35" s="434">
        <v>100</v>
      </c>
      <c r="K35" s="434">
        <v>150</v>
      </c>
      <c r="L35" s="434">
        <v>200</v>
      </c>
      <c r="M35" s="606">
        <f t="shared" si="2"/>
        <v>11330</v>
      </c>
      <c r="N35" s="640">
        <v>2</v>
      </c>
      <c r="O35" s="608">
        <f t="shared" si="3"/>
        <v>22660</v>
      </c>
      <c r="P35" s="613">
        <f t="shared" si="4"/>
        <v>3852.2000000000003</v>
      </c>
      <c r="Q35" s="608">
        <f t="shared" si="5"/>
        <v>26512.2</v>
      </c>
      <c r="R35" s="351"/>
    </row>
    <row r="36" spans="2:18" s="313" customFormat="1" ht="14.25">
      <c r="B36" s="605" t="s">
        <v>762</v>
      </c>
      <c r="C36" s="611" t="s">
        <v>767</v>
      </c>
      <c r="D36" s="434">
        <v>10000</v>
      </c>
      <c r="E36" s="434">
        <v>0</v>
      </c>
      <c r="F36" s="606">
        <f t="shared" si="0"/>
        <v>10000</v>
      </c>
      <c r="G36" s="638">
        <v>8.3000000000000004E-2</v>
      </c>
      <c r="H36" s="606">
        <f t="shared" si="1"/>
        <v>10830</v>
      </c>
      <c r="I36" s="434">
        <v>50</v>
      </c>
      <c r="J36" s="434">
        <v>100</v>
      </c>
      <c r="K36" s="434">
        <v>150</v>
      </c>
      <c r="L36" s="434">
        <v>200</v>
      </c>
      <c r="M36" s="606">
        <f t="shared" si="2"/>
        <v>11330</v>
      </c>
      <c r="N36" s="640">
        <v>2</v>
      </c>
      <c r="O36" s="608">
        <f t="shared" si="3"/>
        <v>22660</v>
      </c>
      <c r="P36" s="613">
        <f t="shared" si="4"/>
        <v>3852.2000000000003</v>
      </c>
      <c r="Q36" s="608">
        <f t="shared" si="5"/>
        <v>26512.2</v>
      </c>
      <c r="R36" s="351"/>
    </row>
    <row r="37" spans="2:18" s="313" customFormat="1" ht="14.25">
      <c r="B37" s="431" t="s">
        <v>781</v>
      </c>
      <c r="C37" s="423"/>
      <c r="D37" s="426"/>
      <c r="E37" s="426"/>
      <c r="F37" s="426"/>
      <c r="G37" s="426"/>
      <c r="H37" s="426"/>
      <c r="I37" s="426"/>
      <c r="J37" s="426"/>
      <c r="K37" s="426"/>
      <c r="L37" s="426"/>
      <c r="M37" s="426"/>
      <c r="N37" s="640">
        <f>SUM(N32:N36)</f>
        <v>10</v>
      </c>
      <c r="O37" s="608">
        <f t="shared" ref="O37:Q37" si="6">SUM(O32:O36)</f>
        <v>134960</v>
      </c>
      <c r="P37" s="613">
        <f t="shared" si="6"/>
        <v>22943.200000000001</v>
      </c>
      <c r="Q37" s="608">
        <f t="shared" si="6"/>
        <v>157903.20000000001</v>
      </c>
      <c r="R37" s="351"/>
    </row>
    <row r="38" spans="2:18" s="313" customFormat="1" ht="14.25">
      <c r="B38" s="430"/>
      <c r="C38" s="427"/>
      <c r="D38" s="428"/>
      <c r="E38" s="428"/>
      <c r="F38" s="428"/>
      <c r="G38" s="428"/>
      <c r="H38" s="428"/>
      <c r="I38" s="428"/>
      <c r="J38" s="428"/>
      <c r="K38" s="428"/>
      <c r="L38" s="429"/>
      <c r="M38" s="429"/>
      <c r="N38" s="428"/>
      <c r="O38" s="429"/>
      <c r="P38" s="351"/>
    </row>
    <row r="39" spans="2:18" s="313" customFormat="1" ht="14.25">
      <c r="B39" s="432" t="s">
        <v>782</v>
      </c>
      <c r="C39" s="593"/>
      <c r="D39" s="422"/>
      <c r="E39" s="422"/>
      <c r="F39" s="422"/>
      <c r="G39" s="422"/>
      <c r="H39" s="422"/>
      <c r="L39" s="351"/>
      <c r="M39" s="351"/>
    </row>
    <row r="40" spans="2:18" s="313" customFormat="1" ht="25.5">
      <c r="B40" s="440" t="s">
        <v>816</v>
      </c>
      <c r="C40" s="423" t="s">
        <v>768</v>
      </c>
      <c r="D40" s="440" t="s">
        <v>772</v>
      </c>
      <c r="E40" s="440" t="s">
        <v>786</v>
      </c>
      <c r="F40" s="441" t="s">
        <v>806</v>
      </c>
      <c r="G40" s="672" t="s">
        <v>789</v>
      </c>
      <c r="H40" s="672"/>
      <c r="L40" s="351"/>
      <c r="M40" s="351"/>
    </row>
    <row r="41" spans="2:18" s="313" customFormat="1" ht="12.75" customHeight="1">
      <c r="B41" s="433" t="s">
        <v>791</v>
      </c>
      <c r="C41" s="423" t="s">
        <v>764</v>
      </c>
      <c r="D41" s="423" t="s">
        <v>799</v>
      </c>
      <c r="E41" s="423">
        <v>7.2</v>
      </c>
      <c r="F41" s="606">
        <f>(D32*(1+G32))/E41</f>
        <v>1504.1666666666667</v>
      </c>
      <c r="G41" s="449" t="s">
        <v>790</v>
      </c>
      <c r="H41" s="450"/>
      <c r="L41" s="351"/>
      <c r="M41" s="351"/>
    </row>
    <row r="42" spans="2:18" s="313" customFormat="1" ht="12.75" customHeight="1">
      <c r="B42" s="433" t="s">
        <v>792</v>
      </c>
      <c r="C42" s="423" t="s">
        <v>765</v>
      </c>
      <c r="D42" s="423" t="s">
        <v>799</v>
      </c>
      <c r="E42" s="423">
        <v>1</v>
      </c>
      <c r="F42" s="606">
        <f>(E32*(1+G32))/E42</f>
        <v>5415</v>
      </c>
      <c r="G42" s="445"/>
      <c r="H42" s="446"/>
      <c r="L42" s="351"/>
      <c r="M42" s="351"/>
    </row>
    <row r="43" spans="2:18" s="313" customFormat="1" ht="12.75" customHeight="1">
      <c r="B43" s="433" t="s">
        <v>793</v>
      </c>
      <c r="C43" s="423" t="s">
        <v>764</v>
      </c>
      <c r="D43" s="423" t="s">
        <v>799</v>
      </c>
      <c r="E43" s="423">
        <v>7.2</v>
      </c>
      <c r="F43" s="606">
        <f>(D33*(1+G33))/E43</f>
        <v>1504.1666666666667</v>
      </c>
      <c r="G43" s="445"/>
      <c r="H43" s="446"/>
      <c r="L43" s="351"/>
      <c r="M43" s="351"/>
    </row>
    <row r="44" spans="2:18" s="313" customFormat="1" ht="12.75" customHeight="1">
      <c r="B44" s="433" t="s">
        <v>794</v>
      </c>
      <c r="C44" s="423" t="s">
        <v>765</v>
      </c>
      <c r="D44" s="423" t="s">
        <v>799</v>
      </c>
      <c r="E44" s="423">
        <v>1</v>
      </c>
      <c r="F44" s="606">
        <f>(E33*(1+G33))/E44</f>
        <v>5415</v>
      </c>
      <c r="G44" s="445"/>
      <c r="H44" s="446"/>
      <c r="L44" s="351"/>
      <c r="M44" s="351"/>
    </row>
    <row r="45" spans="2:18" s="313" customFormat="1" ht="12.75" customHeight="1">
      <c r="B45" s="433" t="s">
        <v>795</v>
      </c>
      <c r="C45" s="423" t="s">
        <v>767</v>
      </c>
      <c r="D45" s="423" t="s">
        <v>799</v>
      </c>
      <c r="E45" s="423">
        <v>4.8</v>
      </c>
      <c r="F45" s="606">
        <f>(D34*(1+G34))/E45</f>
        <v>2256.25</v>
      </c>
      <c r="G45" s="445"/>
      <c r="H45" s="446"/>
      <c r="L45" s="351"/>
      <c r="M45" s="351"/>
    </row>
    <row r="46" spans="2:18" s="313" customFormat="1" ht="12.75" customHeight="1">
      <c r="B46" s="433" t="s">
        <v>796</v>
      </c>
      <c r="C46" s="423" t="s">
        <v>767</v>
      </c>
      <c r="D46" s="423" t="s">
        <v>799</v>
      </c>
      <c r="E46" s="423">
        <v>4.8</v>
      </c>
      <c r="F46" s="606">
        <f>(D35*(1+G35))/E46</f>
        <v>2256.25</v>
      </c>
      <c r="G46" s="445"/>
      <c r="H46" s="446"/>
      <c r="L46" s="351"/>
      <c r="M46" s="351"/>
    </row>
    <row r="47" spans="2:18" s="313" customFormat="1" ht="12.75" customHeight="1">
      <c r="B47" s="433" t="s">
        <v>797</v>
      </c>
      <c r="C47" s="423" t="s">
        <v>767</v>
      </c>
      <c r="D47" s="423" t="s">
        <v>799</v>
      </c>
      <c r="E47" s="423">
        <v>4.8</v>
      </c>
      <c r="F47" s="606">
        <f>(D36*(1+G36))/E47</f>
        <v>2256.25</v>
      </c>
      <c r="G47" s="445"/>
      <c r="H47" s="446"/>
      <c r="L47" s="351"/>
      <c r="M47" s="351"/>
    </row>
    <row r="48" spans="2:18" s="313" customFormat="1" ht="12.75" customHeight="1">
      <c r="B48" s="433" t="s">
        <v>783</v>
      </c>
      <c r="C48" s="594"/>
      <c r="D48" s="611" t="s">
        <v>787</v>
      </c>
      <c r="E48" s="611">
        <v>1</v>
      </c>
      <c r="F48" s="612"/>
      <c r="G48" s="445"/>
      <c r="H48" s="446"/>
      <c r="L48" s="351"/>
      <c r="M48" s="351"/>
    </row>
    <row r="49" spans="2:13" s="313" customFormat="1" ht="12.75" customHeight="1">
      <c r="B49" s="433" t="s">
        <v>763</v>
      </c>
      <c r="C49" s="594"/>
      <c r="D49" s="611" t="s">
        <v>787</v>
      </c>
      <c r="E49" s="611">
        <v>1</v>
      </c>
      <c r="F49" s="612"/>
      <c r="G49" s="445"/>
      <c r="H49" s="446"/>
      <c r="L49" s="351"/>
      <c r="M49" s="351"/>
    </row>
    <row r="50" spans="2:13" s="313" customFormat="1" ht="12.75" customHeight="1">
      <c r="B50" s="433" t="s">
        <v>784</v>
      </c>
      <c r="C50" s="594"/>
      <c r="D50" s="611" t="s">
        <v>801</v>
      </c>
      <c r="E50" s="611">
        <v>1</v>
      </c>
      <c r="F50" s="434" t="s">
        <v>804</v>
      </c>
      <c r="G50" s="451" t="s">
        <v>802</v>
      </c>
      <c r="H50" s="446"/>
      <c r="L50" s="351"/>
      <c r="M50" s="351"/>
    </row>
    <row r="51" spans="2:13" s="313" customFormat="1" ht="12.75" customHeight="1">
      <c r="B51" s="433" t="s">
        <v>785</v>
      </c>
      <c r="C51" s="594"/>
      <c r="D51" s="611" t="s">
        <v>787</v>
      </c>
      <c r="E51" s="611">
        <v>1</v>
      </c>
      <c r="F51" s="434" t="s">
        <v>804</v>
      </c>
      <c r="G51" s="452" t="s">
        <v>803</v>
      </c>
      <c r="H51" s="447"/>
      <c r="L51" s="351"/>
      <c r="M51" s="351"/>
    </row>
  </sheetData>
  <protectedRanges>
    <protectedRange sqref="C2" name="範圍1_2"/>
    <protectedRange sqref="C20:C21" name="範圍1_1_2_1"/>
    <protectedRange sqref="C22:C23" name="範圍1_1_2_1_1"/>
    <protectedRange sqref="C24:C25" name="範圍1_1_2_1_2"/>
  </protectedRanges>
  <mergeCells count="3">
    <mergeCell ref="G40:H40"/>
    <mergeCell ref="B1:C1"/>
    <mergeCell ref="C22:C23"/>
  </mergeCells>
  <phoneticPr fontId="29" type="noConversion"/>
  <dataValidations count="3">
    <dataValidation type="list" allowBlank="1" showInputMessage="1" sqref="C2">
      <formula1>$M$3:$S$3</formula1>
    </dataValidation>
    <dataValidation type="list" allowBlank="1" showInputMessage="1" sqref="C8">
      <formula1>$I$2:$N$2</formula1>
    </dataValidation>
    <dataValidation type="list" allowBlank="1" showInputMessage="1" showErrorMessage="1" sqref="C18">
      <formula1>#REF!</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A20" zoomScale="85" zoomScaleNormal="85" workbookViewId="0">
      <selection activeCell="C40" sqref="C40"/>
    </sheetView>
  </sheetViews>
  <sheetFormatPr defaultColWidth="9" defaultRowHeight="12.75"/>
  <cols>
    <col min="1" max="1" width="4.625" style="316" customWidth="1"/>
    <col min="2" max="2" width="40.125" style="317" customWidth="1"/>
    <col min="3" max="3" width="41" style="316" customWidth="1"/>
    <col min="4" max="4" width="13.875" style="318" bestFit="1" customWidth="1"/>
    <col min="5" max="5" width="13.25" style="316" customWidth="1"/>
    <col min="6" max="7" width="14.125" style="319" customWidth="1"/>
    <col min="8" max="8" width="10.5" style="319" bestFit="1" customWidth="1"/>
    <col min="9" max="9" width="10.875" style="316" customWidth="1"/>
    <col min="10" max="12" width="11.625" style="316" bestFit="1" customWidth="1"/>
    <col min="13" max="13" width="15.75" style="316" bestFit="1" customWidth="1"/>
    <col min="14" max="14" width="9.625" style="316" bestFit="1" customWidth="1"/>
    <col min="15" max="15" width="15.75" style="320" bestFit="1" customWidth="1"/>
    <col min="16" max="258" width="9" style="316"/>
    <col min="259" max="259" width="13.125" style="316" customWidth="1"/>
    <col min="260" max="260" width="40.125" style="316" customWidth="1"/>
    <col min="261" max="261" width="41" style="316" customWidth="1"/>
    <col min="262" max="262" width="17.375" style="316" customWidth="1"/>
    <col min="263" max="263" width="15.125" style="316" customWidth="1"/>
    <col min="264" max="264" width="19" style="316" customWidth="1"/>
    <col min="265" max="265" width="17.375" style="316" customWidth="1"/>
    <col min="266" max="266" width="16.375" style="316" customWidth="1"/>
    <col min="267" max="267" width="17.75" style="316" customWidth="1"/>
    <col min="268" max="268" width="13.5" style="316" customWidth="1"/>
    <col min="269" max="269" width="17" style="316" customWidth="1"/>
    <col min="270" max="514" width="9" style="316"/>
    <col min="515" max="515" width="13.125" style="316" customWidth="1"/>
    <col min="516" max="516" width="40.125" style="316" customWidth="1"/>
    <col min="517" max="517" width="41" style="316" customWidth="1"/>
    <col min="518" max="518" width="17.375" style="316" customWidth="1"/>
    <col min="519" max="519" width="15.125" style="316" customWidth="1"/>
    <col min="520" max="520" width="19" style="316" customWidth="1"/>
    <col min="521" max="521" width="17.375" style="316" customWidth="1"/>
    <col min="522" max="522" width="16.375" style="316" customWidth="1"/>
    <col min="523" max="523" width="17.75" style="316" customWidth="1"/>
    <col min="524" max="524" width="13.5" style="316" customWidth="1"/>
    <col min="525" max="525" width="17" style="316" customWidth="1"/>
    <col min="526" max="770" width="9" style="316"/>
    <col min="771" max="771" width="13.125" style="316" customWidth="1"/>
    <col min="772" max="772" width="40.125" style="316" customWidth="1"/>
    <col min="773" max="773" width="41" style="316" customWidth="1"/>
    <col min="774" max="774" width="17.375" style="316" customWidth="1"/>
    <col min="775" max="775" width="15.125" style="316" customWidth="1"/>
    <col min="776" max="776" width="19" style="316" customWidth="1"/>
    <col min="777" max="777" width="17.375" style="316" customWidth="1"/>
    <col min="778" max="778" width="16.375" style="316" customWidth="1"/>
    <col min="779" max="779" width="17.75" style="316" customWidth="1"/>
    <col min="780" max="780" width="13.5" style="316" customWidth="1"/>
    <col min="781" max="781" width="17" style="316" customWidth="1"/>
    <col min="782" max="1026" width="9" style="316"/>
    <col min="1027" max="1027" width="13.125" style="316" customWidth="1"/>
    <col min="1028" max="1028" width="40.125" style="316" customWidth="1"/>
    <col min="1029" max="1029" width="41" style="316" customWidth="1"/>
    <col min="1030" max="1030" width="17.375" style="316" customWidth="1"/>
    <col min="1031" max="1031" width="15.125" style="316" customWidth="1"/>
    <col min="1032" max="1032" width="19" style="316" customWidth="1"/>
    <col min="1033" max="1033" width="17.375" style="316" customWidth="1"/>
    <col min="1034" max="1034" width="16.375" style="316" customWidth="1"/>
    <col min="1035" max="1035" width="17.75" style="316" customWidth="1"/>
    <col min="1036" max="1036" width="13.5" style="316" customWidth="1"/>
    <col min="1037" max="1037" width="17" style="316" customWidth="1"/>
    <col min="1038" max="1282" width="9" style="316"/>
    <col min="1283" max="1283" width="13.125" style="316" customWidth="1"/>
    <col min="1284" max="1284" width="40.125" style="316" customWidth="1"/>
    <col min="1285" max="1285" width="41" style="316" customWidth="1"/>
    <col min="1286" max="1286" width="17.375" style="316" customWidth="1"/>
    <col min="1287" max="1287" width="15.125" style="316" customWidth="1"/>
    <col min="1288" max="1288" width="19" style="316" customWidth="1"/>
    <col min="1289" max="1289" width="17.375" style="316" customWidth="1"/>
    <col min="1290" max="1290" width="16.375" style="316" customWidth="1"/>
    <col min="1291" max="1291" width="17.75" style="316" customWidth="1"/>
    <col min="1292" max="1292" width="13.5" style="316" customWidth="1"/>
    <col min="1293" max="1293" width="17" style="316" customWidth="1"/>
    <col min="1294" max="1538" width="9" style="316"/>
    <col min="1539" max="1539" width="13.125" style="316" customWidth="1"/>
    <col min="1540" max="1540" width="40.125" style="316" customWidth="1"/>
    <col min="1541" max="1541" width="41" style="316" customWidth="1"/>
    <col min="1542" max="1542" width="17.375" style="316" customWidth="1"/>
    <col min="1543" max="1543" width="15.125" style="316" customWidth="1"/>
    <col min="1544" max="1544" width="19" style="316" customWidth="1"/>
    <col min="1545" max="1545" width="17.375" style="316" customWidth="1"/>
    <col min="1546" max="1546" width="16.375" style="316" customWidth="1"/>
    <col min="1547" max="1547" width="17.75" style="316" customWidth="1"/>
    <col min="1548" max="1548" width="13.5" style="316" customWidth="1"/>
    <col min="1549" max="1549" width="17" style="316" customWidth="1"/>
    <col min="1550" max="1794" width="9" style="316"/>
    <col min="1795" max="1795" width="13.125" style="316" customWidth="1"/>
    <col min="1796" max="1796" width="40.125" style="316" customWidth="1"/>
    <col min="1797" max="1797" width="41" style="316" customWidth="1"/>
    <col min="1798" max="1798" width="17.375" style="316" customWidth="1"/>
    <col min="1799" max="1799" width="15.125" style="316" customWidth="1"/>
    <col min="1800" max="1800" width="19" style="316" customWidth="1"/>
    <col min="1801" max="1801" width="17.375" style="316" customWidth="1"/>
    <col min="1802" max="1802" width="16.375" style="316" customWidth="1"/>
    <col min="1803" max="1803" width="17.75" style="316" customWidth="1"/>
    <col min="1804" max="1804" width="13.5" style="316" customWidth="1"/>
    <col min="1805" max="1805" width="17" style="316" customWidth="1"/>
    <col min="1806" max="2050" width="9" style="316"/>
    <col min="2051" max="2051" width="13.125" style="316" customWidth="1"/>
    <col min="2052" max="2052" width="40.125" style="316" customWidth="1"/>
    <col min="2053" max="2053" width="41" style="316" customWidth="1"/>
    <col min="2054" max="2054" width="17.375" style="316" customWidth="1"/>
    <col min="2055" max="2055" width="15.125" style="316" customWidth="1"/>
    <col min="2056" max="2056" width="19" style="316" customWidth="1"/>
    <col min="2057" max="2057" width="17.375" style="316" customWidth="1"/>
    <col min="2058" max="2058" width="16.375" style="316" customWidth="1"/>
    <col min="2059" max="2059" width="17.75" style="316" customWidth="1"/>
    <col min="2060" max="2060" width="13.5" style="316" customWidth="1"/>
    <col min="2061" max="2061" width="17" style="316" customWidth="1"/>
    <col min="2062" max="2306" width="9" style="316"/>
    <col min="2307" max="2307" width="13.125" style="316" customWidth="1"/>
    <col min="2308" max="2308" width="40.125" style="316" customWidth="1"/>
    <col min="2309" max="2309" width="41" style="316" customWidth="1"/>
    <col min="2310" max="2310" width="17.375" style="316" customWidth="1"/>
    <col min="2311" max="2311" width="15.125" style="316" customWidth="1"/>
    <col min="2312" max="2312" width="19" style="316" customWidth="1"/>
    <col min="2313" max="2313" width="17.375" style="316" customWidth="1"/>
    <col min="2314" max="2314" width="16.375" style="316" customWidth="1"/>
    <col min="2315" max="2315" width="17.75" style="316" customWidth="1"/>
    <col min="2316" max="2316" width="13.5" style="316" customWidth="1"/>
    <col min="2317" max="2317" width="17" style="316" customWidth="1"/>
    <col min="2318" max="2562" width="9" style="316"/>
    <col min="2563" max="2563" width="13.125" style="316" customWidth="1"/>
    <col min="2564" max="2564" width="40.125" style="316" customWidth="1"/>
    <col min="2565" max="2565" width="41" style="316" customWidth="1"/>
    <col min="2566" max="2566" width="17.375" style="316" customWidth="1"/>
    <col min="2567" max="2567" width="15.125" style="316" customWidth="1"/>
    <col min="2568" max="2568" width="19" style="316" customWidth="1"/>
    <col min="2569" max="2569" width="17.375" style="316" customWidth="1"/>
    <col min="2570" max="2570" width="16.375" style="316" customWidth="1"/>
    <col min="2571" max="2571" width="17.75" style="316" customWidth="1"/>
    <col min="2572" max="2572" width="13.5" style="316" customWidth="1"/>
    <col min="2573" max="2573" width="17" style="316" customWidth="1"/>
    <col min="2574" max="2818" width="9" style="316"/>
    <col min="2819" max="2819" width="13.125" style="316" customWidth="1"/>
    <col min="2820" max="2820" width="40.125" style="316" customWidth="1"/>
    <col min="2821" max="2821" width="41" style="316" customWidth="1"/>
    <col min="2822" max="2822" width="17.375" style="316" customWidth="1"/>
    <col min="2823" max="2823" width="15.125" style="316" customWidth="1"/>
    <col min="2824" max="2824" width="19" style="316" customWidth="1"/>
    <col min="2825" max="2825" width="17.375" style="316" customWidth="1"/>
    <col min="2826" max="2826" width="16.375" style="316" customWidth="1"/>
    <col min="2827" max="2827" width="17.75" style="316" customWidth="1"/>
    <col min="2828" max="2828" width="13.5" style="316" customWidth="1"/>
    <col min="2829" max="2829" width="17" style="316" customWidth="1"/>
    <col min="2830" max="3074" width="9" style="316"/>
    <col min="3075" max="3075" width="13.125" style="316" customWidth="1"/>
    <col min="3076" max="3076" width="40.125" style="316" customWidth="1"/>
    <col min="3077" max="3077" width="41" style="316" customWidth="1"/>
    <col min="3078" max="3078" width="17.375" style="316" customWidth="1"/>
    <col min="3079" max="3079" width="15.125" style="316" customWidth="1"/>
    <col min="3080" max="3080" width="19" style="316" customWidth="1"/>
    <col min="3081" max="3081" width="17.375" style="316" customWidth="1"/>
    <col min="3082" max="3082" width="16.375" style="316" customWidth="1"/>
    <col min="3083" max="3083" width="17.75" style="316" customWidth="1"/>
    <col min="3084" max="3084" width="13.5" style="316" customWidth="1"/>
    <col min="3085" max="3085" width="17" style="316" customWidth="1"/>
    <col min="3086" max="3330" width="9" style="316"/>
    <col min="3331" max="3331" width="13.125" style="316" customWidth="1"/>
    <col min="3332" max="3332" width="40.125" style="316" customWidth="1"/>
    <col min="3333" max="3333" width="41" style="316" customWidth="1"/>
    <col min="3334" max="3334" width="17.375" style="316" customWidth="1"/>
    <col min="3335" max="3335" width="15.125" style="316" customWidth="1"/>
    <col min="3336" max="3336" width="19" style="316" customWidth="1"/>
    <col min="3337" max="3337" width="17.375" style="316" customWidth="1"/>
    <col min="3338" max="3338" width="16.375" style="316" customWidth="1"/>
    <col min="3339" max="3339" width="17.75" style="316" customWidth="1"/>
    <col min="3340" max="3340" width="13.5" style="316" customWidth="1"/>
    <col min="3341" max="3341" width="17" style="316" customWidth="1"/>
    <col min="3342" max="3586" width="9" style="316"/>
    <col min="3587" max="3587" width="13.125" style="316" customWidth="1"/>
    <col min="3588" max="3588" width="40.125" style="316" customWidth="1"/>
    <col min="3589" max="3589" width="41" style="316" customWidth="1"/>
    <col min="3590" max="3590" width="17.375" style="316" customWidth="1"/>
    <col min="3591" max="3591" width="15.125" style="316" customWidth="1"/>
    <col min="3592" max="3592" width="19" style="316" customWidth="1"/>
    <col min="3593" max="3593" width="17.375" style="316" customWidth="1"/>
    <col min="3594" max="3594" width="16.375" style="316" customWidth="1"/>
    <col min="3595" max="3595" width="17.75" style="316" customWidth="1"/>
    <col min="3596" max="3596" width="13.5" style="316" customWidth="1"/>
    <col min="3597" max="3597" width="17" style="316" customWidth="1"/>
    <col min="3598" max="3842" width="9" style="316"/>
    <col min="3843" max="3843" width="13.125" style="316" customWidth="1"/>
    <col min="3844" max="3844" width="40.125" style="316" customWidth="1"/>
    <col min="3845" max="3845" width="41" style="316" customWidth="1"/>
    <col min="3846" max="3846" width="17.375" style="316" customWidth="1"/>
    <col min="3847" max="3847" width="15.125" style="316" customWidth="1"/>
    <col min="3848" max="3848" width="19" style="316" customWidth="1"/>
    <col min="3849" max="3849" width="17.375" style="316" customWidth="1"/>
    <col min="3850" max="3850" width="16.375" style="316" customWidth="1"/>
    <col min="3851" max="3851" width="17.75" style="316" customWidth="1"/>
    <col min="3852" max="3852" width="13.5" style="316" customWidth="1"/>
    <col min="3853" max="3853" width="17" style="316" customWidth="1"/>
    <col min="3854" max="4098" width="9" style="316"/>
    <col min="4099" max="4099" width="13.125" style="316" customWidth="1"/>
    <col min="4100" max="4100" width="40.125" style="316" customWidth="1"/>
    <col min="4101" max="4101" width="41" style="316" customWidth="1"/>
    <col min="4102" max="4102" width="17.375" style="316" customWidth="1"/>
    <col min="4103" max="4103" width="15.125" style="316" customWidth="1"/>
    <col min="4104" max="4104" width="19" style="316" customWidth="1"/>
    <col min="4105" max="4105" width="17.375" style="316" customWidth="1"/>
    <col min="4106" max="4106" width="16.375" style="316" customWidth="1"/>
    <col min="4107" max="4107" width="17.75" style="316" customWidth="1"/>
    <col min="4108" max="4108" width="13.5" style="316" customWidth="1"/>
    <col min="4109" max="4109" width="17" style="316" customWidth="1"/>
    <col min="4110" max="4354" width="9" style="316"/>
    <col min="4355" max="4355" width="13.125" style="316" customWidth="1"/>
    <col min="4356" max="4356" width="40.125" style="316" customWidth="1"/>
    <col min="4357" max="4357" width="41" style="316" customWidth="1"/>
    <col min="4358" max="4358" width="17.375" style="316" customWidth="1"/>
    <col min="4359" max="4359" width="15.125" style="316" customWidth="1"/>
    <col min="4360" max="4360" width="19" style="316" customWidth="1"/>
    <col min="4361" max="4361" width="17.375" style="316" customWidth="1"/>
    <col min="4362" max="4362" width="16.375" style="316" customWidth="1"/>
    <col min="4363" max="4363" width="17.75" style="316" customWidth="1"/>
    <col min="4364" max="4364" width="13.5" style="316" customWidth="1"/>
    <col min="4365" max="4365" width="17" style="316" customWidth="1"/>
    <col min="4366" max="4610" width="9" style="316"/>
    <col min="4611" max="4611" width="13.125" style="316" customWidth="1"/>
    <col min="4612" max="4612" width="40.125" style="316" customWidth="1"/>
    <col min="4613" max="4613" width="41" style="316" customWidth="1"/>
    <col min="4614" max="4614" width="17.375" style="316" customWidth="1"/>
    <col min="4615" max="4615" width="15.125" style="316" customWidth="1"/>
    <col min="4616" max="4616" width="19" style="316" customWidth="1"/>
    <col min="4617" max="4617" width="17.375" style="316" customWidth="1"/>
    <col min="4618" max="4618" width="16.375" style="316" customWidth="1"/>
    <col min="4619" max="4619" width="17.75" style="316" customWidth="1"/>
    <col min="4620" max="4620" width="13.5" style="316" customWidth="1"/>
    <col min="4621" max="4621" width="17" style="316" customWidth="1"/>
    <col min="4622" max="4866" width="9" style="316"/>
    <col min="4867" max="4867" width="13.125" style="316" customWidth="1"/>
    <col min="4868" max="4868" width="40.125" style="316" customWidth="1"/>
    <col min="4869" max="4869" width="41" style="316" customWidth="1"/>
    <col min="4870" max="4870" width="17.375" style="316" customWidth="1"/>
    <col min="4871" max="4871" width="15.125" style="316" customWidth="1"/>
    <col min="4872" max="4872" width="19" style="316" customWidth="1"/>
    <col min="4873" max="4873" width="17.375" style="316" customWidth="1"/>
    <col min="4874" max="4874" width="16.375" style="316" customWidth="1"/>
    <col min="4875" max="4875" width="17.75" style="316" customWidth="1"/>
    <col min="4876" max="4876" width="13.5" style="316" customWidth="1"/>
    <col min="4877" max="4877" width="17" style="316" customWidth="1"/>
    <col min="4878" max="5122" width="9" style="316"/>
    <col min="5123" max="5123" width="13.125" style="316" customWidth="1"/>
    <col min="5124" max="5124" width="40.125" style="316" customWidth="1"/>
    <col min="5125" max="5125" width="41" style="316" customWidth="1"/>
    <col min="5126" max="5126" width="17.375" style="316" customWidth="1"/>
    <col min="5127" max="5127" width="15.125" style="316" customWidth="1"/>
    <col min="5128" max="5128" width="19" style="316" customWidth="1"/>
    <col min="5129" max="5129" width="17.375" style="316" customWidth="1"/>
    <col min="5130" max="5130" width="16.375" style="316" customWidth="1"/>
    <col min="5131" max="5131" width="17.75" style="316" customWidth="1"/>
    <col min="5132" max="5132" width="13.5" style="316" customWidth="1"/>
    <col min="5133" max="5133" width="17" style="316" customWidth="1"/>
    <col min="5134" max="5378" width="9" style="316"/>
    <col min="5379" max="5379" width="13.125" style="316" customWidth="1"/>
    <col min="5380" max="5380" width="40.125" style="316" customWidth="1"/>
    <col min="5381" max="5381" width="41" style="316" customWidth="1"/>
    <col min="5382" max="5382" width="17.375" style="316" customWidth="1"/>
    <col min="5383" max="5383" width="15.125" style="316" customWidth="1"/>
    <col min="5384" max="5384" width="19" style="316" customWidth="1"/>
    <col min="5385" max="5385" width="17.375" style="316" customWidth="1"/>
    <col min="5386" max="5386" width="16.375" style="316" customWidth="1"/>
    <col min="5387" max="5387" width="17.75" style="316" customWidth="1"/>
    <col min="5388" max="5388" width="13.5" style="316" customWidth="1"/>
    <col min="5389" max="5389" width="17" style="316" customWidth="1"/>
    <col min="5390" max="5634" width="9" style="316"/>
    <col min="5635" max="5635" width="13.125" style="316" customWidth="1"/>
    <col min="5636" max="5636" width="40.125" style="316" customWidth="1"/>
    <col min="5637" max="5637" width="41" style="316" customWidth="1"/>
    <col min="5638" max="5638" width="17.375" style="316" customWidth="1"/>
    <col min="5639" max="5639" width="15.125" style="316" customWidth="1"/>
    <col min="5640" max="5640" width="19" style="316" customWidth="1"/>
    <col min="5641" max="5641" width="17.375" style="316" customWidth="1"/>
    <col min="5642" max="5642" width="16.375" style="316" customWidth="1"/>
    <col min="5643" max="5643" width="17.75" style="316" customWidth="1"/>
    <col min="5644" max="5644" width="13.5" style="316" customWidth="1"/>
    <col min="5645" max="5645" width="17" style="316" customWidth="1"/>
    <col min="5646" max="5890" width="9" style="316"/>
    <col min="5891" max="5891" width="13.125" style="316" customWidth="1"/>
    <col min="5892" max="5892" width="40.125" style="316" customWidth="1"/>
    <col min="5893" max="5893" width="41" style="316" customWidth="1"/>
    <col min="5894" max="5894" width="17.375" style="316" customWidth="1"/>
    <col min="5895" max="5895" width="15.125" style="316" customWidth="1"/>
    <col min="5896" max="5896" width="19" style="316" customWidth="1"/>
    <col min="5897" max="5897" width="17.375" style="316" customWidth="1"/>
    <col min="5898" max="5898" width="16.375" style="316" customWidth="1"/>
    <col min="5899" max="5899" width="17.75" style="316" customWidth="1"/>
    <col min="5900" max="5900" width="13.5" style="316" customWidth="1"/>
    <col min="5901" max="5901" width="17" style="316" customWidth="1"/>
    <col min="5902" max="6146" width="9" style="316"/>
    <col min="6147" max="6147" width="13.125" style="316" customWidth="1"/>
    <col min="6148" max="6148" width="40.125" style="316" customWidth="1"/>
    <col min="6149" max="6149" width="41" style="316" customWidth="1"/>
    <col min="6150" max="6150" width="17.375" style="316" customWidth="1"/>
    <col min="6151" max="6151" width="15.125" style="316" customWidth="1"/>
    <col min="6152" max="6152" width="19" style="316" customWidth="1"/>
    <col min="6153" max="6153" width="17.375" style="316" customWidth="1"/>
    <col min="6154" max="6154" width="16.375" style="316" customWidth="1"/>
    <col min="6155" max="6155" width="17.75" style="316" customWidth="1"/>
    <col min="6156" max="6156" width="13.5" style="316" customWidth="1"/>
    <col min="6157" max="6157" width="17" style="316" customWidth="1"/>
    <col min="6158" max="6402" width="9" style="316"/>
    <col min="6403" max="6403" width="13.125" style="316" customWidth="1"/>
    <col min="6404" max="6404" width="40.125" style="316" customWidth="1"/>
    <col min="6405" max="6405" width="41" style="316" customWidth="1"/>
    <col min="6406" max="6406" width="17.375" style="316" customWidth="1"/>
    <col min="6407" max="6407" width="15.125" style="316" customWidth="1"/>
    <col min="6408" max="6408" width="19" style="316" customWidth="1"/>
    <col min="6409" max="6409" width="17.375" style="316" customWidth="1"/>
    <col min="6410" max="6410" width="16.375" style="316" customWidth="1"/>
    <col min="6411" max="6411" width="17.75" style="316" customWidth="1"/>
    <col min="6412" max="6412" width="13.5" style="316" customWidth="1"/>
    <col min="6413" max="6413" width="17" style="316" customWidth="1"/>
    <col min="6414" max="6658" width="9" style="316"/>
    <col min="6659" max="6659" width="13.125" style="316" customWidth="1"/>
    <col min="6660" max="6660" width="40.125" style="316" customWidth="1"/>
    <col min="6661" max="6661" width="41" style="316" customWidth="1"/>
    <col min="6662" max="6662" width="17.375" style="316" customWidth="1"/>
    <col min="6663" max="6663" width="15.125" style="316" customWidth="1"/>
    <col min="6664" max="6664" width="19" style="316" customWidth="1"/>
    <col min="6665" max="6665" width="17.375" style="316" customWidth="1"/>
    <col min="6666" max="6666" width="16.375" style="316" customWidth="1"/>
    <col min="6667" max="6667" width="17.75" style="316" customWidth="1"/>
    <col min="6668" max="6668" width="13.5" style="316" customWidth="1"/>
    <col min="6669" max="6669" width="17" style="316" customWidth="1"/>
    <col min="6670" max="6914" width="9" style="316"/>
    <col min="6915" max="6915" width="13.125" style="316" customWidth="1"/>
    <col min="6916" max="6916" width="40.125" style="316" customWidth="1"/>
    <col min="6917" max="6917" width="41" style="316" customWidth="1"/>
    <col min="6918" max="6918" width="17.375" style="316" customWidth="1"/>
    <col min="6919" max="6919" width="15.125" style="316" customWidth="1"/>
    <col min="6920" max="6920" width="19" style="316" customWidth="1"/>
    <col min="6921" max="6921" width="17.375" style="316" customWidth="1"/>
    <col min="6922" max="6922" width="16.375" style="316" customWidth="1"/>
    <col min="6923" max="6923" width="17.75" style="316" customWidth="1"/>
    <col min="6924" max="6924" width="13.5" style="316" customWidth="1"/>
    <col min="6925" max="6925" width="17" style="316" customWidth="1"/>
    <col min="6926" max="7170" width="9" style="316"/>
    <col min="7171" max="7171" width="13.125" style="316" customWidth="1"/>
    <col min="7172" max="7172" width="40.125" style="316" customWidth="1"/>
    <col min="7173" max="7173" width="41" style="316" customWidth="1"/>
    <col min="7174" max="7174" width="17.375" style="316" customWidth="1"/>
    <col min="7175" max="7175" width="15.125" style="316" customWidth="1"/>
    <col min="7176" max="7176" width="19" style="316" customWidth="1"/>
    <col min="7177" max="7177" width="17.375" style="316" customWidth="1"/>
    <col min="7178" max="7178" width="16.375" style="316" customWidth="1"/>
    <col min="7179" max="7179" width="17.75" style="316" customWidth="1"/>
    <col min="7180" max="7180" width="13.5" style="316" customWidth="1"/>
    <col min="7181" max="7181" width="17" style="316" customWidth="1"/>
    <col min="7182" max="7426" width="9" style="316"/>
    <col min="7427" max="7427" width="13.125" style="316" customWidth="1"/>
    <col min="7428" max="7428" width="40.125" style="316" customWidth="1"/>
    <col min="7429" max="7429" width="41" style="316" customWidth="1"/>
    <col min="7430" max="7430" width="17.375" style="316" customWidth="1"/>
    <col min="7431" max="7431" width="15.125" style="316" customWidth="1"/>
    <col min="7432" max="7432" width="19" style="316" customWidth="1"/>
    <col min="7433" max="7433" width="17.375" style="316" customWidth="1"/>
    <col min="7434" max="7434" width="16.375" style="316" customWidth="1"/>
    <col min="7435" max="7435" width="17.75" style="316" customWidth="1"/>
    <col min="7436" max="7436" width="13.5" style="316" customWidth="1"/>
    <col min="7437" max="7437" width="17" style="316" customWidth="1"/>
    <col min="7438" max="7682" width="9" style="316"/>
    <col min="7683" max="7683" width="13.125" style="316" customWidth="1"/>
    <col min="7684" max="7684" width="40.125" style="316" customWidth="1"/>
    <col min="7685" max="7685" width="41" style="316" customWidth="1"/>
    <col min="7686" max="7686" width="17.375" style="316" customWidth="1"/>
    <col min="7687" max="7687" width="15.125" style="316" customWidth="1"/>
    <col min="7688" max="7688" width="19" style="316" customWidth="1"/>
    <col min="7689" max="7689" width="17.375" style="316" customWidth="1"/>
    <col min="7690" max="7690" width="16.375" style="316" customWidth="1"/>
    <col min="7691" max="7691" width="17.75" style="316" customWidth="1"/>
    <col min="7692" max="7692" width="13.5" style="316" customWidth="1"/>
    <col min="7693" max="7693" width="17" style="316" customWidth="1"/>
    <col min="7694" max="7938" width="9" style="316"/>
    <col min="7939" max="7939" width="13.125" style="316" customWidth="1"/>
    <col min="7940" max="7940" width="40.125" style="316" customWidth="1"/>
    <col min="7941" max="7941" width="41" style="316" customWidth="1"/>
    <col min="7942" max="7942" width="17.375" style="316" customWidth="1"/>
    <col min="7943" max="7943" width="15.125" style="316" customWidth="1"/>
    <col min="7944" max="7944" width="19" style="316" customWidth="1"/>
    <col min="7945" max="7945" width="17.375" style="316" customWidth="1"/>
    <col min="7946" max="7946" width="16.375" style="316" customWidth="1"/>
    <col min="7947" max="7947" width="17.75" style="316" customWidth="1"/>
    <col min="7948" max="7948" width="13.5" style="316" customWidth="1"/>
    <col min="7949" max="7949" width="17" style="316" customWidth="1"/>
    <col min="7950" max="8194" width="9" style="316"/>
    <col min="8195" max="8195" width="13.125" style="316" customWidth="1"/>
    <col min="8196" max="8196" width="40.125" style="316" customWidth="1"/>
    <col min="8197" max="8197" width="41" style="316" customWidth="1"/>
    <col min="8198" max="8198" width="17.375" style="316" customWidth="1"/>
    <col min="8199" max="8199" width="15.125" style="316" customWidth="1"/>
    <col min="8200" max="8200" width="19" style="316" customWidth="1"/>
    <col min="8201" max="8201" width="17.375" style="316" customWidth="1"/>
    <col min="8202" max="8202" width="16.375" style="316" customWidth="1"/>
    <col min="8203" max="8203" width="17.75" style="316" customWidth="1"/>
    <col min="8204" max="8204" width="13.5" style="316" customWidth="1"/>
    <col min="8205" max="8205" width="17" style="316" customWidth="1"/>
    <col min="8206" max="8450" width="9" style="316"/>
    <col min="8451" max="8451" width="13.125" style="316" customWidth="1"/>
    <col min="8452" max="8452" width="40.125" style="316" customWidth="1"/>
    <col min="8453" max="8453" width="41" style="316" customWidth="1"/>
    <col min="8454" max="8454" width="17.375" style="316" customWidth="1"/>
    <col min="8455" max="8455" width="15.125" style="316" customWidth="1"/>
    <col min="8456" max="8456" width="19" style="316" customWidth="1"/>
    <col min="8457" max="8457" width="17.375" style="316" customWidth="1"/>
    <col min="8458" max="8458" width="16.375" style="316" customWidth="1"/>
    <col min="8459" max="8459" width="17.75" style="316" customWidth="1"/>
    <col min="8460" max="8460" width="13.5" style="316" customWidth="1"/>
    <col min="8461" max="8461" width="17" style="316" customWidth="1"/>
    <col min="8462" max="8706" width="9" style="316"/>
    <col min="8707" max="8707" width="13.125" style="316" customWidth="1"/>
    <col min="8708" max="8708" width="40.125" style="316" customWidth="1"/>
    <col min="8709" max="8709" width="41" style="316" customWidth="1"/>
    <col min="8710" max="8710" width="17.375" style="316" customWidth="1"/>
    <col min="8711" max="8711" width="15.125" style="316" customWidth="1"/>
    <col min="8712" max="8712" width="19" style="316" customWidth="1"/>
    <col min="8713" max="8713" width="17.375" style="316" customWidth="1"/>
    <col min="8714" max="8714" width="16.375" style="316" customWidth="1"/>
    <col min="8715" max="8715" width="17.75" style="316" customWidth="1"/>
    <col min="8716" max="8716" width="13.5" style="316" customWidth="1"/>
    <col min="8717" max="8717" width="17" style="316" customWidth="1"/>
    <col min="8718" max="8962" width="9" style="316"/>
    <col min="8963" max="8963" width="13.125" style="316" customWidth="1"/>
    <col min="8964" max="8964" width="40.125" style="316" customWidth="1"/>
    <col min="8965" max="8965" width="41" style="316" customWidth="1"/>
    <col min="8966" max="8966" width="17.375" style="316" customWidth="1"/>
    <col min="8967" max="8967" width="15.125" style="316" customWidth="1"/>
    <col min="8968" max="8968" width="19" style="316" customWidth="1"/>
    <col min="8969" max="8969" width="17.375" style="316" customWidth="1"/>
    <col min="8970" max="8970" width="16.375" style="316" customWidth="1"/>
    <col min="8971" max="8971" width="17.75" style="316" customWidth="1"/>
    <col min="8972" max="8972" width="13.5" style="316" customWidth="1"/>
    <col min="8973" max="8973" width="17" style="316" customWidth="1"/>
    <col min="8974" max="9218" width="9" style="316"/>
    <col min="9219" max="9219" width="13.125" style="316" customWidth="1"/>
    <col min="9220" max="9220" width="40.125" style="316" customWidth="1"/>
    <col min="9221" max="9221" width="41" style="316" customWidth="1"/>
    <col min="9222" max="9222" width="17.375" style="316" customWidth="1"/>
    <col min="9223" max="9223" width="15.125" style="316" customWidth="1"/>
    <col min="9224" max="9224" width="19" style="316" customWidth="1"/>
    <col min="9225" max="9225" width="17.375" style="316" customWidth="1"/>
    <col min="9226" max="9226" width="16.375" style="316" customWidth="1"/>
    <col min="9227" max="9227" width="17.75" style="316" customWidth="1"/>
    <col min="9228" max="9228" width="13.5" style="316" customWidth="1"/>
    <col min="9229" max="9229" width="17" style="316" customWidth="1"/>
    <col min="9230" max="9474" width="9" style="316"/>
    <col min="9475" max="9475" width="13.125" style="316" customWidth="1"/>
    <col min="9476" max="9476" width="40.125" style="316" customWidth="1"/>
    <col min="9477" max="9477" width="41" style="316" customWidth="1"/>
    <col min="9478" max="9478" width="17.375" style="316" customWidth="1"/>
    <col min="9479" max="9479" width="15.125" style="316" customWidth="1"/>
    <col min="9480" max="9480" width="19" style="316" customWidth="1"/>
    <col min="9481" max="9481" width="17.375" style="316" customWidth="1"/>
    <col min="9482" max="9482" width="16.375" style="316" customWidth="1"/>
    <col min="9483" max="9483" width="17.75" style="316" customWidth="1"/>
    <col min="9484" max="9484" width="13.5" style="316" customWidth="1"/>
    <col min="9485" max="9485" width="17" style="316" customWidth="1"/>
    <col min="9486" max="9730" width="9" style="316"/>
    <col min="9731" max="9731" width="13.125" style="316" customWidth="1"/>
    <col min="9732" max="9732" width="40.125" style="316" customWidth="1"/>
    <col min="9733" max="9733" width="41" style="316" customWidth="1"/>
    <col min="9734" max="9734" width="17.375" style="316" customWidth="1"/>
    <col min="9735" max="9735" width="15.125" style="316" customWidth="1"/>
    <col min="9736" max="9736" width="19" style="316" customWidth="1"/>
    <col min="9737" max="9737" width="17.375" style="316" customWidth="1"/>
    <col min="9738" max="9738" width="16.375" style="316" customWidth="1"/>
    <col min="9739" max="9739" width="17.75" style="316" customWidth="1"/>
    <col min="9740" max="9740" width="13.5" style="316" customWidth="1"/>
    <col min="9741" max="9741" width="17" style="316" customWidth="1"/>
    <col min="9742" max="9986" width="9" style="316"/>
    <col min="9987" max="9987" width="13.125" style="316" customWidth="1"/>
    <col min="9988" max="9988" width="40.125" style="316" customWidth="1"/>
    <col min="9989" max="9989" width="41" style="316" customWidth="1"/>
    <col min="9990" max="9990" width="17.375" style="316" customWidth="1"/>
    <col min="9991" max="9991" width="15.125" style="316" customWidth="1"/>
    <col min="9992" max="9992" width="19" style="316" customWidth="1"/>
    <col min="9993" max="9993" width="17.375" style="316" customWidth="1"/>
    <col min="9994" max="9994" width="16.375" style="316" customWidth="1"/>
    <col min="9995" max="9995" width="17.75" style="316" customWidth="1"/>
    <col min="9996" max="9996" width="13.5" style="316" customWidth="1"/>
    <col min="9997" max="9997" width="17" style="316" customWidth="1"/>
    <col min="9998" max="10242" width="9" style="316"/>
    <col min="10243" max="10243" width="13.125" style="316" customWidth="1"/>
    <col min="10244" max="10244" width="40.125" style="316" customWidth="1"/>
    <col min="10245" max="10245" width="41" style="316" customWidth="1"/>
    <col min="10246" max="10246" width="17.375" style="316" customWidth="1"/>
    <col min="10247" max="10247" width="15.125" style="316" customWidth="1"/>
    <col min="10248" max="10248" width="19" style="316" customWidth="1"/>
    <col min="10249" max="10249" width="17.375" style="316" customWidth="1"/>
    <col min="10250" max="10250" width="16.375" style="316" customWidth="1"/>
    <col min="10251" max="10251" width="17.75" style="316" customWidth="1"/>
    <col min="10252" max="10252" width="13.5" style="316" customWidth="1"/>
    <col min="10253" max="10253" width="17" style="316" customWidth="1"/>
    <col min="10254" max="10498" width="9" style="316"/>
    <col min="10499" max="10499" width="13.125" style="316" customWidth="1"/>
    <col min="10500" max="10500" width="40.125" style="316" customWidth="1"/>
    <col min="10501" max="10501" width="41" style="316" customWidth="1"/>
    <col min="10502" max="10502" width="17.375" style="316" customWidth="1"/>
    <col min="10503" max="10503" width="15.125" style="316" customWidth="1"/>
    <col min="10504" max="10504" width="19" style="316" customWidth="1"/>
    <col min="10505" max="10505" width="17.375" style="316" customWidth="1"/>
    <col min="10506" max="10506" width="16.375" style="316" customWidth="1"/>
    <col min="10507" max="10507" width="17.75" style="316" customWidth="1"/>
    <col min="10508" max="10508" width="13.5" style="316" customWidth="1"/>
    <col min="10509" max="10509" width="17" style="316" customWidth="1"/>
    <col min="10510" max="10754" width="9" style="316"/>
    <col min="10755" max="10755" width="13.125" style="316" customWidth="1"/>
    <col min="10756" max="10756" width="40.125" style="316" customWidth="1"/>
    <col min="10757" max="10757" width="41" style="316" customWidth="1"/>
    <col min="10758" max="10758" width="17.375" style="316" customWidth="1"/>
    <col min="10759" max="10759" width="15.125" style="316" customWidth="1"/>
    <col min="10760" max="10760" width="19" style="316" customWidth="1"/>
    <col min="10761" max="10761" width="17.375" style="316" customWidth="1"/>
    <col min="10762" max="10762" width="16.375" style="316" customWidth="1"/>
    <col min="10763" max="10763" width="17.75" style="316" customWidth="1"/>
    <col min="10764" max="10764" width="13.5" style="316" customWidth="1"/>
    <col min="10765" max="10765" width="17" style="316" customWidth="1"/>
    <col min="10766" max="11010" width="9" style="316"/>
    <col min="11011" max="11011" width="13.125" style="316" customWidth="1"/>
    <col min="11012" max="11012" width="40.125" style="316" customWidth="1"/>
    <col min="11013" max="11013" width="41" style="316" customWidth="1"/>
    <col min="11014" max="11014" width="17.375" style="316" customWidth="1"/>
    <col min="11015" max="11015" width="15.125" style="316" customWidth="1"/>
    <col min="11016" max="11016" width="19" style="316" customWidth="1"/>
    <col min="11017" max="11017" width="17.375" style="316" customWidth="1"/>
    <col min="11018" max="11018" width="16.375" style="316" customWidth="1"/>
    <col min="11019" max="11019" width="17.75" style="316" customWidth="1"/>
    <col min="11020" max="11020" width="13.5" style="316" customWidth="1"/>
    <col min="11021" max="11021" width="17" style="316" customWidth="1"/>
    <col min="11022" max="11266" width="9" style="316"/>
    <col min="11267" max="11267" width="13.125" style="316" customWidth="1"/>
    <col min="11268" max="11268" width="40.125" style="316" customWidth="1"/>
    <col min="11269" max="11269" width="41" style="316" customWidth="1"/>
    <col min="11270" max="11270" width="17.375" style="316" customWidth="1"/>
    <col min="11271" max="11271" width="15.125" style="316" customWidth="1"/>
    <col min="11272" max="11272" width="19" style="316" customWidth="1"/>
    <col min="11273" max="11273" width="17.375" style="316" customWidth="1"/>
    <col min="11274" max="11274" width="16.375" style="316" customWidth="1"/>
    <col min="11275" max="11275" width="17.75" style="316" customWidth="1"/>
    <col min="11276" max="11276" width="13.5" style="316" customWidth="1"/>
    <col min="11277" max="11277" width="17" style="316" customWidth="1"/>
    <col min="11278" max="11522" width="9" style="316"/>
    <col min="11523" max="11523" width="13.125" style="316" customWidth="1"/>
    <col min="11524" max="11524" width="40.125" style="316" customWidth="1"/>
    <col min="11525" max="11525" width="41" style="316" customWidth="1"/>
    <col min="11526" max="11526" width="17.375" style="316" customWidth="1"/>
    <col min="11527" max="11527" width="15.125" style="316" customWidth="1"/>
    <col min="11528" max="11528" width="19" style="316" customWidth="1"/>
    <col min="11529" max="11529" width="17.375" style="316" customWidth="1"/>
    <col min="11530" max="11530" width="16.375" style="316" customWidth="1"/>
    <col min="11531" max="11531" width="17.75" style="316" customWidth="1"/>
    <col min="11532" max="11532" width="13.5" style="316" customWidth="1"/>
    <col min="11533" max="11533" width="17" style="316" customWidth="1"/>
    <col min="11534" max="11778" width="9" style="316"/>
    <col min="11779" max="11779" width="13.125" style="316" customWidth="1"/>
    <col min="11780" max="11780" width="40.125" style="316" customWidth="1"/>
    <col min="11781" max="11781" width="41" style="316" customWidth="1"/>
    <col min="11782" max="11782" width="17.375" style="316" customWidth="1"/>
    <col min="11783" max="11783" width="15.125" style="316" customWidth="1"/>
    <col min="11784" max="11784" width="19" style="316" customWidth="1"/>
    <col min="11785" max="11785" width="17.375" style="316" customWidth="1"/>
    <col min="11786" max="11786" width="16.375" style="316" customWidth="1"/>
    <col min="11787" max="11787" width="17.75" style="316" customWidth="1"/>
    <col min="11788" max="11788" width="13.5" style="316" customWidth="1"/>
    <col min="11789" max="11789" width="17" style="316" customWidth="1"/>
    <col min="11790" max="12034" width="9" style="316"/>
    <col min="12035" max="12035" width="13.125" style="316" customWidth="1"/>
    <col min="12036" max="12036" width="40.125" style="316" customWidth="1"/>
    <col min="12037" max="12037" width="41" style="316" customWidth="1"/>
    <col min="12038" max="12038" width="17.375" style="316" customWidth="1"/>
    <col min="12039" max="12039" width="15.125" style="316" customWidth="1"/>
    <col min="12040" max="12040" width="19" style="316" customWidth="1"/>
    <col min="12041" max="12041" width="17.375" style="316" customWidth="1"/>
    <col min="12042" max="12042" width="16.375" style="316" customWidth="1"/>
    <col min="12043" max="12043" width="17.75" style="316" customWidth="1"/>
    <col min="12044" max="12044" width="13.5" style="316" customWidth="1"/>
    <col min="12045" max="12045" width="17" style="316" customWidth="1"/>
    <col min="12046" max="12290" width="9" style="316"/>
    <col min="12291" max="12291" width="13.125" style="316" customWidth="1"/>
    <col min="12292" max="12292" width="40.125" style="316" customWidth="1"/>
    <col min="12293" max="12293" width="41" style="316" customWidth="1"/>
    <col min="12294" max="12294" width="17.375" style="316" customWidth="1"/>
    <col min="12295" max="12295" width="15.125" style="316" customWidth="1"/>
    <col min="12296" max="12296" width="19" style="316" customWidth="1"/>
    <col min="12297" max="12297" width="17.375" style="316" customWidth="1"/>
    <col min="12298" max="12298" width="16.375" style="316" customWidth="1"/>
    <col min="12299" max="12299" width="17.75" style="316" customWidth="1"/>
    <col min="12300" max="12300" width="13.5" style="316" customWidth="1"/>
    <col min="12301" max="12301" width="17" style="316" customWidth="1"/>
    <col min="12302" max="12546" width="9" style="316"/>
    <col min="12547" max="12547" width="13.125" style="316" customWidth="1"/>
    <col min="12548" max="12548" width="40.125" style="316" customWidth="1"/>
    <col min="12549" max="12549" width="41" style="316" customWidth="1"/>
    <col min="12550" max="12550" width="17.375" style="316" customWidth="1"/>
    <col min="12551" max="12551" width="15.125" style="316" customWidth="1"/>
    <col min="12552" max="12552" width="19" style="316" customWidth="1"/>
    <col min="12553" max="12553" width="17.375" style="316" customWidth="1"/>
    <col min="12554" max="12554" width="16.375" style="316" customWidth="1"/>
    <col min="12555" max="12555" width="17.75" style="316" customWidth="1"/>
    <col min="12556" max="12556" width="13.5" style="316" customWidth="1"/>
    <col min="12557" max="12557" width="17" style="316" customWidth="1"/>
    <col min="12558" max="12802" width="9" style="316"/>
    <col min="12803" max="12803" width="13.125" style="316" customWidth="1"/>
    <col min="12804" max="12804" width="40.125" style="316" customWidth="1"/>
    <col min="12805" max="12805" width="41" style="316" customWidth="1"/>
    <col min="12806" max="12806" width="17.375" style="316" customWidth="1"/>
    <col min="12807" max="12807" width="15.125" style="316" customWidth="1"/>
    <col min="12808" max="12808" width="19" style="316" customWidth="1"/>
    <col min="12809" max="12809" width="17.375" style="316" customWidth="1"/>
    <col min="12810" max="12810" width="16.375" style="316" customWidth="1"/>
    <col min="12811" max="12811" width="17.75" style="316" customWidth="1"/>
    <col min="12812" max="12812" width="13.5" style="316" customWidth="1"/>
    <col min="12813" max="12813" width="17" style="316" customWidth="1"/>
    <col min="12814" max="13058" width="9" style="316"/>
    <col min="13059" max="13059" width="13.125" style="316" customWidth="1"/>
    <col min="13060" max="13060" width="40.125" style="316" customWidth="1"/>
    <col min="13061" max="13061" width="41" style="316" customWidth="1"/>
    <col min="13062" max="13062" width="17.375" style="316" customWidth="1"/>
    <col min="13063" max="13063" width="15.125" style="316" customWidth="1"/>
    <col min="13064" max="13064" width="19" style="316" customWidth="1"/>
    <col min="13065" max="13065" width="17.375" style="316" customWidth="1"/>
    <col min="13066" max="13066" width="16.375" style="316" customWidth="1"/>
    <col min="13067" max="13067" width="17.75" style="316" customWidth="1"/>
    <col min="13068" max="13068" width="13.5" style="316" customWidth="1"/>
    <col min="13069" max="13069" width="17" style="316" customWidth="1"/>
    <col min="13070" max="13314" width="9" style="316"/>
    <col min="13315" max="13315" width="13.125" style="316" customWidth="1"/>
    <col min="13316" max="13316" width="40.125" style="316" customWidth="1"/>
    <col min="13317" max="13317" width="41" style="316" customWidth="1"/>
    <col min="13318" max="13318" width="17.375" style="316" customWidth="1"/>
    <col min="13319" max="13319" width="15.125" style="316" customWidth="1"/>
    <col min="13320" max="13320" width="19" style="316" customWidth="1"/>
    <col min="13321" max="13321" width="17.375" style="316" customWidth="1"/>
    <col min="13322" max="13322" width="16.375" style="316" customWidth="1"/>
    <col min="13323" max="13323" width="17.75" style="316" customWidth="1"/>
    <col min="13324" max="13324" width="13.5" style="316" customWidth="1"/>
    <col min="13325" max="13325" width="17" style="316" customWidth="1"/>
    <col min="13326" max="13570" width="9" style="316"/>
    <col min="13571" max="13571" width="13.125" style="316" customWidth="1"/>
    <col min="13572" max="13572" width="40.125" style="316" customWidth="1"/>
    <col min="13573" max="13573" width="41" style="316" customWidth="1"/>
    <col min="13574" max="13574" width="17.375" style="316" customWidth="1"/>
    <col min="13575" max="13575" width="15.125" style="316" customWidth="1"/>
    <col min="13576" max="13576" width="19" style="316" customWidth="1"/>
    <col min="13577" max="13577" width="17.375" style="316" customWidth="1"/>
    <col min="13578" max="13578" width="16.375" style="316" customWidth="1"/>
    <col min="13579" max="13579" width="17.75" style="316" customWidth="1"/>
    <col min="13580" max="13580" width="13.5" style="316" customWidth="1"/>
    <col min="13581" max="13581" width="17" style="316" customWidth="1"/>
    <col min="13582" max="13826" width="9" style="316"/>
    <col min="13827" max="13827" width="13.125" style="316" customWidth="1"/>
    <col min="13828" max="13828" width="40.125" style="316" customWidth="1"/>
    <col min="13829" max="13829" width="41" style="316" customWidth="1"/>
    <col min="13830" max="13830" width="17.375" style="316" customWidth="1"/>
    <col min="13831" max="13831" width="15.125" style="316" customWidth="1"/>
    <col min="13832" max="13832" width="19" style="316" customWidth="1"/>
    <col min="13833" max="13833" width="17.375" style="316" customWidth="1"/>
    <col min="13834" max="13834" width="16.375" style="316" customWidth="1"/>
    <col min="13835" max="13835" width="17.75" style="316" customWidth="1"/>
    <col min="13836" max="13836" width="13.5" style="316" customWidth="1"/>
    <col min="13837" max="13837" width="17" style="316" customWidth="1"/>
    <col min="13838" max="14082" width="9" style="316"/>
    <col min="14083" max="14083" width="13.125" style="316" customWidth="1"/>
    <col min="14084" max="14084" width="40.125" style="316" customWidth="1"/>
    <col min="14085" max="14085" width="41" style="316" customWidth="1"/>
    <col min="14086" max="14086" width="17.375" style="316" customWidth="1"/>
    <col min="14087" max="14087" width="15.125" style="316" customWidth="1"/>
    <col min="14088" max="14088" width="19" style="316" customWidth="1"/>
    <col min="14089" max="14089" width="17.375" style="316" customWidth="1"/>
    <col min="14090" max="14090" width="16.375" style="316" customWidth="1"/>
    <col min="14091" max="14091" width="17.75" style="316" customWidth="1"/>
    <col min="14092" max="14092" width="13.5" style="316" customWidth="1"/>
    <col min="14093" max="14093" width="17" style="316" customWidth="1"/>
    <col min="14094" max="14338" width="9" style="316"/>
    <col min="14339" max="14339" width="13.125" style="316" customWidth="1"/>
    <col min="14340" max="14340" width="40.125" style="316" customWidth="1"/>
    <col min="14341" max="14341" width="41" style="316" customWidth="1"/>
    <col min="14342" max="14342" width="17.375" style="316" customWidth="1"/>
    <col min="14343" max="14343" width="15.125" style="316" customWidth="1"/>
    <col min="14344" max="14344" width="19" style="316" customWidth="1"/>
    <col min="14345" max="14345" width="17.375" style="316" customWidth="1"/>
    <col min="14346" max="14346" width="16.375" style="316" customWidth="1"/>
    <col min="14347" max="14347" width="17.75" style="316" customWidth="1"/>
    <col min="14348" max="14348" width="13.5" style="316" customWidth="1"/>
    <col min="14349" max="14349" width="17" style="316" customWidth="1"/>
    <col min="14350" max="14594" width="9" style="316"/>
    <col min="14595" max="14595" width="13.125" style="316" customWidth="1"/>
    <col min="14596" max="14596" width="40.125" style="316" customWidth="1"/>
    <col min="14597" max="14597" width="41" style="316" customWidth="1"/>
    <col min="14598" max="14598" width="17.375" style="316" customWidth="1"/>
    <col min="14599" max="14599" width="15.125" style="316" customWidth="1"/>
    <col min="14600" max="14600" width="19" style="316" customWidth="1"/>
    <col min="14601" max="14601" width="17.375" style="316" customWidth="1"/>
    <col min="14602" max="14602" width="16.375" style="316" customWidth="1"/>
    <col min="14603" max="14603" width="17.75" style="316" customWidth="1"/>
    <col min="14604" max="14604" width="13.5" style="316" customWidth="1"/>
    <col min="14605" max="14605" width="17" style="316" customWidth="1"/>
    <col min="14606" max="14850" width="9" style="316"/>
    <col min="14851" max="14851" width="13.125" style="316" customWidth="1"/>
    <col min="14852" max="14852" width="40.125" style="316" customWidth="1"/>
    <col min="14853" max="14853" width="41" style="316" customWidth="1"/>
    <col min="14854" max="14854" width="17.375" style="316" customWidth="1"/>
    <col min="14855" max="14855" width="15.125" style="316" customWidth="1"/>
    <col min="14856" max="14856" width="19" style="316" customWidth="1"/>
    <col min="14857" max="14857" width="17.375" style="316" customWidth="1"/>
    <col min="14858" max="14858" width="16.375" style="316" customWidth="1"/>
    <col min="14859" max="14859" width="17.75" style="316" customWidth="1"/>
    <col min="14860" max="14860" width="13.5" style="316" customWidth="1"/>
    <col min="14861" max="14861" width="17" style="316" customWidth="1"/>
    <col min="14862" max="15106" width="9" style="316"/>
    <col min="15107" max="15107" width="13.125" style="316" customWidth="1"/>
    <col min="15108" max="15108" width="40.125" style="316" customWidth="1"/>
    <col min="15109" max="15109" width="41" style="316" customWidth="1"/>
    <col min="15110" max="15110" width="17.375" style="316" customWidth="1"/>
    <col min="15111" max="15111" width="15.125" style="316" customWidth="1"/>
    <col min="15112" max="15112" width="19" style="316" customWidth="1"/>
    <col min="15113" max="15113" width="17.375" style="316" customWidth="1"/>
    <col min="15114" max="15114" width="16.375" style="316" customWidth="1"/>
    <col min="15115" max="15115" width="17.75" style="316" customWidth="1"/>
    <col min="15116" max="15116" width="13.5" style="316" customWidth="1"/>
    <col min="15117" max="15117" width="17" style="316" customWidth="1"/>
    <col min="15118" max="15362" width="9" style="316"/>
    <col min="15363" max="15363" width="13.125" style="316" customWidth="1"/>
    <col min="15364" max="15364" width="40.125" style="316" customWidth="1"/>
    <col min="15365" max="15365" width="41" style="316" customWidth="1"/>
    <col min="15366" max="15366" width="17.375" style="316" customWidth="1"/>
    <col min="15367" max="15367" width="15.125" style="316" customWidth="1"/>
    <col min="15368" max="15368" width="19" style="316" customWidth="1"/>
    <col min="15369" max="15369" width="17.375" style="316" customWidth="1"/>
    <col min="15370" max="15370" width="16.375" style="316" customWidth="1"/>
    <col min="15371" max="15371" width="17.75" style="316" customWidth="1"/>
    <col min="15372" max="15372" width="13.5" style="316" customWidth="1"/>
    <col min="15373" max="15373" width="17" style="316" customWidth="1"/>
    <col min="15374" max="15618" width="9" style="316"/>
    <col min="15619" max="15619" width="13.125" style="316" customWidth="1"/>
    <col min="15620" max="15620" width="40.125" style="316" customWidth="1"/>
    <col min="15621" max="15621" width="41" style="316" customWidth="1"/>
    <col min="15622" max="15622" width="17.375" style="316" customWidth="1"/>
    <col min="15623" max="15623" width="15.125" style="316" customWidth="1"/>
    <col min="15624" max="15624" width="19" style="316" customWidth="1"/>
    <col min="15625" max="15625" width="17.375" style="316" customWidth="1"/>
    <col min="15626" max="15626" width="16.375" style="316" customWidth="1"/>
    <col min="15627" max="15627" width="17.75" style="316" customWidth="1"/>
    <col min="15628" max="15628" width="13.5" style="316" customWidth="1"/>
    <col min="15629" max="15629" width="17" style="316" customWidth="1"/>
    <col min="15630" max="15874" width="9" style="316"/>
    <col min="15875" max="15875" width="13.125" style="316" customWidth="1"/>
    <col min="15876" max="15876" width="40.125" style="316" customWidth="1"/>
    <col min="15877" max="15877" width="41" style="316" customWidth="1"/>
    <col min="15878" max="15878" width="17.375" style="316" customWidth="1"/>
    <col min="15879" max="15879" width="15.125" style="316" customWidth="1"/>
    <col min="15880" max="15880" width="19" style="316" customWidth="1"/>
    <col min="15881" max="15881" width="17.375" style="316" customWidth="1"/>
    <col min="15882" max="15882" width="16.375" style="316" customWidth="1"/>
    <col min="15883" max="15883" width="17.75" style="316" customWidth="1"/>
    <col min="15884" max="15884" width="13.5" style="316" customWidth="1"/>
    <col min="15885" max="15885" width="17" style="316" customWidth="1"/>
    <col min="15886" max="16130" width="9" style="316"/>
    <col min="16131" max="16131" width="13.125" style="316" customWidth="1"/>
    <col min="16132" max="16132" width="40.125" style="316" customWidth="1"/>
    <col min="16133" max="16133" width="41" style="316" customWidth="1"/>
    <col min="16134" max="16134" width="17.375" style="316" customWidth="1"/>
    <col min="16135" max="16135" width="15.125" style="316" customWidth="1"/>
    <col min="16136" max="16136" width="19" style="316" customWidth="1"/>
    <col min="16137" max="16137" width="17.375" style="316" customWidth="1"/>
    <col min="16138" max="16138" width="16.375" style="316" customWidth="1"/>
    <col min="16139" max="16139" width="17.75" style="316" customWidth="1"/>
    <col min="16140" max="16140" width="13.5" style="316" customWidth="1"/>
    <col min="16141" max="16141" width="17" style="316" customWidth="1"/>
    <col min="16142" max="16384" width="9" style="316"/>
  </cols>
  <sheetData>
    <row r="1" spans="1:18">
      <c r="A1" s="321" t="s">
        <v>0</v>
      </c>
    </row>
    <row r="2" spans="1:18" ht="14.25" customHeight="1" thickBot="1">
      <c r="B2" s="675" t="s">
        <v>755</v>
      </c>
      <c r="C2" s="676"/>
    </row>
    <row r="3" spans="1:18" ht="14.25">
      <c r="B3" s="322" t="s">
        <v>1</v>
      </c>
      <c r="C3" s="323" t="s">
        <v>2</v>
      </c>
      <c r="O3" s="316"/>
    </row>
    <row r="4" spans="1:18" ht="25.5">
      <c r="B4" s="324" t="s">
        <v>3</v>
      </c>
      <c r="C4" s="325" t="s">
        <v>753</v>
      </c>
      <c r="O4" s="316"/>
    </row>
    <row r="5" spans="1:18" ht="14.25">
      <c r="B5" s="324" t="s">
        <v>4</v>
      </c>
      <c r="C5" s="326"/>
      <c r="O5" s="316"/>
    </row>
    <row r="6" spans="1:18" ht="14.25">
      <c r="B6" s="324" t="s">
        <v>5</v>
      </c>
      <c r="C6" s="327"/>
      <c r="O6" s="316"/>
    </row>
    <row r="7" spans="1:18" ht="14.25">
      <c r="B7" s="324" t="s">
        <v>6</v>
      </c>
      <c r="C7" s="328" t="s">
        <v>7</v>
      </c>
    </row>
    <row r="8" spans="1:18" ht="28.5">
      <c r="B8" s="324" t="s">
        <v>865</v>
      </c>
      <c r="C8" s="329" t="s">
        <v>8</v>
      </c>
    </row>
    <row r="9" spans="1:18" ht="14.25">
      <c r="B9" s="324" t="s">
        <v>9</v>
      </c>
      <c r="C9" s="329" t="s">
        <v>10</v>
      </c>
    </row>
    <row r="10" spans="1:18" ht="14.25">
      <c r="B10" s="324" t="s">
        <v>11</v>
      </c>
      <c r="C10" s="448">
        <f>M35</f>
        <v>125000</v>
      </c>
    </row>
    <row r="11" spans="1:18" ht="14.25">
      <c r="B11" s="324" t="s">
        <v>12</v>
      </c>
      <c r="C11" s="330">
        <v>1</v>
      </c>
    </row>
    <row r="12" spans="1:18" ht="27">
      <c r="B12" s="324" t="s">
        <v>13</v>
      </c>
      <c r="C12" s="330">
        <f>C11*C10</f>
        <v>125000</v>
      </c>
    </row>
    <row r="13" spans="1:18" ht="14.25">
      <c r="B13" s="324" t="s">
        <v>14</v>
      </c>
      <c r="C13" s="330">
        <f>C11*1.17</f>
        <v>1.17</v>
      </c>
      <c r="N13" s="348"/>
      <c r="O13" s="348"/>
      <c r="P13" s="348"/>
      <c r="Q13" s="348"/>
      <c r="R13" s="348"/>
    </row>
    <row r="14" spans="1:18" ht="27">
      <c r="B14" s="324" t="s">
        <v>15</v>
      </c>
      <c r="C14" s="330">
        <f>C13*C10</f>
        <v>146250</v>
      </c>
      <c r="D14" s="331"/>
      <c r="L14" s="349"/>
      <c r="M14" s="349"/>
    </row>
    <row r="15" spans="1:18" ht="27">
      <c r="B15" s="332" t="s">
        <v>16</v>
      </c>
      <c r="C15" s="333">
        <v>0.17</v>
      </c>
    </row>
    <row r="16" spans="1:18" ht="14.25">
      <c r="B16" s="324" t="s">
        <v>17</v>
      </c>
      <c r="C16" s="333"/>
    </row>
    <row r="17" spans="2:18" ht="25.5">
      <c r="B17" s="334" t="s">
        <v>18</v>
      </c>
      <c r="C17" s="335" t="str">
        <f>B2</f>
        <v>(A)Gill-160630-PD-004 展示品 FY1516吉列MCC 3.0 东南西区 柜台测量生产运输安装第三批</v>
      </c>
      <c r="K17" s="350"/>
      <c r="N17" s="320"/>
      <c r="O17" s="316"/>
    </row>
    <row r="18" spans="2:18" ht="14.25">
      <c r="B18" s="324" t="s">
        <v>19</v>
      </c>
      <c r="C18" s="328" t="s">
        <v>756</v>
      </c>
    </row>
    <row r="19" spans="2:18" ht="14.25">
      <c r="B19" s="324" t="s">
        <v>20</v>
      </c>
      <c r="C19" s="329" t="s">
        <v>21</v>
      </c>
    </row>
    <row r="20" spans="2:18" ht="14.25">
      <c r="B20" s="324" t="s">
        <v>22</v>
      </c>
      <c r="C20" s="328" t="s">
        <v>757</v>
      </c>
    </row>
    <row r="21" spans="2:18" ht="14.25">
      <c r="B21" s="324" t="s">
        <v>23</v>
      </c>
      <c r="C21" s="336">
        <v>42551</v>
      </c>
      <c r="E21" s="317"/>
    </row>
    <row r="22" spans="2:18" ht="14.25">
      <c r="B22" s="324" t="s">
        <v>24</v>
      </c>
      <c r="C22" s="326" t="s">
        <v>25</v>
      </c>
    </row>
    <row r="23" spans="2:18">
      <c r="B23" s="337" t="s">
        <v>26</v>
      </c>
      <c r="C23" s="677"/>
    </row>
    <row r="24" spans="2:18">
      <c r="B24" s="338" t="s">
        <v>27</v>
      </c>
      <c r="C24" s="678"/>
    </row>
    <row r="25" spans="2:18" s="313" customFormat="1">
      <c r="B25" s="339" t="s">
        <v>28</v>
      </c>
      <c r="C25" s="340"/>
      <c r="D25" s="341"/>
      <c r="F25" s="342"/>
      <c r="G25" s="342"/>
      <c r="H25" s="342"/>
      <c r="O25" s="351"/>
    </row>
    <row r="26" spans="2:18" s="313" customFormat="1" ht="13.5" thickBot="1">
      <c r="B26" s="343" t="s">
        <v>29</v>
      </c>
      <c r="C26" s="344"/>
      <c r="D26" s="341"/>
      <c r="F26" s="342"/>
      <c r="G26" s="342"/>
      <c r="H26" s="342"/>
      <c r="I26" s="345"/>
      <c r="J26" s="346"/>
      <c r="O26" s="351"/>
    </row>
    <row r="27" spans="2:18" s="313" customFormat="1">
      <c r="D27" s="341"/>
      <c r="F27" s="342"/>
      <c r="G27" s="342"/>
      <c r="H27" s="342"/>
      <c r="O27" s="351"/>
    </row>
    <row r="28" spans="2:18" s="313" customFormat="1" ht="14.25">
      <c r="B28" s="432" t="s">
        <v>805</v>
      </c>
      <c r="D28" s="341"/>
      <c r="F28" s="342"/>
      <c r="G28" s="342"/>
      <c r="H28" s="342"/>
      <c r="O28" s="351"/>
    </row>
    <row r="29" spans="2:18" s="313" customFormat="1" ht="28.5">
      <c r="B29" s="420" t="s">
        <v>758</v>
      </c>
      <c r="C29" s="420" t="s">
        <v>768</v>
      </c>
      <c r="D29" s="425" t="s">
        <v>773</v>
      </c>
      <c r="E29" s="425" t="s">
        <v>774</v>
      </c>
      <c r="F29" s="425" t="s">
        <v>812</v>
      </c>
      <c r="G29" s="425" t="s">
        <v>769</v>
      </c>
      <c r="H29" s="425" t="s">
        <v>770</v>
      </c>
      <c r="I29" s="425" t="s">
        <v>771</v>
      </c>
      <c r="J29" s="425" t="s">
        <v>788</v>
      </c>
      <c r="K29" s="425" t="s">
        <v>780</v>
      </c>
      <c r="L29" s="437" t="s">
        <v>777</v>
      </c>
      <c r="M29" s="437" t="s">
        <v>778</v>
      </c>
      <c r="N29" s="438" t="s">
        <v>759</v>
      </c>
      <c r="O29" s="437" t="s">
        <v>779</v>
      </c>
      <c r="R29" s="351"/>
    </row>
    <row r="30" spans="2:18" s="313" customFormat="1" ht="14.25">
      <c r="B30" s="433" t="s">
        <v>775</v>
      </c>
      <c r="C30" s="423" t="s">
        <v>766</v>
      </c>
      <c r="D30" s="426">
        <v>10000</v>
      </c>
      <c r="E30" s="426">
        <v>5000</v>
      </c>
      <c r="F30" s="434">
        <f>D30+E30</f>
        <v>15000</v>
      </c>
      <c r="G30" s="426">
        <v>50</v>
      </c>
      <c r="H30" s="426">
        <v>100</v>
      </c>
      <c r="I30" s="426">
        <v>150</v>
      </c>
      <c r="J30" s="426">
        <v>200</v>
      </c>
      <c r="K30" s="434">
        <f>SUM(F30:J30)</f>
        <v>15500</v>
      </c>
      <c r="L30" s="421">
        <v>2</v>
      </c>
      <c r="M30" s="435">
        <f>K30*L30</f>
        <v>31000</v>
      </c>
      <c r="N30" s="436">
        <f>M30*17%</f>
        <v>5270</v>
      </c>
      <c r="O30" s="435">
        <f>M30+N30</f>
        <v>36270</v>
      </c>
      <c r="R30" s="351"/>
    </row>
    <row r="31" spans="2:18" s="313" customFormat="1" ht="14.25">
      <c r="B31" s="433" t="s">
        <v>776</v>
      </c>
      <c r="C31" s="423" t="s">
        <v>766</v>
      </c>
      <c r="D31" s="426">
        <v>10000</v>
      </c>
      <c r="E31" s="426">
        <v>5000</v>
      </c>
      <c r="F31" s="434">
        <f t="shared" ref="F31:F34" si="0">D31+E31</f>
        <v>15000</v>
      </c>
      <c r="G31" s="426">
        <v>50</v>
      </c>
      <c r="H31" s="426">
        <v>100</v>
      </c>
      <c r="I31" s="426">
        <v>150</v>
      </c>
      <c r="J31" s="426">
        <v>200</v>
      </c>
      <c r="K31" s="434">
        <f t="shared" ref="K31:K34" si="1">SUM(F31:J31)</f>
        <v>15500</v>
      </c>
      <c r="L31" s="421">
        <v>2</v>
      </c>
      <c r="M31" s="435">
        <f t="shared" ref="M31:M34" si="2">K31*L31</f>
        <v>31000</v>
      </c>
      <c r="N31" s="436">
        <f t="shared" ref="N31:N34" si="3">M31*17%</f>
        <v>5270</v>
      </c>
      <c r="O31" s="435">
        <f t="shared" ref="O31:O34" si="4">M31+N31</f>
        <v>36270</v>
      </c>
      <c r="P31" s="351"/>
    </row>
    <row r="32" spans="2:18" s="313" customFormat="1" ht="14.25">
      <c r="B32" s="433" t="s">
        <v>760</v>
      </c>
      <c r="C32" s="423" t="s">
        <v>767</v>
      </c>
      <c r="D32" s="426">
        <v>10000</v>
      </c>
      <c r="E32" s="426">
        <v>0</v>
      </c>
      <c r="F32" s="434">
        <f t="shared" si="0"/>
        <v>10000</v>
      </c>
      <c r="G32" s="426">
        <v>50</v>
      </c>
      <c r="H32" s="426">
        <v>100</v>
      </c>
      <c r="I32" s="426">
        <v>150</v>
      </c>
      <c r="J32" s="426">
        <v>200</v>
      </c>
      <c r="K32" s="434">
        <f t="shared" si="1"/>
        <v>10500</v>
      </c>
      <c r="L32" s="421">
        <v>2</v>
      </c>
      <c r="M32" s="435">
        <f t="shared" si="2"/>
        <v>21000</v>
      </c>
      <c r="N32" s="436">
        <f t="shared" si="3"/>
        <v>3570.0000000000005</v>
      </c>
      <c r="O32" s="435">
        <f t="shared" si="4"/>
        <v>24570</v>
      </c>
      <c r="P32" s="351"/>
    </row>
    <row r="33" spans="2:16" s="313" customFormat="1" ht="14.25">
      <c r="B33" s="433" t="s">
        <v>761</v>
      </c>
      <c r="C33" s="423" t="s">
        <v>767</v>
      </c>
      <c r="D33" s="426">
        <v>10000</v>
      </c>
      <c r="E33" s="426">
        <v>0</v>
      </c>
      <c r="F33" s="434">
        <f t="shared" si="0"/>
        <v>10000</v>
      </c>
      <c r="G33" s="426">
        <v>50</v>
      </c>
      <c r="H33" s="426">
        <v>100</v>
      </c>
      <c r="I33" s="426">
        <v>150</v>
      </c>
      <c r="J33" s="426">
        <v>200</v>
      </c>
      <c r="K33" s="434">
        <f t="shared" si="1"/>
        <v>10500</v>
      </c>
      <c r="L33" s="421">
        <v>2</v>
      </c>
      <c r="M33" s="435">
        <f t="shared" si="2"/>
        <v>21000</v>
      </c>
      <c r="N33" s="436">
        <f t="shared" si="3"/>
        <v>3570.0000000000005</v>
      </c>
      <c r="O33" s="435">
        <f t="shared" si="4"/>
        <v>24570</v>
      </c>
      <c r="P33" s="351"/>
    </row>
    <row r="34" spans="2:16" s="313" customFormat="1" ht="14.25">
      <c r="B34" s="433" t="s">
        <v>762</v>
      </c>
      <c r="C34" s="423" t="s">
        <v>767</v>
      </c>
      <c r="D34" s="426">
        <v>10000</v>
      </c>
      <c r="E34" s="426">
        <v>0</v>
      </c>
      <c r="F34" s="434">
        <f t="shared" si="0"/>
        <v>10000</v>
      </c>
      <c r="G34" s="426">
        <v>50</v>
      </c>
      <c r="H34" s="426">
        <v>100</v>
      </c>
      <c r="I34" s="426">
        <v>150</v>
      </c>
      <c r="J34" s="426">
        <v>200</v>
      </c>
      <c r="K34" s="434">
        <f t="shared" si="1"/>
        <v>10500</v>
      </c>
      <c r="L34" s="421">
        <v>2</v>
      </c>
      <c r="M34" s="435">
        <f t="shared" si="2"/>
        <v>21000</v>
      </c>
      <c r="N34" s="436">
        <f t="shared" si="3"/>
        <v>3570.0000000000005</v>
      </c>
      <c r="O34" s="435">
        <f t="shared" si="4"/>
        <v>24570</v>
      </c>
      <c r="P34" s="351"/>
    </row>
    <row r="35" spans="2:16" s="313" customFormat="1" ht="14.25">
      <c r="B35" s="431" t="s">
        <v>781</v>
      </c>
      <c r="C35" s="423"/>
      <c r="D35" s="426"/>
      <c r="E35" s="426"/>
      <c r="F35" s="426"/>
      <c r="G35" s="426"/>
      <c r="H35" s="426"/>
      <c r="I35" s="426"/>
      <c r="J35" s="426"/>
      <c r="K35" s="426"/>
      <c r="L35" s="421">
        <f>SUM(L30:L34)</f>
        <v>10</v>
      </c>
      <c r="M35" s="435">
        <f t="shared" ref="M35:O35" si="5">SUM(M30:M34)</f>
        <v>125000</v>
      </c>
      <c r="N35" s="436">
        <f t="shared" si="5"/>
        <v>21250</v>
      </c>
      <c r="O35" s="435">
        <f t="shared" si="5"/>
        <v>146250</v>
      </c>
      <c r="P35" s="351"/>
    </row>
    <row r="36" spans="2:16" s="313" customFormat="1" ht="14.25">
      <c r="B36" s="430"/>
      <c r="C36" s="427"/>
      <c r="D36" s="428"/>
      <c r="E36" s="428"/>
      <c r="F36" s="428"/>
      <c r="G36" s="428"/>
      <c r="H36" s="428"/>
      <c r="I36" s="428"/>
      <c r="J36" s="428"/>
      <c r="K36" s="428"/>
      <c r="L36" s="429"/>
      <c r="M36" s="429"/>
      <c r="N36" s="428"/>
      <c r="O36" s="429"/>
      <c r="P36" s="351"/>
    </row>
    <row r="37" spans="2:16" s="313" customFormat="1" ht="14.25">
      <c r="B37" s="432" t="s">
        <v>782</v>
      </c>
      <c r="C37" s="422"/>
      <c r="D37" s="422"/>
      <c r="E37" s="422"/>
      <c r="F37" s="422"/>
      <c r="G37" s="422"/>
      <c r="H37" s="422"/>
      <c r="L37" s="351"/>
      <c r="M37" s="351"/>
    </row>
    <row r="38" spans="2:16" s="313" customFormat="1" ht="25.5">
      <c r="B38" s="439" t="s">
        <v>816</v>
      </c>
      <c r="C38" s="423" t="s">
        <v>798</v>
      </c>
      <c r="D38" s="440" t="s">
        <v>772</v>
      </c>
      <c r="E38" s="440" t="s">
        <v>786</v>
      </c>
      <c r="F38" s="441" t="s">
        <v>806</v>
      </c>
      <c r="G38" s="672" t="s">
        <v>789</v>
      </c>
      <c r="H38" s="672"/>
      <c r="L38" s="351"/>
      <c r="M38" s="351"/>
    </row>
    <row r="39" spans="2:16" s="313" customFormat="1" ht="12.75" customHeight="1">
      <c r="B39" s="433" t="s">
        <v>791</v>
      </c>
      <c r="C39" s="423" t="s">
        <v>764</v>
      </c>
      <c r="D39" s="423" t="s">
        <v>799</v>
      </c>
      <c r="E39" s="423">
        <v>7.2</v>
      </c>
      <c r="F39" s="434">
        <f>D30/E39</f>
        <v>1388.8888888888889</v>
      </c>
      <c r="G39" s="449" t="s">
        <v>790</v>
      </c>
      <c r="H39" s="450"/>
      <c r="L39" s="351"/>
      <c r="M39" s="351"/>
    </row>
    <row r="40" spans="2:16" s="313" customFormat="1" ht="12.75" customHeight="1">
      <c r="B40" s="433" t="s">
        <v>792</v>
      </c>
      <c r="C40" s="423" t="s">
        <v>765</v>
      </c>
      <c r="D40" s="423" t="s">
        <v>800</v>
      </c>
      <c r="E40" s="423">
        <v>1</v>
      </c>
      <c r="F40" s="434">
        <f>E30/E40</f>
        <v>5000</v>
      </c>
      <c r="G40" s="445"/>
      <c r="H40" s="446"/>
      <c r="L40" s="351"/>
      <c r="M40" s="351"/>
    </row>
    <row r="41" spans="2:16" s="313" customFormat="1" ht="12.75" customHeight="1">
      <c r="B41" s="433" t="s">
        <v>793</v>
      </c>
      <c r="C41" s="423" t="s">
        <v>764</v>
      </c>
      <c r="D41" s="423" t="s">
        <v>800</v>
      </c>
      <c r="E41" s="423">
        <v>7.2</v>
      </c>
      <c r="F41" s="434">
        <f>D31/E41</f>
        <v>1388.8888888888889</v>
      </c>
      <c r="G41" s="445"/>
      <c r="H41" s="446"/>
      <c r="L41" s="351"/>
      <c r="M41" s="351"/>
    </row>
    <row r="42" spans="2:16" s="313" customFormat="1" ht="12.75" customHeight="1">
      <c r="B42" s="433" t="s">
        <v>794</v>
      </c>
      <c r="C42" s="423" t="s">
        <v>765</v>
      </c>
      <c r="D42" s="423" t="s">
        <v>800</v>
      </c>
      <c r="E42" s="423">
        <v>1</v>
      </c>
      <c r="F42" s="434">
        <f>E31/E42</f>
        <v>5000</v>
      </c>
      <c r="G42" s="445"/>
      <c r="H42" s="446"/>
      <c r="L42" s="351"/>
      <c r="M42" s="351"/>
    </row>
    <row r="43" spans="2:16" s="313" customFormat="1" ht="12.75" customHeight="1">
      <c r="B43" s="433" t="s">
        <v>795</v>
      </c>
      <c r="C43" s="423" t="s">
        <v>767</v>
      </c>
      <c r="D43" s="423" t="s">
        <v>800</v>
      </c>
      <c r="E43" s="423">
        <v>4.8</v>
      </c>
      <c r="F43" s="434">
        <f>D32/E43</f>
        <v>2083.3333333333335</v>
      </c>
      <c r="G43" s="445"/>
      <c r="H43" s="446"/>
      <c r="L43" s="351"/>
      <c r="M43" s="351"/>
    </row>
    <row r="44" spans="2:16" s="313" customFormat="1" ht="12.75" customHeight="1">
      <c r="B44" s="433" t="s">
        <v>796</v>
      </c>
      <c r="C44" s="423" t="s">
        <v>767</v>
      </c>
      <c r="D44" s="423" t="s">
        <v>800</v>
      </c>
      <c r="E44" s="423">
        <v>4.8</v>
      </c>
      <c r="F44" s="434">
        <f>D33/E44</f>
        <v>2083.3333333333335</v>
      </c>
      <c r="G44" s="445"/>
      <c r="H44" s="446"/>
      <c r="L44" s="351"/>
      <c r="M44" s="351"/>
    </row>
    <row r="45" spans="2:16" s="313" customFormat="1" ht="12.75" customHeight="1">
      <c r="B45" s="433" t="s">
        <v>797</v>
      </c>
      <c r="C45" s="423" t="s">
        <v>767</v>
      </c>
      <c r="D45" s="423" t="s">
        <v>800</v>
      </c>
      <c r="E45" s="423">
        <v>4.8</v>
      </c>
      <c r="F45" s="434">
        <f>D34/E45</f>
        <v>2083.3333333333335</v>
      </c>
      <c r="G45" s="445"/>
      <c r="H45" s="446"/>
      <c r="L45" s="351"/>
      <c r="M45" s="351"/>
    </row>
    <row r="46" spans="2:16" s="313" customFormat="1" ht="12.75" customHeight="1">
      <c r="B46" s="433" t="s">
        <v>783</v>
      </c>
      <c r="C46" s="347"/>
      <c r="D46" s="423" t="s">
        <v>787</v>
      </c>
      <c r="E46" s="423">
        <v>1</v>
      </c>
      <c r="F46" s="347"/>
      <c r="G46" s="445"/>
      <c r="H46" s="446"/>
      <c r="L46" s="351"/>
      <c r="M46" s="351"/>
    </row>
    <row r="47" spans="2:16" s="313" customFormat="1" ht="12.75" customHeight="1">
      <c r="B47" s="433" t="s">
        <v>763</v>
      </c>
      <c r="C47" s="347"/>
      <c r="D47" s="423" t="s">
        <v>787</v>
      </c>
      <c r="E47" s="423">
        <v>1</v>
      </c>
      <c r="F47" s="347"/>
      <c r="G47" s="445"/>
      <c r="H47" s="446"/>
      <c r="L47" s="351"/>
      <c r="M47" s="351"/>
    </row>
    <row r="48" spans="2:16" s="313" customFormat="1" ht="12.75" customHeight="1">
      <c r="B48" s="433" t="s">
        <v>784</v>
      </c>
      <c r="C48" s="347"/>
      <c r="D48" s="423" t="s">
        <v>801</v>
      </c>
      <c r="E48" s="423">
        <v>1</v>
      </c>
      <c r="F48" s="442" t="s">
        <v>804</v>
      </c>
      <c r="G48" s="451" t="s">
        <v>802</v>
      </c>
      <c r="H48" s="446"/>
      <c r="L48" s="351"/>
      <c r="M48" s="351"/>
    </row>
    <row r="49" spans="2:15" s="313" customFormat="1" ht="12.75" customHeight="1">
      <c r="B49" s="433" t="s">
        <v>785</v>
      </c>
      <c r="C49" s="347"/>
      <c r="D49" s="423" t="s">
        <v>787</v>
      </c>
      <c r="E49" s="423">
        <v>1</v>
      </c>
      <c r="F49" s="442" t="s">
        <v>804</v>
      </c>
      <c r="G49" s="452" t="s">
        <v>803</v>
      </c>
      <c r="H49" s="447"/>
      <c r="L49" s="351"/>
      <c r="M49" s="351"/>
    </row>
    <row r="50" spans="2:15" s="313" customFormat="1">
      <c r="B50" s="424"/>
      <c r="C50" s="422"/>
      <c r="D50" s="422"/>
      <c r="E50" s="422"/>
      <c r="F50" s="422"/>
      <c r="G50" s="422"/>
      <c r="H50" s="422"/>
      <c r="L50" s="351"/>
      <c r="M50" s="351"/>
    </row>
    <row r="51" spans="2:15" s="314" customFormat="1">
      <c r="D51" s="352"/>
      <c r="F51" s="353"/>
      <c r="G51" s="353"/>
      <c r="H51" s="353"/>
      <c r="O51" s="356"/>
    </row>
    <row r="52" spans="2:15" s="314" customFormat="1">
      <c r="D52" s="352"/>
      <c r="F52" s="353"/>
      <c r="G52" s="353"/>
      <c r="H52" s="353"/>
      <c r="O52" s="356"/>
    </row>
    <row r="53" spans="2:15" s="314" customFormat="1">
      <c r="D53" s="352"/>
      <c r="F53" s="353"/>
      <c r="G53" s="353"/>
      <c r="H53" s="353"/>
      <c r="O53" s="356"/>
    </row>
    <row r="54" spans="2:15" s="315" customFormat="1">
      <c r="D54" s="354"/>
      <c r="F54" s="355"/>
      <c r="G54" s="355"/>
      <c r="H54" s="355"/>
      <c r="O54" s="357"/>
    </row>
    <row r="55" spans="2:15" s="314" customFormat="1">
      <c r="D55" s="352"/>
      <c r="F55" s="353"/>
      <c r="G55" s="353"/>
      <c r="H55" s="353"/>
      <c r="O55" s="356"/>
    </row>
    <row r="56" spans="2:15" s="314" customFormat="1">
      <c r="D56" s="352"/>
      <c r="F56" s="353"/>
      <c r="G56" s="353"/>
      <c r="H56" s="353"/>
      <c r="O56" s="356"/>
    </row>
    <row r="57" spans="2:15" s="314" customFormat="1">
      <c r="D57" s="352"/>
      <c r="F57" s="353"/>
      <c r="G57" s="353"/>
      <c r="H57" s="353"/>
      <c r="O57" s="356"/>
    </row>
    <row r="58" spans="2:15" s="314" customFormat="1">
      <c r="D58" s="352"/>
      <c r="F58" s="353"/>
      <c r="G58" s="353"/>
      <c r="H58" s="353"/>
      <c r="O58" s="356"/>
    </row>
    <row r="59" spans="2:15" s="314" customFormat="1">
      <c r="D59" s="352"/>
      <c r="F59" s="353"/>
      <c r="G59" s="353"/>
      <c r="H59" s="353"/>
      <c r="O59" s="356"/>
    </row>
    <row r="60" spans="2:15" s="314" customFormat="1">
      <c r="D60" s="352"/>
      <c r="F60" s="353"/>
      <c r="G60" s="353"/>
      <c r="H60" s="353"/>
      <c r="O60" s="356"/>
    </row>
    <row r="61" spans="2:15" s="315" customFormat="1">
      <c r="D61" s="354"/>
      <c r="F61" s="355"/>
      <c r="G61" s="355"/>
      <c r="H61" s="355"/>
      <c r="O61" s="357"/>
    </row>
    <row r="62" spans="2:15" s="314" customFormat="1">
      <c r="D62" s="352"/>
      <c r="F62" s="353"/>
      <c r="G62" s="353"/>
      <c r="H62" s="353"/>
      <c r="O62" s="356"/>
    </row>
    <row r="63" spans="2:15" s="314" customFormat="1">
      <c r="D63" s="352"/>
      <c r="F63" s="353"/>
      <c r="G63" s="353"/>
      <c r="H63" s="353"/>
      <c r="O63" s="356"/>
    </row>
    <row r="64" spans="2:15" s="314" customFormat="1">
      <c r="D64" s="352"/>
      <c r="F64" s="353"/>
      <c r="G64" s="353"/>
      <c r="H64" s="353"/>
      <c r="O64" s="356"/>
    </row>
    <row r="65" spans="2:15" s="314" customFormat="1">
      <c r="D65" s="352"/>
      <c r="F65" s="353"/>
      <c r="G65" s="353"/>
      <c r="H65" s="353"/>
      <c r="O65" s="356"/>
    </row>
    <row r="66" spans="2:15" s="314" customFormat="1">
      <c r="B66" s="317"/>
      <c r="C66" s="316"/>
      <c r="D66" s="352"/>
      <c r="F66" s="353"/>
      <c r="G66" s="353"/>
      <c r="H66" s="353"/>
      <c r="O66" s="356"/>
    </row>
    <row r="67" spans="2:15" s="314" customFormat="1">
      <c r="B67" s="317"/>
      <c r="C67" s="316"/>
      <c r="D67" s="352"/>
      <c r="F67" s="353"/>
      <c r="G67" s="353"/>
      <c r="H67" s="353"/>
      <c r="O67" s="356"/>
    </row>
    <row r="68" spans="2:15" s="314" customFormat="1">
      <c r="B68" s="317"/>
      <c r="C68" s="316"/>
      <c r="D68" s="352"/>
      <c r="F68" s="353"/>
      <c r="G68" s="353"/>
      <c r="H68" s="353"/>
      <c r="O68" s="356"/>
    </row>
    <row r="69" spans="2:15" s="314" customFormat="1">
      <c r="B69" s="317"/>
      <c r="C69" s="316"/>
      <c r="D69" s="352"/>
      <c r="F69" s="353"/>
      <c r="G69" s="353"/>
      <c r="H69" s="353"/>
      <c r="O69" s="356"/>
    </row>
  </sheetData>
  <protectedRanges>
    <protectedRange sqref="C16 C3 C21:C24 C5:C9" name="範圍1_1_1" securityDescriptor=""/>
    <protectedRange sqref="C4" name="範圍1_2_1_1" securityDescriptor=""/>
  </protectedRanges>
  <mergeCells count="3">
    <mergeCell ref="B2:C2"/>
    <mergeCell ref="C23:C24"/>
    <mergeCell ref="G38:H38"/>
  </mergeCells>
  <phoneticPr fontId="29" type="noConversion"/>
  <dataValidations disablePrompts="1" count="1">
    <dataValidation type="list" allowBlank="1" showInputMessage="1" sqref="C3 JA3 SW3 ACS3 AMO3 AWK3 BGG3 BQC3 BZY3 CJU3 CTQ3 DDM3 DNI3 DXE3 EHA3 EQW3 FAS3 FKO3 FUK3 GEG3 GOC3 GXY3 HHU3 HRQ3 IBM3 ILI3 IVE3 JFA3 JOW3 JYS3 KIO3 KSK3 LCG3 LMC3 LVY3 MFU3 MPQ3 MZM3 NJI3 NTE3 ODA3 OMW3 OWS3 PGO3 PQK3 QAG3 QKC3 QTY3 RDU3 RNQ3 RXM3 SHI3 SRE3 TBA3 TKW3 TUS3 UEO3 UOK3 UYG3 VIC3 VRY3 WBU3 WLQ3 WVM3 C9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C65459 JA65459 SW65459 ACS65459 AMO65459 AWK65459 BGG65459 BQC65459 BZY65459 CJU65459 CTQ65459 DDM65459 DNI65459 DXE65459 EHA65459 EQW65459 FAS65459 FKO65459 FUK65459 GEG65459 GOC65459 GXY65459 HHU65459 HRQ65459 IBM65459 ILI65459 IVE65459 JFA65459 JOW65459 JYS65459 KIO65459 KSK65459 LCG65459 LMC65459 LVY65459 MFU65459 MPQ65459 MZM65459 NJI65459 NTE65459 ODA65459 OMW65459 OWS65459 PGO65459 PQK65459 QAG65459 QKC65459 QTY65459 RDU65459 RNQ65459 RXM65459 SHI65459 SRE65459 TBA65459 TKW65459 TUS65459 UEO65459 UOK65459 UYG65459 VIC65459 VRY65459 WBU65459 WLQ65459 WVM65459 C65465 JA65465 SW65465 ACS65465 AMO65465 AWK65465 BGG65465 BQC65465 BZY65465 CJU65465 CTQ65465 DDM65465 DNI65465 DXE65465 EHA65465 EQW65465 FAS65465 FKO65465 FUK65465 GEG65465 GOC65465 GXY65465 HHU65465 HRQ65465 IBM65465 ILI65465 IVE65465 JFA65465 JOW65465 JYS65465 KIO65465 KSK65465 LCG65465 LMC65465 LVY65465 MFU65465 MPQ65465 MZM65465 NJI65465 NTE65465 ODA65465 OMW65465 OWS65465 PGO65465 PQK65465 QAG65465 QKC65465 QTY65465 RDU65465 RNQ65465 RXM65465 SHI65465 SRE65465 TBA65465 TKW65465 TUS65465 UEO65465 UOK65465 UYG65465 VIC65465 VRY65465 WBU65465 WLQ65465 WVM65465 C130995 JA130995 SW130995 ACS130995 AMO130995 AWK130995 BGG130995 BQC130995 BZY130995 CJU130995 CTQ130995 DDM130995 DNI130995 DXE130995 EHA130995 EQW130995 FAS130995 FKO130995 FUK130995 GEG130995 GOC130995 GXY130995 HHU130995 HRQ130995 IBM130995 ILI130995 IVE130995 JFA130995 JOW130995 JYS130995 KIO130995 KSK130995 LCG130995 LMC130995 LVY130995 MFU130995 MPQ130995 MZM130995 NJI130995 NTE130995 ODA130995 OMW130995 OWS130995 PGO130995 PQK130995 QAG130995 QKC130995 QTY130995 RDU130995 RNQ130995 RXM130995 SHI130995 SRE130995 TBA130995 TKW130995 TUS130995 UEO130995 UOK130995 UYG130995 VIC130995 VRY130995 WBU130995 WLQ130995 WVM130995 C131001 JA131001 SW131001 ACS131001 AMO131001 AWK131001 BGG131001 BQC131001 BZY131001 CJU131001 CTQ131001 DDM131001 DNI131001 DXE131001 EHA131001 EQW131001 FAS131001 FKO131001 FUK131001 GEG131001 GOC131001 GXY131001 HHU131001 HRQ131001 IBM131001 ILI131001 IVE131001 JFA131001 JOW131001 JYS131001 KIO131001 KSK131001 LCG131001 LMC131001 LVY131001 MFU131001 MPQ131001 MZM131001 NJI131001 NTE131001 ODA131001 OMW131001 OWS131001 PGO131001 PQK131001 QAG131001 QKC131001 QTY131001 RDU131001 RNQ131001 RXM131001 SHI131001 SRE131001 TBA131001 TKW131001 TUS131001 UEO131001 UOK131001 UYG131001 VIC131001 VRY131001 WBU131001 WLQ131001 WVM131001 C196531 JA196531 SW196531 ACS196531 AMO196531 AWK196531 BGG196531 BQC196531 BZY196531 CJU196531 CTQ196531 DDM196531 DNI196531 DXE196531 EHA196531 EQW196531 FAS196531 FKO196531 FUK196531 GEG196531 GOC196531 GXY196531 HHU196531 HRQ196531 IBM196531 ILI196531 IVE196531 JFA196531 JOW196531 JYS196531 KIO196531 KSK196531 LCG196531 LMC196531 LVY196531 MFU196531 MPQ196531 MZM196531 NJI196531 NTE196531 ODA196531 OMW196531 OWS196531 PGO196531 PQK196531 QAG196531 QKC196531 QTY196531 RDU196531 RNQ196531 RXM196531 SHI196531 SRE196531 TBA196531 TKW196531 TUS196531 UEO196531 UOK196531 UYG196531 VIC196531 VRY196531 WBU196531 WLQ196531 WVM196531 C196537 JA196537 SW196537 ACS196537 AMO196537 AWK196537 BGG196537 BQC196537 BZY196537 CJU196537 CTQ196537 DDM196537 DNI196537 DXE196537 EHA196537 EQW196537 FAS196537 FKO196537 FUK196537 GEG196537 GOC196537 GXY196537 HHU196537 HRQ196537 IBM196537 ILI196537 IVE196537 JFA196537 JOW196537 JYS196537 KIO196537 KSK196537 LCG196537 LMC196537 LVY196537 MFU196537 MPQ196537 MZM196537 NJI196537 NTE196537 ODA196537 OMW196537 OWS196537 PGO196537 PQK196537 QAG196537 QKC196537 QTY196537 RDU196537 RNQ196537 RXM196537 SHI196537 SRE196537 TBA196537 TKW196537 TUS196537 UEO196537 UOK196537 UYG196537 VIC196537 VRY196537 WBU196537 WLQ196537 WVM196537 C262067 JA262067 SW262067 ACS262067 AMO262067 AWK262067 BGG262067 BQC262067 BZY262067 CJU262067 CTQ262067 DDM262067 DNI262067 DXE262067 EHA262067 EQW262067 FAS262067 FKO262067 FUK262067 GEG262067 GOC262067 GXY262067 HHU262067 HRQ262067 IBM262067 ILI262067 IVE262067 JFA262067 JOW262067 JYS262067 KIO262067 KSK262067 LCG262067 LMC262067 LVY262067 MFU262067 MPQ262067 MZM262067 NJI262067 NTE262067 ODA262067 OMW262067 OWS262067 PGO262067 PQK262067 QAG262067 QKC262067 QTY262067 RDU262067 RNQ262067 RXM262067 SHI262067 SRE262067 TBA262067 TKW262067 TUS262067 UEO262067 UOK262067 UYG262067 VIC262067 VRY262067 WBU262067 WLQ262067 WVM262067 C262073 JA262073 SW262073 ACS262073 AMO262073 AWK262073 BGG262073 BQC262073 BZY262073 CJU262073 CTQ262073 DDM262073 DNI262073 DXE262073 EHA262073 EQW262073 FAS262073 FKO262073 FUK262073 GEG262073 GOC262073 GXY262073 HHU262073 HRQ262073 IBM262073 ILI262073 IVE262073 JFA262073 JOW262073 JYS262073 KIO262073 KSK262073 LCG262073 LMC262073 LVY262073 MFU262073 MPQ262073 MZM262073 NJI262073 NTE262073 ODA262073 OMW262073 OWS262073 PGO262073 PQK262073 QAG262073 QKC262073 QTY262073 RDU262073 RNQ262073 RXM262073 SHI262073 SRE262073 TBA262073 TKW262073 TUS262073 UEO262073 UOK262073 UYG262073 VIC262073 VRY262073 WBU262073 WLQ262073 WVM262073 C327603 JA327603 SW327603 ACS327603 AMO327603 AWK327603 BGG327603 BQC327603 BZY327603 CJU327603 CTQ327603 DDM327603 DNI327603 DXE327603 EHA327603 EQW327603 FAS327603 FKO327603 FUK327603 GEG327603 GOC327603 GXY327603 HHU327603 HRQ327603 IBM327603 ILI327603 IVE327603 JFA327603 JOW327603 JYS327603 KIO327603 KSK327603 LCG327603 LMC327603 LVY327603 MFU327603 MPQ327603 MZM327603 NJI327603 NTE327603 ODA327603 OMW327603 OWS327603 PGO327603 PQK327603 QAG327603 QKC327603 QTY327603 RDU327603 RNQ327603 RXM327603 SHI327603 SRE327603 TBA327603 TKW327603 TUS327603 UEO327603 UOK327603 UYG327603 VIC327603 VRY327603 WBU327603 WLQ327603 WVM327603 C327609 JA327609 SW327609 ACS327609 AMO327609 AWK327609 BGG327609 BQC327609 BZY327609 CJU327609 CTQ327609 DDM327609 DNI327609 DXE327609 EHA327609 EQW327609 FAS327609 FKO327609 FUK327609 GEG327609 GOC327609 GXY327609 HHU327609 HRQ327609 IBM327609 ILI327609 IVE327609 JFA327609 JOW327609 JYS327609 KIO327609 KSK327609 LCG327609 LMC327609 LVY327609 MFU327609 MPQ327609 MZM327609 NJI327609 NTE327609 ODA327609 OMW327609 OWS327609 PGO327609 PQK327609 QAG327609 QKC327609 QTY327609 RDU327609 RNQ327609 RXM327609 SHI327609 SRE327609 TBA327609 TKW327609 TUS327609 UEO327609 UOK327609 UYG327609 VIC327609 VRY327609 WBU327609 WLQ327609 WVM327609 C393139 JA393139 SW393139 ACS393139 AMO393139 AWK393139 BGG393139 BQC393139 BZY393139 CJU393139 CTQ393139 DDM393139 DNI393139 DXE393139 EHA393139 EQW393139 FAS393139 FKO393139 FUK393139 GEG393139 GOC393139 GXY393139 HHU393139 HRQ393139 IBM393139 ILI393139 IVE393139 JFA393139 JOW393139 JYS393139 KIO393139 KSK393139 LCG393139 LMC393139 LVY393139 MFU393139 MPQ393139 MZM393139 NJI393139 NTE393139 ODA393139 OMW393139 OWS393139 PGO393139 PQK393139 QAG393139 QKC393139 QTY393139 RDU393139 RNQ393139 RXM393139 SHI393139 SRE393139 TBA393139 TKW393139 TUS393139 UEO393139 UOK393139 UYG393139 VIC393139 VRY393139 WBU393139 WLQ393139 WVM393139 C393145 JA393145 SW393145 ACS393145 AMO393145 AWK393145 BGG393145 BQC393145 BZY393145 CJU393145 CTQ393145 DDM393145 DNI393145 DXE393145 EHA393145 EQW393145 FAS393145 FKO393145 FUK393145 GEG393145 GOC393145 GXY393145 HHU393145 HRQ393145 IBM393145 ILI393145 IVE393145 JFA393145 JOW393145 JYS393145 KIO393145 KSK393145 LCG393145 LMC393145 LVY393145 MFU393145 MPQ393145 MZM393145 NJI393145 NTE393145 ODA393145 OMW393145 OWS393145 PGO393145 PQK393145 QAG393145 QKC393145 QTY393145 RDU393145 RNQ393145 RXM393145 SHI393145 SRE393145 TBA393145 TKW393145 TUS393145 UEO393145 UOK393145 UYG393145 VIC393145 VRY393145 WBU393145 WLQ393145 WVM393145 C458675 JA458675 SW458675 ACS458675 AMO458675 AWK458675 BGG458675 BQC458675 BZY458675 CJU458675 CTQ458675 DDM458675 DNI458675 DXE458675 EHA458675 EQW458675 FAS458675 FKO458675 FUK458675 GEG458675 GOC458675 GXY458675 HHU458675 HRQ458675 IBM458675 ILI458675 IVE458675 JFA458675 JOW458675 JYS458675 KIO458675 KSK458675 LCG458675 LMC458675 LVY458675 MFU458675 MPQ458675 MZM458675 NJI458675 NTE458675 ODA458675 OMW458675 OWS458675 PGO458675 PQK458675 QAG458675 QKC458675 QTY458675 RDU458675 RNQ458675 RXM458675 SHI458675 SRE458675 TBA458675 TKW458675 TUS458675 UEO458675 UOK458675 UYG458675 VIC458675 VRY458675 WBU458675 WLQ458675 WVM458675 C458681 JA458681 SW458681 ACS458681 AMO458681 AWK458681 BGG458681 BQC458681 BZY458681 CJU458681 CTQ458681 DDM458681 DNI458681 DXE458681 EHA458681 EQW458681 FAS458681 FKO458681 FUK458681 GEG458681 GOC458681 GXY458681 HHU458681 HRQ458681 IBM458681 ILI458681 IVE458681 JFA458681 JOW458681 JYS458681 KIO458681 KSK458681 LCG458681 LMC458681 LVY458681 MFU458681 MPQ458681 MZM458681 NJI458681 NTE458681 ODA458681 OMW458681 OWS458681 PGO458681 PQK458681 QAG458681 QKC458681 QTY458681 RDU458681 RNQ458681 RXM458681 SHI458681 SRE458681 TBA458681 TKW458681 TUS458681 UEO458681 UOK458681 UYG458681 VIC458681 VRY458681 WBU458681 WLQ458681 WVM458681 C524211 JA524211 SW524211 ACS524211 AMO524211 AWK524211 BGG524211 BQC524211 BZY524211 CJU524211 CTQ524211 DDM524211 DNI524211 DXE524211 EHA524211 EQW524211 FAS524211 FKO524211 FUK524211 GEG524211 GOC524211 GXY524211 HHU524211 HRQ524211 IBM524211 ILI524211 IVE524211 JFA524211 JOW524211 JYS524211 KIO524211 KSK524211 LCG524211 LMC524211 LVY524211 MFU524211 MPQ524211 MZM524211 NJI524211 NTE524211 ODA524211 OMW524211 OWS524211 PGO524211 PQK524211 QAG524211 QKC524211 QTY524211 RDU524211 RNQ524211 RXM524211 SHI524211 SRE524211 TBA524211 TKW524211 TUS524211 UEO524211 UOK524211 UYG524211 VIC524211 VRY524211 WBU524211 WLQ524211 WVM524211 C524217 JA524217 SW524217 ACS524217 AMO524217 AWK524217 BGG524217 BQC524217 BZY524217 CJU524217 CTQ524217 DDM524217 DNI524217 DXE524217 EHA524217 EQW524217 FAS524217 FKO524217 FUK524217 GEG524217 GOC524217 GXY524217 HHU524217 HRQ524217 IBM524217 ILI524217 IVE524217 JFA524217 JOW524217 JYS524217 KIO524217 KSK524217 LCG524217 LMC524217 LVY524217 MFU524217 MPQ524217 MZM524217 NJI524217 NTE524217 ODA524217 OMW524217 OWS524217 PGO524217 PQK524217 QAG524217 QKC524217 QTY524217 RDU524217 RNQ524217 RXM524217 SHI524217 SRE524217 TBA524217 TKW524217 TUS524217 UEO524217 UOK524217 UYG524217 VIC524217 VRY524217 WBU524217 WLQ524217 WVM524217 C589747 JA589747 SW589747 ACS589747 AMO589747 AWK589747 BGG589747 BQC589747 BZY589747 CJU589747 CTQ589747 DDM589747 DNI589747 DXE589747 EHA589747 EQW589747 FAS589747 FKO589747 FUK589747 GEG589747 GOC589747 GXY589747 HHU589747 HRQ589747 IBM589747 ILI589747 IVE589747 JFA589747 JOW589747 JYS589747 KIO589747 KSK589747 LCG589747 LMC589747 LVY589747 MFU589747 MPQ589747 MZM589747 NJI589747 NTE589747 ODA589747 OMW589747 OWS589747 PGO589747 PQK589747 QAG589747 QKC589747 QTY589747 RDU589747 RNQ589747 RXM589747 SHI589747 SRE589747 TBA589747 TKW589747 TUS589747 UEO589747 UOK589747 UYG589747 VIC589747 VRY589747 WBU589747 WLQ589747 WVM589747 C589753 JA589753 SW589753 ACS589753 AMO589753 AWK589753 BGG589753 BQC589753 BZY589753 CJU589753 CTQ589753 DDM589753 DNI589753 DXE589753 EHA589753 EQW589753 FAS589753 FKO589753 FUK589753 GEG589753 GOC589753 GXY589753 HHU589753 HRQ589753 IBM589753 ILI589753 IVE589753 JFA589753 JOW589753 JYS589753 KIO589753 KSK589753 LCG589753 LMC589753 LVY589753 MFU589753 MPQ589753 MZM589753 NJI589753 NTE589753 ODA589753 OMW589753 OWS589753 PGO589753 PQK589753 QAG589753 QKC589753 QTY589753 RDU589753 RNQ589753 RXM589753 SHI589753 SRE589753 TBA589753 TKW589753 TUS589753 UEO589753 UOK589753 UYG589753 VIC589753 VRY589753 WBU589753 WLQ589753 WVM589753 C655283 JA655283 SW655283 ACS655283 AMO655283 AWK655283 BGG655283 BQC655283 BZY655283 CJU655283 CTQ655283 DDM655283 DNI655283 DXE655283 EHA655283 EQW655283 FAS655283 FKO655283 FUK655283 GEG655283 GOC655283 GXY655283 HHU655283 HRQ655283 IBM655283 ILI655283 IVE655283 JFA655283 JOW655283 JYS655283 KIO655283 KSK655283 LCG655283 LMC655283 LVY655283 MFU655283 MPQ655283 MZM655283 NJI655283 NTE655283 ODA655283 OMW655283 OWS655283 PGO655283 PQK655283 QAG655283 QKC655283 QTY655283 RDU655283 RNQ655283 RXM655283 SHI655283 SRE655283 TBA655283 TKW655283 TUS655283 UEO655283 UOK655283 UYG655283 VIC655283 VRY655283 WBU655283 WLQ655283 WVM655283 C655289 JA655289 SW655289 ACS655289 AMO655289 AWK655289 BGG655289 BQC655289 BZY655289 CJU655289 CTQ655289 DDM655289 DNI655289 DXE655289 EHA655289 EQW655289 FAS655289 FKO655289 FUK655289 GEG655289 GOC655289 GXY655289 HHU655289 HRQ655289 IBM655289 ILI655289 IVE655289 JFA655289 JOW655289 JYS655289 KIO655289 KSK655289 LCG655289 LMC655289 LVY655289 MFU655289 MPQ655289 MZM655289 NJI655289 NTE655289 ODA655289 OMW655289 OWS655289 PGO655289 PQK655289 QAG655289 QKC655289 QTY655289 RDU655289 RNQ655289 RXM655289 SHI655289 SRE655289 TBA655289 TKW655289 TUS655289 UEO655289 UOK655289 UYG655289 VIC655289 VRY655289 WBU655289 WLQ655289 WVM655289 C720819 JA720819 SW720819 ACS720819 AMO720819 AWK720819 BGG720819 BQC720819 BZY720819 CJU720819 CTQ720819 DDM720819 DNI720819 DXE720819 EHA720819 EQW720819 FAS720819 FKO720819 FUK720819 GEG720819 GOC720819 GXY720819 HHU720819 HRQ720819 IBM720819 ILI720819 IVE720819 JFA720819 JOW720819 JYS720819 KIO720819 KSK720819 LCG720819 LMC720819 LVY720819 MFU720819 MPQ720819 MZM720819 NJI720819 NTE720819 ODA720819 OMW720819 OWS720819 PGO720819 PQK720819 QAG720819 QKC720819 QTY720819 RDU720819 RNQ720819 RXM720819 SHI720819 SRE720819 TBA720819 TKW720819 TUS720819 UEO720819 UOK720819 UYG720819 VIC720819 VRY720819 WBU720819 WLQ720819 WVM720819 C720825 JA720825 SW720825 ACS720825 AMO720825 AWK720825 BGG720825 BQC720825 BZY720825 CJU720825 CTQ720825 DDM720825 DNI720825 DXE720825 EHA720825 EQW720825 FAS720825 FKO720825 FUK720825 GEG720825 GOC720825 GXY720825 HHU720825 HRQ720825 IBM720825 ILI720825 IVE720825 JFA720825 JOW720825 JYS720825 KIO720825 KSK720825 LCG720825 LMC720825 LVY720825 MFU720825 MPQ720825 MZM720825 NJI720825 NTE720825 ODA720825 OMW720825 OWS720825 PGO720825 PQK720825 QAG720825 QKC720825 QTY720825 RDU720825 RNQ720825 RXM720825 SHI720825 SRE720825 TBA720825 TKW720825 TUS720825 UEO720825 UOK720825 UYG720825 VIC720825 VRY720825 WBU720825 WLQ720825 WVM720825 C786355 JA786355 SW786355 ACS786355 AMO786355 AWK786355 BGG786355 BQC786355 BZY786355 CJU786355 CTQ786355 DDM786355 DNI786355 DXE786355 EHA786355 EQW786355 FAS786355 FKO786355 FUK786355 GEG786355 GOC786355 GXY786355 HHU786355 HRQ786355 IBM786355 ILI786355 IVE786355 JFA786355 JOW786355 JYS786355 KIO786355 KSK786355 LCG786355 LMC786355 LVY786355 MFU786355 MPQ786355 MZM786355 NJI786355 NTE786355 ODA786355 OMW786355 OWS786355 PGO786355 PQK786355 QAG786355 QKC786355 QTY786355 RDU786355 RNQ786355 RXM786355 SHI786355 SRE786355 TBA786355 TKW786355 TUS786355 UEO786355 UOK786355 UYG786355 VIC786355 VRY786355 WBU786355 WLQ786355 WVM786355 C786361 JA786361 SW786361 ACS786361 AMO786361 AWK786361 BGG786361 BQC786361 BZY786361 CJU786361 CTQ786361 DDM786361 DNI786361 DXE786361 EHA786361 EQW786361 FAS786361 FKO786361 FUK786361 GEG786361 GOC786361 GXY786361 HHU786361 HRQ786361 IBM786361 ILI786361 IVE786361 JFA786361 JOW786361 JYS786361 KIO786361 KSK786361 LCG786361 LMC786361 LVY786361 MFU786361 MPQ786361 MZM786361 NJI786361 NTE786361 ODA786361 OMW786361 OWS786361 PGO786361 PQK786361 QAG786361 QKC786361 QTY786361 RDU786361 RNQ786361 RXM786361 SHI786361 SRE786361 TBA786361 TKW786361 TUS786361 UEO786361 UOK786361 UYG786361 VIC786361 VRY786361 WBU786361 WLQ786361 WVM786361 C851891 JA851891 SW851891 ACS851891 AMO851891 AWK851891 BGG851891 BQC851891 BZY851891 CJU851891 CTQ851891 DDM851891 DNI851891 DXE851891 EHA851891 EQW851891 FAS851891 FKO851891 FUK851891 GEG851891 GOC851891 GXY851891 HHU851891 HRQ851891 IBM851891 ILI851891 IVE851891 JFA851891 JOW851891 JYS851891 KIO851891 KSK851891 LCG851891 LMC851891 LVY851891 MFU851891 MPQ851891 MZM851891 NJI851891 NTE851891 ODA851891 OMW851891 OWS851891 PGO851891 PQK851891 QAG851891 QKC851891 QTY851891 RDU851891 RNQ851891 RXM851891 SHI851891 SRE851891 TBA851891 TKW851891 TUS851891 UEO851891 UOK851891 UYG851891 VIC851891 VRY851891 WBU851891 WLQ851891 WVM851891 C851897 JA851897 SW851897 ACS851897 AMO851897 AWK851897 BGG851897 BQC851897 BZY851897 CJU851897 CTQ851897 DDM851897 DNI851897 DXE851897 EHA851897 EQW851897 FAS851897 FKO851897 FUK851897 GEG851897 GOC851897 GXY851897 HHU851897 HRQ851897 IBM851897 ILI851897 IVE851897 JFA851897 JOW851897 JYS851897 KIO851897 KSK851897 LCG851897 LMC851897 LVY851897 MFU851897 MPQ851897 MZM851897 NJI851897 NTE851897 ODA851897 OMW851897 OWS851897 PGO851897 PQK851897 QAG851897 QKC851897 QTY851897 RDU851897 RNQ851897 RXM851897 SHI851897 SRE851897 TBA851897 TKW851897 TUS851897 UEO851897 UOK851897 UYG851897 VIC851897 VRY851897 WBU851897 WLQ851897 WVM851897 C917427 JA917427 SW917427 ACS917427 AMO917427 AWK917427 BGG917427 BQC917427 BZY917427 CJU917427 CTQ917427 DDM917427 DNI917427 DXE917427 EHA917427 EQW917427 FAS917427 FKO917427 FUK917427 GEG917427 GOC917427 GXY917427 HHU917427 HRQ917427 IBM917427 ILI917427 IVE917427 JFA917427 JOW917427 JYS917427 KIO917427 KSK917427 LCG917427 LMC917427 LVY917427 MFU917427 MPQ917427 MZM917427 NJI917427 NTE917427 ODA917427 OMW917427 OWS917427 PGO917427 PQK917427 QAG917427 QKC917427 QTY917427 RDU917427 RNQ917427 RXM917427 SHI917427 SRE917427 TBA917427 TKW917427 TUS917427 UEO917427 UOK917427 UYG917427 VIC917427 VRY917427 WBU917427 WLQ917427 WVM917427 C917433 JA917433 SW917433 ACS917433 AMO917433 AWK917433 BGG917433 BQC917433 BZY917433 CJU917433 CTQ917433 DDM917433 DNI917433 DXE917433 EHA917433 EQW917433 FAS917433 FKO917433 FUK917433 GEG917433 GOC917433 GXY917433 HHU917433 HRQ917433 IBM917433 ILI917433 IVE917433 JFA917433 JOW917433 JYS917433 KIO917433 KSK917433 LCG917433 LMC917433 LVY917433 MFU917433 MPQ917433 MZM917433 NJI917433 NTE917433 ODA917433 OMW917433 OWS917433 PGO917433 PQK917433 QAG917433 QKC917433 QTY917433 RDU917433 RNQ917433 RXM917433 SHI917433 SRE917433 TBA917433 TKW917433 TUS917433 UEO917433 UOK917433 UYG917433 VIC917433 VRY917433 WBU917433 WLQ917433 WVM917433 C982963 JA982963 SW982963 ACS982963 AMO982963 AWK982963 BGG982963 BQC982963 BZY982963 CJU982963 CTQ982963 DDM982963 DNI982963 DXE982963 EHA982963 EQW982963 FAS982963 FKO982963 FUK982963 GEG982963 GOC982963 GXY982963 HHU982963 HRQ982963 IBM982963 ILI982963 IVE982963 JFA982963 JOW982963 JYS982963 KIO982963 KSK982963 LCG982963 LMC982963 LVY982963 MFU982963 MPQ982963 MZM982963 NJI982963 NTE982963 ODA982963 OMW982963 OWS982963 PGO982963 PQK982963 QAG982963 QKC982963 QTY982963 RDU982963 RNQ982963 RXM982963 SHI982963 SRE982963 TBA982963 TKW982963 TUS982963 UEO982963 UOK982963 UYG982963 VIC982963 VRY982963 WBU982963 WLQ982963 WVM982963 C982969 JA982969 SW982969 ACS982969 AMO982969 AWK982969 BGG982969 BQC982969 BZY982969 CJU982969 CTQ982969 DDM982969 DNI982969 DXE982969 EHA982969 EQW982969 FAS982969 FKO982969 FUK982969 GEG982969 GOC982969 GXY982969 HHU982969 HRQ982969 IBM982969 ILI982969 IVE982969 JFA982969 JOW982969 JYS982969 KIO982969 KSK982969 LCG982969 LMC982969 LVY982969 MFU982969 MPQ982969 MZM982969 NJI982969 NTE982969 ODA982969 OMW982969 OWS982969 PGO982969 PQK982969 QAG982969 QKC982969 QTY982969 RDU982969 RNQ982969 RXM982969 SHI982969 SRE982969 TBA982969 TKW982969 TUS982969 UEO982969 UOK982969 UYG982969 VIC982969 VRY982969 WBU982969 WLQ982969 WVM982969">
      <formula1>#REF!</formula1>
    </dataValidation>
  </dataValidation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9"/>
  <sheetViews>
    <sheetView showGridLines="0" topLeftCell="A16" zoomScale="85" zoomScaleNormal="85" workbookViewId="0">
      <selection activeCell="A29" sqref="A29:XFD31"/>
    </sheetView>
  </sheetViews>
  <sheetFormatPr defaultColWidth="9.875" defaultRowHeight="13.5"/>
  <cols>
    <col min="1" max="1" width="5.125" style="559" customWidth="1"/>
    <col min="2" max="2" width="46.25" style="582" customWidth="1"/>
    <col min="3" max="3" width="43.25" style="582" customWidth="1"/>
    <col min="4" max="4" width="14.625" style="559" bestFit="1" customWidth="1"/>
    <col min="5" max="5" width="11.25" style="559" bestFit="1" customWidth="1"/>
    <col min="6" max="6" width="17.375" style="559" customWidth="1"/>
    <col min="7" max="7" width="11.625" style="559" customWidth="1"/>
    <col min="8" max="8" width="11.25" style="559" bestFit="1" customWidth="1"/>
    <col min="9" max="9" width="12.375" style="559" bestFit="1" customWidth="1"/>
    <col min="10" max="10" width="10.5" style="559" bestFit="1" customWidth="1"/>
    <col min="11" max="11" width="16.375" style="559" bestFit="1" customWidth="1"/>
    <col min="12" max="12" width="10.25" style="559" bestFit="1" customWidth="1"/>
    <col min="13" max="13" width="16.375" style="559" bestFit="1" customWidth="1"/>
    <col min="14" max="14" width="9.875" style="559"/>
    <col min="15" max="15" width="15.375" style="559" bestFit="1" customWidth="1"/>
    <col min="16" max="16384" width="9.875" style="559"/>
  </cols>
  <sheetData>
    <row r="1" spans="1:11" ht="23.25" customHeight="1" thickBot="1">
      <c r="A1" s="358"/>
      <c r="B1" s="679" t="s">
        <v>899</v>
      </c>
      <c r="C1" s="673"/>
      <c r="D1" s="359"/>
      <c r="E1" s="359"/>
      <c r="F1" s="360"/>
      <c r="G1" s="361"/>
      <c r="H1" s="362"/>
      <c r="I1" s="363"/>
      <c r="J1" s="362"/>
      <c r="K1" s="362"/>
    </row>
    <row r="2" spans="1:11" ht="15.75">
      <c r="A2" s="363"/>
      <c r="B2" s="565" t="s">
        <v>900</v>
      </c>
      <c r="C2" s="583" t="s">
        <v>901</v>
      </c>
      <c r="D2" s="361"/>
      <c r="E2" s="362"/>
      <c r="F2" s="363"/>
      <c r="G2" s="362"/>
      <c r="H2" s="362"/>
      <c r="I2" s="362"/>
      <c r="J2" s="362"/>
      <c r="K2" s="362"/>
    </row>
    <row r="3" spans="1:11" ht="30">
      <c r="A3" s="363"/>
      <c r="B3" s="566" t="s">
        <v>902</v>
      </c>
      <c r="C3" s="610" t="s">
        <v>903</v>
      </c>
      <c r="D3" s="361"/>
      <c r="E3" s="363"/>
      <c r="F3" s="363"/>
      <c r="G3" s="363"/>
      <c r="H3" s="363"/>
      <c r="I3" s="362"/>
      <c r="J3" s="362"/>
      <c r="K3" s="362"/>
    </row>
    <row r="4" spans="1:11" ht="15.75">
      <c r="A4" s="363"/>
      <c r="B4" s="566" t="s">
        <v>904</v>
      </c>
      <c r="C4" s="584" t="s">
        <v>905</v>
      </c>
      <c r="D4" s="363"/>
      <c r="E4" s="361"/>
      <c r="F4" s="363"/>
      <c r="G4" s="361"/>
      <c r="H4" s="362"/>
      <c r="I4" s="362"/>
      <c r="J4" s="362"/>
      <c r="K4" s="362"/>
    </row>
    <row r="5" spans="1:11" ht="15.75">
      <c r="A5" s="363"/>
      <c r="B5" s="566" t="s">
        <v>906</v>
      </c>
      <c r="C5" s="585" t="s">
        <v>907</v>
      </c>
      <c r="D5" s="361"/>
      <c r="E5" s="361"/>
      <c r="F5" s="363"/>
      <c r="G5" s="363"/>
      <c r="H5" s="363"/>
      <c r="I5" s="362"/>
      <c r="J5" s="362"/>
      <c r="K5" s="362"/>
    </row>
    <row r="6" spans="1:11" ht="15.75">
      <c r="A6" s="363"/>
      <c r="B6" s="566" t="s">
        <v>908</v>
      </c>
      <c r="C6" s="586" t="s">
        <v>941</v>
      </c>
      <c r="D6" s="371"/>
      <c r="E6" s="363"/>
      <c r="F6" s="363"/>
      <c r="G6" s="363"/>
      <c r="H6" s="363"/>
      <c r="I6" s="362"/>
      <c r="J6" s="362"/>
      <c r="K6" s="362"/>
    </row>
    <row r="7" spans="1:11" ht="31.5">
      <c r="A7" s="363"/>
      <c r="B7" s="566" t="s">
        <v>909</v>
      </c>
      <c r="C7" s="587" t="s">
        <v>940</v>
      </c>
      <c r="D7" s="361"/>
      <c r="E7" s="363"/>
      <c r="F7" s="363"/>
      <c r="G7" s="363"/>
      <c r="H7" s="363"/>
      <c r="I7" s="362"/>
      <c r="J7" s="362"/>
      <c r="K7" s="362"/>
    </row>
    <row r="8" spans="1:11" ht="15.75">
      <c r="A8" s="363"/>
      <c r="B8" s="566" t="s">
        <v>910</v>
      </c>
      <c r="C8" s="560" t="s">
        <v>10</v>
      </c>
      <c r="D8" s="361"/>
      <c r="E8" s="363"/>
      <c r="F8" s="363"/>
      <c r="G8" s="363"/>
      <c r="H8" s="363"/>
      <c r="I8" s="362"/>
      <c r="J8" s="362"/>
      <c r="K8" s="362"/>
    </row>
    <row r="9" spans="1:11" ht="15.75">
      <c r="A9" s="363"/>
      <c r="B9" s="566" t="s">
        <v>911</v>
      </c>
      <c r="C9" s="609">
        <f>L31</f>
        <v>2</v>
      </c>
      <c r="D9" s="361"/>
      <c r="E9" s="363"/>
      <c r="F9" s="363"/>
      <c r="G9" s="363"/>
      <c r="H9" s="363"/>
      <c r="I9" s="362"/>
      <c r="J9" s="362"/>
      <c r="K9" s="362"/>
    </row>
    <row r="10" spans="1:11" ht="15.75">
      <c r="A10" s="363"/>
      <c r="B10" s="566" t="s">
        <v>912</v>
      </c>
      <c r="C10" s="588">
        <f>K30</f>
        <v>33200</v>
      </c>
      <c r="D10" s="361"/>
      <c r="E10" s="363"/>
      <c r="F10" s="363"/>
      <c r="G10" s="363"/>
      <c r="H10" s="363"/>
      <c r="I10" s="362"/>
      <c r="J10" s="362"/>
      <c r="K10" s="362"/>
    </row>
    <row r="11" spans="1:11" ht="15.75">
      <c r="A11" s="363"/>
      <c r="B11" s="566" t="s">
        <v>913</v>
      </c>
      <c r="C11" s="588">
        <f>C10*C9</f>
        <v>66400</v>
      </c>
      <c r="D11" s="361"/>
      <c r="E11" s="361"/>
      <c r="F11" s="363"/>
      <c r="G11" s="363"/>
      <c r="H11" s="363"/>
      <c r="I11" s="362"/>
      <c r="J11" s="362"/>
      <c r="K11" s="362"/>
    </row>
    <row r="12" spans="1:11" ht="15.75">
      <c r="A12" s="363"/>
      <c r="B12" s="566" t="s">
        <v>914</v>
      </c>
      <c r="C12" s="588">
        <f>C10*1.17</f>
        <v>38844</v>
      </c>
      <c r="D12" s="361"/>
      <c r="E12" s="361"/>
      <c r="F12" s="363"/>
      <c r="G12" s="363"/>
      <c r="H12" s="363"/>
      <c r="I12" s="362"/>
      <c r="J12" s="362"/>
      <c r="K12" s="362"/>
    </row>
    <row r="13" spans="1:11" ht="15.75">
      <c r="A13" s="363"/>
      <c r="B13" s="566" t="s">
        <v>915</v>
      </c>
      <c r="C13" s="588">
        <f>C12*C9</f>
        <v>77688</v>
      </c>
      <c r="D13" s="361"/>
      <c r="E13" s="363"/>
      <c r="F13" s="363"/>
      <c r="G13" s="363"/>
      <c r="H13" s="363"/>
      <c r="I13" s="362"/>
      <c r="J13" s="362"/>
      <c r="K13" s="362"/>
    </row>
    <row r="14" spans="1:11" ht="32.25" customHeight="1">
      <c r="A14" s="363"/>
      <c r="B14" s="376" t="s">
        <v>916</v>
      </c>
      <c r="C14" s="589">
        <v>0.17</v>
      </c>
      <c r="D14" s="361"/>
      <c r="E14" s="363"/>
      <c r="F14" s="363"/>
      <c r="G14" s="363"/>
      <c r="H14" s="363"/>
      <c r="I14" s="362"/>
      <c r="J14" s="362"/>
      <c r="K14" s="362"/>
    </row>
    <row r="15" spans="1:11" ht="15.75">
      <c r="A15" s="363"/>
      <c r="B15" s="566" t="s">
        <v>917</v>
      </c>
      <c r="C15" s="590"/>
      <c r="D15" s="361"/>
      <c r="E15" s="363"/>
      <c r="F15" s="363"/>
      <c r="G15" s="363"/>
      <c r="H15" s="363"/>
      <c r="I15" s="363"/>
      <c r="J15" s="362"/>
      <c r="K15" s="363"/>
    </row>
    <row r="16" spans="1:11" ht="31.5">
      <c r="A16" s="363"/>
      <c r="B16" s="566" t="s">
        <v>918</v>
      </c>
      <c r="C16" s="560" t="str">
        <f>B1</f>
        <v>展示品  BBU FY1415 H1 Super Solution 2.0 东南西区 测量设计制作运输安装</v>
      </c>
      <c r="D16" s="361"/>
      <c r="E16" s="363"/>
      <c r="F16" s="363"/>
      <c r="G16" s="363"/>
      <c r="H16" s="363"/>
      <c r="I16" s="363"/>
      <c r="J16" s="362"/>
      <c r="K16" s="363"/>
    </row>
    <row r="17" spans="1:18" ht="15.75">
      <c r="A17" s="363"/>
      <c r="B17" s="566" t="s">
        <v>919</v>
      </c>
      <c r="C17" s="590" t="s">
        <v>920</v>
      </c>
      <c r="D17" s="361"/>
      <c r="E17" s="363"/>
      <c r="F17" s="363"/>
      <c r="G17" s="363"/>
      <c r="H17" s="363"/>
      <c r="I17" s="362"/>
      <c r="J17" s="362"/>
      <c r="K17" s="362"/>
      <c r="L17" s="362"/>
      <c r="M17" s="362"/>
      <c r="N17" s="362"/>
      <c r="O17" s="362"/>
      <c r="P17" s="362"/>
      <c r="Q17" s="362"/>
      <c r="R17" s="362"/>
    </row>
    <row r="18" spans="1:18" ht="15.75">
      <c r="A18" s="363"/>
      <c r="B18" s="566" t="s">
        <v>921</v>
      </c>
      <c r="C18" s="560" t="s">
        <v>922</v>
      </c>
      <c r="D18" s="361"/>
      <c r="E18" s="363"/>
      <c r="F18" s="363"/>
      <c r="G18" s="363"/>
      <c r="H18" s="363"/>
      <c r="I18" s="362"/>
      <c r="J18" s="362"/>
      <c r="K18" s="362"/>
      <c r="L18" s="362"/>
      <c r="M18" s="362"/>
      <c r="N18" s="362"/>
      <c r="O18" s="362"/>
      <c r="P18" s="362"/>
      <c r="Q18" s="362"/>
      <c r="R18" s="362"/>
    </row>
    <row r="19" spans="1:18" ht="31.5">
      <c r="A19" s="363"/>
      <c r="B19" s="566" t="s">
        <v>923</v>
      </c>
      <c r="C19" s="590" t="s">
        <v>924</v>
      </c>
      <c r="D19" s="361"/>
      <c r="E19" s="363"/>
      <c r="F19" s="363"/>
      <c r="G19" s="363"/>
      <c r="H19" s="363"/>
      <c r="I19" s="362"/>
      <c r="J19" s="362"/>
      <c r="K19" s="362"/>
      <c r="L19" s="362"/>
      <c r="M19" s="362"/>
      <c r="N19" s="362"/>
      <c r="O19" s="362"/>
      <c r="P19" s="362"/>
      <c r="Q19" s="362"/>
      <c r="R19" s="362"/>
    </row>
    <row r="20" spans="1:18" s="380" customFormat="1" ht="16.5">
      <c r="B20" s="381" t="s">
        <v>925</v>
      </c>
      <c r="C20" s="591">
        <v>42185</v>
      </c>
      <c r="D20" s="382"/>
      <c r="N20" s="383"/>
    </row>
    <row r="21" spans="1:18" s="380" customFormat="1" ht="16.5">
      <c r="B21" s="381" t="s">
        <v>926</v>
      </c>
      <c r="C21" s="592" t="s">
        <v>927</v>
      </c>
      <c r="D21" s="382"/>
      <c r="N21" s="383"/>
    </row>
    <row r="22" spans="1:18" s="380" customFormat="1" ht="15.75">
      <c r="B22" s="385" t="s">
        <v>928</v>
      </c>
      <c r="C22" s="669">
        <v>4504.72</v>
      </c>
      <c r="D22" s="382"/>
      <c r="N22" s="383"/>
    </row>
    <row r="23" spans="1:18" s="380" customFormat="1" ht="15.75">
      <c r="B23" s="386" t="s">
        <v>27</v>
      </c>
      <c r="C23" s="674"/>
      <c r="D23" s="382"/>
      <c r="N23" s="383"/>
    </row>
    <row r="24" spans="1:18" s="380" customFormat="1" ht="15.75">
      <c r="B24" s="567" t="s">
        <v>929</v>
      </c>
      <c r="C24" s="390"/>
      <c r="D24" s="382"/>
      <c r="N24" s="383"/>
    </row>
    <row r="25" spans="1:18" s="395" customFormat="1" ht="16.5" thickBot="1">
      <c r="A25" s="391"/>
      <c r="B25" s="568" t="s">
        <v>930</v>
      </c>
      <c r="C25" s="393"/>
      <c r="D25" s="391"/>
      <c r="E25" s="394"/>
      <c r="F25" s="394"/>
      <c r="G25" s="394"/>
      <c r="I25" s="396"/>
      <c r="R25" s="397"/>
    </row>
    <row r="26" spans="1:18" s="395" customFormat="1" ht="21">
      <c r="A26" s="391"/>
      <c r="B26" s="569"/>
      <c r="C26" s="569"/>
      <c r="D26" s="398"/>
      <c r="E26" s="398"/>
      <c r="F26" s="399"/>
      <c r="G26" s="394"/>
      <c r="I26" s="396"/>
      <c r="R26" s="397"/>
    </row>
    <row r="27" spans="1:18" s="395" customFormat="1" ht="15.75">
      <c r="B27" s="570"/>
      <c r="C27" s="570"/>
      <c r="E27" s="402"/>
      <c r="F27" s="402"/>
      <c r="G27" s="402"/>
      <c r="H27" s="402"/>
      <c r="I27" s="396"/>
      <c r="J27" s="403"/>
      <c r="K27" s="404"/>
      <c r="R27" s="397"/>
    </row>
    <row r="28" spans="1:18" s="313" customFormat="1" ht="14.25">
      <c r="B28" s="432" t="s">
        <v>805</v>
      </c>
      <c r="D28" s="341"/>
      <c r="F28" s="342"/>
      <c r="G28" s="342"/>
      <c r="H28" s="342"/>
      <c r="O28" s="351"/>
    </row>
    <row r="29" spans="1:18" s="313" customFormat="1" ht="28.5">
      <c r="B29" s="425" t="s">
        <v>758</v>
      </c>
      <c r="C29" s="425" t="s">
        <v>768</v>
      </c>
      <c r="D29" s="425" t="s">
        <v>812</v>
      </c>
      <c r="E29" s="425" t="s">
        <v>955</v>
      </c>
      <c r="F29" s="425" t="s">
        <v>954</v>
      </c>
      <c r="G29" s="425" t="s">
        <v>769</v>
      </c>
      <c r="H29" s="425" t="s">
        <v>770</v>
      </c>
      <c r="I29" s="425" t="s">
        <v>771</v>
      </c>
      <c r="J29" s="425" t="s">
        <v>788</v>
      </c>
      <c r="K29" s="425" t="s">
        <v>780</v>
      </c>
      <c r="L29" s="437" t="s">
        <v>956</v>
      </c>
      <c r="M29" s="437" t="s">
        <v>778</v>
      </c>
      <c r="N29" s="438" t="s">
        <v>759</v>
      </c>
      <c r="O29" s="437" t="s">
        <v>779</v>
      </c>
      <c r="R29" s="351"/>
    </row>
    <row r="30" spans="1:18" s="313" customFormat="1" ht="14.25">
      <c r="B30" s="605" t="s">
        <v>813</v>
      </c>
      <c r="C30" s="423" t="s">
        <v>814</v>
      </c>
      <c r="D30" s="434">
        <v>30000</v>
      </c>
      <c r="E30" s="607">
        <v>0.09</v>
      </c>
      <c r="F30" s="606">
        <f>D30*(1+E30)</f>
        <v>32700.000000000004</v>
      </c>
      <c r="G30" s="434">
        <v>50</v>
      </c>
      <c r="H30" s="434">
        <v>100</v>
      </c>
      <c r="I30" s="434">
        <v>150</v>
      </c>
      <c r="J30" s="434">
        <v>200</v>
      </c>
      <c r="K30" s="606">
        <f>SUM(F30:J30)</f>
        <v>33200</v>
      </c>
      <c r="L30" s="435">
        <v>2</v>
      </c>
      <c r="M30" s="608">
        <f>K30*L30</f>
        <v>66400</v>
      </c>
      <c r="N30" s="613">
        <f>M30*17%</f>
        <v>11288</v>
      </c>
      <c r="O30" s="608">
        <f>M30+N30</f>
        <v>77688</v>
      </c>
      <c r="R30" s="351"/>
    </row>
    <row r="31" spans="1:18" s="313" customFormat="1" ht="14.25">
      <c r="B31" s="431" t="s">
        <v>781</v>
      </c>
      <c r="C31" s="423"/>
      <c r="D31" s="426"/>
      <c r="E31" s="426"/>
      <c r="F31" s="426"/>
      <c r="G31" s="426"/>
      <c r="H31" s="426"/>
      <c r="I31" s="426"/>
      <c r="J31" s="426"/>
      <c r="K31" s="426"/>
      <c r="L31" s="421">
        <f>SUM(L30:L30)</f>
        <v>2</v>
      </c>
      <c r="M31" s="608">
        <f>SUM(M30:M30)</f>
        <v>66400</v>
      </c>
      <c r="N31" s="613">
        <f>SUM(N30:N30)</f>
        <v>11288</v>
      </c>
      <c r="O31" s="608">
        <f>SUM(O30:O30)</f>
        <v>77688</v>
      </c>
      <c r="P31" s="351"/>
    </row>
    <row r="32" spans="1:18" s="313" customFormat="1" ht="14.25">
      <c r="B32" s="430"/>
      <c r="C32" s="427"/>
      <c r="D32" s="428"/>
      <c r="E32" s="428"/>
      <c r="F32" s="428"/>
      <c r="G32" s="428"/>
      <c r="H32" s="428"/>
      <c r="I32" s="428"/>
      <c r="J32" s="428"/>
      <c r="K32" s="428"/>
      <c r="L32" s="429"/>
      <c r="M32" s="429"/>
      <c r="N32" s="428"/>
      <c r="O32" s="429"/>
      <c r="P32" s="351"/>
    </row>
    <row r="33" spans="2:18" s="313" customFormat="1" ht="14.25">
      <c r="B33" s="432" t="s">
        <v>782</v>
      </c>
      <c r="L33" s="351"/>
      <c r="M33" s="351"/>
    </row>
    <row r="34" spans="2:18" s="313" customFormat="1" ht="25.5">
      <c r="B34" s="440" t="s">
        <v>816</v>
      </c>
      <c r="C34" s="423" t="s">
        <v>768</v>
      </c>
      <c r="D34" s="440" t="s">
        <v>772</v>
      </c>
      <c r="E34" s="440" t="s">
        <v>786</v>
      </c>
      <c r="F34" s="441" t="s">
        <v>806</v>
      </c>
      <c r="G34" s="681" t="s">
        <v>789</v>
      </c>
      <c r="H34" s="681"/>
      <c r="L34" s="351"/>
      <c r="M34" s="351"/>
    </row>
    <row r="35" spans="2:18" s="313" customFormat="1" ht="12.75" customHeight="1">
      <c r="B35" s="465" t="s">
        <v>815</v>
      </c>
      <c r="C35" s="423" t="s">
        <v>814</v>
      </c>
      <c r="D35" s="431" t="s">
        <v>801</v>
      </c>
      <c r="E35" s="423">
        <f>4.8*0.4*1.6</f>
        <v>3.0720000000000001</v>
      </c>
      <c r="F35" s="606">
        <f>F30/E35</f>
        <v>10644.531250000002</v>
      </c>
      <c r="G35" s="598"/>
      <c r="H35" s="599"/>
      <c r="L35" s="351"/>
      <c r="M35" s="351"/>
    </row>
    <row r="36" spans="2:18" s="313" customFormat="1" ht="12.75" customHeight="1">
      <c r="B36" s="433" t="s">
        <v>783</v>
      </c>
      <c r="C36" s="594"/>
      <c r="D36" s="611" t="s">
        <v>787</v>
      </c>
      <c r="E36" s="611">
        <v>1</v>
      </c>
      <c r="F36" s="612"/>
      <c r="G36" s="600"/>
      <c r="H36" s="601"/>
      <c r="L36" s="351"/>
      <c r="M36" s="351"/>
    </row>
    <row r="37" spans="2:18" s="313" customFormat="1" ht="12.75" customHeight="1">
      <c r="B37" s="433" t="s">
        <v>763</v>
      </c>
      <c r="C37" s="594"/>
      <c r="D37" s="611" t="s">
        <v>787</v>
      </c>
      <c r="E37" s="611">
        <v>1</v>
      </c>
      <c r="F37" s="612"/>
      <c r="G37" s="600"/>
      <c r="H37" s="601"/>
      <c r="L37" s="351"/>
      <c r="M37" s="351"/>
    </row>
    <row r="38" spans="2:18" s="313" customFormat="1" ht="12.75" customHeight="1">
      <c r="B38" s="433" t="s">
        <v>784</v>
      </c>
      <c r="C38" s="594"/>
      <c r="D38" s="611" t="s">
        <v>801</v>
      </c>
      <c r="E38" s="611">
        <v>1</v>
      </c>
      <c r="F38" s="434" t="s">
        <v>804</v>
      </c>
      <c r="G38" s="602" t="s">
        <v>802</v>
      </c>
      <c r="H38" s="601"/>
      <c r="L38" s="351"/>
      <c r="M38" s="351"/>
    </row>
    <row r="39" spans="2:18" s="313" customFormat="1" ht="12.75" customHeight="1">
      <c r="B39" s="433" t="s">
        <v>785</v>
      </c>
      <c r="C39" s="594"/>
      <c r="D39" s="611" t="s">
        <v>787</v>
      </c>
      <c r="E39" s="611">
        <v>1</v>
      </c>
      <c r="F39" s="434" t="s">
        <v>804</v>
      </c>
      <c r="G39" s="603" t="s">
        <v>803</v>
      </c>
      <c r="H39" s="604"/>
      <c r="L39" s="351"/>
      <c r="M39" s="351"/>
    </row>
    <row r="40" spans="2:18" s="395" customFormat="1" ht="15.75">
      <c r="B40" s="570"/>
      <c r="C40" s="570"/>
      <c r="E40" s="402"/>
      <c r="F40" s="402"/>
      <c r="G40" s="402"/>
      <c r="H40" s="402"/>
      <c r="I40" s="396"/>
      <c r="J40" s="403"/>
      <c r="K40" s="404"/>
      <c r="R40" s="397"/>
    </row>
    <row r="41" spans="2:18" s="395" customFormat="1" ht="15.75">
      <c r="B41" s="570"/>
      <c r="C41" s="570"/>
      <c r="E41" s="402"/>
      <c r="F41" s="402"/>
      <c r="G41" s="402"/>
      <c r="H41" s="402"/>
      <c r="I41" s="396"/>
      <c r="J41" s="403"/>
      <c r="K41" s="404"/>
      <c r="R41" s="397"/>
    </row>
    <row r="42" spans="2:18" s="395" customFormat="1" ht="15.75">
      <c r="B42" s="570"/>
      <c r="C42" s="570"/>
      <c r="E42" s="402"/>
      <c r="F42" s="402"/>
      <c r="G42" s="402"/>
      <c r="H42" s="402"/>
      <c r="I42" s="396"/>
      <c r="J42" s="403"/>
      <c r="K42" s="404"/>
      <c r="R42" s="397"/>
    </row>
    <row r="43" spans="2:18" s="395" customFormat="1" ht="15.75">
      <c r="B43" s="570"/>
      <c r="C43" s="570"/>
      <c r="E43" s="402"/>
      <c r="F43" s="402"/>
      <c r="G43" s="402"/>
      <c r="H43" s="402"/>
      <c r="I43" s="396"/>
      <c r="J43" s="403"/>
      <c r="K43" s="404"/>
      <c r="R43" s="397"/>
    </row>
    <row r="44" spans="2:18" s="395" customFormat="1" ht="15.75">
      <c r="B44" s="570"/>
      <c r="C44" s="570"/>
      <c r="E44" s="402"/>
      <c r="F44" s="402"/>
      <c r="G44" s="402"/>
      <c r="H44" s="402"/>
      <c r="I44" s="396"/>
      <c r="J44" s="403"/>
      <c r="K44" s="404"/>
      <c r="R44" s="397"/>
    </row>
    <row r="45" spans="2:18" s="395" customFormat="1" ht="15.75">
      <c r="B45" s="570"/>
      <c r="C45" s="570"/>
      <c r="E45" s="402"/>
      <c r="F45" s="402"/>
      <c r="G45" s="402"/>
      <c r="H45" s="402"/>
      <c r="I45" s="396"/>
      <c r="J45" s="403"/>
      <c r="K45" s="404"/>
      <c r="R45" s="397"/>
    </row>
    <row r="46" spans="2:18" s="395" customFormat="1" ht="15.75">
      <c r="B46" s="570"/>
      <c r="C46" s="570"/>
      <c r="E46" s="402"/>
      <c r="F46" s="402"/>
      <c r="G46" s="402"/>
      <c r="H46" s="402"/>
      <c r="I46" s="396"/>
      <c r="J46" s="403"/>
      <c r="K46" s="404"/>
      <c r="R46" s="397"/>
    </row>
    <row r="47" spans="2:18" s="395" customFormat="1" ht="15.75">
      <c r="B47" s="570"/>
      <c r="C47" s="570"/>
      <c r="E47" s="402"/>
      <c r="F47" s="402"/>
      <c r="G47" s="402"/>
      <c r="H47" s="402"/>
      <c r="I47" s="396"/>
      <c r="J47" s="403"/>
      <c r="K47" s="404"/>
      <c r="R47" s="397"/>
    </row>
    <row r="48" spans="2:18" s="395" customFormat="1" ht="15.75">
      <c r="B48" s="570"/>
      <c r="C48" s="570"/>
      <c r="E48" s="402"/>
      <c r="F48" s="402"/>
      <c r="G48" s="402"/>
      <c r="H48" s="402"/>
      <c r="I48" s="396"/>
      <c r="J48" s="403"/>
      <c r="K48" s="404"/>
      <c r="R48" s="397"/>
    </row>
    <row r="49" spans="2:18" s="395" customFormat="1" ht="15.75">
      <c r="B49" s="570"/>
      <c r="C49" s="570"/>
      <c r="E49" s="402"/>
      <c r="F49" s="402"/>
      <c r="G49" s="402"/>
      <c r="H49" s="402"/>
      <c r="I49" s="396"/>
      <c r="J49" s="403"/>
      <c r="K49" s="404"/>
      <c r="R49" s="397"/>
    </row>
    <row r="50" spans="2:18" s="395" customFormat="1" ht="15.75">
      <c r="B50" s="570"/>
      <c r="C50" s="570"/>
      <c r="E50" s="402"/>
      <c r="F50" s="402"/>
      <c r="G50" s="402"/>
      <c r="H50" s="402"/>
      <c r="I50" s="396"/>
      <c r="J50" s="403"/>
      <c r="K50" s="404"/>
      <c r="R50" s="397"/>
    </row>
    <row r="51" spans="2:18" s="395" customFormat="1" ht="15.75">
      <c r="B51" s="570"/>
      <c r="C51" s="570"/>
      <c r="E51" s="402"/>
      <c r="F51" s="402"/>
      <c r="G51" s="402"/>
      <c r="H51" s="402"/>
      <c r="I51" s="396"/>
      <c r="J51" s="403"/>
      <c r="K51" s="404"/>
      <c r="R51" s="397"/>
    </row>
    <row r="52" spans="2:18" s="395" customFormat="1" ht="15.75">
      <c r="B52" s="570"/>
      <c r="C52" s="570"/>
      <c r="E52" s="402"/>
      <c r="F52" s="402"/>
      <c r="G52" s="402"/>
      <c r="H52" s="402"/>
      <c r="I52" s="396"/>
      <c r="J52" s="403"/>
      <c r="K52" s="404"/>
      <c r="R52" s="397"/>
    </row>
    <row r="53" spans="2:18" s="395" customFormat="1" ht="15.75">
      <c r="B53" s="570"/>
      <c r="C53" s="570"/>
      <c r="E53" s="402"/>
      <c r="F53" s="402"/>
      <c r="G53" s="402"/>
      <c r="H53" s="402"/>
      <c r="I53" s="396"/>
      <c r="J53" s="403"/>
      <c r="K53" s="404"/>
      <c r="R53" s="397"/>
    </row>
    <row r="54" spans="2:18" s="395" customFormat="1" ht="15.75">
      <c r="B54" s="570"/>
      <c r="C54" s="570"/>
      <c r="E54" s="402"/>
      <c r="F54" s="402"/>
      <c r="G54" s="402"/>
      <c r="H54" s="402"/>
      <c r="I54" s="396"/>
      <c r="J54" s="403"/>
      <c r="K54" s="404"/>
      <c r="R54" s="397"/>
    </row>
    <row r="55" spans="2:18" s="395" customFormat="1" ht="15.75">
      <c r="B55" s="570"/>
      <c r="C55" s="570"/>
      <c r="E55" s="402"/>
      <c r="F55" s="402"/>
      <c r="G55" s="402"/>
      <c r="H55" s="402"/>
      <c r="I55" s="396"/>
      <c r="J55" s="403"/>
      <c r="K55" s="404"/>
      <c r="R55" s="397"/>
    </row>
    <row r="56" spans="2:18" s="395" customFormat="1" ht="15.75">
      <c r="B56" s="570"/>
      <c r="C56" s="570"/>
      <c r="E56" s="402"/>
      <c r="F56" s="402"/>
      <c r="G56" s="402"/>
      <c r="H56" s="402"/>
      <c r="I56" s="396"/>
      <c r="J56" s="403"/>
      <c r="K56" s="404"/>
      <c r="R56" s="397"/>
    </row>
    <row r="57" spans="2:18" s="395" customFormat="1" ht="15.75">
      <c r="B57" s="570"/>
      <c r="C57" s="570"/>
      <c r="E57" s="402"/>
      <c r="F57" s="402"/>
      <c r="G57" s="402"/>
      <c r="H57" s="402"/>
      <c r="I57" s="396"/>
      <c r="J57" s="403"/>
      <c r="K57" s="404"/>
      <c r="R57" s="397"/>
    </row>
    <row r="58" spans="2:18" s="395" customFormat="1" ht="15.75">
      <c r="B58" s="570"/>
      <c r="C58" s="570"/>
      <c r="E58" s="402"/>
      <c r="F58" s="402"/>
      <c r="G58" s="402"/>
      <c r="H58" s="402"/>
      <c r="I58" s="396"/>
      <c r="J58" s="403"/>
      <c r="K58" s="404"/>
      <c r="R58" s="397"/>
    </row>
    <row r="59" spans="2:18" s="395" customFormat="1" ht="15.75">
      <c r="B59" s="570"/>
      <c r="C59" s="570"/>
      <c r="E59" s="402"/>
      <c r="F59" s="402"/>
      <c r="G59" s="402"/>
      <c r="H59" s="402"/>
      <c r="I59" s="396"/>
      <c r="J59" s="403"/>
      <c r="K59" s="404"/>
      <c r="R59" s="397"/>
    </row>
    <row r="60" spans="2:18" s="395" customFormat="1" ht="15.75">
      <c r="B60" s="570"/>
      <c r="C60" s="570"/>
      <c r="E60" s="402"/>
      <c r="F60" s="402"/>
      <c r="G60" s="402"/>
      <c r="H60" s="402"/>
      <c r="I60" s="396"/>
      <c r="J60" s="403"/>
      <c r="K60" s="404"/>
      <c r="R60" s="397"/>
    </row>
    <row r="61" spans="2:18" s="395" customFormat="1" ht="15.75">
      <c r="B61" s="570"/>
      <c r="C61" s="570"/>
      <c r="E61" s="402"/>
      <c r="F61" s="402"/>
      <c r="G61" s="402"/>
      <c r="H61" s="402"/>
      <c r="I61" s="396"/>
      <c r="J61" s="403"/>
      <c r="K61" s="404"/>
      <c r="R61" s="397"/>
    </row>
    <row r="62" spans="2:18" s="395" customFormat="1" ht="15.75">
      <c r="B62" s="570"/>
      <c r="C62" s="570"/>
      <c r="E62" s="402"/>
      <c r="F62" s="402"/>
      <c r="G62" s="402"/>
      <c r="H62" s="402"/>
      <c r="I62" s="396"/>
      <c r="J62" s="403"/>
      <c r="K62" s="404"/>
      <c r="R62" s="397"/>
    </row>
    <row r="63" spans="2:18" s="395" customFormat="1" ht="15.75">
      <c r="B63" s="570"/>
      <c r="C63" s="570"/>
      <c r="E63" s="402"/>
      <c r="F63" s="402"/>
      <c r="G63" s="402"/>
      <c r="H63" s="402"/>
      <c r="I63" s="396"/>
      <c r="J63" s="403"/>
      <c r="K63" s="404"/>
      <c r="R63" s="397"/>
    </row>
    <row r="64" spans="2:18" s="395" customFormat="1" ht="15.75">
      <c r="B64" s="570"/>
      <c r="C64" s="570"/>
      <c r="E64" s="402"/>
      <c r="F64" s="402"/>
      <c r="G64" s="402"/>
      <c r="H64" s="402"/>
      <c r="I64" s="396"/>
      <c r="J64" s="403"/>
      <c r="K64" s="404"/>
      <c r="R64" s="397"/>
    </row>
    <row r="65" spans="2:18" s="395" customFormat="1" ht="15.75">
      <c r="B65" s="570"/>
      <c r="C65" s="570"/>
      <c r="E65" s="402"/>
      <c r="F65" s="402"/>
      <c r="G65" s="402"/>
      <c r="H65" s="402"/>
      <c r="I65" s="396"/>
      <c r="J65" s="403"/>
      <c r="K65" s="404"/>
      <c r="R65" s="397"/>
    </row>
    <row r="66" spans="2:18" s="395" customFormat="1" ht="15.75">
      <c r="B66" s="570"/>
      <c r="C66" s="570"/>
      <c r="E66" s="402"/>
      <c r="F66" s="402"/>
      <c r="G66" s="402"/>
      <c r="H66" s="402"/>
      <c r="I66" s="396"/>
      <c r="J66" s="403"/>
      <c r="K66" s="404"/>
      <c r="R66" s="397"/>
    </row>
    <row r="67" spans="2:18" s="395" customFormat="1" ht="15.75">
      <c r="B67" s="570"/>
      <c r="C67" s="570"/>
      <c r="E67" s="402"/>
      <c r="F67" s="402"/>
      <c r="G67" s="402"/>
      <c r="H67" s="402"/>
      <c r="I67" s="396"/>
      <c r="J67" s="403"/>
      <c r="K67" s="404"/>
      <c r="R67" s="397"/>
    </row>
    <row r="68" spans="2:18" s="395" customFormat="1" ht="15.75">
      <c r="B68" s="570"/>
      <c r="C68" s="570"/>
      <c r="E68" s="402"/>
      <c r="F68" s="402"/>
      <c r="G68" s="402"/>
      <c r="H68" s="402"/>
      <c r="I68" s="396"/>
      <c r="J68" s="403"/>
      <c r="K68" s="404"/>
      <c r="R68" s="397"/>
    </row>
    <row r="69" spans="2:18" s="395" customFormat="1" ht="15.75">
      <c r="B69" s="570"/>
      <c r="C69" s="570"/>
      <c r="E69" s="402"/>
      <c r="F69" s="402"/>
      <c r="G69" s="402"/>
      <c r="H69" s="402"/>
      <c r="I69" s="396"/>
      <c r="J69" s="403"/>
      <c r="K69" s="404"/>
      <c r="R69" s="397"/>
    </row>
    <row r="70" spans="2:18" s="395" customFormat="1" ht="15.75">
      <c r="B70" s="570"/>
      <c r="C70" s="570"/>
      <c r="E70" s="402"/>
      <c r="F70" s="402"/>
      <c r="G70" s="402"/>
      <c r="H70" s="402"/>
      <c r="I70" s="396"/>
      <c r="J70" s="403"/>
      <c r="K70" s="404"/>
      <c r="R70" s="397"/>
    </row>
    <row r="71" spans="2:18" s="395" customFormat="1" ht="15.75">
      <c r="B71" s="570"/>
      <c r="C71" s="570"/>
      <c r="E71" s="402"/>
      <c r="F71" s="402"/>
      <c r="G71" s="402"/>
      <c r="H71" s="402"/>
      <c r="I71" s="396"/>
      <c r="J71" s="403"/>
      <c r="K71" s="404"/>
      <c r="R71" s="397"/>
    </row>
    <row r="72" spans="2:18" s="395" customFormat="1" ht="15.75">
      <c r="B72" s="570"/>
      <c r="C72" s="570"/>
      <c r="E72" s="402"/>
      <c r="F72" s="402"/>
      <c r="G72" s="402"/>
      <c r="H72" s="402"/>
      <c r="I72" s="396"/>
      <c r="J72" s="403"/>
      <c r="K72" s="404"/>
      <c r="R72" s="397"/>
    </row>
    <row r="73" spans="2:18" s="395" customFormat="1" ht="15.75">
      <c r="B73" s="570"/>
      <c r="C73" s="570"/>
      <c r="E73" s="402"/>
      <c r="F73" s="402"/>
      <c r="G73" s="402"/>
      <c r="H73" s="402"/>
      <c r="I73" s="396"/>
      <c r="J73" s="403"/>
      <c r="K73" s="404"/>
      <c r="R73" s="397"/>
    </row>
    <row r="74" spans="2:18" s="395" customFormat="1" ht="15.75">
      <c r="B74" s="570"/>
      <c r="C74" s="570"/>
      <c r="E74" s="402"/>
      <c r="F74" s="402"/>
      <c r="G74" s="402"/>
      <c r="H74" s="402"/>
      <c r="I74" s="396"/>
      <c r="J74" s="403"/>
      <c r="K74" s="404"/>
      <c r="R74" s="397"/>
    </row>
    <row r="75" spans="2:18" s="395" customFormat="1" ht="15.75">
      <c r="B75" s="570"/>
      <c r="C75" s="570"/>
      <c r="E75" s="402"/>
      <c r="F75" s="402"/>
      <c r="G75" s="402"/>
      <c r="H75" s="402"/>
      <c r="I75" s="396"/>
      <c r="J75" s="403"/>
      <c r="K75" s="404"/>
      <c r="R75" s="397"/>
    </row>
    <row r="76" spans="2:18" s="395" customFormat="1" ht="15.75">
      <c r="B76" s="570"/>
      <c r="C76" s="570"/>
      <c r="E76" s="402"/>
      <c r="F76" s="402"/>
      <c r="G76" s="402"/>
      <c r="H76" s="402"/>
      <c r="I76" s="396"/>
      <c r="J76" s="403"/>
      <c r="K76" s="404"/>
      <c r="R76" s="397"/>
    </row>
    <row r="77" spans="2:18" s="395" customFormat="1" ht="15.75">
      <c r="B77" s="570"/>
      <c r="C77" s="570"/>
      <c r="E77" s="402"/>
      <c r="F77" s="402"/>
      <c r="G77" s="402"/>
      <c r="H77" s="402"/>
      <c r="I77" s="396"/>
      <c r="J77" s="403"/>
      <c r="K77" s="404"/>
      <c r="R77" s="397"/>
    </row>
    <row r="78" spans="2:18" s="395" customFormat="1" ht="15.75">
      <c r="B78" s="570"/>
      <c r="C78" s="570"/>
      <c r="E78" s="402"/>
      <c r="F78" s="402"/>
      <c r="G78" s="402"/>
      <c r="H78" s="402"/>
      <c r="I78" s="396"/>
      <c r="J78" s="403"/>
      <c r="K78" s="404"/>
      <c r="R78" s="397"/>
    </row>
    <row r="79" spans="2:18" s="395" customFormat="1" ht="15.75">
      <c r="B79" s="570"/>
      <c r="C79" s="570"/>
      <c r="E79" s="402"/>
      <c r="F79" s="402"/>
      <c r="G79" s="402"/>
      <c r="H79" s="402"/>
      <c r="I79" s="396"/>
      <c r="J79" s="403"/>
      <c r="K79" s="404"/>
      <c r="R79" s="397"/>
    </row>
    <row r="80" spans="2:18" s="395" customFormat="1" ht="15.75">
      <c r="B80" s="570"/>
      <c r="C80" s="570"/>
      <c r="E80" s="402"/>
      <c r="F80" s="402"/>
      <c r="G80" s="402"/>
      <c r="H80" s="402"/>
      <c r="I80" s="396"/>
      <c r="J80" s="403"/>
      <c r="K80" s="404"/>
      <c r="R80" s="397"/>
    </row>
    <row r="81" spans="2:18" s="395" customFormat="1" ht="15.75">
      <c r="B81" s="570"/>
      <c r="C81" s="570"/>
      <c r="E81" s="402"/>
      <c r="F81" s="402"/>
      <c r="G81" s="402"/>
      <c r="H81" s="402"/>
      <c r="I81" s="396"/>
      <c r="J81" s="403"/>
      <c r="K81" s="404"/>
      <c r="R81" s="397"/>
    </row>
    <row r="82" spans="2:18" s="395" customFormat="1" ht="15.75">
      <c r="B82" s="570"/>
      <c r="C82" s="570"/>
      <c r="E82" s="402"/>
      <c r="F82" s="402"/>
      <c r="G82" s="402"/>
      <c r="H82" s="402"/>
      <c r="I82" s="396"/>
      <c r="J82" s="403"/>
      <c r="K82" s="404"/>
      <c r="R82" s="397"/>
    </row>
    <row r="83" spans="2:18" s="395" customFormat="1" ht="15.75">
      <c r="B83" s="570"/>
      <c r="C83" s="570"/>
      <c r="E83" s="402"/>
      <c r="F83" s="402"/>
      <c r="G83" s="402"/>
      <c r="H83" s="402"/>
      <c r="I83" s="396"/>
      <c r="J83" s="403"/>
      <c r="K83" s="404"/>
      <c r="R83" s="397"/>
    </row>
    <row r="84" spans="2:18" s="395" customFormat="1" ht="15.75">
      <c r="B84" s="570"/>
      <c r="C84" s="570"/>
      <c r="E84" s="402"/>
      <c r="F84" s="402"/>
      <c r="G84" s="402"/>
      <c r="H84" s="402"/>
      <c r="I84" s="396"/>
      <c r="J84" s="403"/>
      <c r="K84" s="404"/>
      <c r="R84" s="397"/>
    </row>
    <row r="85" spans="2:18" s="395" customFormat="1" ht="15.75">
      <c r="B85" s="570"/>
      <c r="C85" s="570"/>
      <c r="E85" s="402"/>
      <c r="F85" s="402"/>
      <c r="G85" s="402"/>
      <c r="H85" s="402"/>
      <c r="I85" s="396"/>
      <c r="J85" s="403"/>
      <c r="K85" s="404"/>
      <c r="R85" s="397"/>
    </row>
    <row r="86" spans="2:18" s="395" customFormat="1" ht="15.75">
      <c r="B86" s="570"/>
      <c r="C86" s="570"/>
      <c r="E86" s="402"/>
      <c r="F86" s="402"/>
      <c r="G86" s="402"/>
      <c r="H86" s="402"/>
      <c r="I86" s="396"/>
      <c r="J86" s="403"/>
      <c r="K86" s="404"/>
      <c r="R86" s="397"/>
    </row>
    <row r="87" spans="2:18" s="395" customFormat="1" ht="15.75">
      <c r="B87" s="570"/>
      <c r="C87" s="570"/>
      <c r="E87" s="402"/>
      <c r="F87" s="402"/>
      <c r="G87" s="402"/>
      <c r="H87" s="402"/>
      <c r="I87" s="396"/>
      <c r="J87" s="403"/>
      <c r="K87" s="404"/>
      <c r="R87" s="397"/>
    </row>
    <row r="88" spans="2:18" s="395" customFormat="1" ht="15.75">
      <c r="B88" s="570"/>
      <c r="C88" s="570"/>
      <c r="E88" s="402"/>
      <c r="F88" s="402"/>
      <c r="G88" s="402"/>
      <c r="H88" s="402"/>
      <c r="I88" s="396"/>
      <c r="J88" s="403"/>
      <c r="K88" s="404"/>
      <c r="R88" s="397"/>
    </row>
    <row r="89" spans="2:18" s="395" customFormat="1" ht="15.75">
      <c r="B89" s="570"/>
      <c r="C89" s="570"/>
      <c r="E89" s="402"/>
      <c r="F89" s="402"/>
      <c r="G89" s="402"/>
      <c r="H89" s="402"/>
      <c r="I89" s="396"/>
      <c r="J89" s="403"/>
      <c r="K89" s="404"/>
      <c r="R89" s="397"/>
    </row>
    <row r="90" spans="2:18" s="395" customFormat="1" ht="15.75">
      <c r="B90" s="570"/>
      <c r="C90" s="570"/>
      <c r="E90" s="402"/>
      <c r="F90" s="402"/>
      <c r="G90" s="402"/>
      <c r="H90" s="402"/>
      <c r="I90" s="396"/>
      <c r="J90" s="403"/>
      <c r="K90" s="404"/>
      <c r="R90" s="397"/>
    </row>
    <row r="91" spans="2:18" s="395" customFormat="1" ht="15.75">
      <c r="B91" s="570"/>
      <c r="C91" s="570"/>
      <c r="E91" s="402"/>
      <c r="F91" s="402"/>
      <c r="G91" s="402"/>
      <c r="H91" s="402"/>
      <c r="I91" s="396"/>
      <c r="J91" s="403"/>
      <c r="K91" s="404"/>
      <c r="R91" s="397"/>
    </row>
    <row r="92" spans="2:18" s="395" customFormat="1" ht="15.75">
      <c r="B92" s="570"/>
      <c r="C92" s="570"/>
      <c r="E92" s="402"/>
      <c r="F92" s="402"/>
      <c r="G92" s="402"/>
      <c r="H92" s="402"/>
      <c r="I92" s="396"/>
      <c r="J92" s="403"/>
      <c r="K92" s="404"/>
      <c r="R92" s="397"/>
    </row>
    <row r="93" spans="2:18" s="395" customFormat="1" ht="15.75">
      <c r="B93" s="570"/>
      <c r="C93" s="570"/>
      <c r="E93" s="402"/>
      <c r="F93" s="402"/>
      <c r="G93" s="402"/>
      <c r="H93" s="402"/>
      <c r="I93" s="396"/>
      <c r="J93" s="403"/>
      <c r="K93" s="404"/>
      <c r="R93" s="397"/>
    </row>
    <row r="94" spans="2:18" s="395" customFormat="1" ht="15.75">
      <c r="B94" s="570"/>
      <c r="C94" s="570"/>
      <c r="E94" s="402"/>
      <c r="F94" s="402"/>
      <c r="G94" s="402"/>
      <c r="H94" s="402"/>
      <c r="I94" s="396"/>
      <c r="J94" s="403"/>
      <c r="K94" s="404"/>
      <c r="R94" s="397"/>
    </row>
    <row r="95" spans="2:18" s="395" customFormat="1" ht="15.75">
      <c r="B95" s="570"/>
      <c r="C95" s="570"/>
      <c r="E95" s="402"/>
      <c r="F95" s="402"/>
      <c r="G95" s="402"/>
      <c r="H95" s="402"/>
      <c r="I95" s="396"/>
      <c r="J95" s="403"/>
      <c r="K95" s="404"/>
      <c r="R95" s="397"/>
    </row>
    <row r="96" spans="2:18" s="395" customFormat="1" ht="15.75">
      <c r="B96" s="570"/>
      <c r="C96" s="570"/>
      <c r="E96" s="402"/>
      <c r="F96" s="402"/>
      <c r="G96" s="402"/>
      <c r="H96" s="402"/>
      <c r="I96" s="396"/>
      <c r="J96" s="403"/>
      <c r="K96" s="404"/>
      <c r="R96" s="397"/>
    </row>
    <row r="97" spans="2:18" s="395" customFormat="1" ht="15.75">
      <c r="B97" s="570"/>
      <c r="C97" s="570"/>
      <c r="E97" s="402"/>
      <c r="F97" s="402"/>
      <c r="G97" s="402"/>
      <c r="H97" s="402"/>
      <c r="I97" s="396"/>
      <c r="J97" s="403"/>
      <c r="K97" s="404"/>
      <c r="R97" s="397"/>
    </row>
    <row r="98" spans="2:18" s="395" customFormat="1" ht="15.75">
      <c r="B98" s="570"/>
      <c r="C98" s="570"/>
      <c r="E98" s="402"/>
      <c r="F98" s="402"/>
      <c r="G98" s="402"/>
      <c r="H98" s="402"/>
      <c r="I98" s="396"/>
      <c r="J98" s="403"/>
      <c r="K98" s="404"/>
      <c r="R98" s="397"/>
    </row>
    <row r="99" spans="2:18" s="395" customFormat="1" ht="15.75">
      <c r="B99" s="570"/>
      <c r="C99" s="570"/>
      <c r="E99" s="402"/>
      <c r="F99" s="402"/>
      <c r="G99" s="402"/>
      <c r="H99" s="402"/>
      <c r="I99" s="396"/>
      <c r="J99" s="403"/>
      <c r="K99" s="404"/>
      <c r="R99" s="397"/>
    </row>
    <row r="100" spans="2:18" s="395" customFormat="1" ht="15.75">
      <c r="B100" s="570"/>
      <c r="C100" s="570"/>
      <c r="E100" s="402"/>
      <c r="F100" s="402"/>
      <c r="G100" s="402"/>
      <c r="H100" s="402"/>
      <c r="I100" s="396"/>
      <c r="J100" s="403"/>
      <c r="K100" s="404"/>
      <c r="R100" s="397"/>
    </row>
    <row r="101" spans="2:18" s="395" customFormat="1" ht="15.75">
      <c r="B101" s="570"/>
      <c r="C101" s="570"/>
      <c r="E101" s="402"/>
      <c r="F101" s="402"/>
      <c r="G101" s="402"/>
      <c r="H101" s="402"/>
      <c r="I101" s="396"/>
      <c r="J101" s="403"/>
      <c r="K101" s="404"/>
      <c r="R101" s="397"/>
    </row>
    <row r="102" spans="2:18" s="395" customFormat="1" ht="15.75">
      <c r="B102" s="570"/>
      <c r="C102" s="570"/>
      <c r="E102" s="402"/>
      <c r="F102" s="402"/>
      <c r="G102" s="402"/>
      <c r="H102" s="402"/>
      <c r="I102" s="396"/>
      <c r="J102" s="403"/>
      <c r="K102" s="404"/>
      <c r="R102" s="397"/>
    </row>
    <row r="103" spans="2:18" s="395" customFormat="1" ht="15.75">
      <c r="B103" s="570"/>
      <c r="C103" s="570"/>
      <c r="E103" s="402"/>
      <c r="F103" s="402"/>
      <c r="G103" s="402"/>
      <c r="H103" s="402"/>
      <c r="I103" s="396"/>
      <c r="J103" s="403"/>
      <c r="K103" s="404"/>
      <c r="R103" s="397"/>
    </row>
    <row r="104" spans="2:18" s="395" customFormat="1" ht="15.75">
      <c r="B104" s="570"/>
      <c r="C104" s="570"/>
      <c r="E104" s="402"/>
      <c r="F104" s="402"/>
      <c r="G104" s="402"/>
      <c r="H104" s="402"/>
      <c r="I104" s="396"/>
      <c r="J104" s="403"/>
      <c r="K104" s="404"/>
      <c r="R104" s="397"/>
    </row>
    <row r="105" spans="2:18" s="395" customFormat="1" ht="15.75">
      <c r="B105" s="570"/>
      <c r="C105" s="570"/>
      <c r="E105" s="402"/>
      <c r="F105" s="402"/>
      <c r="G105" s="402"/>
      <c r="H105" s="402"/>
      <c r="I105" s="396"/>
      <c r="J105" s="403"/>
      <c r="K105" s="404"/>
      <c r="R105" s="397"/>
    </row>
    <row r="106" spans="2:18" s="395" customFormat="1" ht="15.75">
      <c r="B106" s="570"/>
      <c r="C106" s="570"/>
      <c r="E106" s="402"/>
      <c r="F106" s="402"/>
      <c r="G106" s="402"/>
      <c r="H106" s="402"/>
      <c r="I106" s="396"/>
      <c r="J106" s="403"/>
      <c r="K106" s="404"/>
      <c r="R106" s="397"/>
    </row>
    <row r="107" spans="2:18" s="395" customFormat="1" ht="15.75">
      <c r="B107" s="570"/>
      <c r="C107" s="570"/>
      <c r="E107" s="402"/>
      <c r="F107" s="402"/>
      <c r="G107" s="402"/>
      <c r="H107" s="402"/>
      <c r="I107" s="396"/>
      <c r="J107" s="403"/>
      <c r="K107" s="404"/>
      <c r="R107" s="397"/>
    </row>
    <row r="108" spans="2:18" s="395" customFormat="1" ht="15.75">
      <c r="B108" s="570"/>
      <c r="C108" s="570"/>
      <c r="E108" s="402"/>
      <c r="F108" s="402"/>
      <c r="G108" s="402"/>
      <c r="H108" s="402"/>
      <c r="I108" s="396"/>
      <c r="J108" s="403"/>
      <c r="K108" s="404"/>
      <c r="R108" s="397"/>
    </row>
    <row r="109" spans="2:18" s="395" customFormat="1" ht="15.75">
      <c r="B109" s="570"/>
      <c r="C109" s="570"/>
      <c r="E109" s="402"/>
      <c r="F109" s="402"/>
      <c r="G109" s="402"/>
      <c r="H109" s="402"/>
      <c r="I109" s="396"/>
      <c r="J109" s="403"/>
      <c r="K109" s="404"/>
      <c r="R109" s="397"/>
    </row>
    <row r="110" spans="2:18" s="395" customFormat="1" ht="15.75">
      <c r="B110" s="570"/>
      <c r="C110" s="570"/>
      <c r="E110" s="402"/>
      <c r="F110" s="402"/>
      <c r="G110" s="402"/>
      <c r="H110" s="402"/>
      <c r="I110" s="396"/>
      <c r="J110" s="403"/>
      <c r="K110" s="404"/>
      <c r="R110" s="397"/>
    </row>
    <row r="111" spans="2:18" s="395" customFormat="1" ht="15.75">
      <c r="B111" s="570"/>
      <c r="C111" s="570"/>
      <c r="E111" s="402"/>
      <c r="F111" s="402"/>
      <c r="G111" s="402"/>
      <c r="H111" s="402"/>
      <c r="I111" s="396"/>
      <c r="J111" s="403"/>
      <c r="K111" s="404"/>
      <c r="R111" s="397"/>
    </row>
    <row r="112" spans="2:18" s="395" customFormat="1" ht="15.75">
      <c r="B112" s="570"/>
      <c r="C112" s="570"/>
      <c r="E112" s="402"/>
      <c r="F112" s="402"/>
      <c r="G112" s="402"/>
      <c r="H112" s="402"/>
      <c r="I112" s="396"/>
      <c r="J112" s="403"/>
      <c r="K112" s="404"/>
      <c r="R112" s="397"/>
    </row>
    <row r="113" spans="2:18" s="395" customFormat="1" ht="15.75">
      <c r="B113" s="570"/>
      <c r="C113" s="570"/>
      <c r="E113" s="402"/>
      <c r="F113" s="402"/>
      <c r="G113" s="402"/>
      <c r="H113" s="402"/>
      <c r="I113" s="396"/>
      <c r="J113" s="403"/>
      <c r="K113" s="404"/>
      <c r="R113" s="397"/>
    </row>
    <row r="114" spans="2:18" s="395" customFormat="1" ht="15.75">
      <c r="B114" s="570"/>
      <c r="C114" s="570"/>
      <c r="E114" s="402"/>
      <c r="F114" s="402"/>
      <c r="G114" s="402"/>
      <c r="H114" s="402"/>
      <c r="I114" s="396"/>
      <c r="J114" s="403"/>
      <c r="K114" s="404"/>
      <c r="R114" s="397"/>
    </row>
    <row r="115" spans="2:18" s="395" customFormat="1" ht="15.75">
      <c r="B115" s="570"/>
      <c r="C115" s="570"/>
      <c r="E115" s="402"/>
      <c r="F115" s="402"/>
      <c r="G115" s="402"/>
      <c r="H115" s="402"/>
      <c r="I115" s="396"/>
      <c r="J115" s="403"/>
      <c r="K115" s="404"/>
      <c r="R115" s="397"/>
    </row>
    <row r="116" spans="2:18" s="395" customFormat="1" ht="15.75">
      <c r="B116" s="570"/>
      <c r="C116" s="570"/>
      <c r="E116" s="402"/>
      <c r="F116" s="402"/>
      <c r="G116" s="402"/>
      <c r="H116" s="402"/>
      <c r="I116" s="396"/>
      <c r="J116" s="403"/>
      <c r="K116" s="404"/>
      <c r="R116" s="397"/>
    </row>
    <row r="117" spans="2:18" s="395" customFormat="1" ht="15.75">
      <c r="B117" s="570"/>
      <c r="C117" s="570"/>
      <c r="E117" s="402"/>
      <c r="F117" s="402"/>
      <c r="G117" s="402"/>
      <c r="H117" s="402"/>
      <c r="I117" s="396"/>
      <c r="J117" s="403"/>
      <c r="K117" s="404"/>
      <c r="R117" s="397"/>
    </row>
    <row r="118" spans="2:18" s="395" customFormat="1" ht="15.75">
      <c r="B118" s="570"/>
      <c r="C118" s="570"/>
      <c r="E118" s="402"/>
      <c r="F118" s="402"/>
      <c r="G118" s="402"/>
      <c r="H118" s="402"/>
      <c r="I118" s="396"/>
      <c r="J118" s="403"/>
      <c r="K118" s="404"/>
      <c r="R118" s="397"/>
    </row>
    <row r="119" spans="2:18" s="395" customFormat="1" ht="15.75">
      <c r="B119" s="570"/>
      <c r="C119" s="570"/>
      <c r="E119" s="402"/>
      <c r="F119" s="402"/>
      <c r="G119" s="402"/>
      <c r="H119" s="402"/>
      <c r="I119" s="396"/>
      <c r="J119" s="403"/>
      <c r="K119" s="404"/>
      <c r="R119" s="397"/>
    </row>
    <row r="120" spans="2:18" s="395" customFormat="1" ht="15.75">
      <c r="B120" s="570"/>
      <c r="C120" s="570"/>
      <c r="E120" s="402"/>
      <c r="F120" s="402"/>
      <c r="G120" s="402"/>
      <c r="H120" s="402"/>
      <c r="I120" s="396"/>
      <c r="J120" s="403"/>
      <c r="K120" s="404"/>
      <c r="R120" s="397"/>
    </row>
    <row r="121" spans="2:18" s="395" customFormat="1" ht="15.75">
      <c r="B121" s="570"/>
      <c r="C121" s="570"/>
      <c r="E121" s="402"/>
      <c r="F121" s="402"/>
      <c r="G121" s="402"/>
      <c r="H121" s="402"/>
      <c r="I121" s="396"/>
      <c r="J121" s="403"/>
      <c r="K121" s="404"/>
      <c r="R121" s="397"/>
    </row>
    <row r="122" spans="2:18" s="395" customFormat="1" ht="15.75">
      <c r="B122" s="570"/>
      <c r="C122" s="570"/>
      <c r="E122" s="402"/>
      <c r="F122" s="402"/>
      <c r="G122" s="402"/>
      <c r="H122" s="402"/>
      <c r="I122" s="396"/>
      <c r="J122" s="403"/>
      <c r="K122" s="404"/>
      <c r="R122" s="397"/>
    </row>
    <row r="123" spans="2:18" s="395" customFormat="1" ht="15.75">
      <c r="B123" s="570"/>
      <c r="C123" s="570"/>
      <c r="E123" s="402"/>
      <c r="F123" s="402"/>
      <c r="G123" s="402"/>
      <c r="H123" s="396"/>
      <c r="I123" s="396"/>
      <c r="J123" s="405"/>
      <c r="K123" s="404"/>
      <c r="R123" s="397"/>
    </row>
    <row r="124" spans="2:18" s="395" customFormat="1" ht="15.75" hidden="1" customHeight="1">
      <c r="B124" s="571" t="s">
        <v>931</v>
      </c>
      <c r="C124" s="671" t="s">
        <v>932</v>
      </c>
      <c r="D124" s="671"/>
      <c r="E124" s="402"/>
      <c r="F124" s="402"/>
      <c r="G124" s="402"/>
      <c r="H124" s="396"/>
      <c r="I124" s="396"/>
      <c r="J124" s="405"/>
      <c r="K124" s="404"/>
      <c r="R124" s="397"/>
    </row>
    <row r="125" spans="2:18" s="395" customFormat="1" ht="15.75" hidden="1">
      <c r="B125" s="572" t="s">
        <v>933</v>
      </c>
      <c r="C125" s="671"/>
      <c r="D125" s="671"/>
      <c r="E125" s="402"/>
      <c r="F125" s="402"/>
      <c r="G125" s="402"/>
      <c r="H125" s="396"/>
      <c r="I125" s="396"/>
      <c r="J125" s="405"/>
      <c r="K125" s="404"/>
      <c r="R125" s="397"/>
    </row>
    <row r="126" spans="2:18" s="395" customFormat="1" ht="15.75" hidden="1">
      <c r="B126" s="573" t="s">
        <v>934</v>
      </c>
      <c r="C126" s="671"/>
      <c r="D126" s="671"/>
      <c r="E126" s="402"/>
      <c r="F126" s="402"/>
      <c r="G126" s="402"/>
      <c r="H126" s="396"/>
      <c r="I126" s="396"/>
      <c r="J126" s="405"/>
      <c r="K126" s="404"/>
      <c r="R126" s="397"/>
    </row>
    <row r="127" spans="2:18" s="395" customFormat="1" ht="15.75" hidden="1">
      <c r="B127" s="570"/>
      <c r="C127" s="671"/>
      <c r="D127" s="671"/>
      <c r="E127" s="402"/>
      <c r="F127" s="402"/>
      <c r="G127" s="402"/>
      <c r="H127" s="396"/>
      <c r="I127" s="396"/>
      <c r="J127" s="405"/>
      <c r="K127" s="404"/>
      <c r="R127" s="397"/>
    </row>
    <row r="128" spans="2:18" s="395" customFormat="1" ht="15.75" hidden="1">
      <c r="B128" s="570"/>
      <c r="C128" s="671"/>
      <c r="D128" s="671"/>
      <c r="E128" s="402"/>
      <c r="F128" s="402"/>
      <c r="G128" s="402"/>
      <c r="H128" s="396"/>
      <c r="I128" s="396"/>
      <c r="J128" s="405"/>
      <c r="K128" s="404"/>
      <c r="R128" s="397"/>
    </row>
    <row r="129" spans="1:18" s="395" customFormat="1" ht="15.75" hidden="1">
      <c r="B129" s="570"/>
      <c r="C129" s="671"/>
      <c r="D129" s="671"/>
      <c r="E129" s="402"/>
      <c r="F129" s="402"/>
      <c r="G129" s="402"/>
      <c r="H129" s="396"/>
      <c r="I129" s="396"/>
      <c r="J129" s="405"/>
      <c r="K129" s="404"/>
      <c r="R129" s="397"/>
    </row>
    <row r="130" spans="1:18" s="395" customFormat="1" ht="15.75" hidden="1">
      <c r="B130" s="570"/>
      <c r="C130" s="570"/>
      <c r="E130" s="402"/>
      <c r="F130" s="402"/>
      <c r="G130" s="402"/>
      <c r="H130" s="396"/>
      <c r="I130" s="396"/>
      <c r="J130" s="405"/>
      <c r="K130" s="404"/>
      <c r="R130" s="397"/>
    </row>
    <row r="131" spans="1:18" s="395" customFormat="1" ht="15.75" hidden="1">
      <c r="B131" s="571" t="s">
        <v>935</v>
      </c>
      <c r="C131" s="570"/>
      <c r="E131" s="402"/>
      <c r="F131" s="402"/>
      <c r="G131" s="402"/>
      <c r="H131" s="396"/>
      <c r="I131" s="396"/>
      <c r="J131" s="405"/>
      <c r="K131" s="404"/>
      <c r="R131" s="397"/>
    </row>
    <row r="132" spans="1:18" s="395" customFormat="1" ht="15.75" hidden="1">
      <c r="B132" s="574" t="s">
        <v>646</v>
      </c>
      <c r="C132" s="595" t="s">
        <v>647</v>
      </c>
      <c r="D132" s="561" t="s">
        <v>936</v>
      </c>
      <c r="E132" s="409" t="s">
        <v>937</v>
      </c>
      <c r="F132" s="409" t="s">
        <v>938</v>
      </c>
      <c r="M132" s="397"/>
    </row>
    <row r="133" spans="1:18" s="395" customFormat="1" ht="31.5" hidden="1">
      <c r="B133" s="575" t="s">
        <v>939</v>
      </c>
      <c r="C133" s="596" t="s">
        <v>651</v>
      </c>
      <c r="D133" s="542">
        <v>0</v>
      </c>
      <c r="E133" s="410" t="s">
        <v>940</v>
      </c>
      <c r="F133" s="410" t="s">
        <v>941</v>
      </c>
      <c r="M133" s="397"/>
    </row>
    <row r="134" spans="1:18" s="395" customFormat="1" ht="15.75" hidden="1">
      <c r="B134" s="576" t="s">
        <v>654</v>
      </c>
      <c r="C134" s="596" t="s">
        <v>655</v>
      </c>
      <c r="D134" s="562">
        <v>0.01</v>
      </c>
      <c r="E134" s="410" t="s">
        <v>940</v>
      </c>
      <c r="F134" s="410" t="s">
        <v>942</v>
      </c>
      <c r="M134" s="397"/>
    </row>
    <row r="135" spans="1:18" s="395" customFormat="1" ht="15.75" hidden="1">
      <c r="B135" s="576" t="s">
        <v>657</v>
      </c>
      <c r="C135" s="596" t="s">
        <v>655</v>
      </c>
      <c r="D135" s="562">
        <v>0.01</v>
      </c>
      <c r="E135" s="410" t="s">
        <v>940</v>
      </c>
      <c r="F135" s="410" t="s">
        <v>942</v>
      </c>
      <c r="M135" s="397"/>
    </row>
    <row r="136" spans="1:18" s="411" customFormat="1" ht="15.75" hidden="1">
      <c r="A136" s="395"/>
      <c r="B136" s="576" t="s">
        <v>658</v>
      </c>
      <c r="C136" s="596" t="s">
        <v>655</v>
      </c>
      <c r="D136" s="562">
        <v>0.01</v>
      </c>
      <c r="E136" s="410" t="s">
        <v>940</v>
      </c>
      <c r="F136" s="410" t="s">
        <v>941</v>
      </c>
    </row>
    <row r="137" spans="1:18" s="412" customFormat="1" ht="15.75" hidden="1">
      <c r="A137" s="395"/>
      <c r="B137" s="575" t="s">
        <v>659</v>
      </c>
      <c r="C137" s="596" t="s">
        <v>655</v>
      </c>
      <c r="D137" s="562">
        <v>0.01</v>
      </c>
      <c r="E137" s="410" t="s">
        <v>940</v>
      </c>
      <c r="F137" s="410" t="s">
        <v>941</v>
      </c>
    </row>
    <row r="138" spans="1:18" s="412" customFormat="1" ht="15.75" hidden="1">
      <c r="A138" s="395"/>
      <c r="B138" s="575" t="s">
        <v>660</v>
      </c>
      <c r="C138" s="596" t="s">
        <v>655</v>
      </c>
      <c r="D138" s="562">
        <v>0.01</v>
      </c>
      <c r="E138" s="410" t="s">
        <v>940</v>
      </c>
      <c r="F138" s="410" t="s">
        <v>941</v>
      </c>
    </row>
    <row r="139" spans="1:18" s="412" customFormat="1" ht="15.75" hidden="1">
      <c r="A139" s="395"/>
      <c r="B139" s="575" t="s">
        <v>661</v>
      </c>
      <c r="C139" s="596" t="s">
        <v>655</v>
      </c>
      <c r="D139" s="562">
        <v>0.01</v>
      </c>
      <c r="E139" s="410" t="s">
        <v>940</v>
      </c>
      <c r="F139" s="410" t="s">
        <v>942</v>
      </c>
    </row>
    <row r="140" spans="1:18" s="412" customFormat="1" ht="15.75" hidden="1">
      <c r="A140" s="395"/>
      <c r="B140" s="575" t="s">
        <v>662</v>
      </c>
      <c r="C140" s="596" t="s">
        <v>655</v>
      </c>
      <c r="D140" s="562">
        <v>0.01</v>
      </c>
      <c r="E140" s="410" t="s">
        <v>940</v>
      </c>
      <c r="F140" s="410" t="s">
        <v>941</v>
      </c>
    </row>
    <row r="141" spans="1:18" s="412" customFormat="1" ht="15.75" hidden="1">
      <c r="A141" s="395"/>
      <c r="B141" s="575" t="s">
        <v>663</v>
      </c>
      <c r="C141" s="596" t="s">
        <v>655</v>
      </c>
      <c r="D141" s="542">
        <v>0</v>
      </c>
      <c r="E141" s="410" t="s">
        <v>940</v>
      </c>
      <c r="F141" s="410" t="s">
        <v>941</v>
      </c>
    </row>
    <row r="142" spans="1:18" s="412" customFormat="1" ht="15.75" hidden="1">
      <c r="A142" s="395"/>
      <c r="B142" s="575" t="s">
        <v>640</v>
      </c>
      <c r="C142" s="596" t="s">
        <v>655</v>
      </c>
      <c r="D142" s="562">
        <v>0.01</v>
      </c>
      <c r="E142" s="410" t="s">
        <v>940</v>
      </c>
      <c r="F142" s="410" t="s">
        <v>941</v>
      </c>
    </row>
    <row r="143" spans="1:18" s="412" customFormat="1" ht="15.75" hidden="1">
      <c r="A143" s="395"/>
      <c r="B143" s="575" t="s">
        <v>664</v>
      </c>
      <c r="C143" s="596" t="s">
        <v>655</v>
      </c>
      <c r="D143" s="562">
        <v>0.01</v>
      </c>
      <c r="E143" s="410" t="s">
        <v>940</v>
      </c>
      <c r="F143" s="410" t="s">
        <v>942</v>
      </c>
    </row>
    <row r="144" spans="1:18" s="412" customFormat="1" ht="15.75" hidden="1">
      <c r="A144" s="395"/>
      <c r="B144" s="575" t="s">
        <v>665</v>
      </c>
      <c r="C144" s="596" t="s">
        <v>655</v>
      </c>
      <c r="D144" s="562">
        <v>0.01</v>
      </c>
      <c r="E144" s="410" t="s">
        <v>940</v>
      </c>
      <c r="F144" s="410" t="s">
        <v>941</v>
      </c>
    </row>
    <row r="145" spans="1:6" s="412" customFormat="1" ht="15.75" hidden="1">
      <c r="A145" s="395"/>
      <c r="B145" s="575" t="s">
        <v>666</v>
      </c>
      <c r="C145" s="596" t="s">
        <v>655</v>
      </c>
      <c r="D145" s="562">
        <v>0.01</v>
      </c>
      <c r="E145" s="410" t="s">
        <v>943</v>
      </c>
      <c r="F145" s="410" t="s">
        <v>944</v>
      </c>
    </row>
    <row r="146" spans="1:6" s="412" customFormat="1" ht="15.75" hidden="1">
      <c r="A146" s="395"/>
      <c r="B146" s="575" t="s">
        <v>668</v>
      </c>
      <c r="C146" s="596" t="s">
        <v>655</v>
      </c>
      <c r="D146" s="562">
        <v>0.01</v>
      </c>
      <c r="E146" s="410" t="s">
        <v>943</v>
      </c>
      <c r="F146" s="410" t="s">
        <v>944</v>
      </c>
    </row>
    <row r="147" spans="1:6" s="412" customFormat="1" ht="15.75" hidden="1">
      <c r="A147" s="395"/>
      <c r="B147" s="575" t="s">
        <v>945</v>
      </c>
      <c r="C147" s="596" t="s">
        <v>655</v>
      </c>
      <c r="D147" s="562">
        <v>0.01</v>
      </c>
      <c r="E147" s="410" t="s">
        <v>943</v>
      </c>
      <c r="F147" s="410" t="s">
        <v>944</v>
      </c>
    </row>
    <row r="148" spans="1:6" s="412" customFormat="1" ht="15.75" hidden="1">
      <c r="A148" s="395"/>
      <c r="B148" s="575" t="s">
        <v>669</v>
      </c>
      <c r="C148" s="596" t="s">
        <v>655</v>
      </c>
      <c r="D148" s="562">
        <v>0.01</v>
      </c>
      <c r="E148" s="410" t="s">
        <v>943</v>
      </c>
      <c r="F148" s="410" t="s">
        <v>944</v>
      </c>
    </row>
    <row r="149" spans="1:6" s="412" customFormat="1" ht="15.75" hidden="1">
      <c r="A149" s="395"/>
      <c r="B149" s="575" t="s">
        <v>670</v>
      </c>
      <c r="C149" s="596" t="s">
        <v>655</v>
      </c>
      <c r="D149" s="562">
        <v>0.01</v>
      </c>
      <c r="E149" s="410" t="s">
        <v>943</v>
      </c>
      <c r="F149" s="410" t="s">
        <v>944</v>
      </c>
    </row>
    <row r="150" spans="1:6" s="412" customFormat="1" ht="15.75" hidden="1">
      <c r="A150" s="395"/>
      <c r="B150" s="575" t="s">
        <v>671</v>
      </c>
      <c r="C150" s="596" t="s">
        <v>655</v>
      </c>
      <c r="D150" s="562">
        <v>0.01</v>
      </c>
      <c r="E150" s="410" t="s">
        <v>943</v>
      </c>
      <c r="F150" s="410" t="s">
        <v>944</v>
      </c>
    </row>
    <row r="151" spans="1:6" s="412" customFormat="1" ht="15.75" hidden="1">
      <c r="A151" s="395"/>
      <c r="B151" s="577" t="s">
        <v>672</v>
      </c>
      <c r="C151" s="597" t="s">
        <v>655</v>
      </c>
      <c r="D151" s="562">
        <v>0.01</v>
      </c>
      <c r="E151" s="410" t="s">
        <v>940</v>
      </c>
      <c r="F151" s="410" t="s">
        <v>946</v>
      </c>
    </row>
    <row r="152" spans="1:6" s="412" customFormat="1" ht="15.75" hidden="1">
      <c r="A152" s="395"/>
      <c r="B152" s="577" t="s">
        <v>674</v>
      </c>
      <c r="C152" s="597" t="s">
        <v>655</v>
      </c>
      <c r="D152" s="562">
        <v>0.01</v>
      </c>
      <c r="E152" s="410" t="s">
        <v>940</v>
      </c>
      <c r="F152" s="410" t="s">
        <v>946</v>
      </c>
    </row>
    <row r="153" spans="1:6" s="412" customFormat="1" ht="15.75" hidden="1">
      <c r="A153" s="395"/>
      <c r="B153" s="577" t="s">
        <v>675</v>
      </c>
      <c r="C153" s="597" t="s">
        <v>655</v>
      </c>
      <c r="D153" s="562">
        <v>0.01</v>
      </c>
      <c r="E153" s="410" t="s">
        <v>940</v>
      </c>
      <c r="F153" s="410" t="s">
        <v>946</v>
      </c>
    </row>
    <row r="154" spans="1:6" s="412" customFormat="1" ht="15.75" hidden="1">
      <c r="A154" s="395"/>
      <c r="B154" s="577" t="s">
        <v>947</v>
      </c>
      <c r="C154" s="597" t="s">
        <v>651</v>
      </c>
      <c r="D154" s="562">
        <v>0</v>
      </c>
      <c r="E154" s="410" t="s">
        <v>940</v>
      </c>
      <c r="F154" s="410" t="s">
        <v>946</v>
      </c>
    </row>
    <row r="155" spans="1:6" s="412" customFormat="1" ht="15.75" hidden="1">
      <c r="A155" s="395"/>
      <c r="B155" s="575" t="s">
        <v>677</v>
      </c>
      <c r="C155" s="596" t="s">
        <v>655</v>
      </c>
      <c r="D155" s="562">
        <v>0.01</v>
      </c>
      <c r="E155" s="410" t="s">
        <v>940</v>
      </c>
      <c r="F155" s="410" t="s">
        <v>946</v>
      </c>
    </row>
    <row r="156" spans="1:6" s="412" customFormat="1" ht="15.75" hidden="1">
      <c r="A156" s="395"/>
      <c r="B156" s="575" t="s">
        <v>678</v>
      </c>
      <c r="C156" s="596" t="s">
        <v>655</v>
      </c>
      <c r="D156" s="562">
        <v>0.01</v>
      </c>
      <c r="E156" s="410" t="s">
        <v>940</v>
      </c>
      <c r="F156" s="410" t="s">
        <v>946</v>
      </c>
    </row>
    <row r="157" spans="1:6" s="412" customFormat="1" ht="15.75" hidden="1">
      <c r="A157" s="395"/>
      <c r="B157" s="575" t="s">
        <v>679</v>
      </c>
      <c r="C157" s="596" t="s">
        <v>655</v>
      </c>
      <c r="D157" s="562">
        <v>0.01</v>
      </c>
      <c r="E157" s="410" t="s">
        <v>940</v>
      </c>
      <c r="F157" s="410" t="s">
        <v>946</v>
      </c>
    </row>
    <row r="158" spans="1:6" s="412" customFormat="1" ht="15.75" hidden="1">
      <c r="A158" s="395"/>
      <c r="B158" s="575" t="s">
        <v>948</v>
      </c>
      <c r="C158" s="596" t="s">
        <v>655</v>
      </c>
      <c r="D158" s="562">
        <v>0.01</v>
      </c>
      <c r="E158" s="410" t="s">
        <v>940</v>
      </c>
      <c r="F158" s="410" t="s">
        <v>946</v>
      </c>
    </row>
    <row r="159" spans="1:6" s="412" customFormat="1" ht="15.75" hidden="1">
      <c r="A159" s="395"/>
      <c r="B159" s="575" t="s">
        <v>949</v>
      </c>
      <c r="C159" s="596" t="s">
        <v>655</v>
      </c>
      <c r="D159" s="562">
        <v>0.01</v>
      </c>
      <c r="E159" s="410" t="s">
        <v>943</v>
      </c>
      <c r="F159" s="410" t="s">
        <v>944</v>
      </c>
    </row>
    <row r="160" spans="1:6" s="412" customFormat="1" ht="15.75" hidden="1">
      <c r="A160" s="395"/>
      <c r="B160" s="575" t="s">
        <v>950</v>
      </c>
      <c r="C160" s="596" t="s">
        <v>655</v>
      </c>
      <c r="D160" s="562">
        <v>0.01</v>
      </c>
      <c r="E160" s="410" t="s">
        <v>943</v>
      </c>
      <c r="F160" s="410" t="s">
        <v>944</v>
      </c>
    </row>
    <row r="161" spans="1:11" s="412" customFormat="1" ht="15.75" hidden="1">
      <c r="B161" s="578"/>
      <c r="C161" s="578"/>
      <c r="E161" s="413"/>
      <c r="F161" s="413"/>
      <c r="G161" s="413"/>
      <c r="I161" s="414"/>
    </row>
    <row r="162" spans="1:11" s="412" customFormat="1" ht="15.75" hidden="1">
      <c r="B162" s="579" t="s">
        <v>951</v>
      </c>
      <c r="C162" s="579" t="s">
        <v>952</v>
      </c>
      <c r="D162" s="415" t="s">
        <v>953</v>
      </c>
      <c r="E162" s="413"/>
      <c r="F162" s="413"/>
      <c r="G162" s="413"/>
      <c r="I162" s="414"/>
    </row>
    <row r="163" spans="1:11" s="412" customFormat="1" ht="15.75" hidden="1">
      <c r="B163" s="563" t="s">
        <v>687</v>
      </c>
      <c r="C163" s="563" t="s">
        <v>688</v>
      </c>
      <c r="D163" s="563" t="s">
        <v>689</v>
      </c>
      <c r="G163" s="413"/>
      <c r="I163" s="414"/>
    </row>
    <row r="164" spans="1:11" s="412" customFormat="1" ht="15.75" hidden="1">
      <c r="B164" s="680" t="s">
        <v>690</v>
      </c>
      <c r="C164" s="563" t="s">
        <v>691</v>
      </c>
      <c r="D164" s="563" t="s">
        <v>692</v>
      </c>
      <c r="G164" s="413"/>
      <c r="I164" s="414"/>
    </row>
    <row r="165" spans="1:11" ht="15.75" hidden="1">
      <c r="A165" s="363"/>
      <c r="B165" s="680"/>
      <c r="C165" s="563" t="s">
        <v>693</v>
      </c>
      <c r="D165" s="563" t="s">
        <v>694</v>
      </c>
      <c r="E165" s="362"/>
      <c r="F165" s="362"/>
      <c r="G165" s="361"/>
      <c r="H165" s="416"/>
      <c r="I165" s="417"/>
    </row>
    <row r="166" spans="1:11" ht="15.75" hidden="1">
      <c r="A166" s="363"/>
      <c r="B166" s="680"/>
      <c r="C166" s="563" t="s">
        <v>695</v>
      </c>
      <c r="D166" s="563" t="s">
        <v>696</v>
      </c>
      <c r="E166" s="362"/>
      <c r="F166" s="362"/>
      <c r="G166" s="361"/>
      <c r="H166" s="416"/>
      <c r="I166" s="417"/>
    </row>
    <row r="167" spans="1:11" ht="15.75" hidden="1">
      <c r="A167" s="363"/>
      <c r="B167" s="680" t="s">
        <v>697</v>
      </c>
      <c r="C167" s="563" t="s">
        <v>691</v>
      </c>
      <c r="D167" s="563" t="s">
        <v>698</v>
      </c>
      <c r="E167" s="362"/>
      <c r="F167" s="362"/>
      <c r="G167" s="361"/>
      <c r="H167" s="416"/>
      <c r="I167" s="417"/>
    </row>
    <row r="168" spans="1:11" ht="15.75" hidden="1">
      <c r="A168" s="363"/>
      <c r="B168" s="680"/>
      <c r="C168" s="563" t="s">
        <v>699</v>
      </c>
      <c r="D168" s="563" t="s">
        <v>700</v>
      </c>
      <c r="E168" s="362"/>
      <c r="F168" s="362"/>
      <c r="G168" s="361"/>
      <c r="H168" s="416"/>
      <c r="I168" s="417"/>
    </row>
    <row r="169" spans="1:11" ht="15.75" hidden="1">
      <c r="A169" s="363"/>
      <c r="B169" s="680"/>
      <c r="C169" s="563" t="s">
        <v>701</v>
      </c>
      <c r="D169" s="563" t="s">
        <v>702</v>
      </c>
      <c r="E169" s="362"/>
      <c r="F169" s="362"/>
      <c r="G169" s="361"/>
      <c r="H169" s="416"/>
      <c r="I169" s="417"/>
    </row>
    <row r="170" spans="1:11" ht="15.75" hidden="1">
      <c r="A170" s="363"/>
      <c r="B170" s="680" t="s">
        <v>703</v>
      </c>
      <c r="C170" s="563" t="s">
        <v>691</v>
      </c>
      <c r="D170" s="563" t="s">
        <v>704</v>
      </c>
      <c r="E170" s="362"/>
      <c r="F170" s="362"/>
      <c r="G170" s="361"/>
      <c r="H170" s="416"/>
      <c r="I170" s="417"/>
    </row>
    <row r="171" spans="1:11" ht="15.75" hidden="1">
      <c r="A171" s="363"/>
      <c r="B171" s="680"/>
      <c r="C171" s="563" t="s">
        <v>705</v>
      </c>
      <c r="D171" s="563" t="s">
        <v>706</v>
      </c>
      <c r="E171" s="362"/>
      <c r="F171" s="362"/>
      <c r="G171" s="361"/>
      <c r="H171" s="416"/>
      <c r="I171" s="417"/>
    </row>
    <row r="172" spans="1:11" ht="15.75" hidden="1">
      <c r="A172" s="363"/>
      <c r="B172" s="680"/>
      <c r="C172" s="563" t="s">
        <v>707</v>
      </c>
      <c r="D172" s="563" t="s">
        <v>708</v>
      </c>
      <c r="E172" s="362"/>
      <c r="F172" s="362"/>
      <c r="G172" s="361"/>
      <c r="H172" s="416"/>
      <c r="I172" s="417"/>
    </row>
    <row r="173" spans="1:11" ht="15.75" hidden="1">
      <c r="A173" s="363"/>
      <c r="B173" s="680"/>
      <c r="C173" s="563" t="s">
        <v>709</v>
      </c>
      <c r="D173" s="563" t="s">
        <v>710</v>
      </c>
      <c r="E173" s="362"/>
      <c r="F173" s="362"/>
      <c r="G173" s="361"/>
      <c r="H173" s="416"/>
      <c r="I173" s="417"/>
      <c r="J173" s="416"/>
      <c r="K173" s="361"/>
    </row>
    <row r="174" spans="1:11" ht="15.75" hidden="1">
      <c r="A174" s="363"/>
      <c r="B174" s="680"/>
      <c r="C174" s="563" t="s">
        <v>711</v>
      </c>
      <c r="D174" s="563" t="s">
        <v>712</v>
      </c>
      <c r="E174" s="362"/>
      <c r="F174" s="362"/>
      <c r="G174" s="361"/>
      <c r="H174" s="416"/>
      <c r="I174" s="417"/>
      <c r="J174" s="416"/>
      <c r="K174" s="361"/>
    </row>
    <row r="175" spans="1:11" ht="15.75" hidden="1">
      <c r="A175" s="363"/>
      <c r="B175" s="680"/>
      <c r="C175" s="564" t="s">
        <v>713</v>
      </c>
      <c r="D175" s="564" t="s">
        <v>714</v>
      </c>
      <c r="E175" s="362"/>
      <c r="F175" s="362"/>
      <c r="G175" s="361"/>
      <c r="H175" s="416"/>
      <c r="I175" s="417"/>
      <c r="J175" s="416"/>
      <c r="K175" s="361"/>
    </row>
    <row r="176" spans="1:11" ht="15.75" hidden="1">
      <c r="A176" s="362"/>
      <c r="B176" s="680"/>
      <c r="C176" s="564" t="s">
        <v>715</v>
      </c>
      <c r="D176" s="564" t="s">
        <v>716</v>
      </c>
      <c r="E176" s="362"/>
      <c r="F176" s="362"/>
      <c r="G176" s="361"/>
      <c r="H176" s="362"/>
      <c r="I176" s="363"/>
      <c r="J176" s="362"/>
      <c r="K176" s="362"/>
    </row>
    <row r="177" spans="1:11" ht="15.75" hidden="1">
      <c r="A177" s="362"/>
      <c r="B177" s="680"/>
      <c r="C177" s="564" t="s">
        <v>717</v>
      </c>
      <c r="D177" s="564" t="s">
        <v>717</v>
      </c>
      <c r="E177" s="362"/>
      <c r="F177" s="362"/>
      <c r="G177" s="361"/>
      <c r="H177" s="362"/>
      <c r="I177" s="363"/>
      <c r="J177" s="362"/>
      <c r="K177" s="362"/>
    </row>
    <row r="178" spans="1:11" ht="15.75" hidden="1">
      <c r="A178" s="363"/>
      <c r="B178" s="680"/>
      <c r="C178" s="564" t="s">
        <v>718</v>
      </c>
      <c r="D178" s="564" t="s">
        <v>719</v>
      </c>
      <c r="E178" s="362"/>
      <c r="F178" s="362"/>
      <c r="G178" s="361"/>
      <c r="H178" s="416"/>
      <c r="I178" s="417"/>
      <c r="J178" s="416"/>
      <c r="K178" s="361"/>
    </row>
    <row r="179" spans="1:11" ht="15.75" hidden="1">
      <c r="A179" s="363"/>
      <c r="B179" s="680" t="s">
        <v>720</v>
      </c>
      <c r="C179" s="563" t="s">
        <v>691</v>
      </c>
      <c r="D179" s="563" t="s">
        <v>721</v>
      </c>
      <c r="E179" s="362"/>
      <c r="F179" s="362"/>
      <c r="G179" s="361"/>
      <c r="H179" s="416"/>
      <c r="I179" s="417"/>
      <c r="J179" s="416"/>
      <c r="K179" s="361"/>
    </row>
    <row r="180" spans="1:11" ht="15.75" hidden="1">
      <c r="A180" s="363"/>
      <c r="B180" s="680"/>
      <c r="C180" s="563" t="s">
        <v>722</v>
      </c>
      <c r="D180" s="563" t="s">
        <v>723</v>
      </c>
      <c r="E180" s="362"/>
      <c r="F180" s="362"/>
      <c r="G180" s="361"/>
      <c r="H180" s="416"/>
      <c r="I180" s="417"/>
      <c r="J180" s="416"/>
      <c r="K180" s="361"/>
    </row>
    <row r="181" spans="1:11" ht="15.75" hidden="1">
      <c r="A181" s="363"/>
      <c r="B181" s="680"/>
      <c r="C181" s="563" t="s">
        <v>724</v>
      </c>
      <c r="D181" s="563" t="s">
        <v>725</v>
      </c>
      <c r="E181" s="362"/>
      <c r="F181" s="362"/>
      <c r="G181" s="361"/>
      <c r="H181" s="416"/>
      <c r="I181" s="417"/>
      <c r="J181" s="416"/>
      <c r="K181" s="361"/>
    </row>
    <row r="182" spans="1:11" ht="15.75" hidden="1">
      <c r="A182" s="363"/>
      <c r="B182" s="680" t="s">
        <v>726</v>
      </c>
      <c r="C182" s="563" t="s">
        <v>691</v>
      </c>
      <c r="D182" s="563" t="s">
        <v>726</v>
      </c>
      <c r="E182" s="362"/>
      <c r="F182" s="362"/>
      <c r="G182" s="361"/>
      <c r="H182" s="416"/>
      <c r="I182" s="417"/>
      <c r="J182" s="416"/>
      <c r="K182" s="361"/>
    </row>
    <row r="183" spans="1:11" ht="15.75" hidden="1">
      <c r="A183" s="363"/>
      <c r="B183" s="680"/>
      <c r="C183" s="563" t="s">
        <v>727</v>
      </c>
      <c r="D183" s="563" t="s">
        <v>728</v>
      </c>
      <c r="E183" s="361"/>
      <c r="F183" s="361"/>
      <c r="G183" s="361"/>
      <c r="H183" s="416"/>
      <c r="I183" s="417"/>
      <c r="J183" s="416"/>
      <c r="K183" s="361"/>
    </row>
    <row r="184" spans="1:11" ht="15.75" hidden="1">
      <c r="A184" s="363"/>
      <c r="B184" s="680"/>
      <c r="C184" s="563" t="s">
        <v>729</v>
      </c>
      <c r="D184" s="563" t="s">
        <v>730</v>
      </c>
      <c r="E184" s="361"/>
      <c r="F184" s="361"/>
      <c r="G184" s="361"/>
      <c r="H184" s="416"/>
      <c r="I184" s="417"/>
      <c r="J184" s="416"/>
      <c r="K184" s="361"/>
    </row>
    <row r="185" spans="1:11" ht="15.75" hidden="1">
      <c r="A185" s="363"/>
      <c r="B185" s="680"/>
      <c r="C185" s="563" t="s">
        <v>731</v>
      </c>
      <c r="D185" s="563" t="s">
        <v>732</v>
      </c>
      <c r="E185" s="361"/>
      <c r="F185" s="361"/>
      <c r="G185" s="361"/>
      <c r="H185" s="416"/>
      <c r="I185" s="417"/>
      <c r="J185" s="416"/>
      <c r="K185" s="361"/>
    </row>
    <row r="186" spans="1:11" ht="15.75" hidden="1">
      <c r="A186" s="363"/>
      <c r="B186" s="680" t="s">
        <v>733</v>
      </c>
      <c r="C186" s="563" t="s">
        <v>691</v>
      </c>
      <c r="D186" s="563" t="s">
        <v>734</v>
      </c>
      <c r="E186" s="361"/>
      <c r="F186" s="361"/>
      <c r="G186" s="361"/>
      <c r="H186" s="416"/>
      <c r="I186" s="417"/>
      <c r="J186" s="416"/>
      <c r="K186" s="361"/>
    </row>
    <row r="187" spans="1:11" ht="15.75" hidden="1">
      <c r="A187" s="363"/>
      <c r="B187" s="680"/>
      <c r="C187" s="563" t="s">
        <v>735</v>
      </c>
      <c r="D187" s="563" t="s">
        <v>735</v>
      </c>
      <c r="E187" s="361"/>
      <c r="F187" s="361"/>
      <c r="G187" s="361"/>
      <c r="H187" s="416"/>
      <c r="I187" s="417"/>
      <c r="J187" s="416"/>
      <c r="K187" s="361"/>
    </row>
    <row r="188" spans="1:11" ht="15.75" hidden="1">
      <c r="A188" s="363"/>
      <c r="B188" s="680"/>
      <c r="C188" s="563" t="s">
        <v>736</v>
      </c>
      <c r="D188" s="563" t="s">
        <v>737</v>
      </c>
      <c r="E188" s="361"/>
      <c r="F188" s="361"/>
      <c r="G188" s="361"/>
      <c r="H188" s="416"/>
      <c r="I188" s="417"/>
      <c r="J188" s="416"/>
      <c r="K188" s="361"/>
    </row>
    <row r="189" spans="1:11" ht="14.25" hidden="1">
      <c r="B189" s="680"/>
      <c r="C189" s="563" t="s">
        <v>738</v>
      </c>
      <c r="D189" s="563" t="s">
        <v>739</v>
      </c>
    </row>
    <row r="190" spans="1:11" ht="14.25" hidden="1">
      <c r="B190" s="563" t="s">
        <v>21</v>
      </c>
      <c r="C190" s="563" t="s">
        <v>21</v>
      </c>
      <c r="D190" s="563" t="s">
        <v>740</v>
      </c>
    </row>
    <row r="191" spans="1:11" ht="14.25" hidden="1">
      <c r="B191" s="563" t="s">
        <v>741</v>
      </c>
      <c r="C191" s="563" t="s">
        <v>742</v>
      </c>
      <c r="D191" s="563" t="s">
        <v>743</v>
      </c>
    </row>
    <row r="192" spans="1:11" ht="14.25" hidden="1">
      <c r="B192" s="563" t="s">
        <v>744</v>
      </c>
      <c r="C192" s="563" t="s">
        <v>744</v>
      </c>
      <c r="D192" s="563" t="s">
        <v>745</v>
      </c>
    </row>
    <row r="193" spans="2:4" ht="14.25" hidden="1">
      <c r="B193" s="563" t="s">
        <v>746</v>
      </c>
      <c r="C193" s="563" t="s">
        <v>746</v>
      </c>
      <c r="D193" s="563" t="s">
        <v>746</v>
      </c>
    </row>
    <row r="194" spans="2:4" ht="14.25" hidden="1">
      <c r="B194" s="680" t="s">
        <v>747</v>
      </c>
      <c r="C194" s="563" t="s">
        <v>747</v>
      </c>
      <c r="D194" s="563" t="s">
        <v>748</v>
      </c>
    </row>
    <row r="195" spans="2:4" ht="14.25" hidden="1">
      <c r="B195" s="680"/>
      <c r="C195" s="563" t="s">
        <v>749</v>
      </c>
      <c r="D195" s="563" t="s">
        <v>750</v>
      </c>
    </row>
    <row r="196" spans="2:4" ht="14.25" hidden="1">
      <c r="B196" s="563" t="s">
        <v>751</v>
      </c>
      <c r="C196" s="563" t="s">
        <v>751</v>
      </c>
      <c r="D196" s="563" t="s">
        <v>752</v>
      </c>
    </row>
    <row r="197" spans="2:4" ht="15.75" hidden="1">
      <c r="B197" s="581"/>
      <c r="C197" s="581"/>
      <c r="D197" s="362"/>
    </row>
    <row r="198" spans="2:4" hidden="1"/>
    <row r="199" spans="2:4" hidden="1"/>
    <row r="200" spans="2:4" hidden="1"/>
    <row r="201" spans="2:4" hidden="1"/>
    <row r="202" spans="2:4" hidden="1"/>
    <row r="203" spans="2:4" hidden="1"/>
    <row r="204" spans="2:4" hidden="1"/>
    <row r="205" spans="2:4" hidden="1"/>
    <row r="206" spans="2:4" hidden="1"/>
    <row r="207" spans="2:4" hidden="1"/>
    <row r="208" spans="2:4" hidden="1"/>
    <row r="209" hidden="1"/>
    <row r="210" hidden="1"/>
    <row r="211" hidden="1"/>
    <row r="212" hidden="1"/>
    <row r="213" hidden="1"/>
    <row r="214" hidden="1"/>
    <row r="215" hidden="1"/>
    <row r="216" hidden="1"/>
    <row r="217" hidden="1"/>
    <row r="218" hidden="1"/>
    <row r="219" hidden="1"/>
  </sheetData>
  <protectedRanges>
    <protectedRange sqref="C2" name="範圍1_2"/>
    <protectedRange sqref="C22:C23" name="範圍1_1_2_1_1"/>
    <protectedRange sqref="C20:C21 C8" name="範圍1_1"/>
  </protectedRanges>
  <mergeCells count="11">
    <mergeCell ref="B179:B181"/>
    <mergeCell ref="B182:B185"/>
    <mergeCell ref="B186:B189"/>
    <mergeCell ref="B194:B195"/>
    <mergeCell ref="G34:H34"/>
    <mergeCell ref="B170:B178"/>
    <mergeCell ref="B1:C1"/>
    <mergeCell ref="C22:C23"/>
    <mergeCell ref="C124:D129"/>
    <mergeCell ref="B164:B166"/>
    <mergeCell ref="B167:B169"/>
  </mergeCells>
  <phoneticPr fontId="29" type="noConversion"/>
  <dataValidations count="2">
    <dataValidation type="list" allowBlank="1" showInputMessage="1" sqref="C2">
      <formula1>$M$3:$S$3</formula1>
    </dataValidation>
    <dataValidation type="list" allowBlank="1" showInputMessage="1" sqref="C8">
      <formula1>#REF!</formula1>
    </dataValidation>
  </dataValidations>
  <printOptions horizontalCentered="1"/>
  <pageMargins left="0.2361111111111111" right="0.15694444444444444" top="0.46944444444444444" bottom="0.50972222222222219" header="0.15902777777777777" footer="0.2361111111111111"/>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topLeftCell="A13" zoomScale="85" zoomScaleNormal="85" workbookViewId="0">
      <selection activeCell="F35" sqref="F35"/>
    </sheetView>
  </sheetViews>
  <sheetFormatPr defaultColWidth="9" defaultRowHeight="12.75"/>
  <cols>
    <col min="1" max="1" width="4.625" style="316" customWidth="1"/>
    <col min="2" max="2" width="40.125" style="317" customWidth="1"/>
    <col min="3" max="3" width="41" style="316" customWidth="1"/>
    <col min="4" max="4" width="13.875" style="318" bestFit="1" customWidth="1"/>
    <col min="5" max="5" width="13.25" style="316" customWidth="1"/>
    <col min="6" max="7" width="14.125" style="319" customWidth="1"/>
    <col min="8" max="8" width="10.5" style="319" bestFit="1" customWidth="1"/>
    <col min="9" max="9" width="10.875" style="316" customWidth="1"/>
    <col min="10" max="10" width="11.625" style="316" bestFit="1" customWidth="1"/>
    <col min="11" max="11" width="14.5" style="316" bestFit="1" customWidth="1"/>
    <col min="12" max="12" width="11.625" style="316" bestFit="1" customWidth="1"/>
    <col min="13" max="13" width="15.75" style="316" bestFit="1" customWidth="1"/>
    <col min="14" max="14" width="9.625" style="316" bestFit="1" customWidth="1"/>
    <col min="15" max="15" width="15.75" style="320" bestFit="1" customWidth="1"/>
    <col min="16" max="258" width="9" style="316"/>
    <col min="259" max="259" width="13.125" style="316" customWidth="1"/>
    <col min="260" max="260" width="40.125" style="316" customWidth="1"/>
    <col min="261" max="261" width="41" style="316" customWidth="1"/>
    <col min="262" max="262" width="17.375" style="316" customWidth="1"/>
    <col min="263" max="263" width="15.125" style="316" customWidth="1"/>
    <col min="264" max="264" width="19" style="316" customWidth="1"/>
    <col min="265" max="265" width="17.375" style="316" customWidth="1"/>
    <col min="266" max="266" width="16.375" style="316" customWidth="1"/>
    <col min="267" max="267" width="17.75" style="316" customWidth="1"/>
    <col min="268" max="268" width="13.5" style="316" customWidth="1"/>
    <col min="269" max="269" width="17" style="316" customWidth="1"/>
    <col min="270" max="514" width="9" style="316"/>
    <col min="515" max="515" width="13.125" style="316" customWidth="1"/>
    <col min="516" max="516" width="40.125" style="316" customWidth="1"/>
    <col min="517" max="517" width="41" style="316" customWidth="1"/>
    <col min="518" max="518" width="17.375" style="316" customWidth="1"/>
    <col min="519" max="519" width="15.125" style="316" customWidth="1"/>
    <col min="520" max="520" width="19" style="316" customWidth="1"/>
    <col min="521" max="521" width="17.375" style="316" customWidth="1"/>
    <col min="522" max="522" width="16.375" style="316" customWidth="1"/>
    <col min="523" max="523" width="17.75" style="316" customWidth="1"/>
    <col min="524" max="524" width="13.5" style="316" customWidth="1"/>
    <col min="525" max="525" width="17" style="316" customWidth="1"/>
    <col min="526" max="770" width="9" style="316"/>
    <col min="771" max="771" width="13.125" style="316" customWidth="1"/>
    <col min="772" max="772" width="40.125" style="316" customWidth="1"/>
    <col min="773" max="773" width="41" style="316" customWidth="1"/>
    <col min="774" max="774" width="17.375" style="316" customWidth="1"/>
    <col min="775" max="775" width="15.125" style="316" customWidth="1"/>
    <col min="776" max="776" width="19" style="316" customWidth="1"/>
    <col min="777" max="777" width="17.375" style="316" customWidth="1"/>
    <col min="778" max="778" width="16.375" style="316" customWidth="1"/>
    <col min="779" max="779" width="17.75" style="316" customWidth="1"/>
    <col min="780" max="780" width="13.5" style="316" customWidth="1"/>
    <col min="781" max="781" width="17" style="316" customWidth="1"/>
    <col min="782" max="1026" width="9" style="316"/>
    <col min="1027" max="1027" width="13.125" style="316" customWidth="1"/>
    <col min="1028" max="1028" width="40.125" style="316" customWidth="1"/>
    <col min="1029" max="1029" width="41" style="316" customWidth="1"/>
    <col min="1030" max="1030" width="17.375" style="316" customWidth="1"/>
    <col min="1031" max="1031" width="15.125" style="316" customWidth="1"/>
    <col min="1032" max="1032" width="19" style="316" customWidth="1"/>
    <col min="1033" max="1033" width="17.375" style="316" customWidth="1"/>
    <col min="1034" max="1034" width="16.375" style="316" customWidth="1"/>
    <col min="1035" max="1035" width="17.75" style="316" customWidth="1"/>
    <col min="1036" max="1036" width="13.5" style="316" customWidth="1"/>
    <col min="1037" max="1037" width="17" style="316" customWidth="1"/>
    <col min="1038" max="1282" width="9" style="316"/>
    <col min="1283" max="1283" width="13.125" style="316" customWidth="1"/>
    <col min="1284" max="1284" width="40.125" style="316" customWidth="1"/>
    <col min="1285" max="1285" width="41" style="316" customWidth="1"/>
    <col min="1286" max="1286" width="17.375" style="316" customWidth="1"/>
    <col min="1287" max="1287" width="15.125" style="316" customWidth="1"/>
    <col min="1288" max="1288" width="19" style="316" customWidth="1"/>
    <col min="1289" max="1289" width="17.375" style="316" customWidth="1"/>
    <col min="1290" max="1290" width="16.375" style="316" customWidth="1"/>
    <col min="1291" max="1291" width="17.75" style="316" customWidth="1"/>
    <col min="1292" max="1292" width="13.5" style="316" customWidth="1"/>
    <col min="1293" max="1293" width="17" style="316" customWidth="1"/>
    <col min="1294" max="1538" width="9" style="316"/>
    <col min="1539" max="1539" width="13.125" style="316" customWidth="1"/>
    <col min="1540" max="1540" width="40.125" style="316" customWidth="1"/>
    <col min="1541" max="1541" width="41" style="316" customWidth="1"/>
    <col min="1542" max="1542" width="17.375" style="316" customWidth="1"/>
    <col min="1543" max="1543" width="15.125" style="316" customWidth="1"/>
    <col min="1544" max="1544" width="19" style="316" customWidth="1"/>
    <col min="1545" max="1545" width="17.375" style="316" customWidth="1"/>
    <col min="1546" max="1546" width="16.375" style="316" customWidth="1"/>
    <col min="1547" max="1547" width="17.75" style="316" customWidth="1"/>
    <col min="1548" max="1548" width="13.5" style="316" customWidth="1"/>
    <col min="1549" max="1549" width="17" style="316" customWidth="1"/>
    <col min="1550" max="1794" width="9" style="316"/>
    <col min="1795" max="1795" width="13.125" style="316" customWidth="1"/>
    <col min="1796" max="1796" width="40.125" style="316" customWidth="1"/>
    <col min="1797" max="1797" width="41" style="316" customWidth="1"/>
    <col min="1798" max="1798" width="17.375" style="316" customWidth="1"/>
    <col min="1799" max="1799" width="15.125" style="316" customWidth="1"/>
    <col min="1800" max="1800" width="19" style="316" customWidth="1"/>
    <col min="1801" max="1801" width="17.375" style="316" customWidth="1"/>
    <col min="1802" max="1802" width="16.375" style="316" customWidth="1"/>
    <col min="1803" max="1803" width="17.75" style="316" customWidth="1"/>
    <col min="1804" max="1804" width="13.5" style="316" customWidth="1"/>
    <col min="1805" max="1805" width="17" style="316" customWidth="1"/>
    <col min="1806" max="2050" width="9" style="316"/>
    <col min="2051" max="2051" width="13.125" style="316" customWidth="1"/>
    <col min="2052" max="2052" width="40.125" style="316" customWidth="1"/>
    <col min="2053" max="2053" width="41" style="316" customWidth="1"/>
    <col min="2054" max="2054" width="17.375" style="316" customWidth="1"/>
    <col min="2055" max="2055" width="15.125" style="316" customWidth="1"/>
    <col min="2056" max="2056" width="19" style="316" customWidth="1"/>
    <col min="2057" max="2057" width="17.375" style="316" customWidth="1"/>
    <col min="2058" max="2058" width="16.375" style="316" customWidth="1"/>
    <col min="2059" max="2059" width="17.75" style="316" customWidth="1"/>
    <col min="2060" max="2060" width="13.5" style="316" customWidth="1"/>
    <col min="2061" max="2061" width="17" style="316" customWidth="1"/>
    <col min="2062" max="2306" width="9" style="316"/>
    <col min="2307" max="2307" width="13.125" style="316" customWidth="1"/>
    <col min="2308" max="2308" width="40.125" style="316" customWidth="1"/>
    <col min="2309" max="2309" width="41" style="316" customWidth="1"/>
    <col min="2310" max="2310" width="17.375" style="316" customWidth="1"/>
    <col min="2311" max="2311" width="15.125" style="316" customWidth="1"/>
    <col min="2312" max="2312" width="19" style="316" customWidth="1"/>
    <col min="2313" max="2313" width="17.375" style="316" customWidth="1"/>
    <col min="2314" max="2314" width="16.375" style="316" customWidth="1"/>
    <col min="2315" max="2315" width="17.75" style="316" customWidth="1"/>
    <col min="2316" max="2316" width="13.5" style="316" customWidth="1"/>
    <col min="2317" max="2317" width="17" style="316" customWidth="1"/>
    <col min="2318" max="2562" width="9" style="316"/>
    <col min="2563" max="2563" width="13.125" style="316" customWidth="1"/>
    <col min="2564" max="2564" width="40.125" style="316" customWidth="1"/>
    <col min="2565" max="2565" width="41" style="316" customWidth="1"/>
    <col min="2566" max="2566" width="17.375" style="316" customWidth="1"/>
    <col min="2567" max="2567" width="15.125" style="316" customWidth="1"/>
    <col min="2568" max="2568" width="19" style="316" customWidth="1"/>
    <col min="2569" max="2569" width="17.375" style="316" customWidth="1"/>
    <col min="2570" max="2570" width="16.375" style="316" customWidth="1"/>
    <col min="2571" max="2571" width="17.75" style="316" customWidth="1"/>
    <col min="2572" max="2572" width="13.5" style="316" customWidth="1"/>
    <col min="2573" max="2573" width="17" style="316" customWidth="1"/>
    <col min="2574" max="2818" width="9" style="316"/>
    <col min="2819" max="2819" width="13.125" style="316" customWidth="1"/>
    <col min="2820" max="2820" width="40.125" style="316" customWidth="1"/>
    <col min="2821" max="2821" width="41" style="316" customWidth="1"/>
    <col min="2822" max="2822" width="17.375" style="316" customWidth="1"/>
    <col min="2823" max="2823" width="15.125" style="316" customWidth="1"/>
    <col min="2824" max="2824" width="19" style="316" customWidth="1"/>
    <col min="2825" max="2825" width="17.375" style="316" customWidth="1"/>
    <col min="2826" max="2826" width="16.375" style="316" customWidth="1"/>
    <col min="2827" max="2827" width="17.75" style="316" customWidth="1"/>
    <col min="2828" max="2828" width="13.5" style="316" customWidth="1"/>
    <col min="2829" max="2829" width="17" style="316" customWidth="1"/>
    <col min="2830" max="3074" width="9" style="316"/>
    <col min="3075" max="3075" width="13.125" style="316" customWidth="1"/>
    <col min="3076" max="3076" width="40.125" style="316" customWidth="1"/>
    <col min="3077" max="3077" width="41" style="316" customWidth="1"/>
    <col min="3078" max="3078" width="17.375" style="316" customWidth="1"/>
    <col min="3079" max="3079" width="15.125" style="316" customWidth="1"/>
    <col min="3080" max="3080" width="19" style="316" customWidth="1"/>
    <col min="3081" max="3081" width="17.375" style="316" customWidth="1"/>
    <col min="3082" max="3082" width="16.375" style="316" customWidth="1"/>
    <col min="3083" max="3083" width="17.75" style="316" customWidth="1"/>
    <col min="3084" max="3084" width="13.5" style="316" customWidth="1"/>
    <col min="3085" max="3085" width="17" style="316" customWidth="1"/>
    <col min="3086" max="3330" width="9" style="316"/>
    <col min="3331" max="3331" width="13.125" style="316" customWidth="1"/>
    <col min="3332" max="3332" width="40.125" style="316" customWidth="1"/>
    <col min="3333" max="3333" width="41" style="316" customWidth="1"/>
    <col min="3334" max="3334" width="17.375" style="316" customWidth="1"/>
    <col min="3335" max="3335" width="15.125" style="316" customWidth="1"/>
    <col min="3336" max="3336" width="19" style="316" customWidth="1"/>
    <col min="3337" max="3337" width="17.375" style="316" customWidth="1"/>
    <col min="3338" max="3338" width="16.375" style="316" customWidth="1"/>
    <col min="3339" max="3339" width="17.75" style="316" customWidth="1"/>
    <col min="3340" max="3340" width="13.5" style="316" customWidth="1"/>
    <col min="3341" max="3341" width="17" style="316" customWidth="1"/>
    <col min="3342" max="3586" width="9" style="316"/>
    <col min="3587" max="3587" width="13.125" style="316" customWidth="1"/>
    <col min="3588" max="3588" width="40.125" style="316" customWidth="1"/>
    <col min="3589" max="3589" width="41" style="316" customWidth="1"/>
    <col min="3590" max="3590" width="17.375" style="316" customWidth="1"/>
    <col min="3591" max="3591" width="15.125" style="316" customWidth="1"/>
    <col min="3592" max="3592" width="19" style="316" customWidth="1"/>
    <col min="3593" max="3593" width="17.375" style="316" customWidth="1"/>
    <col min="3594" max="3594" width="16.375" style="316" customWidth="1"/>
    <col min="3595" max="3595" width="17.75" style="316" customWidth="1"/>
    <col min="3596" max="3596" width="13.5" style="316" customWidth="1"/>
    <col min="3597" max="3597" width="17" style="316" customWidth="1"/>
    <col min="3598" max="3842" width="9" style="316"/>
    <col min="3843" max="3843" width="13.125" style="316" customWidth="1"/>
    <col min="3844" max="3844" width="40.125" style="316" customWidth="1"/>
    <col min="3845" max="3845" width="41" style="316" customWidth="1"/>
    <col min="3846" max="3846" width="17.375" style="316" customWidth="1"/>
    <col min="3847" max="3847" width="15.125" style="316" customWidth="1"/>
    <col min="3848" max="3848" width="19" style="316" customWidth="1"/>
    <col min="3849" max="3849" width="17.375" style="316" customWidth="1"/>
    <col min="3850" max="3850" width="16.375" style="316" customWidth="1"/>
    <col min="3851" max="3851" width="17.75" style="316" customWidth="1"/>
    <col min="3852" max="3852" width="13.5" style="316" customWidth="1"/>
    <col min="3853" max="3853" width="17" style="316" customWidth="1"/>
    <col min="3854" max="4098" width="9" style="316"/>
    <col min="4099" max="4099" width="13.125" style="316" customWidth="1"/>
    <col min="4100" max="4100" width="40.125" style="316" customWidth="1"/>
    <col min="4101" max="4101" width="41" style="316" customWidth="1"/>
    <col min="4102" max="4102" width="17.375" style="316" customWidth="1"/>
    <col min="4103" max="4103" width="15.125" style="316" customWidth="1"/>
    <col min="4104" max="4104" width="19" style="316" customWidth="1"/>
    <col min="4105" max="4105" width="17.375" style="316" customWidth="1"/>
    <col min="4106" max="4106" width="16.375" style="316" customWidth="1"/>
    <col min="4107" max="4107" width="17.75" style="316" customWidth="1"/>
    <col min="4108" max="4108" width="13.5" style="316" customWidth="1"/>
    <col min="4109" max="4109" width="17" style="316" customWidth="1"/>
    <col min="4110" max="4354" width="9" style="316"/>
    <col min="4355" max="4355" width="13.125" style="316" customWidth="1"/>
    <col min="4356" max="4356" width="40.125" style="316" customWidth="1"/>
    <col min="4357" max="4357" width="41" style="316" customWidth="1"/>
    <col min="4358" max="4358" width="17.375" style="316" customWidth="1"/>
    <col min="4359" max="4359" width="15.125" style="316" customWidth="1"/>
    <col min="4360" max="4360" width="19" style="316" customWidth="1"/>
    <col min="4361" max="4361" width="17.375" style="316" customWidth="1"/>
    <col min="4362" max="4362" width="16.375" style="316" customWidth="1"/>
    <col min="4363" max="4363" width="17.75" style="316" customWidth="1"/>
    <col min="4364" max="4364" width="13.5" style="316" customWidth="1"/>
    <col min="4365" max="4365" width="17" style="316" customWidth="1"/>
    <col min="4366" max="4610" width="9" style="316"/>
    <col min="4611" max="4611" width="13.125" style="316" customWidth="1"/>
    <col min="4612" max="4612" width="40.125" style="316" customWidth="1"/>
    <col min="4613" max="4613" width="41" style="316" customWidth="1"/>
    <col min="4614" max="4614" width="17.375" style="316" customWidth="1"/>
    <col min="4615" max="4615" width="15.125" style="316" customWidth="1"/>
    <col min="4616" max="4616" width="19" style="316" customWidth="1"/>
    <col min="4617" max="4617" width="17.375" style="316" customWidth="1"/>
    <col min="4618" max="4618" width="16.375" style="316" customWidth="1"/>
    <col min="4619" max="4619" width="17.75" style="316" customWidth="1"/>
    <col min="4620" max="4620" width="13.5" style="316" customWidth="1"/>
    <col min="4621" max="4621" width="17" style="316" customWidth="1"/>
    <col min="4622" max="4866" width="9" style="316"/>
    <col min="4867" max="4867" width="13.125" style="316" customWidth="1"/>
    <col min="4868" max="4868" width="40.125" style="316" customWidth="1"/>
    <col min="4869" max="4869" width="41" style="316" customWidth="1"/>
    <col min="4870" max="4870" width="17.375" style="316" customWidth="1"/>
    <col min="4871" max="4871" width="15.125" style="316" customWidth="1"/>
    <col min="4872" max="4872" width="19" style="316" customWidth="1"/>
    <col min="4873" max="4873" width="17.375" style="316" customWidth="1"/>
    <col min="4874" max="4874" width="16.375" style="316" customWidth="1"/>
    <col min="4875" max="4875" width="17.75" style="316" customWidth="1"/>
    <col min="4876" max="4876" width="13.5" style="316" customWidth="1"/>
    <col min="4877" max="4877" width="17" style="316" customWidth="1"/>
    <col min="4878" max="5122" width="9" style="316"/>
    <col min="5123" max="5123" width="13.125" style="316" customWidth="1"/>
    <col min="5124" max="5124" width="40.125" style="316" customWidth="1"/>
    <col min="5125" max="5125" width="41" style="316" customWidth="1"/>
    <col min="5126" max="5126" width="17.375" style="316" customWidth="1"/>
    <col min="5127" max="5127" width="15.125" style="316" customWidth="1"/>
    <col min="5128" max="5128" width="19" style="316" customWidth="1"/>
    <col min="5129" max="5129" width="17.375" style="316" customWidth="1"/>
    <col min="5130" max="5130" width="16.375" style="316" customWidth="1"/>
    <col min="5131" max="5131" width="17.75" style="316" customWidth="1"/>
    <col min="5132" max="5132" width="13.5" style="316" customWidth="1"/>
    <col min="5133" max="5133" width="17" style="316" customWidth="1"/>
    <col min="5134" max="5378" width="9" style="316"/>
    <col min="5379" max="5379" width="13.125" style="316" customWidth="1"/>
    <col min="5380" max="5380" width="40.125" style="316" customWidth="1"/>
    <col min="5381" max="5381" width="41" style="316" customWidth="1"/>
    <col min="5382" max="5382" width="17.375" style="316" customWidth="1"/>
    <col min="5383" max="5383" width="15.125" style="316" customWidth="1"/>
    <col min="5384" max="5384" width="19" style="316" customWidth="1"/>
    <col min="5385" max="5385" width="17.375" style="316" customWidth="1"/>
    <col min="5386" max="5386" width="16.375" style="316" customWidth="1"/>
    <col min="5387" max="5387" width="17.75" style="316" customWidth="1"/>
    <col min="5388" max="5388" width="13.5" style="316" customWidth="1"/>
    <col min="5389" max="5389" width="17" style="316" customWidth="1"/>
    <col min="5390" max="5634" width="9" style="316"/>
    <col min="5635" max="5635" width="13.125" style="316" customWidth="1"/>
    <col min="5636" max="5636" width="40.125" style="316" customWidth="1"/>
    <col min="5637" max="5637" width="41" style="316" customWidth="1"/>
    <col min="5638" max="5638" width="17.375" style="316" customWidth="1"/>
    <col min="5639" max="5639" width="15.125" style="316" customWidth="1"/>
    <col min="5640" max="5640" width="19" style="316" customWidth="1"/>
    <col min="5641" max="5641" width="17.375" style="316" customWidth="1"/>
    <col min="5642" max="5642" width="16.375" style="316" customWidth="1"/>
    <col min="5643" max="5643" width="17.75" style="316" customWidth="1"/>
    <col min="5644" max="5644" width="13.5" style="316" customWidth="1"/>
    <col min="5645" max="5645" width="17" style="316" customWidth="1"/>
    <col min="5646" max="5890" width="9" style="316"/>
    <col min="5891" max="5891" width="13.125" style="316" customWidth="1"/>
    <col min="5892" max="5892" width="40.125" style="316" customWidth="1"/>
    <col min="5893" max="5893" width="41" style="316" customWidth="1"/>
    <col min="5894" max="5894" width="17.375" style="316" customWidth="1"/>
    <col min="5895" max="5895" width="15.125" style="316" customWidth="1"/>
    <col min="5896" max="5896" width="19" style="316" customWidth="1"/>
    <col min="5897" max="5897" width="17.375" style="316" customWidth="1"/>
    <col min="5898" max="5898" width="16.375" style="316" customWidth="1"/>
    <col min="5899" max="5899" width="17.75" style="316" customWidth="1"/>
    <col min="5900" max="5900" width="13.5" style="316" customWidth="1"/>
    <col min="5901" max="5901" width="17" style="316" customWidth="1"/>
    <col min="5902" max="6146" width="9" style="316"/>
    <col min="6147" max="6147" width="13.125" style="316" customWidth="1"/>
    <col min="6148" max="6148" width="40.125" style="316" customWidth="1"/>
    <col min="6149" max="6149" width="41" style="316" customWidth="1"/>
    <col min="6150" max="6150" width="17.375" style="316" customWidth="1"/>
    <col min="6151" max="6151" width="15.125" style="316" customWidth="1"/>
    <col min="6152" max="6152" width="19" style="316" customWidth="1"/>
    <col min="6153" max="6153" width="17.375" style="316" customWidth="1"/>
    <col min="6154" max="6154" width="16.375" style="316" customWidth="1"/>
    <col min="6155" max="6155" width="17.75" style="316" customWidth="1"/>
    <col min="6156" max="6156" width="13.5" style="316" customWidth="1"/>
    <col min="6157" max="6157" width="17" style="316" customWidth="1"/>
    <col min="6158" max="6402" width="9" style="316"/>
    <col min="6403" max="6403" width="13.125" style="316" customWidth="1"/>
    <col min="6404" max="6404" width="40.125" style="316" customWidth="1"/>
    <col min="6405" max="6405" width="41" style="316" customWidth="1"/>
    <col min="6406" max="6406" width="17.375" style="316" customWidth="1"/>
    <col min="6407" max="6407" width="15.125" style="316" customWidth="1"/>
    <col min="6408" max="6408" width="19" style="316" customWidth="1"/>
    <col min="6409" max="6409" width="17.375" style="316" customWidth="1"/>
    <col min="6410" max="6410" width="16.375" style="316" customWidth="1"/>
    <col min="6411" max="6411" width="17.75" style="316" customWidth="1"/>
    <col min="6412" max="6412" width="13.5" style="316" customWidth="1"/>
    <col min="6413" max="6413" width="17" style="316" customWidth="1"/>
    <col min="6414" max="6658" width="9" style="316"/>
    <col min="6659" max="6659" width="13.125" style="316" customWidth="1"/>
    <col min="6660" max="6660" width="40.125" style="316" customWidth="1"/>
    <col min="6661" max="6661" width="41" style="316" customWidth="1"/>
    <col min="6662" max="6662" width="17.375" style="316" customWidth="1"/>
    <col min="6663" max="6663" width="15.125" style="316" customWidth="1"/>
    <col min="6664" max="6664" width="19" style="316" customWidth="1"/>
    <col min="6665" max="6665" width="17.375" style="316" customWidth="1"/>
    <col min="6666" max="6666" width="16.375" style="316" customWidth="1"/>
    <col min="6667" max="6667" width="17.75" style="316" customWidth="1"/>
    <col min="6668" max="6668" width="13.5" style="316" customWidth="1"/>
    <col min="6669" max="6669" width="17" style="316" customWidth="1"/>
    <col min="6670" max="6914" width="9" style="316"/>
    <col min="6915" max="6915" width="13.125" style="316" customWidth="1"/>
    <col min="6916" max="6916" width="40.125" style="316" customWidth="1"/>
    <col min="6917" max="6917" width="41" style="316" customWidth="1"/>
    <col min="6918" max="6918" width="17.375" style="316" customWidth="1"/>
    <col min="6919" max="6919" width="15.125" style="316" customWidth="1"/>
    <col min="6920" max="6920" width="19" style="316" customWidth="1"/>
    <col min="6921" max="6921" width="17.375" style="316" customWidth="1"/>
    <col min="6922" max="6922" width="16.375" style="316" customWidth="1"/>
    <col min="6923" max="6923" width="17.75" style="316" customWidth="1"/>
    <col min="6924" max="6924" width="13.5" style="316" customWidth="1"/>
    <col min="6925" max="6925" width="17" style="316" customWidth="1"/>
    <col min="6926" max="7170" width="9" style="316"/>
    <col min="7171" max="7171" width="13.125" style="316" customWidth="1"/>
    <col min="7172" max="7172" width="40.125" style="316" customWidth="1"/>
    <col min="7173" max="7173" width="41" style="316" customWidth="1"/>
    <col min="7174" max="7174" width="17.375" style="316" customWidth="1"/>
    <col min="7175" max="7175" width="15.125" style="316" customWidth="1"/>
    <col min="7176" max="7176" width="19" style="316" customWidth="1"/>
    <col min="7177" max="7177" width="17.375" style="316" customWidth="1"/>
    <col min="7178" max="7178" width="16.375" style="316" customWidth="1"/>
    <col min="7179" max="7179" width="17.75" style="316" customWidth="1"/>
    <col min="7180" max="7180" width="13.5" style="316" customWidth="1"/>
    <col min="7181" max="7181" width="17" style="316" customWidth="1"/>
    <col min="7182" max="7426" width="9" style="316"/>
    <col min="7427" max="7427" width="13.125" style="316" customWidth="1"/>
    <col min="7428" max="7428" width="40.125" style="316" customWidth="1"/>
    <col min="7429" max="7429" width="41" style="316" customWidth="1"/>
    <col min="7430" max="7430" width="17.375" style="316" customWidth="1"/>
    <col min="7431" max="7431" width="15.125" style="316" customWidth="1"/>
    <col min="7432" max="7432" width="19" style="316" customWidth="1"/>
    <col min="7433" max="7433" width="17.375" style="316" customWidth="1"/>
    <col min="7434" max="7434" width="16.375" style="316" customWidth="1"/>
    <col min="7435" max="7435" width="17.75" style="316" customWidth="1"/>
    <col min="7436" max="7436" width="13.5" style="316" customWidth="1"/>
    <col min="7437" max="7437" width="17" style="316" customWidth="1"/>
    <col min="7438" max="7682" width="9" style="316"/>
    <col min="7683" max="7683" width="13.125" style="316" customWidth="1"/>
    <col min="7684" max="7684" width="40.125" style="316" customWidth="1"/>
    <col min="7685" max="7685" width="41" style="316" customWidth="1"/>
    <col min="7686" max="7686" width="17.375" style="316" customWidth="1"/>
    <col min="7687" max="7687" width="15.125" style="316" customWidth="1"/>
    <col min="7688" max="7688" width="19" style="316" customWidth="1"/>
    <col min="7689" max="7689" width="17.375" style="316" customWidth="1"/>
    <col min="7690" max="7690" width="16.375" style="316" customWidth="1"/>
    <col min="7691" max="7691" width="17.75" style="316" customWidth="1"/>
    <col min="7692" max="7692" width="13.5" style="316" customWidth="1"/>
    <col min="7693" max="7693" width="17" style="316" customWidth="1"/>
    <col min="7694" max="7938" width="9" style="316"/>
    <col min="7939" max="7939" width="13.125" style="316" customWidth="1"/>
    <col min="7940" max="7940" width="40.125" style="316" customWidth="1"/>
    <col min="7941" max="7941" width="41" style="316" customWidth="1"/>
    <col min="7942" max="7942" width="17.375" style="316" customWidth="1"/>
    <col min="7943" max="7943" width="15.125" style="316" customWidth="1"/>
    <col min="7944" max="7944" width="19" style="316" customWidth="1"/>
    <col min="7945" max="7945" width="17.375" style="316" customWidth="1"/>
    <col min="7946" max="7946" width="16.375" style="316" customWidth="1"/>
    <col min="7947" max="7947" width="17.75" style="316" customWidth="1"/>
    <col min="7948" max="7948" width="13.5" style="316" customWidth="1"/>
    <col min="7949" max="7949" width="17" style="316" customWidth="1"/>
    <col min="7950" max="8194" width="9" style="316"/>
    <col min="8195" max="8195" width="13.125" style="316" customWidth="1"/>
    <col min="8196" max="8196" width="40.125" style="316" customWidth="1"/>
    <col min="8197" max="8197" width="41" style="316" customWidth="1"/>
    <col min="8198" max="8198" width="17.375" style="316" customWidth="1"/>
    <col min="8199" max="8199" width="15.125" style="316" customWidth="1"/>
    <col min="8200" max="8200" width="19" style="316" customWidth="1"/>
    <col min="8201" max="8201" width="17.375" style="316" customWidth="1"/>
    <col min="8202" max="8202" width="16.375" style="316" customWidth="1"/>
    <col min="8203" max="8203" width="17.75" style="316" customWidth="1"/>
    <col min="8204" max="8204" width="13.5" style="316" customWidth="1"/>
    <col min="8205" max="8205" width="17" style="316" customWidth="1"/>
    <col min="8206" max="8450" width="9" style="316"/>
    <col min="8451" max="8451" width="13.125" style="316" customWidth="1"/>
    <col min="8452" max="8452" width="40.125" style="316" customWidth="1"/>
    <col min="8453" max="8453" width="41" style="316" customWidth="1"/>
    <col min="8454" max="8454" width="17.375" style="316" customWidth="1"/>
    <col min="8455" max="8455" width="15.125" style="316" customWidth="1"/>
    <col min="8456" max="8456" width="19" style="316" customWidth="1"/>
    <col min="8457" max="8457" width="17.375" style="316" customWidth="1"/>
    <col min="8458" max="8458" width="16.375" style="316" customWidth="1"/>
    <col min="8459" max="8459" width="17.75" style="316" customWidth="1"/>
    <col min="8460" max="8460" width="13.5" style="316" customWidth="1"/>
    <col min="8461" max="8461" width="17" style="316" customWidth="1"/>
    <col min="8462" max="8706" width="9" style="316"/>
    <col min="8707" max="8707" width="13.125" style="316" customWidth="1"/>
    <col min="8708" max="8708" width="40.125" style="316" customWidth="1"/>
    <col min="8709" max="8709" width="41" style="316" customWidth="1"/>
    <col min="8710" max="8710" width="17.375" style="316" customWidth="1"/>
    <col min="8711" max="8711" width="15.125" style="316" customWidth="1"/>
    <col min="8712" max="8712" width="19" style="316" customWidth="1"/>
    <col min="8713" max="8713" width="17.375" style="316" customWidth="1"/>
    <col min="8714" max="8714" width="16.375" style="316" customWidth="1"/>
    <col min="8715" max="8715" width="17.75" style="316" customWidth="1"/>
    <col min="8716" max="8716" width="13.5" style="316" customWidth="1"/>
    <col min="8717" max="8717" width="17" style="316" customWidth="1"/>
    <col min="8718" max="8962" width="9" style="316"/>
    <col min="8963" max="8963" width="13.125" style="316" customWidth="1"/>
    <col min="8964" max="8964" width="40.125" style="316" customWidth="1"/>
    <col min="8965" max="8965" width="41" style="316" customWidth="1"/>
    <col min="8966" max="8966" width="17.375" style="316" customWidth="1"/>
    <col min="8967" max="8967" width="15.125" style="316" customWidth="1"/>
    <col min="8968" max="8968" width="19" style="316" customWidth="1"/>
    <col min="8969" max="8969" width="17.375" style="316" customWidth="1"/>
    <col min="8970" max="8970" width="16.375" style="316" customWidth="1"/>
    <col min="8971" max="8971" width="17.75" style="316" customWidth="1"/>
    <col min="8972" max="8972" width="13.5" style="316" customWidth="1"/>
    <col min="8973" max="8973" width="17" style="316" customWidth="1"/>
    <col min="8974" max="9218" width="9" style="316"/>
    <col min="9219" max="9219" width="13.125" style="316" customWidth="1"/>
    <col min="9220" max="9220" width="40.125" style="316" customWidth="1"/>
    <col min="9221" max="9221" width="41" style="316" customWidth="1"/>
    <col min="9222" max="9222" width="17.375" style="316" customWidth="1"/>
    <col min="9223" max="9223" width="15.125" style="316" customWidth="1"/>
    <col min="9224" max="9224" width="19" style="316" customWidth="1"/>
    <col min="9225" max="9225" width="17.375" style="316" customWidth="1"/>
    <col min="9226" max="9226" width="16.375" style="316" customWidth="1"/>
    <col min="9227" max="9227" width="17.75" style="316" customWidth="1"/>
    <col min="9228" max="9228" width="13.5" style="316" customWidth="1"/>
    <col min="9229" max="9229" width="17" style="316" customWidth="1"/>
    <col min="9230" max="9474" width="9" style="316"/>
    <col min="9475" max="9475" width="13.125" style="316" customWidth="1"/>
    <col min="9476" max="9476" width="40.125" style="316" customWidth="1"/>
    <col min="9477" max="9477" width="41" style="316" customWidth="1"/>
    <col min="9478" max="9478" width="17.375" style="316" customWidth="1"/>
    <col min="9479" max="9479" width="15.125" style="316" customWidth="1"/>
    <col min="9480" max="9480" width="19" style="316" customWidth="1"/>
    <col min="9481" max="9481" width="17.375" style="316" customWidth="1"/>
    <col min="9482" max="9482" width="16.375" style="316" customWidth="1"/>
    <col min="9483" max="9483" width="17.75" style="316" customWidth="1"/>
    <col min="9484" max="9484" width="13.5" style="316" customWidth="1"/>
    <col min="9485" max="9485" width="17" style="316" customWidth="1"/>
    <col min="9486" max="9730" width="9" style="316"/>
    <col min="9731" max="9731" width="13.125" style="316" customWidth="1"/>
    <col min="9732" max="9732" width="40.125" style="316" customWidth="1"/>
    <col min="9733" max="9733" width="41" style="316" customWidth="1"/>
    <col min="9734" max="9734" width="17.375" style="316" customWidth="1"/>
    <col min="9735" max="9735" width="15.125" style="316" customWidth="1"/>
    <col min="9736" max="9736" width="19" style="316" customWidth="1"/>
    <col min="9737" max="9737" width="17.375" style="316" customWidth="1"/>
    <col min="9738" max="9738" width="16.375" style="316" customWidth="1"/>
    <col min="9739" max="9739" width="17.75" style="316" customWidth="1"/>
    <col min="9740" max="9740" width="13.5" style="316" customWidth="1"/>
    <col min="9741" max="9741" width="17" style="316" customWidth="1"/>
    <col min="9742" max="9986" width="9" style="316"/>
    <col min="9987" max="9987" width="13.125" style="316" customWidth="1"/>
    <col min="9988" max="9988" width="40.125" style="316" customWidth="1"/>
    <col min="9989" max="9989" width="41" style="316" customWidth="1"/>
    <col min="9990" max="9990" width="17.375" style="316" customWidth="1"/>
    <col min="9991" max="9991" width="15.125" style="316" customWidth="1"/>
    <col min="9992" max="9992" width="19" style="316" customWidth="1"/>
    <col min="9993" max="9993" width="17.375" style="316" customWidth="1"/>
    <col min="9994" max="9994" width="16.375" style="316" customWidth="1"/>
    <col min="9995" max="9995" width="17.75" style="316" customWidth="1"/>
    <col min="9996" max="9996" width="13.5" style="316" customWidth="1"/>
    <col min="9997" max="9997" width="17" style="316" customWidth="1"/>
    <col min="9998" max="10242" width="9" style="316"/>
    <col min="10243" max="10243" width="13.125" style="316" customWidth="1"/>
    <col min="10244" max="10244" width="40.125" style="316" customWidth="1"/>
    <col min="10245" max="10245" width="41" style="316" customWidth="1"/>
    <col min="10246" max="10246" width="17.375" style="316" customWidth="1"/>
    <col min="10247" max="10247" width="15.125" style="316" customWidth="1"/>
    <col min="10248" max="10248" width="19" style="316" customWidth="1"/>
    <col min="10249" max="10249" width="17.375" style="316" customWidth="1"/>
    <col min="10250" max="10250" width="16.375" style="316" customWidth="1"/>
    <col min="10251" max="10251" width="17.75" style="316" customWidth="1"/>
    <col min="10252" max="10252" width="13.5" style="316" customWidth="1"/>
    <col min="10253" max="10253" width="17" style="316" customWidth="1"/>
    <col min="10254" max="10498" width="9" style="316"/>
    <col min="10499" max="10499" width="13.125" style="316" customWidth="1"/>
    <col min="10500" max="10500" width="40.125" style="316" customWidth="1"/>
    <col min="10501" max="10501" width="41" style="316" customWidth="1"/>
    <col min="10502" max="10502" width="17.375" style="316" customWidth="1"/>
    <col min="10503" max="10503" width="15.125" style="316" customWidth="1"/>
    <col min="10504" max="10504" width="19" style="316" customWidth="1"/>
    <col min="10505" max="10505" width="17.375" style="316" customWidth="1"/>
    <col min="10506" max="10506" width="16.375" style="316" customWidth="1"/>
    <col min="10507" max="10507" width="17.75" style="316" customWidth="1"/>
    <col min="10508" max="10508" width="13.5" style="316" customWidth="1"/>
    <col min="10509" max="10509" width="17" style="316" customWidth="1"/>
    <col min="10510" max="10754" width="9" style="316"/>
    <col min="10755" max="10755" width="13.125" style="316" customWidth="1"/>
    <col min="10756" max="10756" width="40.125" style="316" customWidth="1"/>
    <col min="10757" max="10757" width="41" style="316" customWidth="1"/>
    <col min="10758" max="10758" width="17.375" style="316" customWidth="1"/>
    <col min="10759" max="10759" width="15.125" style="316" customWidth="1"/>
    <col min="10760" max="10760" width="19" style="316" customWidth="1"/>
    <col min="10761" max="10761" width="17.375" style="316" customWidth="1"/>
    <col min="10762" max="10762" width="16.375" style="316" customWidth="1"/>
    <col min="10763" max="10763" width="17.75" style="316" customWidth="1"/>
    <col min="10764" max="10764" width="13.5" style="316" customWidth="1"/>
    <col min="10765" max="10765" width="17" style="316" customWidth="1"/>
    <col min="10766" max="11010" width="9" style="316"/>
    <col min="11011" max="11011" width="13.125" style="316" customWidth="1"/>
    <col min="11012" max="11012" width="40.125" style="316" customWidth="1"/>
    <col min="11013" max="11013" width="41" style="316" customWidth="1"/>
    <col min="11014" max="11014" width="17.375" style="316" customWidth="1"/>
    <col min="11015" max="11015" width="15.125" style="316" customWidth="1"/>
    <col min="11016" max="11016" width="19" style="316" customWidth="1"/>
    <col min="11017" max="11017" width="17.375" style="316" customWidth="1"/>
    <col min="11018" max="11018" width="16.375" style="316" customWidth="1"/>
    <col min="11019" max="11019" width="17.75" style="316" customWidth="1"/>
    <col min="11020" max="11020" width="13.5" style="316" customWidth="1"/>
    <col min="11021" max="11021" width="17" style="316" customWidth="1"/>
    <col min="11022" max="11266" width="9" style="316"/>
    <col min="11267" max="11267" width="13.125" style="316" customWidth="1"/>
    <col min="11268" max="11268" width="40.125" style="316" customWidth="1"/>
    <col min="11269" max="11269" width="41" style="316" customWidth="1"/>
    <col min="11270" max="11270" width="17.375" style="316" customWidth="1"/>
    <col min="11271" max="11271" width="15.125" style="316" customWidth="1"/>
    <col min="11272" max="11272" width="19" style="316" customWidth="1"/>
    <col min="11273" max="11273" width="17.375" style="316" customWidth="1"/>
    <col min="11274" max="11274" width="16.375" style="316" customWidth="1"/>
    <col min="11275" max="11275" width="17.75" style="316" customWidth="1"/>
    <col min="11276" max="11276" width="13.5" style="316" customWidth="1"/>
    <col min="11277" max="11277" width="17" style="316" customWidth="1"/>
    <col min="11278" max="11522" width="9" style="316"/>
    <col min="11523" max="11523" width="13.125" style="316" customWidth="1"/>
    <col min="11524" max="11524" width="40.125" style="316" customWidth="1"/>
    <col min="11525" max="11525" width="41" style="316" customWidth="1"/>
    <col min="11526" max="11526" width="17.375" style="316" customWidth="1"/>
    <col min="11527" max="11527" width="15.125" style="316" customWidth="1"/>
    <col min="11528" max="11528" width="19" style="316" customWidth="1"/>
    <col min="11529" max="11529" width="17.375" style="316" customWidth="1"/>
    <col min="11530" max="11530" width="16.375" style="316" customWidth="1"/>
    <col min="11531" max="11531" width="17.75" style="316" customWidth="1"/>
    <col min="11532" max="11532" width="13.5" style="316" customWidth="1"/>
    <col min="11533" max="11533" width="17" style="316" customWidth="1"/>
    <col min="11534" max="11778" width="9" style="316"/>
    <col min="11779" max="11779" width="13.125" style="316" customWidth="1"/>
    <col min="11780" max="11780" width="40.125" style="316" customWidth="1"/>
    <col min="11781" max="11781" width="41" style="316" customWidth="1"/>
    <col min="11782" max="11782" width="17.375" style="316" customWidth="1"/>
    <col min="11783" max="11783" width="15.125" style="316" customWidth="1"/>
    <col min="11784" max="11784" width="19" style="316" customWidth="1"/>
    <col min="11785" max="11785" width="17.375" style="316" customWidth="1"/>
    <col min="11786" max="11786" width="16.375" style="316" customWidth="1"/>
    <col min="11787" max="11787" width="17.75" style="316" customWidth="1"/>
    <col min="11788" max="11788" width="13.5" style="316" customWidth="1"/>
    <col min="11789" max="11789" width="17" style="316" customWidth="1"/>
    <col min="11790" max="12034" width="9" style="316"/>
    <col min="12035" max="12035" width="13.125" style="316" customWidth="1"/>
    <col min="12036" max="12036" width="40.125" style="316" customWidth="1"/>
    <col min="12037" max="12037" width="41" style="316" customWidth="1"/>
    <col min="12038" max="12038" width="17.375" style="316" customWidth="1"/>
    <col min="12039" max="12039" width="15.125" style="316" customWidth="1"/>
    <col min="12040" max="12040" width="19" style="316" customWidth="1"/>
    <col min="12041" max="12041" width="17.375" style="316" customWidth="1"/>
    <col min="12042" max="12042" width="16.375" style="316" customWidth="1"/>
    <col min="12043" max="12043" width="17.75" style="316" customWidth="1"/>
    <col min="12044" max="12044" width="13.5" style="316" customWidth="1"/>
    <col min="12045" max="12045" width="17" style="316" customWidth="1"/>
    <col min="12046" max="12290" width="9" style="316"/>
    <col min="12291" max="12291" width="13.125" style="316" customWidth="1"/>
    <col min="12292" max="12292" width="40.125" style="316" customWidth="1"/>
    <col min="12293" max="12293" width="41" style="316" customWidth="1"/>
    <col min="12294" max="12294" width="17.375" style="316" customWidth="1"/>
    <col min="12295" max="12295" width="15.125" style="316" customWidth="1"/>
    <col min="12296" max="12296" width="19" style="316" customWidth="1"/>
    <col min="12297" max="12297" width="17.375" style="316" customWidth="1"/>
    <col min="12298" max="12298" width="16.375" style="316" customWidth="1"/>
    <col min="12299" max="12299" width="17.75" style="316" customWidth="1"/>
    <col min="12300" max="12300" width="13.5" style="316" customWidth="1"/>
    <col min="12301" max="12301" width="17" style="316" customWidth="1"/>
    <col min="12302" max="12546" width="9" style="316"/>
    <col min="12547" max="12547" width="13.125" style="316" customWidth="1"/>
    <col min="12548" max="12548" width="40.125" style="316" customWidth="1"/>
    <col min="12549" max="12549" width="41" style="316" customWidth="1"/>
    <col min="12550" max="12550" width="17.375" style="316" customWidth="1"/>
    <col min="12551" max="12551" width="15.125" style="316" customWidth="1"/>
    <col min="12552" max="12552" width="19" style="316" customWidth="1"/>
    <col min="12553" max="12553" width="17.375" style="316" customWidth="1"/>
    <col min="12554" max="12554" width="16.375" style="316" customWidth="1"/>
    <col min="12555" max="12555" width="17.75" style="316" customWidth="1"/>
    <col min="12556" max="12556" width="13.5" style="316" customWidth="1"/>
    <col min="12557" max="12557" width="17" style="316" customWidth="1"/>
    <col min="12558" max="12802" width="9" style="316"/>
    <col min="12803" max="12803" width="13.125" style="316" customWidth="1"/>
    <col min="12804" max="12804" width="40.125" style="316" customWidth="1"/>
    <col min="12805" max="12805" width="41" style="316" customWidth="1"/>
    <col min="12806" max="12806" width="17.375" style="316" customWidth="1"/>
    <col min="12807" max="12807" width="15.125" style="316" customWidth="1"/>
    <col min="12808" max="12808" width="19" style="316" customWidth="1"/>
    <col min="12809" max="12809" width="17.375" style="316" customWidth="1"/>
    <col min="12810" max="12810" width="16.375" style="316" customWidth="1"/>
    <col min="12811" max="12811" width="17.75" style="316" customWidth="1"/>
    <col min="12812" max="12812" width="13.5" style="316" customWidth="1"/>
    <col min="12813" max="12813" width="17" style="316" customWidth="1"/>
    <col min="12814" max="13058" width="9" style="316"/>
    <col min="13059" max="13059" width="13.125" style="316" customWidth="1"/>
    <col min="13060" max="13060" width="40.125" style="316" customWidth="1"/>
    <col min="13061" max="13061" width="41" style="316" customWidth="1"/>
    <col min="13062" max="13062" width="17.375" style="316" customWidth="1"/>
    <col min="13063" max="13063" width="15.125" style="316" customWidth="1"/>
    <col min="13064" max="13064" width="19" style="316" customWidth="1"/>
    <col min="13065" max="13065" width="17.375" style="316" customWidth="1"/>
    <col min="13066" max="13066" width="16.375" style="316" customWidth="1"/>
    <col min="13067" max="13067" width="17.75" style="316" customWidth="1"/>
    <col min="13068" max="13068" width="13.5" style="316" customWidth="1"/>
    <col min="13069" max="13069" width="17" style="316" customWidth="1"/>
    <col min="13070" max="13314" width="9" style="316"/>
    <col min="13315" max="13315" width="13.125" style="316" customWidth="1"/>
    <col min="13316" max="13316" width="40.125" style="316" customWidth="1"/>
    <col min="13317" max="13317" width="41" style="316" customWidth="1"/>
    <col min="13318" max="13318" width="17.375" style="316" customWidth="1"/>
    <col min="13319" max="13319" width="15.125" style="316" customWidth="1"/>
    <col min="13320" max="13320" width="19" style="316" customWidth="1"/>
    <col min="13321" max="13321" width="17.375" style="316" customWidth="1"/>
    <col min="13322" max="13322" width="16.375" style="316" customWidth="1"/>
    <col min="13323" max="13323" width="17.75" style="316" customWidth="1"/>
    <col min="13324" max="13324" width="13.5" style="316" customWidth="1"/>
    <col min="13325" max="13325" width="17" style="316" customWidth="1"/>
    <col min="13326" max="13570" width="9" style="316"/>
    <col min="13571" max="13571" width="13.125" style="316" customWidth="1"/>
    <col min="13572" max="13572" width="40.125" style="316" customWidth="1"/>
    <col min="13573" max="13573" width="41" style="316" customWidth="1"/>
    <col min="13574" max="13574" width="17.375" style="316" customWidth="1"/>
    <col min="13575" max="13575" width="15.125" style="316" customWidth="1"/>
    <col min="13576" max="13576" width="19" style="316" customWidth="1"/>
    <col min="13577" max="13577" width="17.375" style="316" customWidth="1"/>
    <col min="13578" max="13578" width="16.375" style="316" customWidth="1"/>
    <col min="13579" max="13579" width="17.75" style="316" customWidth="1"/>
    <col min="13580" max="13580" width="13.5" style="316" customWidth="1"/>
    <col min="13581" max="13581" width="17" style="316" customWidth="1"/>
    <col min="13582" max="13826" width="9" style="316"/>
    <col min="13827" max="13827" width="13.125" style="316" customWidth="1"/>
    <col min="13828" max="13828" width="40.125" style="316" customWidth="1"/>
    <col min="13829" max="13829" width="41" style="316" customWidth="1"/>
    <col min="13830" max="13830" width="17.375" style="316" customWidth="1"/>
    <col min="13831" max="13831" width="15.125" style="316" customWidth="1"/>
    <col min="13832" max="13832" width="19" style="316" customWidth="1"/>
    <col min="13833" max="13833" width="17.375" style="316" customWidth="1"/>
    <col min="13834" max="13834" width="16.375" style="316" customWidth="1"/>
    <col min="13835" max="13835" width="17.75" style="316" customWidth="1"/>
    <col min="13836" max="13836" width="13.5" style="316" customWidth="1"/>
    <col min="13837" max="13837" width="17" style="316" customWidth="1"/>
    <col min="13838" max="14082" width="9" style="316"/>
    <col min="14083" max="14083" width="13.125" style="316" customWidth="1"/>
    <col min="14084" max="14084" width="40.125" style="316" customWidth="1"/>
    <col min="14085" max="14085" width="41" style="316" customWidth="1"/>
    <col min="14086" max="14086" width="17.375" style="316" customWidth="1"/>
    <col min="14087" max="14087" width="15.125" style="316" customWidth="1"/>
    <col min="14088" max="14088" width="19" style="316" customWidth="1"/>
    <col min="14089" max="14089" width="17.375" style="316" customWidth="1"/>
    <col min="14090" max="14090" width="16.375" style="316" customWidth="1"/>
    <col min="14091" max="14091" width="17.75" style="316" customWidth="1"/>
    <col min="14092" max="14092" width="13.5" style="316" customWidth="1"/>
    <col min="14093" max="14093" width="17" style="316" customWidth="1"/>
    <col min="14094" max="14338" width="9" style="316"/>
    <col min="14339" max="14339" width="13.125" style="316" customWidth="1"/>
    <col min="14340" max="14340" width="40.125" style="316" customWidth="1"/>
    <col min="14341" max="14341" width="41" style="316" customWidth="1"/>
    <col min="14342" max="14342" width="17.375" style="316" customWidth="1"/>
    <col min="14343" max="14343" width="15.125" style="316" customWidth="1"/>
    <col min="14344" max="14344" width="19" style="316" customWidth="1"/>
    <col min="14345" max="14345" width="17.375" style="316" customWidth="1"/>
    <col min="14346" max="14346" width="16.375" style="316" customWidth="1"/>
    <col min="14347" max="14347" width="17.75" style="316" customWidth="1"/>
    <col min="14348" max="14348" width="13.5" style="316" customWidth="1"/>
    <col min="14349" max="14349" width="17" style="316" customWidth="1"/>
    <col min="14350" max="14594" width="9" style="316"/>
    <col min="14595" max="14595" width="13.125" style="316" customWidth="1"/>
    <col min="14596" max="14596" width="40.125" style="316" customWidth="1"/>
    <col min="14597" max="14597" width="41" style="316" customWidth="1"/>
    <col min="14598" max="14598" width="17.375" style="316" customWidth="1"/>
    <col min="14599" max="14599" width="15.125" style="316" customWidth="1"/>
    <col min="14600" max="14600" width="19" style="316" customWidth="1"/>
    <col min="14601" max="14601" width="17.375" style="316" customWidth="1"/>
    <col min="14602" max="14602" width="16.375" style="316" customWidth="1"/>
    <col min="14603" max="14603" width="17.75" style="316" customWidth="1"/>
    <col min="14604" max="14604" width="13.5" style="316" customWidth="1"/>
    <col min="14605" max="14605" width="17" style="316" customWidth="1"/>
    <col min="14606" max="14850" width="9" style="316"/>
    <col min="14851" max="14851" width="13.125" style="316" customWidth="1"/>
    <col min="14852" max="14852" width="40.125" style="316" customWidth="1"/>
    <col min="14853" max="14853" width="41" style="316" customWidth="1"/>
    <col min="14854" max="14854" width="17.375" style="316" customWidth="1"/>
    <col min="14855" max="14855" width="15.125" style="316" customWidth="1"/>
    <col min="14856" max="14856" width="19" style="316" customWidth="1"/>
    <col min="14857" max="14857" width="17.375" style="316" customWidth="1"/>
    <col min="14858" max="14858" width="16.375" style="316" customWidth="1"/>
    <col min="14859" max="14859" width="17.75" style="316" customWidth="1"/>
    <col min="14860" max="14860" width="13.5" style="316" customWidth="1"/>
    <col min="14861" max="14861" width="17" style="316" customWidth="1"/>
    <col min="14862" max="15106" width="9" style="316"/>
    <col min="15107" max="15107" width="13.125" style="316" customWidth="1"/>
    <col min="15108" max="15108" width="40.125" style="316" customWidth="1"/>
    <col min="15109" max="15109" width="41" style="316" customWidth="1"/>
    <col min="15110" max="15110" width="17.375" style="316" customWidth="1"/>
    <col min="15111" max="15111" width="15.125" style="316" customWidth="1"/>
    <col min="15112" max="15112" width="19" style="316" customWidth="1"/>
    <col min="15113" max="15113" width="17.375" style="316" customWidth="1"/>
    <col min="15114" max="15114" width="16.375" style="316" customWidth="1"/>
    <col min="15115" max="15115" width="17.75" style="316" customWidth="1"/>
    <col min="15116" max="15116" width="13.5" style="316" customWidth="1"/>
    <col min="15117" max="15117" width="17" style="316" customWidth="1"/>
    <col min="15118" max="15362" width="9" style="316"/>
    <col min="15363" max="15363" width="13.125" style="316" customWidth="1"/>
    <col min="15364" max="15364" width="40.125" style="316" customWidth="1"/>
    <col min="15365" max="15365" width="41" style="316" customWidth="1"/>
    <col min="15366" max="15366" width="17.375" style="316" customWidth="1"/>
    <col min="15367" max="15367" width="15.125" style="316" customWidth="1"/>
    <col min="15368" max="15368" width="19" style="316" customWidth="1"/>
    <col min="15369" max="15369" width="17.375" style="316" customWidth="1"/>
    <col min="15370" max="15370" width="16.375" style="316" customWidth="1"/>
    <col min="15371" max="15371" width="17.75" style="316" customWidth="1"/>
    <col min="15372" max="15372" width="13.5" style="316" customWidth="1"/>
    <col min="15373" max="15373" width="17" style="316" customWidth="1"/>
    <col min="15374" max="15618" width="9" style="316"/>
    <col min="15619" max="15619" width="13.125" style="316" customWidth="1"/>
    <col min="15620" max="15620" width="40.125" style="316" customWidth="1"/>
    <col min="15621" max="15621" width="41" style="316" customWidth="1"/>
    <col min="15622" max="15622" width="17.375" style="316" customWidth="1"/>
    <col min="15623" max="15623" width="15.125" style="316" customWidth="1"/>
    <col min="15624" max="15624" width="19" style="316" customWidth="1"/>
    <col min="15625" max="15625" width="17.375" style="316" customWidth="1"/>
    <col min="15626" max="15626" width="16.375" style="316" customWidth="1"/>
    <col min="15627" max="15627" width="17.75" style="316" customWidth="1"/>
    <col min="15628" max="15628" width="13.5" style="316" customWidth="1"/>
    <col min="15629" max="15629" width="17" style="316" customWidth="1"/>
    <col min="15630" max="15874" width="9" style="316"/>
    <col min="15875" max="15875" width="13.125" style="316" customWidth="1"/>
    <col min="15876" max="15876" width="40.125" style="316" customWidth="1"/>
    <col min="15877" max="15877" width="41" style="316" customWidth="1"/>
    <col min="15878" max="15878" width="17.375" style="316" customWidth="1"/>
    <col min="15879" max="15879" width="15.125" style="316" customWidth="1"/>
    <col min="15880" max="15880" width="19" style="316" customWidth="1"/>
    <col min="15881" max="15881" width="17.375" style="316" customWidth="1"/>
    <col min="15882" max="15882" width="16.375" style="316" customWidth="1"/>
    <col min="15883" max="15883" width="17.75" style="316" customWidth="1"/>
    <col min="15884" max="15884" width="13.5" style="316" customWidth="1"/>
    <col min="15885" max="15885" width="17" style="316" customWidth="1"/>
    <col min="15886" max="16130" width="9" style="316"/>
    <col min="16131" max="16131" width="13.125" style="316" customWidth="1"/>
    <col min="16132" max="16132" width="40.125" style="316" customWidth="1"/>
    <col min="16133" max="16133" width="41" style="316" customWidth="1"/>
    <col min="16134" max="16134" width="17.375" style="316" customWidth="1"/>
    <col min="16135" max="16135" width="15.125" style="316" customWidth="1"/>
    <col min="16136" max="16136" width="19" style="316" customWidth="1"/>
    <col min="16137" max="16137" width="17.375" style="316" customWidth="1"/>
    <col min="16138" max="16138" width="16.375" style="316" customWidth="1"/>
    <col min="16139" max="16139" width="17.75" style="316" customWidth="1"/>
    <col min="16140" max="16140" width="13.5" style="316" customWidth="1"/>
    <col min="16141" max="16141" width="17" style="316" customWidth="1"/>
    <col min="16142" max="16384" width="9" style="316"/>
  </cols>
  <sheetData>
    <row r="1" spans="1:18">
      <c r="A1" s="321" t="s">
        <v>0</v>
      </c>
    </row>
    <row r="2" spans="1:18" ht="14.25" customHeight="1" thickBot="1">
      <c r="B2" s="682" t="s">
        <v>811</v>
      </c>
      <c r="C2" s="683"/>
    </row>
    <row r="3" spans="1:18" ht="14.25">
      <c r="B3" s="322" t="s">
        <v>1</v>
      </c>
      <c r="C3" s="454"/>
      <c r="O3" s="316"/>
    </row>
    <row r="4" spans="1:18" ht="14.25">
      <c r="B4" s="324" t="s">
        <v>3</v>
      </c>
      <c r="C4" s="453" t="s">
        <v>809</v>
      </c>
      <c r="O4" s="316"/>
    </row>
    <row r="5" spans="1:18" ht="14.25">
      <c r="B5" s="324" t="s">
        <v>4</v>
      </c>
      <c r="C5" s="455"/>
      <c r="O5" s="316"/>
    </row>
    <row r="6" spans="1:18" ht="14.25">
      <c r="B6" s="324" t="s">
        <v>5</v>
      </c>
      <c r="C6" s="456"/>
      <c r="O6" s="316"/>
    </row>
    <row r="7" spans="1:18" ht="14.25">
      <c r="B7" s="324" t="s">
        <v>6</v>
      </c>
      <c r="C7" s="457"/>
    </row>
    <row r="8" spans="1:18" ht="28.5">
      <c r="B8" s="324" t="s">
        <v>866</v>
      </c>
      <c r="C8" s="458"/>
    </row>
    <row r="9" spans="1:18" ht="14.25">
      <c r="B9" s="324" t="s">
        <v>9</v>
      </c>
      <c r="C9" s="458" t="s">
        <v>10</v>
      </c>
    </row>
    <row r="10" spans="1:18" ht="14.25">
      <c r="B10" s="324" t="s">
        <v>11</v>
      </c>
      <c r="C10" s="515">
        <f>J31</f>
        <v>2</v>
      </c>
    </row>
    <row r="11" spans="1:18" ht="14.25">
      <c r="B11" s="324" t="s">
        <v>12</v>
      </c>
      <c r="C11" s="459">
        <f>I30</f>
        <v>30500</v>
      </c>
    </row>
    <row r="12" spans="1:18" ht="27">
      <c r="B12" s="324" t="s">
        <v>13</v>
      </c>
      <c r="C12" s="459">
        <f>C11*C10</f>
        <v>61000</v>
      </c>
    </row>
    <row r="13" spans="1:18" ht="14.25">
      <c r="B13" s="324" t="s">
        <v>14</v>
      </c>
      <c r="C13" s="459">
        <f>C11*1.17</f>
        <v>35685</v>
      </c>
      <c r="N13" s="348"/>
      <c r="O13" s="348"/>
      <c r="P13" s="348"/>
      <c r="Q13" s="348"/>
      <c r="R13" s="348"/>
    </row>
    <row r="14" spans="1:18" ht="27">
      <c r="B14" s="324" t="s">
        <v>15</v>
      </c>
      <c r="C14" s="459">
        <f>C13*C10</f>
        <v>71370</v>
      </c>
      <c r="D14" s="331"/>
      <c r="L14" s="349"/>
      <c r="M14" s="349"/>
    </row>
    <row r="15" spans="1:18" ht="27">
      <c r="B15" s="332" t="s">
        <v>16</v>
      </c>
      <c r="C15" s="460">
        <v>0.17</v>
      </c>
    </row>
    <row r="16" spans="1:18" ht="14.25">
      <c r="B16" s="324" t="s">
        <v>17</v>
      </c>
      <c r="C16" s="461"/>
    </row>
    <row r="17" spans="2:16" ht="25.5">
      <c r="B17" s="334" t="s">
        <v>18</v>
      </c>
      <c r="C17" s="462" t="str">
        <f>B2</f>
        <v>BBU OP 展示品 -- Hair 1 Center 2.0测量设计制作运输安装费</v>
      </c>
      <c r="K17" s="350"/>
      <c r="N17" s="320"/>
      <c r="O17" s="316"/>
    </row>
    <row r="18" spans="2:16" ht="14.25">
      <c r="B18" s="324" t="s">
        <v>19</v>
      </c>
      <c r="C18" s="457" t="s">
        <v>756</v>
      </c>
    </row>
    <row r="19" spans="2:16" ht="14.25">
      <c r="B19" s="324" t="s">
        <v>20</v>
      </c>
      <c r="C19" s="458" t="s">
        <v>808</v>
      </c>
    </row>
    <row r="20" spans="2:16" ht="14.25">
      <c r="B20" s="324" t="s">
        <v>22</v>
      </c>
      <c r="C20" s="457" t="s">
        <v>757</v>
      </c>
    </row>
    <row r="21" spans="2:16" ht="14.25">
      <c r="B21" s="324" t="s">
        <v>23</v>
      </c>
      <c r="C21" s="458" t="s">
        <v>810</v>
      </c>
      <c r="E21" s="317"/>
    </row>
    <row r="22" spans="2:16" ht="14.25">
      <c r="B22" s="324" t="s">
        <v>24</v>
      </c>
      <c r="C22" s="455" t="s">
        <v>807</v>
      </c>
    </row>
    <row r="23" spans="2:16">
      <c r="B23" s="337" t="s">
        <v>26</v>
      </c>
      <c r="C23" s="684">
        <f>932.42*C10</f>
        <v>1864.84</v>
      </c>
    </row>
    <row r="24" spans="2:16" ht="12.75" customHeight="1">
      <c r="B24" s="338" t="s">
        <v>27</v>
      </c>
      <c r="C24" s="685"/>
    </row>
    <row r="25" spans="2:16" s="313" customFormat="1">
      <c r="B25" s="339" t="s">
        <v>28</v>
      </c>
      <c r="C25" s="463"/>
      <c r="D25" s="341"/>
      <c r="F25" s="342"/>
      <c r="G25" s="342"/>
      <c r="H25" s="342"/>
      <c r="O25" s="351"/>
    </row>
    <row r="26" spans="2:16" s="313" customFormat="1" ht="13.5" thickBot="1">
      <c r="B26" s="343" t="s">
        <v>29</v>
      </c>
      <c r="C26" s="464"/>
      <c r="D26" s="341"/>
      <c r="F26" s="342"/>
      <c r="G26" s="342"/>
      <c r="H26" s="342"/>
      <c r="I26" s="345"/>
      <c r="J26" s="346"/>
      <c r="O26" s="351"/>
    </row>
    <row r="27" spans="2:16" s="313" customFormat="1">
      <c r="D27" s="341"/>
      <c r="F27" s="342"/>
      <c r="G27" s="342"/>
      <c r="H27" s="342"/>
      <c r="O27" s="351"/>
    </row>
    <row r="28" spans="2:16" s="313" customFormat="1" ht="14.25">
      <c r="B28" s="432" t="s">
        <v>805</v>
      </c>
      <c r="D28" s="341"/>
      <c r="F28" s="342"/>
      <c r="G28" s="342"/>
      <c r="H28" s="342"/>
      <c r="O28" s="351"/>
    </row>
    <row r="29" spans="2:16" s="313" customFormat="1" ht="28.5">
      <c r="B29" s="420" t="s">
        <v>758</v>
      </c>
      <c r="C29" s="420" t="s">
        <v>768</v>
      </c>
      <c r="D29" s="425" t="s">
        <v>812</v>
      </c>
      <c r="E29" s="425" t="s">
        <v>769</v>
      </c>
      <c r="F29" s="425" t="s">
        <v>770</v>
      </c>
      <c r="G29" s="425" t="s">
        <v>771</v>
      </c>
      <c r="H29" s="425" t="s">
        <v>788</v>
      </c>
      <c r="I29" s="425" t="s">
        <v>780</v>
      </c>
      <c r="J29" s="437" t="s">
        <v>777</v>
      </c>
      <c r="K29" s="437" t="s">
        <v>778</v>
      </c>
      <c r="L29" s="438" t="s">
        <v>759</v>
      </c>
      <c r="M29" s="437" t="s">
        <v>779</v>
      </c>
      <c r="P29" s="351"/>
    </row>
    <row r="30" spans="2:16" s="313" customFormat="1" ht="14.25">
      <c r="B30" s="433" t="s">
        <v>813</v>
      </c>
      <c r="C30" s="423" t="s">
        <v>814</v>
      </c>
      <c r="D30" s="442">
        <v>30000</v>
      </c>
      <c r="E30" s="426">
        <v>50</v>
      </c>
      <c r="F30" s="426">
        <v>100</v>
      </c>
      <c r="G30" s="426">
        <v>150</v>
      </c>
      <c r="H30" s="426">
        <v>200</v>
      </c>
      <c r="I30" s="434">
        <f>SUM(D30:H30)</f>
        <v>30500</v>
      </c>
      <c r="J30" s="421">
        <v>2</v>
      </c>
      <c r="K30" s="435">
        <f>I30*J30</f>
        <v>61000</v>
      </c>
      <c r="L30" s="436">
        <f>K30*17%</f>
        <v>10370</v>
      </c>
      <c r="M30" s="435">
        <f>K30+L30</f>
        <v>71370</v>
      </c>
      <c r="P30" s="351"/>
    </row>
    <row r="31" spans="2:16" s="313" customFormat="1" ht="14.25">
      <c r="B31" s="431" t="s">
        <v>781</v>
      </c>
      <c r="C31" s="423"/>
      <c r="D31" s="426"/>
      <c r="E31" s="426"/>
      <c r="F31" s="426"/>
      <c r="G31" s="426"/>
      <c r="H31" s="426"/>
      <c r="I31" s="426"/>
      <c r="J31" s="421">
        <f>SUM(J30:J30)</f>
        <v>2</v>
      </c>
      <c r="K31" s="435">
        <f>SUM(K30:K30)</f>
        <v>61000</v>
      </c>
      <c r="L31" s="436">
        <f>SUM(L30:L30)</f>
        <v>10370</v>
      </c>
      <c r="M31" s="435">
        <f>SUM(M30:M30)</f>
        <v>71370</v>
      </c>
      <c r="N31" s="351"/>
    </row>
    <row r="32" spans="2:16" s="313" customFormat="1" ht="14.25">
      <c r="B32" s="430"/>
      <c r="C32" s="427"/>
      <c r="D32" s="428"/>
      <c r="E32" s="428"/>
      <c r="F32" s="428"/>
      <c r="G32" s="428"/>
      <c r="H32" s="428"/>
      <c r="I32" s="428"/>
      <c r="J32" s="428"/>
      <c r="K32" s="428"/>
      <c r="L32" s="429"/>
      <c r="M32" s="429"/>
      <c r="N32" s="428"/>
      <c r="O32" s="429"/>
      <c r="P32" s="351"/>
    </row>
    <row r="33" spans="2:15" s="313" customFormat="1" ht="14.25">
      <c r="B33" s="432" t="s">
        <v>782</v>
      </c>
      <c r="C33" s="422"/>
      <c r="D33" s="422"/>
      <c r="E33" s="422"/>
      <c r="F33" s="422"/>
      <c r="G33" s="422"/>
      <c r="H33" s="422"/>
      <c r="L33" s="351"/>
      <c r="M33" s="351"/>
    </row>
    <row r="34" spans="2:15" s="313" customFormat="1" ht="25.5">
      <c r="B34" s="439" t="s">
        <v>816</v>
      </c>
      <c r="C34" s="423" t="s">
        <v>798</v>
      </c>
      <c r="D34" s="440" t="s">
        <v>772</v>
      </c>
      <c r="E34" s="440" t="s">
        <v>786</v>
      </c>
      <c r="F34" s="441" t="s">
        <v>806</v>
      </c>
      <c r="G34" s="672" t="s">
        <v>789</v>
      </c>
      <c r="H34" s="672"/>
      <c r="L34" s="351"/>
      <c r="M34" s="351"/>
    </row>
    <row r="35" spans="2:15" s="313" customFormat="1" ht="12.75" customHeight="1">
      <c r="B35" s="465" t="s">
        <v>815</v>
      </c>
      <c r="C35" s="423" t="s">
        <v>814</v>
      </c>
      <c r="D35" s="431" t="s">
        <v>801</v>
      </c>
      <c r="E35" s="423">
        <f>4.8*0.4*1.6</f>
        <v>3.0720000000000001</v>
      </c>
      <c r="F35" s="442">
        <f>D30/E35</f>
        <v>9765.625</v>
      </c>
      <c r="G35" s="443"/>
      <c r="H35" s="444"/>
      <c r="L35" s="351"/>
      <c r="M35" s="351"/>
    </row>
    <row r="36" spans="2:15" s="313" customFormat="1" ht="12.75" customHeight="1">
      <c r="B36" s="433" t="s">
        <v>783</v>
      </c>
      <c r="C36" s="347"/>
      <c r="D36" s="423" t="s">
        <v>787</v>
      </c>
      <c r="E36" s="423">
        <v>1</v>
      </c>
      <c r="F36" s="347"/>
      <c r="G36" s="445"/>
      <c r="H36" s="446"/>
      <c r="L36" s="351"/>
      <c r="M36" s="351"/>
    </row>
    <row r="37" spans="2:15" s="313" customFormat="1" ht="12.75" customHeight="1">
      <c r="B37" s="433" t="s">
        <v>763</v>
      </c>
      <c r="C37" s="347"/>
      <c r="D37" s="423" t="s">
        <v>787</v>
      </c>
      <c r="E37" s="423">
        <v>1</v>
      </c>
      <c r="F37" s="347"/>
      <c r="G37" s="445"/>
      <c r="H37" s="446"/>
      <c r="L37" s="351"/>
      <c r="M37" s="351"/>
    </row>
    <row r="38" spans="2:15" s="313" customFormat="1" ht="12.75" customHeight="1">
      <c r="B38" s="433" t="s">
        <v>784</v>
      </c>
      <c r="C38" s="347"/>
      <c r="D38" s="423" t="s">
        <v>801</v>
      </c>
      <c r="E38" s="423">
        <v>1</v>
      </c>
      <c r="F38" s="442" t="s">
        <v>804</v>
      </c>
      <c r="G38" s="451" t="s">
        <v>802</v>
      </c>
      <c r="H38" s="446"/>
      <c r="L38" s="351"/>
      <c r="M38" s="351"/>
    </row>
    <row r="39" spans="2:15" s="313" customFormat="1" ht="12.75" customHeight="1">
      <c r="B39" s="433" t="s">
        <v>785</v>
      </c>
      <c r="C39" s="347"/>
      <c r="D39" s="423" t="s">
        <v>787</v>
      </c>
      <c r="E39" s="423">
        <v>1</v>
      </c>
      <c r="F39" s="442" t="s">
        <v>804</v>
      </c>
      <c r="G39" s="452" t="s">
        <v>803</v>
      </c>
      <c r="H39" s="447"/>
      <c r="L39" s="351"/>
      <c r="M39" s="351"/>
    </row>
    <row r="40" spans="2:15" s="313" customFormat="1">
      <c r="B40" s="424"/>
      <c r="C40" s="422"/>
      <c r="D40" s="422"/>
      <c r="E40" s="422"/>
      <c r="F40" s="422"/>
      <c r="G40" s="422"/>
      <c r="H40" s="422"/>
      <c r="L40" s="351"/>
      <c r="M40" s="351"/>
    </row>
    <row r="41" spans="2:15" s="314" customFormat="1">
      <c r="D41" s="352"/>
      <c r="F41" s="353"/>
      <c r="G41" s="353"/>
      <c r="H41" s="353"/>
      <c r="O41" s="356"/>
    </row>
    <row r="42" spans="2:15" s="314" customFormat="1">
      <c r="D42" s="352"/>
      <c r="F42" s="353"/>
      <c r="G42" s="353"/>
      <c r="H42" s="353"/>
      <c r="O42" s="356"/>
    </row>
    <row r="43" spans="2:15" s="314" customFormat="1" ht="15">
      <c r="B43" s="466"/>
      <c r="C43" s="466"/>
      <c r="D43" s="466"/>
      <c r="E43" s="466"/>
      <c r="F43" s="466"/>
      <c r="G43" s="466"/>
      <c r="H43" s="466"/>
      <c r="O43" s="356"/>
    </row>
    <row r="44" spans="2:15" s="315" customFormat="1" ht="15">
      <c r="B44" s="466"/>
      <c r="C44" s="466"/>
      <c r="D44" s="466"/>
      <c r="E44" s="466"/>
      <c r="F44" s="466"/>
      <c r="G44" s="466"/>
      <c r="H44" s="466"/>
      <c r="O44" s="357"/>
    </row>
    <row r="45" spans="2:15" s="314" customFormat="1" ht="15">
      <c r="B45" s="466"/>
      <c r="C45" s="466"/>
      <c r="D45" s="466"/>
      <c r="E45" s="466"/>
      <c r="F45" s="466"/>
      <c r="G45" s="466"/>
      <c r="H45" s="466"/>
      <c r="O45" s="356"/>
    </row>
    <row r="46" spans="2:15" s="314" customFormat="1">
      <c r="D46" s="352"/>
      <c r="F46" s="353"/>
      <c r="G46" s="353"/>
      <c r="H46" s="353"/>
      <c r="O46" s="356"/>
    </row>
    <row r="47" spans="2:15" s="314" customFormat="1">
      <c r="B47" s="317"/>
      <c r="C47" s="316"/>
      <c r="D47" s="352"/>
      <c r="F47" s="353"/>
      <c r="G47" s="353"/>
      <c r="H47" s="353"/>
      <c r="O47" s="356"/>
    </row>
    <row r="48" spans="2:15" s="314" customFormat="1">
      <c r="B48" s="317"/>
      <c r="C48" s="316"/>
      <c r="D48" s="352"/>
      <c r="F48" s="353"/>
      <c r="G48" s="353"/>
      <c r="H48" s="353"/>
      <c r="O48" s="356"/>
    </row>
    <row r="49" spans="2:15" s="314" customFormat="1">
      <c r="B49" s="317"/>
      <c r="C49" s="316"/>
      <c r="D49" s="352"/>
      <c r="F49" s="353"/>
      <c r="G49" s="353"/>
      <c r="H49" s="353"/>
      <c r="O49" s="356"/>
    </row>
    <row r="50" spans="2:15" s="314" customFormat="1">
      <c r="B50" s="317"/>
      <c r="C50" s="316"/>
      <c r="D50" s="352"/>
      <c r="F50" s="353"/>
      <c r="G50" s="353"/>
      <c r="H50" s="353"/>
      <c r="O50" s="356"/>
    </row>
  </sheetData>
  <protectedRanges>
    <protectedRange sqref="C16 C3 C21:C24 C5:C9" name="範圍1_1_2"/>
    <protectedRange sqref="C4" name="範圍1_2_1"/>
  </protectedRanges>
  <mergeCells count="3">
    <mergeCell ref="B2:C2"/>
    <mergeCell ref="C23:C24"/>
    <mergeCell ref="G34:H34"/>
  </mergeCells>
  <phoneticPr fontId="29" type="noConversion"/>
  <dataValidations count="3">
    <dataValidation type="list" allowBlank="1" showInputMessage="1" sqref="WLQ982950 JA3 SW3 ACS3 AMO3 AWK3 BGG3 BQC3 BZY3 CJU3 CTQ3 DDM3 DNI3 DXE3 EHA3 EQW3 FAS3 FKO3 FUK3 GEG3 GOC3 GXY3 HHU3 HRQ3 IBM3 ILI3 IVE3 JFA3 JOW3 JYS3 KIO3 KSK3 LCG3 LMC3 LVY3 MFU3 MPQ3 MZM3 NJI3 NTE3 ODA3 OMW3 OWS3 PGO3 PQK3 QAG3 QKC3 QTY3 RDU3 RNQ3 RXM3 SHI3 SRE3 TBA3 TKW3 TUS3 UEO3 UOK3 UYG3 VIC3 VRY3 WBU3 WLQ3 WVM3 WVM982950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C65440 JA65440 SW65440 ACS65440 AMO65440 AWK65440 BGG65440 BQC65440 BZY65440 CJU65440 CTQ65440 DDM65440 DNI65440 DXE65440 EHA65440 EQW65440 FAS65440 FKO65440 FUK65440 GEG65440 GOC65440 GXY65440 HHU65440 HRQ65440 IBM65440 ILI65440 IVE65440 JFA65440 JOW65440 JYS65440 KIO65440 KSK65440 LCG65440 LMC65440 LVY65440 MFU65440 MPQ65440 MZM65440 NJI65440 NTE65440 ODA65440 OMW65440 OWS65440 PGO65440 PQK65440 QAG65440 QKC65440 QTY65440 RDU65440 RNQ65440 RXM65440 SHI65440 SRE65440 TBA65440 TKW65440 TUS65440 UEO65440 UOK65440 UYG65440 VIC65440 VRY65440 WBU65440 WLQ65440 WVM65440 C65446 JA65446 SW65446 ACS65446 AMO65446 AWK65446 BGG65446 BQC65446 BZY65446 CJU65446 CTQ65446 DDM65446 DNI65446 DXE65446 EHA65446 EQW65446 FAS65446 FKO65446 FUK65446 GEG65446 GOC65446 GXY65446 HHU65446 HRQ65446 IBM65446 ILI65446 IVE65446 JFA65446 JOW65446 JYS65446 KIO65446 KSK65446 LCG65446 LMC65446 LVY65446 MFU65446 MPQ65446 MZM65446 NJI65446 NTE65446 ODA65446 OMW65446 OWS65446 PGO65446 PQK65446 QAG65446 QKC65446 QTY65446 RDU65446 RNQ65446 RXM65446 SHI65446 SRE65446 TBA65446 TKW65446 TUS65446 UEO65446 UOK65446 UYG65446 VIC65446 VRY65446 WBU65446 WLQ65446 WVM65446 C130976 JA130976 SW130976 ACS130976 AMO130976 AWK130976 BGG130976 BQC130976 BZY130976 CJU130976 CTQ130976 DDM130976 DNI130976 DXE130976 EHA130976 EQW130976 FAS130976 FKO130976 FUK130976 GEG130976 GOC130976 GXY130976 HHU130976 HRQ130976 IBM130976 ILI130976 IVE130976 JFA130976 JOW130976 JYS130976 KIO130976 KSK130976 LCG130976 LMC130976 LVY130976 MFU130976 MPQ130976 MZM130976 NJI130976 NTE130976 ODA130976 OMW130976 OWS130976 PGO130976 PQK130976 QAG130976 QKC130976 QTY130976 RDU130976 RNQ130976 RXM130976 SHI130976 SRE130976 TBA130976 TKW130976 TUS130976 UEO130976 UOK130976 UYG130976 VIC130976 VRY130976 WBU130976 WLQ130976 WVM130976 C130982 JA130982 SW130982 ACS130982 AMO130982 AWK130982 BGG130982 BQC130982 BZY130982 CJU130982 CTQ130982 DDM130982 DNI130982 DXE130982 EHA130982 EQW130982 FAS130982 FKO130982 FUK130982 GEG130982 GOC130982 GXY130982 HHU130982 HRQ130982 IBM130982 ILI130982 IVE130982 JFA130982 JOW130982 JYS130982 KIO130982 KSK130982 LCG130982 LMC130982 LVY130982 MFU130982 MPQ130982 MZM130982 NJI130982 NTE130982 ODA130982 OMW130982 OWS130982 PGO130982 PQK130982 QAG130982 QKC130982 QTY130982 RDU130982 RNQ130982 RXM130982 SHI130982 SRE130982 TBA130982 TKW130982 TUS130982 UEO130982 UOK130982 UYG130982 VIC130982 VRY130982 WBU130982 WLQ130982 WVM130982 C196512 JA196512 SW196512 ACS196512 AMO196512 AWK196512 BGG196512 BQC196512 BZY196512 CJU196512 CTQ196512 DDM196512 DNI196512 DXE196512 EHA196512 EQW196512 FAS196512 FKO196512 FUK196512 GEG196512 GOC196512 GXY196512 HHU196512 HRQ196512 IBM196512 ILI196512 IVE196512 JFA196512 JOW196512 JYS196512 KIO196512 KSK196512 LCG196512 LMC196512 LVY196512 MFU196512 MPQ196512 MZM196512 NJI196512 NTE196512 ODA196512 OMW196512 OWS196512 PGO196512 PQK196512 QAG196512 QKC196512 QTY196512 RDU196512 RNQ196512 RXM196512 SHI196512 SRE196512 TBA196512 TKW196512 TUS196512 UEO196512 UOK196512 UYG196512 VIC196512 VRY196512 WBU196512 WLQ196512 WVM196512 C196518 JA196518 SW196518 ACS196518 AMO196518 AWK196518 BGG196518 BQC196518 BZY196518 CJU196518 CTQ196518 DDM196518 DNI196518 DXE196518 EHA196518 EQW196518 FAS196518 FKO196518 FUK196518 GEG196518 GOC196518 GXY196518 HHU196518 HRQ196518 IBM196518 ILI196518 IVE196518 JFA196518 JOW196518 JYS196518 KIO196518 KSK196518 LCG196518 LMC196518 LVY196518 MFU196518 MPQ196518 MZM196518 NJI196518 NTE196518 ODA196518 OMW196518 OWS196518 PGO196518 PQK196518 QAG196518 QKC196518 QTY196518 RDU196518 RNQ196518 RXM196518 SHI196518 SRE196518 TBA196518 TKW196518 TUS196518 UEO196518 UOK196518 UYG196518 VIC196518 VRY196518 WBU196518 WLQ196518 WVM196518 C262048 JA262048 SW262048 ACS262048 AMO262048 AWK262048 BGG262048 BQC262048 BZY262048 CJU262048 CTQ262048 DDM262048 DNI262048 DXE262048 EHA262048 EQW262048 FAS262048 FKO262048 FUK262048 GEG262048 GOC262048 GXY262048 HHU262048 HRQ262048 IBM262048 ILI262048 IVE262048 JFA262048 JOW262048 JYS262048 KIO262048 KSK262048 LCG262048 LMC262048 LVY262048 MFU262048 MPQ262048 MZM262048 NJI262048 NTE262048 ODA262048 OMW262048 OWS262048 PGO262048 PQK262048 QAG262048 QKC262048 QTY262048 RDU262048 RNQ262048 RXM262048 SHI262048 SRE262048 TBA262048 TKW262048 TUS262048 UEO262048 UOK262048 UYG262048 VIC262048 VRY262048 WBU262048 WLQ262048 WVM262048 C262054 JA262054 SW262054 ACS262054 AMO262054 AWK262054 BGG262054 BQC262054 BZY262054 CJU262054 CTQ262054 DDM262054 DNI262054 DXE262054 EHA262054 EQW262054 FAS262054 FKO262054 FUK262054 GEG262054 GOC262054 GXY262054 HHU262054 HRQ262054 IBM262054 ILI262054 IVE262054 JFA262054 JOW262054 JYS262054 KIO262054 KSK262054 LCG262054 LMC262054 LVY262054 MFU262054 MPQ262054 MZM262054 NJI262054 NTE262054 ODA262054 OMW262054 OWS262054 PGO262054 PQK262054 QAG262054 QKC262054 QTY262054 RDU262054 RNQ262054 RXM262054 SHI262054 SRE262054 TBA262054 TKW262054 TUS262054 UEO262054 UOK262054 UYG262054 VIC262054 VRY262054 WBU262054 WLQ262054 WVM262054 C327584 JA327584 SW327584 ACS327584 AMO327584 AWK327584 BGG327584 BQC327584 BZY327584 CJU327584 CTQ327584 DDM327584 DNI327584 DXE327584 EHA327584 EQW327584 FAS327584 FKO327584 FUK327584 GEG327584 GOC327584 GXY327584 HHU327584 HRQ327584 IBM327584 ILI327584 IVE327584 JFA327584 JOW327584 JYS327584 KIO327584 KSK327584 LCG327584 LMC327584 LVY327584 MFU327584 MPQ327584 MZM327584 NJI327584 NTE327584 ODA327584 OMW327584 OWS327584 PGO327584 PQK327584 QAG327584 QKC327584 QTY327584 RDU327584 RNQ327584 RXM327584 SHI327584 SRE327584 TBA327584 TKW327584 TUS327584 UEO327584 UOK327584 UYG327584 VIC327584 VRY327584 WBU327584 WLQ327584 WVM327584 C327590 JA327590 SW327590 ACS327590 AMO327590 AWK327590 BGG327590 BQC327590 BZY327590 CJU327590 CTQ327590 DDM327590 DNI327590 DXE327590 EHA327590 EQW327590 FAS327590 FKO327590 FUK327590 GEG327590 GOC327590 GXY327590 HHU327590 HRQ327590 IBM327590 ILI327590 IVE327590 JFA327590 JOW327590 JYS327590 KIO327590 KSK327590 LCG327590 LMC327590 LVY327590 MFU327590 MPQ327590 MZM327590 NJI327590 NTE327590 ODA327590 OMW327590 OWS327590 PGO327590 PQK327590 QAG327590 QKC327590 QTY327590 RDU327590 RNQ327590 RXM327590 SHI327590 SRE327590 TBA327590 TKW327590 TUS327590 UEO327590 UOK327590 UYG327590 VIC327590 VRY327590 WBU327590 WLQ327590 WVM327590 C393120 JA393120 SW393120 ACS393120 AMO393120 AWK393120 BGG393120 BQC393120 BZY393120 CJU393120 CTQ393120 DDM393120 DNI393120 DXE393120 EHA393120 EQW393120 FAS393120 FKO393120 FUK393120 GEG393120 GOC393120 GXY393120 HHU393120 HRQ393120 IBM393120 ILI393120 IVE393120 JFA393120 JOW393120 JYS393120 KIO393120 KSK393120 LCG393120 LMC393120 LVY393120 MFU393120 MPQ393120 MZM393120 NJI393120 NTE393120 ODA393120 OMW393120 OWS393120 PGO393120 PQK393120 QAG393120 QKC393120 QTY393120 RDU393120 RNQ393120 RXM393120 SHI393120 SRE393120 TBA393120 TKW393120 TUS393120 UEO393120 UOK393120 UYG393120 VIC393120 VRY393120 WBU393120 WLQ393120 WVM393120 C393126 JA393126 SW393126 ACS393126 AMO393126 AWK393126 BGG393126 BQC393126 BZY393126 CJU393126 CTQ393126 DDM393126 DNI393126 DXE393126 EHA393126 EQW393126 FAS393126 FKO393126 FUK393126 GEG393126 GOC393126 GXY393126 HHU393126 HRQ393126 IBM393126 ILI393126 IVE393126 JFA393126 JOW393126 JYS393126 KIO393126 KSK393126 LCG393126 LMC393126 LVY393126 MFU393126 MPQ393126 MZM393126 NJI393126 NTE393126 ODA393126 OMW393126 OWS393126 PGO393126 PQK393126 QAG393126 QKC393126 QTY393126 RDU393126 RNQ393126 RXM393126 SHI393126 SRE393126 TBA393126 TKW393126 TUS393126 UEO393126 UOK393126 UYG393126 VIC393126 VRY393126 WBU393126 WLQ393126 WVM393126 C458656 JA458656 SW458656 ACS458656 AMO458656 AWK458656 BGG458656 BQC458656 BZY458656 CJU458656 CTQ458656 DDM458656 DNI458656 DXE458656 EHA458656 EQW458656 FAS458656 FKO458656 FUK458656 GEG458656 GOC458656 GXY458656 HHU458656 HRQ458656 IBM458656 ILI458656 IVE458656 JFA458656 JOW458656 JYS458656 KIO458656 KSK458656 LCG458656 LMC458656 LVY458656 MFU458656 MPQ458656 MZM458656 NJI458656 NTE458656 ODA458656 OMW458656 OWS458656 PGO458656 PQK458656 QAG458656 QKC458656 QTY458656 RDU458656 RNQ458656 RXM458656 SHI458656 SRE458656 TBA458656 TKW458656 TUS458656 UEO458656 UOK458656 UYG458656 VIC458656 VRY458656 WBU458656 WLQ458656 WVM458656 C458662 JA458662 SW458662 ACS458662 AMO458662 AWK458662 BGG458662 BQC458662 BZY458662 CJU458662 CTQ458662 DDM458662 DNI458662 DXE458662 EHA458662 EQW458662 FAS458662 FKO458662 FUK458662 GEG458662 GOC458662 GXY458662 HHU458662 HRQ458662 IBM458662 ILI458662 IVE458662 JFA458662 JOW458662 JYS458662 KIO458662 KSK458662 LCG458662 LMC458662 LVY458662 MFU458662 MPQ458662 MZM458662 NJI458662 NTE458662 ODA458662 OMW458662 OWS458662 PGO458662 PQK458662 QAG458662 QKC458662 QTY458662 RDU458662 RNQ458662 RXM458662 SHI458662 SRE458662 TBA458662 TKW458662 TUS458662 UEO458662 UOK458662 UYG458662 VIC458662 VRY458662 WBU458662 WLQ458662 WVM458662 C524192 JA524192 SW524192 ACS524192 AMO524192 AWK524192 BGG524192 BQC524192 BZY524192 CJU524192 CTQ524192 DDM524192 DNI524192 DXE524192 EHA524192 EQW524192 FAS524192 FKO524192 FUK524192 GEG524192 GOC524192 GXY524192 HHU524192 HRQ524192 IBM524192 ILI524192 IVE524192 JFA524192 JOW524192 JYS524192 KIO524192 KSK524192 LCG524192 LMC524192 LVY524192 MFU524192 MPQ524192 MZM524192 NJI524192 NTE524192 ODA524192 OMW524192 OWS524192 PGO524192 PQK524192 QAG524192 QKC524192 QTY524192 RDU524192 RNQ524192 RXM524192 SHI524192 SRE524192 TBA524192 TKW524192 TUS524192 UEO524192 UOK524192 UYG524192 VIC524192 VRY524192 WBU524192 WLQ524192 WVM524192 C524198 JA524198 SW524198 ACS524198 AMO524198 AWK524198 BGG524198 BQC524198 BZY524198 CJU524198 CTQ524198 DDM524198 DNI524198 DXE524198 EHA524198 EQW524198 FAS524198 FKO524198 FUK524198 GEG524198 GOC524198 GXY524198 HHU524198 HRQ524198 IBM524198 ILI524198 IVE524198 JFA524198 JOW524198 JYS524198 KIO524198 KSK524198 LCG524198 LMC524198 LVY524198 MFU524198 MPQ524198 MZM524198 NJI524198 NTE524198 ODA524198 OMW524198 OWS524198 PGO524198 PQK524198 QAG524198 QKC524198 QTY524198 RDU524198 RNQ524198 RXM524198 SHI524198 SRE524198 TBA524198 TKW524198 TUS524198 UEO524198 UOK524198 UYG524198 VIC524198 VRY524198 WBU524198 WLQ524198 WVM524198 C589728 JA589728 SW589728 ACS589728 AMO589728 AWK589728 BGG589728 BQC589728 BZY589728 CJU589728 CTQ589728 DDM589728 DNI589728 DXE589728 EHA589728 EQW589728 FAS589728 FKO589728 FUK589728 GEG589728 GOC589728 GXY589728 HHU589728 HRQ589728 IBM589728 ILI589728 IVE589728 JFA589728 JOW589728 JYS589728 KIO589728 KSK589728 LCG589728 LMC589728 LVY589728 MFU589728 MPQ589728 MZM589728 NJI589728 NTE589728 ODA589728 OMW589728 OWS589728 PGO589728 PQK589728 QAG589728 QKC589728 QTY589728 RDU589728 RNQ589728 RXM589728 SHI589728 SRE589728 TBA589728 TKW589728 TUS589728 UEO589728 UOK589728 UYG589728 VIC589728 VRY589728 WBU589728 WLQ589728 WVM589728 C589734 JA589734 SW589734 ACS589734 AMO589734 AWK589734 BGG589734 BQC589734 BZY589734 CJU589734 CTQ589734 DDM589734 DNI589734 DXE589734 EHA589734 EQW589734 FAS589734 FKO589734 FUK589734 GEG589734 GOC589734 GXY589734 HHU589734 HRQ589734 IBM589734 ILI589734 IVE589734 JFA589734 JOW589734 JYS589734 KIO589734 KSK589734 LCG589734 LMC589734 LVY589734 MFU589734 MPQ589734 MZM589734 NJI589734 NTE589734 ODA589734 OMW589734 OWS589734 PGO589734 PQK589734 QAG589734 QKC589734 QTY589734 RDU589734 RNQ589734 RXM589734 SHI589734 SRE589734 TBA589734 TKW589734 TUS589734 UEO589734 UOK589734 UYG589734 VIC589734 VRY589734 WBU589734 WLQ589734 WVM589734 C655264 JA655264 SW655264 ACS655264 AMO655264 AWK655264 BGG655264 BQC655264 BZY655264 CJU655264 CTQ655264 DDM655264 DNI655264 DXE655264 EHA655264 EQW655264 FAS655264 FKO655264 FUK655264 GEG655264 GOC655264 GXY655264 HHU655264 HRQ655264 IBM655264 ILI655264 IVE655264 JFA655264 JOW655264 JYS655264 KIO655264 KSK655264 LCG655264 LMC655264 LVY655264 MFU655264 MPQ655264 MZM655264 NJI655264 NTE655264 ODA655264 OMW655264 OWS655264 PGO655264 PQK655264 QAG655264 QKC655264 QTY655264 RDU655264 RNQ655264 RXM655264 SHI655264 SRE655264 TBA655264 TKW655264 TUS655264 UEO655264 UOK655264 UYG655264 VIC655264 VRY655264 WBU655264 WLQ655264 WVM655264 C655270 JA655270 SW655270 ACS655270 AMO655270 AWK655270 BGG655270 BQC655270 BZY655270 CJU655270 CTQ655270 DDM655270 DNI655270 DXE655270 EHA655270 EQW655270 FAS655270 FKO655270 FUK655270 GEG655270 GOC655270 GXY655270 HHU655270 HRQ655270 IBM655270 ILI655270 IVE655270 JFA655270 JOW655270 JYS655270 KIO655270 KSK655270 LCG655270 LMC655270 LVY655270 MFU655270 MPQ655270 MZM655270 NJI655270 NTE655270 ODA655270 OMW655270 OWS655270 PGO655270 PQK655270 QAG655270 QKC655270 QTY655270 RDU655270 RNQ655270 RXM655270 SHI655270 SRE655270 TBA655270 TKW655270 TUS655270 UEO655270 UOK655270 UYG655270 VIC655270 VRY655270 WBU655270 WLQ655270 WVM655270 C720800 JA720800 SW720800 ACS720800 AMO720800 AWK720800 BGG720800 BQC720800 BZY720800 CJU720800 CTQ720800 DDM720800 DNI720800 DXE720800 EHA720800 EQW720800 FAS720800 FKO720800 FUK720800 GEG720800 GOC720800 GXY720800 HHU720800 HRQ720800 IBM720800 ILI720800 IVE720800 JFA720800 JOW720800 JYS720800 KIO720800 KSK720800 LCG720800 LMC720800 LVY720800 MFU720800 MPQ720800 MZM720800 NJI720800 NTE720800 ODA720800 OMW720800 OWS720800 PGO720800 PQK720800 QAG720800 QKC720800 QTY720800 RDU720800 RNQ720800 RXM720800 SHI720800 SRE720800 TBA720800 TKW720800 TUS720800 UEO720800 UOK720800 UYG720800 VIC720800 VRY720800 WBU720800 WLQ720800 WVM720800 C720806 JA720806 SW720806 ACS720806 AMO720806 AWK720806 BGG720806 BQC720806 BZY720806 CJU720806 CTQ720806 DDM720806 DNI720806 DXE720806 EHA720806 EQW720806 FAS720806 FKO720806 FUK720806 GEG720806 GOC720806 GXY720806 HHU720806 HRQ720806 IBM720806 ILI720806 IVE720806 JFA720806 JOW720806 JYS720806 KIO720806 KSK720806 LCG720806 LMC720806 LVY720806 MFU720806 MPQ720806 MZM720806 NJI720806 NTE720806 ODA720806 OMW720806 OWS720806 PGO720806 PQK720806 QAG720806 QKC720806 QTY720806 RDU720806 RNQ720806 RXM720806 SHI720806 SRE720806 TBA720806 TKW720806 TUS720806 UEO720806 UOK720806 UYG720806 VIC720806 VRY720806 WBU720806 WLQ720806 WVM720806 C786336 JA786336 SW786336 ACS786336 AMO786336 AWK786336 BGG786336 BQC786336 BZY786336 CJU786336 CTQ786336 DDM786336 DNI786336 DXE786336 EHA786336 EQW786336 FAS786336 FKO786336 FUK786336 GEG786336 GOC786336 GXY786336 HHU786336 HRQ786336 IBM786336 ILI786336 IVE786336 JFA786336 JOW786336 JYS786336 KIO786336 KSK786336 LCG786336 LMC786336 LVY786336 MFU786336 MPQ786336 MZM786336 NJI786336 NTE786336 ODA786336 OMW786336 OWS786336 PGO786336 PQK786336 QAG786336 QKC786336 QTY786336 RDU786336 RNQ786336 RXM786336 SHI786336 SRE786336 TBA786336 TKW786336 TUS786336 UEO786336 UOK786336 UYG786336 VIC786336 VRY786336 WBU786336 WLQ786336 WVM786336 C786342 JA786342 SW786342 ACS786342 AMO786342 AWK786342 BGG786342 BQC786342 BZY786342 CJU786342 CTQ786342 DDM786342 DNI786342 DXE786342 EHA786342 EQW786342 FAS786342 FKO786342 FUK786342 GEG786342 GOC786342 GXY786342 HHU786342 HRQ786342 IBM786342 ILI786342 IVE786342 JFA786342 JOW786342 JYS786342 KIO786342 KSK786342 LCG786342 LMC786342 LVY786342 MFU786342 MPQ786342 MZM786342 NJI786342 NTE786342 ODA786342 OMW786342 OWS786342 PGO786342 PQK786342 QAG786342 QKC786342 QTY786342 RDU786342 RNQ786342 RXM786342 SHI786342 SRE786342 TBA786342 TKW786342 TUS786342 UEO786342 UOK786342 UYG786342 VIC786342 VRY786342 WBU786342 WLQ786342 WVM786342 C851872 JA851872 SW851872 ACS851872 AMO851872 AWK851872 BGG851872 BQC851872 BZY851872 CJU851872 CTQ851872 DDM851872 DNI851872 DXE851872 EHA851872 EQW851872 FAS851872 FKO851872 FUK851872 GEG851872 GOC851872 GXY851872 HHU851872 HRQ851872 IBM851872 ILI851872 IVE851872 JFA851872 JOW851872 JYS851872 KIO851872 KSK851872 LCG851872 LMC851872 LVY851872 MFU851872 MPQ851872 MZM851872 NJI851872 NTE851872 ODA851872 OMW851872 OWS851872 PGO851872 PQK851872 QAG851872 QKC851872 QTY851872 RDU851872 RNQ851872 RXM851872 SHI851872 SRE851872 TBA851872 TKW851872 TUS851872 UEO851872 UOK851872 UYG851872 VIC851872 VRY851872 WBU851872 WLQ851872 WVM851872 C851878 JA851878 SW851878 ACS851878 AMO851878 AWK851878 BGG851878 BQC851878 BZY851878 CJU851878 CTQ851878 DDM851878 DNI851878 DXE851878 EHA851878 EQW851878 FAS851878 FKO851878 FUK851878 GEG851878 GOC851878 GXY851878 HHU851878 HRQ851878 IBM851878 ILI851878 IVE851878 JFA851878 JOW851878 JYS851878 KIO851878 KSK851878 LCG851878 LMC851878 LVY851878 MFU851878 MPQ851878 MZM851878 NJI851878 NTE851878 ODA851878 OMW851878 OWS851878 PGO851878 PQK851878 QAG851878 QKC851878 QTY851878 RDU851878 RNQ851878 RXM851878 SHI851878 SRE851878 TBA851878 TKW851878 TUS851878 UEO851878 UOK851878 UYG851878 VIC851878 VRY851878 WBU851878 WLQ851878 WVM851878 C917408 JA917408 SW917408 ACS917408 AMO917408 AWK917408 BGG917408 BQC917408 BZY917408 CJU917408 CTQ917408 DDM917408 DNI917408 DXE917408 EHA917408 EQW917408 FAS917408 FKO917408 FUK917408 GEG917408 GOC917408 GXY917408 HHU917408 HRQ917408 IBM917408 ILI917408 IVE917408 JFA917408 JOW917408 JYS917408 KIO917408 KSK917408 LCG917408 LMC917408 LVY917408 MFU917408 MPQ917408 MZM917408 NJI917408 NTE917408 ODA917408 OMW917408 OWS917408 PGO917408 PQK917408 QAG917408 QKC917408 QTY917408 RDU917408 RNQ917408 RXM917408 SHI917408 SRE917408 TBA917408 TKW917408 TUS917408 UEO917408 UOK917408 UYG917408 VIC917408 VRY917408 WBU917408 WLQ917408 WVM917408 C917414 JA917414 SW917414 ACS917414 AMO917414 AWK917414 BGG917414 BQC917414 BZY917414 CJU917414 CTQ917414 DDM917414 DNI917414 DXE917414 EHA917414 EQW917414 FAS917414 FKO917414 FUK917414 GEG917414 GOC917414 GXY917414 HHU917414 HRQ917414 IBM917414 ILI917414 IVE917414 JFA917414 JOW917414 JYS917414 KIO917414 KSK917414 LCG917414 LMC917414 LVY917414 MFU917414 MPQ917414 MZM917414 NJI917414 NTE917414 ODA917414 OMW917414 OWS917414 PGO917414 PQK917414 QAG917414 QKC917414 QTY917414 RDU917414 RNQ917414 RXM917414 SHI917414 SRE917414 TBA917414 TKW917414 TUS917414 UEO917414 UOK917414 UYG917414 VIC917414 VRY917414 WBU917414 WLQ917414 WVM917414 C982944 JA982944 SW982944 ACS982944 AMO982944 AWK982944 BGG982944 BQC982944 BZY982944 CJU982944 CTQ982944 DDM982944 DNI982944 DXE982944 EHA982944 EQW982944 FAS982944 FKO982944 FUK982944 GEG982944 GOC982944 GXY982944 HHU982944 HRQ982944 IBM982944 ILI982944 IVE982944 JFA982944 JOW982944 JYS982944 KIO982944 KSK982944 LCG982944 LMC982944 LVY982944 MFU982944 MPQ982944 MZM982944 NJI982944 NTE982944 ODA982944 OMW982944 OWS982944 PGO982944 PQK982944 QAG982944 QKC982944 QTY982944 RDU982944 RNQ982944 RXM982944 SHI982944 SRE982944 TBA982944 TKW982944 TUS982944 UEO982944 UOK982944 UYG982944 VIC982944 VRY982944 WBU982944 WLQ982944 WVM982944 C982950 JA982950 SW982950 ACS982950 AMO982950 AWK982950 BGG982950 BQC982950 BZY982950 CJU982950 CTQ982950 DDM982950 DNI982950 DXE982950 EHA982950 EQW982950 FAS982950 FKO982950 FUK982950 GEG982950 GOC982950 GXY982950 HHU982950 HRQ982950 IBM982950 ILI982950 IVE982950 JFA982950 JOW982950 JYS982950 KIO982950 KSK982950 LCG982950 LMC982950 LVY982950 MFU982950 MPQ982950 MZM982950 NJI982950 NTE982950 ODA982950 OMW982950 OWS982950 PGO982950 PQK982950 QAG982950 QKC982950 QTY982950 RDU982950 RNQ982950 RXM982950 SHI982950 SRE982950 TBA982950 TKW982950 TUS982950 UEO982950 UOK982950 UYG982950 VIC982950 VRY982950 WBU982950">
      <formula1>#REF!</formula1>
    </dataValidation>
    <dataValidation type="list" allowBlank="1" showInputMessage="1" sqref="C9">
      <formula1>#REF!</formula1>
    </dataValidation>
    <dataValidation type="list" allowBlank="1" showInputMessage="1" sqref="C3">
      <formula1>#REF!</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topLeftCell="A2" zoomScale="70" zoomScaleNormal="70" workbookViewId="0">
      <selection activeCell="D18" sqref="D18"/>
    </sheetView>
  </sheetViews>
  <sheetFormatPr defaultRowHeight="13.5"/>
  <cols>
    <col min="1" max="1" width="9.125" style="527" customWidth="1"/>
    <col min="2" max="2" width="62.75" style="527" bestFit="1" customWidth="1"/>
    <col min="3" max="3" width="57.75" style="527" bestFit="1" customWidth="1"/>
    <col min="4" max="4" width="23.875" style="527" customWidth="1"/>
    <col min="5" max="5" width="24.75" style="527" customWidth="1"/>
    <col min="6" max="6" width="24.375" style="527" customWidth="1"/>
    <col min="7" max="7" width="19" style="527" bestFit="1" customWidth="1"/>
    <col min="8" max="8" width="18.5" style="527" customWidth="1"/>
    <col min="9" max="9" width="23.625" style="527" bestFit="1" customWidth="1"/>
    <col min="10" max="10" width="19.25" style="527" customWidth="1"/>
    <col min="11" max="11" width="19" style="527" bestFit="1" customWidth="1"/>
    <col min="12" max="12" width="9" style="527" customWidth="1"/>
    <col min="13" max="16384" width="9" style="527"/>
  </cols>
  <sheetData>
    <row r="1" spans="1:11" ht="23.25" customHeight="1" thickBot="1">
      <c r="A1" s="358"/>
      <c r="B1" s="668" t="s">
        <v>867</v>
      </c>
      <c r="C1" s="668"/>
      <c r="D1" s="359"/>
      <c r="E1" s="359"/>
      <c r="F1" s="360"/>
      <c r="G1" s="361"/>
      <c r="H1" s="362"/>
      <c r="I1" s="363"/>
      <c r="J1" s="362"/>
      <c r="K1" s="362"/>
    </row>
    <row r="2" spans="1:11" ht="15.75">
      <c r="A2" s="363"/>
      <c r="B2" s="364" t="s">
        <v>868</v>
      </c>
      <c r="C2" s="365" t="s">
        <v>869</v>
      </c>
      <c r="D2" s="361"/>
      <c r="E2" s="362"/>
      <c r="F2" s="363"/>
      <c r="G2" s="362"/>
      <c r="H2" s="362"/>
      <c r="I2" s="362"/>
      <c r="J2" s="362"/>
      <c r="K2" s="362"/>
    </row>
    <row r="3" spans="1:11" ht="15.75">
      <c r="A3" s="363"/>
      <c r="B3" s="366" t="s">
        <v>870</v>
      </c>
      <c r="C3" s="367" t="s">
        <v>871</v>
      </c>
      <c r="D3" s="361"/>
      <c r="E3" s="363"/>
      <c r="F3" s="363"/>
      <c r="G3" s="363"/>
      <c r="H3" s="363"/>
      <c r="I3" s="362"/>
      <c r="J3" s="362"/>
      <c r="K3" s="362"/>
    </row>
    <row r="4" spans="1:11" ht="15.75">
      <c r="A4" s="363"/>
      <c r="B4" s="366" t="s">
        <v>872</v>
      </c>
      <c r="C4" s="368" t="s">
        <v>873</v>
      </c>
      <c r="D4" s="363"/>
      <c r="E4" s="361"/>
      <c r="F4" s="363"/>
      <c r="G4" s="361"/>
      <c r="H4" s="362"/>
      <c r="I4" s="362"/>
      <c r="J4" s="362"/>
      <c r="K4" s="362"/>
    </row>
    <row r="5" spans="1:11" ht="15.75">
      <c r="A5" s="363"/>
      <c r="B5" s="366" t="s">
        <v>874</v>
      </c>
      <c r="C5" s="369" t="s">
        <v>875</v>
      </c>
      <c r="D5" s="361"/>
      <c r="E5" s="361"/>
      <c r="F5" s="363"/>
      <c r="G5" s="363"/>
      <c r="H5" s="363"/>
      <c r="I5" s="362"/>
      <c r="J5" s="362"/>
      <c r="K5" s="362"/>
    </row>
    <row r="6" spans="1:11" ht="15.75">
      <c r="A6" s="363"/>
      <c r="B6" s="366" t="s">
        <v>876</v>
      </c>
      <c r="C6" s="370" t="str">
        <f>VLOOKUP(B31,$B$43:$F$69,5,0)</f>
        <v>Yuki Qiu</v>
      </c>
      <c r="D6" s="371"/>
      <c r="E6" s="363"/>
      <c r="F6" s="363"/>
      <c r="G6" s="363"/>
      <c r="H6" s="363"/>
      <c r="I6" s="362"/>
      <c r="J6" s="362"/>
      <c r="K6" s="362"/>
    </row>
    <row r="7" spans="1:11" ht="15.75">
      <c r="A7" s="363"/>
      <c r="B7" s="366" t="s">
        <v>611</v>
      </c>
      <c r="C7" s="372" t="str">
        <f>VLOOKUP(B31,$B$43:$E$69,4,0)</f>
        <v>Irene Luo</v>
      </c>
      <c r="D7" s="361"/>
      <c r="E7" s="363"/>
      <c r="F7" s="363"/>
      <c r="G7" s="363"/>
      <c r="H7" s="363"/>
      <c r="I7" s="362"/>
      <c r="J7" s="362"/>
      <c r="K7" s="362"/>
    </row>
    <row r="8" spans="1:11" ht="15.75">
      <c r="A8" s="363"/>
      <c r="B8" s="366" t="s">
        <v>612</v>
      </c>
      <c r="C8" s="373" t="s">
        <v>613</v>
      </c>
      <c r="D8" s="361"/>
      <c r="E8" s="363"/>
      <c r="F8" s="363"/>
      <c r="G8" s="363"/>
      <c r="H8" s="363"/>
      <c r="I8" s="362"/>
      <c r="J8" s="362"/>
      <c r="K8" s="362"/>
    </row>
    <row r="9" spans="1:11" ht="15.75">
      <c r="A9" s="363"/>
      <c r="B9" s="366" t="s">
        <v>614</v>
      </c>
      <c r="C9" s="558">
        <f>'Agency Quotation Header-MC'!G35</f>
        <v>54500</v>
      </c>
      <c r="D9" s="361"/>
      <c r="E9" s="363"/>
      <c r="F9" s="363"/>
      <c r="G9" s="363"/>
      <c r="H9" s="363"/>
      <c r="I9" s="362"/>
      <c r="J9" s="362"/>
      <c r="K9" s="362"/>
    </row>
    <row r="10" spans="1:11" ht="15.75">
      <c r="A10" s="363"/>
      <c r="B10" s="366" t="s">
        <v>615</v>
      </c>
      <c r="C10" s="375">
        <v>1</v>
      </c>
      <c r="D10" s="361"/>
      <c r="E10" s="363"/>
      <c r="F10" s="363"/>
      <c r="G10" s="363"/>
      <c r="H10" s="363"/>
      <c r="I10" s="362"/>
      <c r="J10" s="362"/>
      <c r="K10" s="362"/>
    </row>
    <row r="11" spans="1:11" ht="15.75">
      <c r="A11" s="363"/>
      <c r="B11" s="366" t="s">
        <v>877</v>
      </c>
      <c r="C11" s="375">
        <f>C10*C9</f>
        <v>54500</v>
      </c>
      <c r="D11" s="361"/>
      <c r="E11" s="361"/>
      <c r="F11" s="363"/>
      <c r="G11" s="363"/>
      <c r="H11" s="363"/>
      <c r="I11" s="362"/>
      <c r="J11" s="362"/>
      <c r="K11" s="362"/>
    </row>
    <row r="12" spans="1:11" ht="15.75">
      <c r="A12" s="363"/>
      <c r="B12" s="366" t="s">
        <v>616</v>
      </c>
      <c r="C12" s="375">
        <f>C10*1.17</f>
        <v>1.17</v>
      </c>
      <c r="D12" s="361"/>
      <c r="E12" s="361"/>
      <c r="F12" s="363"/>
      <c r="G12" s="363"/>
      <c r="H12" s="363"/>
      <c r="I12" s="362"/>
      <c r="J12" s="362"/>
      <c r="K12" s="362"/>
    </row>
    <row r="13" spans="1:11" ht="15.75">
      <c r="A13" s="363"/>
      <c r="B13" s="366" t="s">
        <v>617</v>
      </c>
      <c r="C13" s="375">
        <f>C12*C9</f>
        <v>63764.999999999993</v>
      </c>
      <c r="D13" s="361"/>
      <c r="E13" s="363"/>
      <c r="F13" s="363"/>
      <c r="G13" s="363"/>
      <c r="H13" s="363"/>
      <c r="I13" s="362"/>
      <c r="J13" s="362"/>
      <c r="K13" s="362"/>
    </row>
    <row r="14" spans="1:11" ht="32.25" customHeight="1">
      <c r="A14" s="363"/>
      <c r="B14" s="376" t="s">
        <v>878</v>
      </c>
      <c r="C14" s="377">
        <v>0.17</v>
      </c>
      <c r="D14" s="361"/>
      <c r="E14" s="363"/>
      <c r="F14" s="363"/>
      <c r="G14" s="363"/>
      <c r="H14" s="363"/>
      <c r="I14" s="362"/>
      <c r="J14" s="362"/>
      <c r="K14" s="362"/>
    </row>
    <row r="15" spans="1:11" ht="15.75">
      <c r="A15" s="363"/>
      <c r="B15" s="366" t="s">
        <v>618</v>
      </c>
      <c r="C15" s="378" t="s">
        <v>879</v>
      </c>
      <c r="D15" s="361"/>
      <c r="E15" s="363"/>
      <c r="F15" s="363"/>
      <c r="G15" s="363"/>
      <c r="H15" s="363"/>
      <c r="I15" s="363"/>
      <c r="J15" s="362"/>
      <c r="K15" s="363"/>
    </row>
    <row r="16" spans="1:11" ht="15.75">
      <c r="A16" s="363"/>
      <c r="B16" s="366" t="s">
        <v>619</v>
      </c>
      <c r="C16" s="418" t="s">
        <v>880</v>
      </c>
      <c r="D16" s="361"/>
      <c r="E16" s="363"/>
      <c r="F16" s="363"/>
      <c r="G16" s="363"/>
      <c r="H16" s="363"/>
      <c r="I16" s="363"/>
      <c r="J16" s="362"/>
      <c r="K16" s="363"/>
    </row>
    <row r="17" spans="1:18" ht="15.75">
      <c r="A17" s="363"/>
      <c r="B17" s="366" t="s">
        <v>620</v>
      </c>
      <c r="C17" s="379" t="s">
        <v>881</v>
      </c>
      <c r="D17" s="361"/>
      <c r="E17" s="363"/>
      <c r="F17" s="363"/>
      <c r="G17" s="363"/>
      <c r="H17" s="363"/>
      <c r="I17" s="362"/>
      <c r="J17" s="362"/>
      <c r="K17" s="362"/>
      <c r="L17" s="362"/>
      <c r="M17" s="362"/>
      <c r="N17" s="362"/>
      <c r="O17" s="362"/>
      <c r="P17" s="362"/>
      <c r="Q17" s="362"/>
      <c r="R17" s="362"/>
    </row>
    <row r="18" spans="1:18" ht="15.75">
      <c r="A18" s="363"/>
      <c r="B18" s="366" t="s">
        <v>621</v>
      </c>
      <c r="C18" s="374" t="s">
        <v>729</v>
      </c>
      <c r="D18" s="361"/>
      <c r="E18" s="363"/>
      <c r="F18" s="363"/>
      <c r="G18" s="363"/>
      <c r="H18" s="363"/>
      <c r="I18" s="362"/>
      <c r="J18" s="362"/>
      <c r="K18" s="362"/>
      <c r="L18" s="362"/>
      <c r="M18" s="362"/>
      <c r="N18" s="362"/>
      <c r="O18" s="362"/>
      <c r="P18" s="362"/>
      <c r="Q18" s="362"/>
      <c r="R18" s="362"/>
    </row>
    <row r="19" spans="1:18" ht="15.75">
      <c r="A19" s="363"/>
      <c r="B19" s="366" t="s">
        <v>622</v>
      </c>
      <c r="C19" s="379"/>
      <c r="D19" s="361"/>
      <c r="E19" s="363"/>
      <c r="F19" s="363"/>
      <c r="G19" s="363"/>
      <c r="H19" s="363"/>
      <c r="I19" s="362"/>
      <c r="J19" s="362"/>
      <c r="K19" s="362"/>
      <c r="L19" s="362"/>
      <c r="M19" s="362"/>
      <c r="N19" s="362"/>
      <c r="O19" s="362"/>
      <c r="P19" s="362"/>
      <c r="Q19" s="362"/>
      <c r="R19" s="362"/>
    </row>
    <row r="20" spans="1:18" s="380" customFormat="1" ht="16.5">
      <c r="B20" s="381" t="s">
        <v>623</v>
      </c>
      <c r="C20" s="419">
        <v>42551</v>
      </c>
      <c r="D20" s="382"/>
      <c r="N20" s="383"/>
    </row>
    <row r="21" spans="1:18" s="380" customFormat="1" ht="16.5">
      <c r="B21" s="381" t="s">
        <v>624</v>
      </c>
      <c r="C21" s="384" t="s">
        <v>882</v>
      </c>
      <c r="D21" s="382"/>
      <c r="N21" s="383"/>
    </row>
    <row r="22" spans="1:18" s="380" customFormat="1" ht="15.75">
      <c r="B22" s="385" t="s">
        <v>625</v>
      </c>
      <c r="C22" s="669" t="s">
        <v>883</v>
      </c>
      <c r="D22" s="382"/>
      <c r="N22" s="383"/>
    </row>
    <row r="23" spans="1:18" s="380" customFormat="1" ht="15.75">
      <c r="B23" s="386" t="s">
        <v>27</v>
      </c>
      <c r="C23" s="670"/>
      <c r="D23" s="382"/>
      <c r="N23" s="383"/>
    </row>
    <row r="24" spans="1:18" s="380" customFormat="1" ht="15.75">
      <c r="B24" s="385" t="s">
        <v>626</v>
      </c>
      <c r="C24" s="387" t="s">
        <v>883</v>
      </c>
      <c r="D24" s="382"/>
      <c r="N24" s="383"/>
    </row>
    <row r="25" spans="1:18" s="380" customFormat="1" ht="15.75">
      <c r="A25" s="388"/>
      <c r="B25" s="385" t="s">
        <v>627</v>
      </c>
      <c r="C25" s="387" t="s">
        <v>883</v>
      </c>
      <c r="D25" s="382"/>
      <c r="N25" s="383"/>
    </row>
    <row r="26" spans="1:18" s="380" customFormat="1" ht="15.75">
      <c r="B26" s="389" t="s">
        <v>628</v>
      </c>
      <c r="C26" s="390" t="s">
        <v>884</v>
      </c>
      <c r="D26" s="382"/>
      <c r="N26" s="383"/>
    </row>
    <row r="27" spans="1:18" s="395" customFormat="1" ht="16.5" thickBot="1">
      <c r="A27" s="391"/>
      <c r="B27" s="392" t="s">
        <v>629</v>
      </c>
      <c r="C27" s="393">
        <v>18028808022</v>
      </c>
      <c r="D27" s="391"/>
      <c r="E27" s="394"/>
      <c r="F27" s="394"/>
      <c r="G27" s="394"/>
      <c r="I27" s="396"/>
      <c r="R27" s="397"/>
    </row>
    <row r="28" spans="1:18" s="395" customFormat="1" ht="21">
      <c r="A28" s="391"/>
      <c r="B28" s="398"/>
      <c r="C28" s="398"/>
      <c r="D28" s="398"/>
      <c r="E28" s="398"/>
      <c r="F28" s="399"/>
      <c r="G28" s="394"/>
      <c r="I28" s="396"/>
      <c r="R28" s="397"/>
    </row>
    <row r="29" spans="1:18" s="396" customFormat="1" ht="30" hidden="1">
      <c r="A29" s="395"/>
      <c r="B29" s="528" t="s">
        <v>630</v>
      </c>
      <c r="C29" s="528" t="s">
        <v>885</v>
      </c>
      <c r="D29" s="529" t="s">
        <v>631</v>
      </c>
      <c r="E29" s="529" t="s">
        <v>632</v>
      </c>
      <c r="F29" s="528" t="s">
        <v>633</v>
      </c>
      <c r="G29" s="528" t="s">
        <v>886</v>
      </c>
      <c r="H29" s="528" t="s">
        <v>887</v>
      </c>
      <c r="I29" s="528" t="s">
        <v>634</v>
      </c>
      <c r="J29" s="528" t="s">
        <v>888</v>
      </c>
      <c r="K29" s="400"/>
      <c r="R29" s="401"/>
    </row>
    <row r="30" spans="1:18" s="396" customFormat="1" ht="15.75" hidden="1">
      <c r="A30" s="395"/>
      <c r="B30" s="528"/>
      <c r="C30" s="528" t="s">
        <v>635</v>
      </c>
      <c r="D30" s="529" t="s">
        <v>636</v>
      </c>
      <c r="E30" s="529" t="s">
        <v>637</v>
      </c>
      <c r="F30" s="528" t="s">
        <v>889</v>
      </c>
      <c r="G30" s="528" t="s">
        <v>638</v>
      </c>
      <c r="H30" s="528" t="s">
        <v>639</v>
      </c>
      <c r="I30" s="528" t="s">
        <v>890</v>
      </c>
      <c r="J30" s="528" t="s">
        <v>891</v>
      </c>
      <c r="K30" s="400"/>
      <c r="R30" s="401"/>
    </row>
    <row r="31" spans="1:18" s="535" customFormat="1" ht="15.75" hidden="1">
      <c r="A31" s="530"/>
      <c r="B31" s="531" t="s">
        <v>754</v>
      </c>
      <c r="C31" s="532">
        <f>'Agency Quotation Header-MC'!G29+'Agency Quotation Header-MC'!G30</f>
        <v>20000</v>
      </c>
      <c r="D31" s="532">
        <f>'[8]PCC 品类报价汇总表'!G38</f>
        <v>804402.82129127823</v>
      </c>
      <c r="E31" s="533">
        <v>0</v>
      </c>
      <c r="F31" s="533">
        <v>0</v>
      </c>
      <c r="G31" s="534">
        <f>ROUND((C31*E31+D31*F31),2)</f>
        <v>0</v>
      </c>
      <c r="H31" s="534">
        <f>C31+D31+G31</f>
        <v>824402.82129127823</v>
      </c>
      <c r="I31" s="534">
        <f>IF((E31+F31)&gt;0,0,ROUND(H31*(VLOOKUP(B31,B43:$D$69,3,0)),2))</f>
        <v>0</v>
      </c>
      <c r="J31" s="534">
        <f>H31+I31</f>
        <v>824402.82129127823</v>
      </c>
      <c r="R31" s="536"/>
    </row>
    <row r="32" spans="1:18" s="395" customFormat="1" ht="15.75" hidden="1">
      <c r="E32" s="402"/>
      <c r="F32" s="402"/>
      <c r="G32" s="402"/>
      <c r="H32" s="402"/>
      <c r="I32" s="396"/>
      <c r="J32" s="403"/>
      <c r="K32" s="404"/>
      <c r="R32" s="397"/>
    </row>
    <row r="33" spans="1:18" s="395" customFormat="1" ht="15.75" hidden="1">
      <c r="E33" s="402"/>
      <c r="F33" s="402"/>
      <c r="G33" s="402"/>
      <c r="H33" s="396"/>
      <c r="I33" s="396"/>
      <c r="J33" s="405"/>
      <c r="K33" s="404"/>
      <c r="R33" s="397"/>
    </row>
    <row r="34" spans="1:18" s="395" customFormat="1" ht="15.75" hidden="1" customHeight="1">
      <c r="B34" s="406" t="s">
        <v>641</v>
      </c>
      <c r="C34" s="671" t="s">
        <v>642</v>
      </c>
      <c r="D34" s="671"/>
      <c r="E34" s="402"/>
      <c r="F34" s="402"/>
      <c r="G34" s="402"/>
      <c r="H34" s="396"/>
      <c r="I34" s="396"/>
      <c r="J34" s="405"/>
      <c r="K34" s="404"/>
      <c r="R34" s="397"/>
    </row>
    <row r="35" spans="1:18" s="395" customFormat="1" ht="15.75" hidden="1">
      <c r="B35" s="407" t="s">
        <v>643</v>
      </c>
      <c r="C35" s="671"/>
      <c r="D35" s="671"/>
      <c r="E35" s="402"/>
      <c r="F35" s="402"/>
      <c r="G35" s="402"/>
      <c r="H35" s="396"/>
      <c r="I35" s="396"/>
      <c r="J35" s="405"/>
      <c r="K35" s="404"/>
      <c r="R35" s="397"/>
    </row>
    <row r="36" spans="1:18" s="395" customFormat="1" ht="15.75" hidden="1">
      <c r="B36" s="408" t="s">
        <v>644</v>
      </c>
      <c r="C36" s="671"/>
      <c r="D36" s="671"/>
      <c r="E36" s="402"/>
      <c r="F36" s="402"/>
      <c r="G36" s="402"/>
      <c r="H36" s="396"/>
      <c r="I36" s="396"/>
      <c r="J36" s="405"/>
      <c r="K36" s="404"/>
      <c r="R36" s="397"/>
    </row>
    <row r="37" spans="1:18" s="395" customFormat="1" ht="15.75" hidden="1">
      <c r="C37" s="671"/>
      <c r="D37" s="671"/>
      <c r="E37" s="402"/>
      <c r="F37" s="402"/>
      <c r="G37" s="402"/>
      <c r="H37" s="396"/>
      <c r="I37" s="396"/>
      <c r="J37" s="405"/>
      <c r="K37" s="404"/>
      <c r="R37" s="397"/>
    </row>
    <row r="38" spans="1:18" s="395" customFormat="1" ht="15.75" hidden="1">
      <c r="C38" s="671"/>
      <c r="D38" s="671"/>
      <c r="E38" s="402"/>
      <c r="F38" s="402"/>
      <c r="G38" s="402"/>
      <c r="H38" s="396"/>
      <c r="I38" s="396"/>
      <c r="J38" s="405"/>
      <c r="K38" s="404"/>
      <c r="R38" s="397"/>
    </row>
    <row r="39" spans="1:18" s="395" customFormat="1" ht="15.75" hidden="1">
      <c r="C39" s="671"/>
      <c r="D39" s="671"/>
      <c r="E39" s="402"/>
      <c r="F39" s="402"/>
      <c r="G39" s="402"/>
      <c r="H39" s="396"/>
      <c r="I39" s="396"/>
      <c r="J39" s="405"/>
      <c r="K39" s="404"/>
      <c r="R39" s="397"/>
    </row>
    <row r="40" spans="1:18" s="395" customFormat="1" ht="15.75" hidden="1">
      <c r="E40" s="402"/>
      <c r="F40" s="402"/>
      <c r="G40" s="402"/>
      <c r="H40" s="396"/>
      <c r="I40" s="396"/>
      <c r="J40" s="405"/>
      <c r="K40" s="404"/>
      <c r="R40" s="397"/>
    </row>
    <row r="41" spans="1:18" s="395" customFormat="1" ht="15.75" hidden="1">
      <c r="B41" s="406" t="s">
        <v>645</v>
      </c>
      <c r="E41" s="402"/>
      <c r="F41" s="402"/>
      <c r="G41" s="402"/>
      <c r="H41" s="396"/>
      <c r="I41" s="396"/>
      <c r="J41" s="405"/>
      <c r="K41" s="404"/>
      <c r="R41" s="397"/>
    </row>
    <row r="42" spans="1:18" s="395" customFormat="1" ht="15.75" hidden="1">
      <c r="B42" s="537" t="s">
        <v>646</v>
      </c>
      <c r="C42" s="538" t="s">
        <v>647</v>
      </c>
      <c r="D42" s="539" t="s">
        <v>648</v>
      </c>
      <c r="E42" s="409" t="s">
        <v>892</v>
      </c>
      <c r="F42" s="409" t="s">
        <v>649</v>
      </c>
      <c r="M42" s="397"/>
    </row>
    <row r="43" spans="1:18" s="395" customFormat="1" ht="15.75" hidden="1">
      <c r="B43" s="540" t="s">
        <v>650</v>
      </c>
      <c r="C43" s="541" t="s">
        <v>651</v>
      </c>
      <c r="D43" s="542">
        <v>0</v>
      </c>
      <c r="E43" s="410" t="s">
        <v>652</v>
      </c>
      <c r="F43" s="410" t="s">
        <v>653</v>
      </c>
      <c r="M43" s="397"/>
    </row>
    <row r="44" spans="1:18" s="395" customFormat="1" ht="15.75" hidden="1">
      <c r="B44" s="543" t="s">
        <v>654</v>
      </c>
      <c r="C44" s="541" t="s">
        <v>655</v>
      </c>
      <c r="D44" s="544">
        <v>0.01</v>
      </c>
      <c r="E44" s="410" t="s">
        <v>652</v>
      </c>
      <c r="F44" s="410" t="s">
        <v>656</v>
      </c>
      <c r="M44" s="397"/>
    </row>
    <row r="45" spans="1:18" s="395" customFormat="1" ht="15.75" hidden="1">
      <c r="B45" s="543" t="s">
        <v>657</v>
      </c>
      <c r="C45" s="541" t="s">
        <v>655</v>
      </c>
      <c r="D45" s="544">
        <v>0.01</v>
      </c>
      <c r="E45" s="410" t="s">
        <v>652</v>
      </c>
      <c r="F45" s="410" t="s">
        <v>656</v>
      </c>
      <c r="M45" s="397"/>
    </row>
    <row r="46" spans="1:18" s="411" customFormat="1" ht="15.75" hidden="1">
      <c r="A46" s="395"/>
      <c r="B46" s="543" t="s">
        <v>658</v>
      </c>
      <c r="C46" s="541" t="s">
        <v>655</v>
      </c>
      <c r="D46" s="544">
        <v>0.01</v>
      </c>
      <c r="E46" s="410" t="s">
        <v>652</v>
      </c>
      <c r="F46" s="410" t="s">
        <v>653</v>
      </c>
    </row>
    <row r="47" spans="1:18" s="412" customFormat="1" ht="15.75" hidden="1">
      <c r="A47" s="395"/>
      <c r="B47" s="540" t="s">
        <v>659</v>
      </c>
      <c r="C47" s="541" t="s">
        <v>655</v>
      </c>
      <c r="D47" s="544">
        <v>0.01</v>
      </c>
      <c r="E47" s="410" t="s">
        <v>652</v>
      </c>
      <c r="F47" s="410" t="s">
        <v>653</v>
      </c>
    </row>
    <row r="48" spans="1:18" s="412" customFormat="1" ht="15.75" hidden="1">
      <c r="A48" s="395"/>
      <c r="B48" s="540" t="s">
        <v>660</v>
      </c>
      <c r="C48" s="541" t="s">
        <v>655</v>
      </c>
      <c r="D48" s="544">
        <v>0.01</v>
      </c>
      <c r="E48" s="410" t="s">
        <v>652</v>
      </c>
      <c r="F48" s="410" t="s">
        <v>653</v>
      </c>
    </row>
    <row r="49" spans="1:6" s="412" customFormat="1" ht="15.75" hidden="1">
      <c r="A49" s="395"/>
      <c r="B49" s="540" t="s">
        <v>661</v>
      </c>
      <c r="C49" s="541" t="s">
        <v>655</v>
      </c>
      <c r="D49" s="544">
        <v>0.01</v>
      </c>
      <c r="E49" s="410" t="s">
        <v>652</v>
      </c>
      <c r="F49" s="410" t="s">
        <v>656</v>
      </c>
    </row>
    <row r="50" spans="1:6" s="412" customFormat="1" ht="15.75" hidden="1">
      <c r="A50" s="395"/>
      <c r="B50" s="540" t="s">
        <v>662</v>
      </c>
      <c r="C50" s="541" t="s">
        <v>655</v>
      </c>
      <c r="D50" s="544">
        <v>0.01</v>
      </c>
      <c r="E50" s="410" t="s">
        <v>652</v>
      </c>
      <c r="F50" s="410" t="s">
        <v>653</v>
      </c>
    </row>
    <row r="51" spans="1:6" s="412" customFormat="1" ht="15.75" hidden="1">
      <c r="A51" s="395"/>
      <c r="B51" s="540" t="s">
        <v>663</v>
      </c>
      <c r="C51" s="541" t="s">
        <v>655</v>
      </c>
      <c r="D51" s="542">
        <v>0</v>
      </c>
      <c r="E51" s="410" t="s">
        <v>652</v>
      </c>
      <c r="F51" s="410" t="s">
        <v>653</v>
      </c>
    </row>
    <row r="52" spans="1:6" s="412" customFormat="1" ht="15.75" hidden="1">
      <c r="A52" s="395"/>
      <c r="B52" s="540" t="s">
        <v>640</v>
      </c>
      <c r="C52" s="541" t="s">
        <v>655</v>
      </c>
      <c r="D52" s="544">
        <v>0.01</v>
      </c>
      <c r="E52" s="410" t="s">
        <v>652</v>
      </c>
      <c r="F52" s="410" t="s">
        <v>653</v>
      </c>
    </row>
    <row r="53" spans="1:6" s="412" customFormat="1" ht="15.75" hidden="1">
      <c r="A53" s="395"/>
      <c r="B53" s="540" t="s">
        <v>664</v>
      </c>
      <c r="C53" s="541" t="s">
        <v>655</v>
      </c>
      <c r="D53" s="544">
        <v>0.01</v>
      </c>
      <c r="E53" s="410" t="s">
        <v>652</v>
      </c>
      <c r="F53" s="410" t="s">
        <v>656</v>
      </c>
    </row>
    <row r="54" spans="1:6" s="412" customFormat="1" ht="15.75" hidden="1">
      <c r="A54" s="395"/>
      <c r="B54" s="540" t="s">
        <v>665</v>
      </c>
      <c r="C54" s="541" t="s">
        <v>655</v>
      </c>
      <c r="D54" s="544">
        <v>0.01</v>
      </c>
      <c r="E54" s="410" t="s">
        <v>652</v>
      </c>
      <c r="F54" s="410" t="s">
        <v>653</v>
      </c>
    </row>
    <row r="55" spans="1:6" s="412" customFormat="1" ht="15.75" hidden="1">
      <c r="A55" s="395"/>
      <c r="B55" s="540" t="s">
        <v>666</v>
      </c>
      <c r="C55" s="541" t="s">
        <v>655</v>
      </c>
      <c r="D55" s="544">
        <v>0.01</v>
      </c>
      <c r="E55" s="410" t="s">
        <v>682</v>
      </c>
      <c r="F55" s="410" t="s">
        <v>667</v>
      </c>
    </row>
    <row r="56" spans="1:6" s="412" customFormat="1" ht="15.75" hidden="1">
      <c r="A56" s="395"/>
      <c r="B56" s="540" t="s">
        <v>668</v>
      </c>
      <c r="C56" s="541" t="s">
        <v>655</v>
      </c>
      <c r="D56" s="544">
        <v>0.01</v>
      </c>
      <c r="E56" s="410" t="s">
        <v>682</v>
      </c>
      <c r="F56" s="410" t="s">
        <v>667</v>
      </c>
    </row>
    <row r="57" spans="1:6" s="412" customFormat="1" ht="15.75" hidden="1">
      <c r="A57" s="395"/>
      <c r="B57" s="540" t="s">
        <v>893</v>
      </c>
      <c r="C57" s="541" t="s">
        <v>655</v>
      </c>
      <c r="D57" s="544">
        <v>0.01</v>
      </c>
      <c r="E57" s="410" t="s">
        <v>682</v>
      </c>
      <c r="F57" s="410" t="s">
        <v>667</v>
      </c>
    </row>
    <row r="58" spans="1:6" s="412" customFormat="1" ht="15.75" hidden="1">
      <c r="A58" s="395"/>
      <c r="B58" s="540" t="s">
        <v>669</v>
      </c>
      <c r="C58" s="541" t="s">
        <v>655</v>
      </c>
      <c r="D58" s="544">
        <v>0.01</v>
      </c>
      <c r="E58" s="410" t="s">
        <v>682</v>
      </c>
      <c r="F58" s="410" t="s">
        <v>667</v>
      </c>
    </row>
    <row r="59" spans="1:6" s="412" customFormat="1" ht="15.75" hidden="1">
      <c r="A59" s="395"/>
      <c r="B59" s="540" t="s">
        <v>670</v>
      </c>
      <c r="C59" s="541" t="s">
        <v>655</v>
      </c>
      <c r="D59" s="544">
        <v>0.01</v>
      </c>
      <c r="E59" s="410" t="s">
        <v>682</v>
      </c>
      <c r="F59" s="410" t="s">
        <v>667</v>
      </c>
    </row>
    <row r="60" spans="1:6" s="412" customFormat="1" ht="15.75" hidden="1">
      <c r="A60" s="395"/>
      <c r="B60" s="540" t="s">
        <v>671</v>
      </c>
      <c r="C60" s="541" t="s">
        <v>655</v>
      </c>
      <c r="D60" s="544">
        <v>0.01</v>
      </c>
      <c r="E60" s="410" t="s">
        <v>682</v>
      </c>
      <c r="F60" s="410" t="s">
        <v>667</v>
      </c>
    </row>
    <row r="61" spans="1:6" s="412" customFormat="1" ht="15.75" hidden="1">
      <c r="A61" s="395"/>
      <c r="B61" s="545" t="s">
        <v>672</v>
      </c>
      <c r="C61" s="546" t="s">
        <v>655</v>
      </c>
      <c r="D61" s="544">
        <v>0.01</v>
      </c>
      <c r="E61" s="410" t="s">
        <v>652</v>
      </c>
      <c r="F61" s="410" t="s">
        <v>673</v>
      </c>
    </row>
    <row r="62" spans="1:6" s="412" customFormat="1" ht="15.75" hidden="1">
      <c r="A62" s="395"/>
      <c r="B62" s="545" t="s">
        <v>674</v>
      </c>
      <c r="C62" s="546" t="s">
        <v>655</v>
      </c>
      <c r="D62" s="544">
        <v>0.01</v>
      </c>
      <c r="E62" s="410" t="s">
        <v>652</v>
      </c>
      <c r="F62" s="410" t="s">
        <v>673</v>
      </c>
    </row>
    <row r="63" spans="1:6" s="412" customFormat="1" ht="15.75" hidden="1">
      <c r="A63" s="395"/>
      <c r="B63" s="545" t="s">
        <v>675</v>
      </c>
      <c r="C63" s="546" t="s">
        <v>655</v>
      </c>
      <c r="D63" s="544">
        <v>0.01</v>
      </c>
      <c r="E63" s="410" t="s">
        <v>652</v>
      </c>
      <c r="F63" s="410" t="s">
        <v>673</v>
      </c>
    </row>
    <row r="64" spans="1:6" s="412" customFormat="1" ht="15.75" hidden="1">
      <c r="A64" s="395"/>
      <c r="B64" s="545" t="s">
        <v>676</v>
      </c>
      <c r="C64" s="546" t="s">
        <v>651</v>
      </c>
      <c r="D64" s="544">
        <v>0</v>
      </c>
      <c r="E64" s="410" t="s">
        <v>652</v>
      </c>
      <c r="F64" s="410" t="s">
        <v>673</v>
      </c>
    </row>
    <row r="65" spans="1:9" s="412" customFormat="1" ht="15.75" hidden="1">
      <c r="A65" s="395"/>
      <c r="B65" s="540" t="s">
        <v>677</v>
      </c>
      <c r="C65" s="541" t="s">
        <v>655</v>
      </c>
      <c r="D65" s="544">
        <v>0.01</v>
      </c>
      <c r="E65" s="410" t="s">
        <v>652</v>
      </c>
      <c r="F65" s="410" t="s">
        <v>673</v>
      </c>
    </row>
    <row r="66" spans="1:9" s="412" customFormat="1" ht="15.75" hidden="1">
      <c r="A66" s="395"/>
      <c r="B66" s="540" t="s">
        <v>678</v>
      </c>
      <c r="C66" s="541" t="s">
        <v>655</v>
      </c>
      <c r="D66" s="544">
        <v>0.01</v>
      </c>
      <c r="E66" s="410" t="s">
        <v>652</v>
      </c>
      <c r="F66" s="410" t="s">
        <v>673</v>
      </c>
    </row>
    <row r="67" spans="1:9" s="412" customFormat="1" ht="15.75" hidden="1">
      <c r="A67" s="395"/>
      <c r="B67" s="540" t="s">
        <v>679</v>
      </c>
      <c r="C67" s="541" t="s">
        <v>655</v>
      </c>
      <c r="D67" s="544">
        <v>0.01</v>
      </c>
      <c r="E67" s="410" t="s">
        <v>652</v>
      </c>
      <c r="F67" s="410" t="s">
        <v>673</v>
      </c>
    </row>
    <row r="68" spans="1:9" s="412" customFormat="1" ht="15.75" hidden="1">
      <c r="A68" s="395"/>
      <c r="B68" s="540" t="s">
        <v>680</v>
      </c>
      <c r="C68" s="541" t="s">
        <v>655</v>
      </c>
      <c r="D68" s="544">
        <v>0.01</v>
      </c>
      <c r="E68" s="410" t="s">
        <v>652</v>
      </c>
      <c r="F68" s="410" t="s">
        <v>673</v>
      </c>
    </row>
    <row r="69" spans="1:9" s="412" customFormat="1" ht="15.75" hidden="1">
      <c r="A69" s="395"/>
      <c r="B69" s="540" t="s">
        <v>681</v>
      </c>
      <c r="C69" s="541" t="s">
        <v>655</v>
      </c>
      <c r="D69" s="544">
        <v>0.01</v>
      </c>
      <c r="E69" s="410" t="s">
        <v>682</v>
      </c>
      <c r="F69" s="410" t="s">
        <v>667</v>
      </c>
    </row>
    <row r="70" spans="1:9" s="412" customFormat="1" ht="15.75" hidden="1">
      <c r="A70" s="395"/>
      <c r="B70" s="540" t="s">
        <v>683</v>
      </c>
      <c r="C70" s="541" t="s">
        <v>655</v>
      </c>
      <c r="D70" s="544">
        <v>0.01</v>
      </c>
      <c r="E70" s="410" t="s">
        <v>682</v>
      </c>
      <c r="F70" s="410" t="s">
        <v>667</v>
      </c>
    </row>
    <row r="71" spans="1:9" s="412" customFormat="1" ht="15.75" hidden="1">
      <c r="A71" s="395"/>
      <c r="B71" s="547" t="s">
        <v>684</v>
      </c>
      <c r="C71" s="541" t="s">
        <v>655</v>
      </c>
      <c r="D71" s="544">
        <v>0.01</v>
      </c>
      <c r="E71" s="410" t="s">
        <v>652</v>
      </c>
      <c r="F71" s="410" t="s">
        <v>667</v>
      </c>
    </row>
    <row r="72" spans="1:9" s="412" customFormat="1" ht="15.75" hidden="1">
      <c r="A72" s="395"/>
      <c r="B72" s="547" t="s">
        <v>894</v>
      </c>
      <c r="C72" s="541" t="s">
        <v>655</v>
      </c>
      <c r="D72" s="544">
        <v>0.01</v>
      </c>
      <c r="E72" s="410" t="s">
        <v>652</v>
      </c>
      <c r="F72" s="410" t="s">
        <v>673</v>
      </c>
    </row>
    <row r="73" spans="1:9" s="412" customFormat="1" ht="15.75" hidden="1">
      <c r="E73" s="413"/>
      <c r="F73" s="413"/>
      <c r="G73" s="413"/>
      <c r="I73" s="414"/>
    </row>
    <row r="74" spans="1:9" s="412" customFormat="1" ht="15.75" hidden="1">
      <c r="B74" s="415" t="s">
        <v>685</v>
      </c>
      <c r="C74" s="415" t="s">
        <v>895</v>
      </c>
      <c r="D74" s="415" t="s">
        <v>686</v>
      </c>
      <c r="E74" s="413"/>
      <c r="F74" s="413"/>
      <c r="G74" s="413"/>
      <c r="I74" s="414"/>
    </row>
    <row r="75" spans="1:9" s="412" customFormat="1" ht="15.75" hidden="1">
      <c r="B75" s="548" t="s">
        <v>687</v>
      </c>
      <c r="C75" s="548" t="s">
        <v>688</v>
      </c>
      <c r="D75" s="549" t="s">
        <v>689</v>
      </c>
      <c r="G75" s="413"/>
      <c r="I75" s="414"/>
    </row>
    <row r="76" spans="1:9" s="412" customFormat="1" ht="15.75" hidden="1">
      <c r="B76" s="686" t="s">
        <v>690</v>
      </c>
      <c r="C76" s="548" t="s">
        <v>691</v>
      </c>
      <c r="D76" s="549" t="s">
        <v>692</v>
      </c>
      <c r="G76" s="413"/>
      <c r="I76" s="414"/>
    </row>
    <row r="77" spans="1:9" ht="15.75" hidden="1">
      <c r="A77" s="363"/>
      <c r="B77" s="686"/>
      <c r="C77" s="548" t="s">
        <v>693</v>
      </c>
      <c r="D77" s="549" t="s">
        <v>694</v>
      </c>
      <c r="E77" s="362"/>
      <c r="F77" s="362"/>
      <c r="G77" s="361"/>
      <c r="H77" s="416"/>
      <c r="I77" s="417"/>
    </row>
    <row r="78" spans="1:9" ht="15.75" hidden="1">
      <c r="A78" s="363"/>
      <c r="B78" s="686"/>
      <c r="C78" s="548" t="s">
        <v>695</v>
      </c>
      <c r="D78" s="549" t="s">
        <v>696</v>
      </c>
      <c r="E78" s="362"/>
      <c r="F78" s="362"/>
      <c r="G78" s="361"/>
      <c r="H78" s="416"/>
      <c r="I78" s="417"/>
    </row>
    <row r="79" spans="1:9" ht="15.75" hidden="1">
      <c r="A79" s="363"/>
      <c r="B79" s="686" t="s">
        <v>697</v>
      </c>
      <c r="C79" s="548" t="s">
        <v>691</v>
      </c>
      <c r="D79" s="549" t="s">
        <v>698</v>
      </c>
      <c r="E79" s="362"/>
      <c r="F79" s="362"/>
      <c r="G79" s="361"/>
      <c r="H79" s="416"/>
      <c r="I79" s="417"/>
    </row>
    <row r="80" spans="1:9" ht="15.75" hidden="1">
      <c r="A80" s="363"/>
      <c r="B80" s="686"/>
      <c r="C80" s="548" t="s">
        <v>699</v>
      </c>
      <c r="D80" s="549" t="s">
        <v>700</v>
      </c>
      <c r="E80" s="362"/>
      <c r="F80" s="362"/>
      <c r="G80" s="361"/>
      <c r="H80" s="416"/>
      <c r="I80" s="417"/>
    </row>
    <row r="81" spans="1:11" ht="15.75" hidden="1">
      <c r="A81" s="363"/>
      <c r="B81" s="686"/>
      <c r="C81" s="548" t="s">
        <v>701</v>
      </c>
      <c r="D81" s="549" t="s">
        <v>702</v>
      </c>
      <c r="E81" s="362"/>
      <c r="F81" s="362"/>
      <c r="G81" s="361"/>
      <c r="H81" s="416"/>
      <c r="I81" s="417"/>
      <c r="J81" s="416"/>
      <c r="K81" s="361"/>
    </row>
    <row r="82" spans="1:11" ht="15.75" hidden="1">
      <c r="A82" s="363"/>
      <c r="B82" s="686" t="s">
        <v>703</v>
      </c>
      <c r="C82" s="548" t="s">
        <v>691</v>
      </c>
      <c r="D82" s="549" t="s">
        <v>704</v>
      </c>
      <c r="E82" s="362"/>
      <c r="F82" s="362"/>
      <c r="G82" s="361"/>
      <c r="H82" s="416"/>
      <c r="I82" s="417"/>
      <c r="J82" s="416"/>
      <c r="K82" s="361"/>
    </row>
    <row r="83" spans="1:11" ht="15.75" hidden="1">
      <c r="A83" s="363"/>
      <c r="B83" s="686"/>
      <c r="C83" s="548" t="s">
        <v>705</v>
      </c>
      <c r="D83" s="549" t="s">
        <v>706</v>
      </c>
      <c r="E83" s="362"/>
      <c r="F83" s="362"/>
      <c r="G83" s="361"/>
      <c r="H83" s="416"/>
      <c r="I83" s="417"/>
      <c r="J83" s="416"/>
      <c r="K83" s="361"/>
    </row>
    <row r="84" spans="1:11" ht="15.75" hidden="1">
      <c r="A84" s="363"/>
      <c r="B84" s="686"/>
      <c r="C84" s="548" t="s">
        <v>707</v>
      </c>
      <c r="D84" s="549" t="s">
        <v>708</v>
      </c>
      <c r="E84" s="362"/>
      <c r="F84" s="362"/>
      <c r="G84" s="361"/>
      <c r="H84" s="416"/>
      <c r="I84" s="417"/>
      <c r="J84" s="416"/>
      <c r="K84" s="361"/>
    </row>
    <row r="85" spans="1:11" ht="15.75" hidden="1">
      <c r="A85" s="363"/>
      <c r="B85" s="686"/>
      <c r="C85" s="548" t="s">
        <v>709</v>
      </c>
      <c r="D85" s="549" t="s">
        <v>710</v>
      </c>
      <c r="E85" s="362"/>
      <c r="F85" s="362"/>
      <c r="G85" s="361"/>
      <c r="H85" s="416"/>
      <c r="I85" s="417"/>
      <c r="J85" s="416"/>
      <c r="K85" s="361"/>
    </row>
    <row r="86" spans="1:11" ht="15.75" hidden="1">
      <c r="A86" s="363"/>
      <c r="B86" s="686"/>
      <c r="C86" s="548" t="s">
        <v>711</v>
      </c>
      <c r="D86" s="549" t="s">
        <v>712</v>
      </c>
      <c r="E86" s="362"/>
      <c r="F86" s="362"/>
      <c r="G86" s="361"/>
      <c r="H86" s="416"/>
      <c r="I86" s="417"/>
      <c r="J86" s="416"/>
      <c r="K86" s="361"/>
    </row>
    <row r="87" spans="1:11" ht="15.75" hidden="1">
      <c r="A87" s="363"/>
      <c r="B87" s="686"/>
      <c r="C87" s="550" t="s">
        <v>713</v>
      </c>
      <c r="D87" s="551" t="s">
        <v>714</v>
      </c>
      <c r="E87" s="362"/>
      <c r="F87" s="362"/>
      <c r="G87" s="361"/>
      <c r="H87" s="416"/>
      <c r="I87" s="417"/>
      <c r="J87" s="416"/>
      <c r="K87" s="361"/>
    </row>
    <row r="88" spans="1:11" ht="15.75" hidden="1">
      <c r="A88" s="362"/>
      <c r="B88" s="686"/>
      <c r="C88" s="550" t="s">
        <v>715</v>
      </c>
      <c r="D88" s="551" t="s">
        <v>716</v>
      </c>
      <c r="E88" s="362"/>
      <c r="F88" s="362"/>
      <c r="G88" s="361"/>
      <c r="H88" s="362"/>
      <c r="I88" s="363"/>
      <c r="J88" s="362"/>
      <c r="K88" s="362"/>
    </row>
    <row r="89" spans="1:11" ht="15.75" hidden="1">
      <c r="A89" s="362"/>
      <c r="B89" s="686"/>
      <c r="C89" s="550" t="s">
        <v>717</v>
      </c>
      <c r="D89" s="551" t="s">
        <v>717</v>
      </c>
      <c r="E89" s="362"/>
      <c r="F89" s="362"/>
      <c r="G89" s="361"/>
      <c r="H89" s="362"/>
      <c r="I89" s="363"/>
      <c r="J89" s="362"/>
      <c r="K89" s="362"/>
    </row>
    <row r="90" spans="1:11" ht="15.75" hidden="1">
      <c r="A90" s="363"/>
      <c r="B90" s="686"/>
      <c r="C90" s="550" t="s">
        <v>718</v>
      </c>
      <c r="D90" s="551" t="s">
        <v>719</v>
      </c>
      <c r="E90" s="362"/>
      <c r="F90" s="362"/>
      <c r="G90" s="361"/>
      <c r="H90" s="416"/>
      <c r="I90" s="417"/>
      <c r="J90" s="416"/>
      <c r="K90" s="361"/>
    </row>
    <row r="91" spans="1:11" ht="15.75" hidden="1">
      <c r="A91" s="363"/>
      <c r="B91" s="686" t="s">
        <v>720</v>
      </c>
      <c r="C91" s="548" t="s">
        <v>691</v>
      </c>
      <c r="D91" s="549" t="s">
        <v>721</v>
      </c>
      <c r="E91" s="362"/>
      <c r="F91" s="362"/>
      <c r="G91" s="361"/>
      <c r="H91" s="416"/>
      <c r="I91" s="417"/>
      <c r="J91" s="416"/>
      <c r="K91" s="361"/>
    </row>
    <row r="92" spans="1:11" ht="15.75" hidden="1">
      <c r="A92" s="363"/>
      <c r="B92" s="686"/>
      <c r="C92" s="548" t="s">
        <v>722</v>
      </c>
      <c r="D92" s="549" t="s">
        <v>723</v>
      </c>
      <c r="E92" s="362"/>
      <c r="F92" s="362"/>
      <c r="G92" s="361"/>
      <c r="H92" s="416"/>
      <c r="I92" s="417"/>
      <c r="J92" s="416"/>
      <c r="K92" s="361"/>
    </row>
    <row r="93" spans="1:11" ht="15.75" hidden="1">
      <c r="A93" s="363"/>
      <c r="B93" s="686"/>
      <c r="C93" s="548" t="s">
        <v>724</v>
      </c>
      <c r="D93" s="549" t="s">
        <v>725</v>
      </c>
      <c r="E93" s="362"/>
      <c r="F93" s="362"/>
      <c r="G93" s="361"/>
      <c r="H93" s="416"/>
      <c r="I93" s="417"/>
      <c r="J93" s="416"/>
      <c r="K93" s="361"/>
    </row>
    <row r="94" spans="1:11" ht="15.75" hidden="1">
      <c r="A94" s="363"/>
      <c r="B94" s="686" t="s">
        <v>726</v>
      </c>
      <c r="C94" s="548" t="s">
        <v>691</v>
      </c>
      <c r="D94" s="549" t="s">
        <v>726</v>
      </c>
      <c r="E94" s="362"/>
      <c r="F94" s="362"/>
      <c r="G94" s="361"/>
      <c r="H94" s="416"/>
      <c r="I94" s="417"/>
      <c r="J94" s="416"/>
      <c r="K94" s="361"/>
    </row>
    <row r="95" spans="1:11" ht="15.75" hidden="1">
      <c r="A95" s="363"/>
      <c r="B95" s="686"/>
      <c r="C95" s="548" t="s">
        <v>727</v>
      </c>
      <c r="D95" s="549" t="s">
        <v>728</v>
      </c>
      <c r="E95" s="361"/>
      <c r="F95" s="361"/>
      <c r="G95" s="361"/>
      <c r="H95" s="416"/>
      <c r="I95" s="417"/>
      <c r="J95" s="416"/>
      <c r="K95" s="361"/>
    </row>
    <row r="96" spans="1:11" ht="15.75" hidden="1">
      <c r="A96" s="363"/>
      <c r="B96" s="686"/>
      <c r="C96" s="548" t="s">
        <v>729</v>
      </c>
      <c r="D96" s="549" t="s">
        <v>730</v>
      </c>
      <c r="E96" s="361"/>
      <c r="F96" s="361"/>
      <c r="G96" s="361"/>
      <c r="H96" s="416"/>
      <c r="I96" s="417"/>
      <c r="J96" s="416"/>
      <c r="K96" s="361"/>
    </row>
    <row r="97" spans="2:4" ht="14.25" hidden="1">
      <c r="B97" s="686"/>
      <c r="C97" s="548" t="s">
        <v>731</v>
      </c>
      <c r="D97" s="549" t="s">
        <v>732</v>
      </c>
    </row>
    <row r="98" spans="2:4" ht="14.25" hidden="1">
      <c r="B98" s="686" t="s">
        <v>733</v>
      </c>
      <c r="C98" s="548" t="s">
        <v>691</v>
      </c>
      <c r="D98" s="549" t="s">
        <v>734</v>
      </c>
    </row>
    <row r="99" spans="2:4" ht="14.25" hidden="1">
      <c r="B99" s="686"/>
      <c r="C99" s="548" t="s">
        <v>735</v>
      </c>
      <c r="D99" s="549" t="s">
        <v>735</v>
      </c>
    </row>
    <row r="100" spans="2:4" ht="14.25" hidden="1">
      <c r="B100" s="686"/>
      <c r="C100" s="548" t="s">
        <v>736</v>
      </c>
      <c r="D100" s="549" t="s">
        <v>737</v>
      </c>
    </row>
    <row r="101" spans="2:4" ht="14.25" hidden="1">
      <c r="B101" s="686"/>
      <c r="C101" s="548" t="s">
        <v>738</v>
      </c>
      <c r="D101" s="549" t="s">
        <v>739</v>
      </c>
    </row>
    <row r="102" spans="2:4" ht="14.25" hidden="1">
      <c r="B102" s="548" t="s">
        <v>21</v>
      </c>
      <c r="C102" s="548" t="s">
        <v>21</v>
      </c>
      <c r="D102" s="549" t="s">
        <v>740</v>
      </c>
    </row>
    <row r="103" spans="2:4" ht="14.25" hidden="1">
      <c r="B103" s="548" t="s">
        <v>741</v>
      </c>
      <c r="C103" s="548" t="s">
        <v>742</v>
      </c>
      <c r="D103" s="549" t="s">
        <v>743</v>
      </c>
    </row>
    <row r="104" spans="2:4" ht="14.25" hidden="1">
      <c r="B104" s="548" t="s">
        <v>744</v>
      </c>
      <c r="C104" s="548" t="s">
        <v>744</v>
      </c>
      <c r="D104" s="549" t="s">
        <v>745</v>
      </c>
    </row>
    <row r="105" spans="2:4" ht="14.25" hidden="1">
      <c r="B105" s="548" t="s">
        <v>746</v>
      </c>
      <c r="C105" s="548" t="s">
        <v>746</v>
      </c>
      <c r="D105" s="549" t="s">
        <v>746</v>
      </c>
    </row>
    <row r="106" spans="2:4" ht="14.25" hidden="1">
      <c r="B106" s="686" t="s">
        <v>747</v>
      </c>
      <c r="C106" s="548" t="s">
        <v>747</v>
      </c>
      <c r="D106" s="549" t="s">
        <v>748</v>
      </c>
    </row>
    <row r="107" spans="2:4" ht="14.25" hidden="1">
      <c r="B107" s="686"/>
      <c r="C107" s="548" t="s">
        <v>749</v>
      </c>
      <c r="D107" s="549" t="s">
        <v>750</v>
      </c>
    </row>
    <row r="108" spans="2:4" ht="14.25" hidden="1">
      <c r="B108" s="548" t="s">
        <v>751</v>
      </c>
      <c r="C108" s="548" t="s">
        <v>751</v>
      </c>
      <c r="D108" s="549" t="s">
        <v>752</v>
      </c>
    </row>
    <row r="109" spans="2:4" ht="15.75">
      <c r="B109" s="362"/>
      <c r="C109" s="362"/>
      <c r="D109" s="362"/>
    </row>
  </sheetData>
  <protectedRanges>
    <protectedRange sqref="C2" name="範圍1_2"/>
    <protectedRange sqref="C20:C21" name="範圍1_1_2_1"/>
    <protectedRange sqref="C22:C23" name="範圍1_1_2_1_1"/>
    <protectedRange sqref="C24:C25" name="範圍1_1_2_1_2"/>
  </protectedRanges>
  <mergeCells count="10">
    <mergeCell ref="B1:C1"/>
    <mergeCell ref="C22:C23"/>
    <mergeCell ref="C34:D39"/>
    <mergeCell ref="B76:B78"/>
    <mergeCell ref="B79:B81"/>
    <mergeCell ref="B91:B93"/>
    <mergeCell ref="B94:B97"/>
    <mergeCell ref="B98:B101"/>
    <mergeCell ref="B106:B107"/>
    <mergeCell ref="B82:B90"/>
  </mergeCells>
  <phoneticPr fontId="29" type="noConversion"/>
  <dataValidations count="4">
    <dataValidation type="list" allowBlank="1" showInputMessage="1" showErrorMessage="1" sqref="C18">
      <formula1>$C$75:$C$108</formula1>
    </dataValidation>
    <dataValidation type="list" allowBlank="1" showInputMessage="1" sqref="C2">
      <formula1>$M$3:$S$3</formula1>
    </dataValidation>
    <dataValidation type="list" allowBlank="1" showInputMessage="1" sqref="C8">
      <formula1>$I$2:$N$2</formula1>
    </dataValidation>
    <dataValidation type="list" allowBlank="1" showInputMessage="1" showErrorMessage="1" sqref="B31">
      <formula1>$B$43:$B$72</formula1>
    </dataValidation>
  </dataValidations>
  <printOptions horizontalCentered="1"/>
  <pageMargins left="0.2361111111111111" right="0.15694444444444444" top="0.46944444444444444" bottom="0.50972222222222219" header="0.15902777777777777" footer="0.2361111111111111"/>
  <pageSetup paperSize="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H53"/>
  <sheetViews>
    <sheetView zoomScale="80" zoomScaleNormal="80" workbookViewId="0">
      <selection activeCell="D51" sqref="D51"/>
    </sheetView>
  </sheetViews>
  <sheetFormatPr defaultColWidth="6.375" defaultRowHeight="12.75"/>
  <cols>
    <col min="1" max="1" width="3.875" style="468" customWidth="1"/>
    <col min="2" max="2" width="4.75" style="481" bestFit="1" customWidth="1"/>
    <col min="3" max="3" width="34" style="468" bestFit="1" customWidth="1"/>
    <col min="4" max="4" width="37.75" style="468" customWidth="1"/>
    <col min="5" max="5" width="13.125" style="468" customWidth="1"/>
    <col min="6" max="7" width="13.375" style="469" customWidth="1"/>
    <col min="8" max="8" width="12.625" style="468" customWidth="1"/>
    <col min="9" max="252" width="9" style="468" customWidth="1"/>
    <col min="253" max="256" width="6.375" style="468"/>
    <col min="257" max="257" width="3.875" style="468" customWidth="1"/>
    <col min="258" max="258" width="4.75" style="468" bestFit="1" customWidth="1"/>
    <col min="259" max="259" width="34" style="468" bestFit="1" customWidth="1"/>
    <col min="260" max="260" width="36.375" style="468" customWidth="1"/>
    <col min="261" max="263" width="0" style="468" hidden="1" customWidth="1"/>
    <col min="264" max="264" width="12.625" style="468" customWidth="1"/>
    <col min="265" max="508" width="9" style="468" customWidth="1"/>
    <col min="509" max="512" width="6.375" style="468"/>
    <col min="513" max="513" width="3.875" style="468" customWidth="1"/>
    <col min="514" max="514" width="4.75" style="468" bestFit="1" customWidth="1"/>
    <col min="515" max="515" width="34" style="468" bestFit="1" customWidth="1"/>
    <col min="516" max="516" width="36.375" style="468" customWidth="1"/>
    <col min="517" max="519" width="0" style="468" hidden="1" customWidth="1"/>
    <col min="520" max="520" width="12.625" style="468" customWidth="1"/>
    <col min="521" max="764" width="9" style="468" customWidth="1"/>
    <col min="765" max="768" width="6.375" style="468"/>
    <col min="769" max="769" width="3.875" style="468" customWidth="1"/>
    <col min="770" max="770" width="4.75" style="468" bestFit="1" customWidth="1"/>
    <col min="771" max="771" width="34" style="468" bestFit="1" customWidth="1"/>
    <col min="772" max="772" width="36.375" style="468" customWidth="1"/>
    <col min="773" max="775" width="0" style="468" hidden="1" customWidth="1"/>
    <col min="776" max="776" width="12.625" style="468" customWidth="1"/>
    <col min="777" max="1020" width="9" style="468" customWidth="1"/>
    <col min="1021" max="1024" width="6.375" style="468"/>
    <col min="1025" max="1025" width="3.875" style="468" customWidth="1"/>
    <col min="1026" max="1026" width="4.75" style="468" bestFit="1" customWidth="1"/>
    <col min="1027" max="1027" width="34" style="468" bestFit="1" customWidth="1"/>
    <col min="1028" max="1028" width="36.375" style="468" customWidth="1"/>
    <col min="1029" max="1031" width="0" style="468" hidden="1" customWidth="1"/>
    <col min="1032" max="1032" width="12.625" style="468" customWidth="1"/>
    <col min="1033" max="1276" width="9" style="468" customWidth="1"/>
    <col min="1277" max="1280" width="6.375" style="468"/>
    <col min="1281" max="1281" width="3.875" style="468" customWidth="1"/>
    <col min="1282" max="1282" width="4.75" style="468" bestFit="1" customWidth="1"/>
    <col min="1283" max="1283" width="34" style="468" bestFit="1" customWidth="1"/>
    <col min="1284" max="1284" width="36.375" style="468" customWidth="1"/>
    <col min="1285" max="1287" width="0" style="468" hidden="1" customWidth="1"/>
    <col min="1288" max="1288" width="12.625" style="468" customWidth="1"/>
    <col min="1289" max="1532" width="9" style="468" customWidth="1"/>
    <col min="1533" max="1536" width="6.375" style="468"/>
    <col min="1537" max="1537" width="3.875" style="468" customWidth="1"/>
    <col min="1538" max="1538" width="4.75" style="468" bestFit="1" customWidth="1"/>
    <col min="1539" max="1539" width="34" style="468" bestFit="1" customWidth="1"/>
    <col min="1540" max="1540" width="36.375" style="468" customWidth="1"/>
    <col min="1541" max="1543" width="0" style="468" hidden="1" customWidth="1"/>
    <col min="1544" max="1544" width="12.625" style="468" customWidth="1"/>
    <col min="1545" max="1788" width="9" style="468" customWidth="1"/>
    <col min="1789" max="1792" width="6.375" style="468"/>
    <col min="1793" max="1793" width="3.875" style="468" customWidth="1"/>
    <col min="1794" max="1794" width="4.75" style="468" bestFit="1" customWidth="1"/>
    <col min="1795" max="1795" width="34" style="468" bestFit="1" customWidth="1"/>
    <col min="1796" max="1796" width="36.375" style="468" customWidth="1"/>
    <col min="1797" max="1799" width="0" style="468" hidden="1" customWidth="1"/>
    <col min="1800" max="1800" width="12.625" style="468" customWidth="1"/>
    <col min="1801" max="2044" width="9" style="468" customWidth="1"/>
    <col min="2045" max="2048" width="6.375" style="468"/>
    <col min="2049" max="2049" width="3.875" style="468" customWidth="1"/>
    <col min="2050" max="2050" width="4.75" style="468" bestFit="1" customWidth="1"/>
    <col min="2051" max="2051" width="34" style="468" bestFit="1" customWidth="1"/>
    <col min="2052" max="2052" width="36.375" style="468" customWidth="1"/>
    <col min="2053" max="2055" width="0" style="468" hidden="1" customWidth="1"/>
    <col min="2056" max="2056" width="12.625" style="468" customWidth="1"/>
    <col min="2057" max="2300" width="9" style="468" customWidth="1"/>
    <col min="2301" max="2304" width="6.375" style="468"/>
    <col min="2305" max="2305" width="3.875" style="468" customWidth="1"/>
    <col min="2306" max="2306" width="4.75" style="468" bestFit="1" customWidth="1"/>
    <col min="2307" max="2307" width="34" style="468" bestFit="1" customWidth="1"/>
    <col min="2308" max="2308" width="36.375" style="468" customWidth="1"/>
    <col min="2309" max="2311" width="0" style="468" hidden="1" customWidth="1"/>
    <col min="2312" max="2312" width="12.625" style="468" customWidth="1"/>
    <col min="2313" max="2556" width="9" style="468" customWidth="1"/>
    <col min="2557" max="2560" width="6.375" style="468"/>
    <col min="2561" max="2561" width="3.875" style="468" customWidth="1"/>
    <col min="2562" max="2562" width="4.75" style="468" bestFit="1" customWidth="1"/>
    <col min="2563" max="2563" width="34" style="468" bestFit="1" customWidth="1"/>
    <col min="2564" max="2564" width="36.375" style="468" customWidth="1"/>
    <col min="2565" max="2567" width="0" style="468" hidden="1" customWidth="1"/>
    <col min="2568" max="2568" width="12.625" style="468" customWidth="1"/>
    <col min="2569" max="2812" width="9" style="468" customWidth="1"/>
    <col min="2813" max="2816" width="6.375" style="468"/>
    <col min="2817" max="2817" width="3.875" style="468" customWidth="1"/>
    <col min="2818" max="2818" width="4.75" style="468" bestFit="1" customWidth="1"/>
    <col min="2819" max="2819" width="34" style="468" bestFit="1" customWidth="1"/>
    <col min="2820" max="2820" width="36.375" style="468" customWidth="1"/>
    <col min="2821" max="2823" width="0" style="468" hidden="1" customWidth="1"/>
    <col min="2824" max="2824" width="12.625" style="468" customWidth="1"/>
    <col min="2825" max="3068" width="9" style="468" customWidth="1"/>
    <col min="3069" max="3072" width="6.375" style="468"/>
    <col min="3073" max="3073" width="3.875" style="468" customWidth="1"/>
    <col min="3074" max="3074" width="4.75" style="468" bestFit="1" customWidth="1"/>
    <col min="3075" max="3075" width="34" style="468" bestFit="1" customWidth="1"/>
    <col min="3076" max="3076" width="36.375" style="468" customWidth="1"/>
    <col min="3077" max="3079" width="0" style="468" hidden="1" customWidth="1"/>
    <col min="3080" max="3080" width="12.625" style="468" customWidth="1"/>
    <col min="3081" max="3324" width="9" style="468" customWidth="1"/>
    <col min="3325" max="3328" width="6.375" style="468"/>
    <col min="3329" max="3329" width="3.875" style="468" customWidth="1"/>
    <col min="3330" max="3330" width="4.75" style="468" bestFit="1" customWidth="1"/>
    <col min="3331" max="3331" width="34" style="468" bestFit="1" customWidth="1"/>
    <col min="3332" max="3332" width="36.375" style="468" customWidth="1"/>
    <col min="3333" max="3335" width="0" style="468" hidden="1" customWidth="1"/>
    <col min="3336" max="3336" width="12.625" style="468" customWidth="1"/>
    <col min="3337" max="3580" width="9" style="468" customWidth="1"/>
    <col min="3581" max="3584" width="6.375" style="468"/>
    <col min="3585" max="3585" width="3.875" style="468" customWidth="1"/>
    <col min="3586" max="3586" width="4.75" style="468" bestFit="1" customWidth="1"/>
    <col min="3587" max="3587" width="34" style="468" bestFit="1" customWidth="1"/>
    <col min="3588" max="3588" width="36.375" style="468" customWidth="1"/>
    <col min="3589" max="3591" width="0" style="468" hidden="1" customWidth="1"/>
    <col min="3592" max="3592" width="12.625" style="468" customWidth="1"/>
    <col min="3593" max="3836" width="9" style="468" customWidth="1"/>
    <col min="3837" max="3840" width="6.375" style="468"/>
    <col min="3841" max="3841" width="3.875" style="468" customWidth="1"/>
    <col min="3842" max="3842" width="4.75" style="468" bestFit="1" customWidth="1"/>
    <col min="3843" max="3843" width="34" style="468" bestFit="1" customWidth="1"/>
    <col min="3844" max="3844" width="36.375" style="468" customWidth="1"/>
    <col min="3845" max="3847" width="0" style="468" hidden="1" customWidth="1"/>
    <col min="3848" max="3848" width="12.625" style="468" customWidth="1"/>
    <col min="3849" max="4092" width="9" style="468" customWidth="1"/>
    <col min="4093" max="4096" width="6.375" style="468"/>
    <col min="4097" max="4097" width="3.875" style="468" customWidth="1"/>
    <col min="4098" max="4098" width="4.75" style="468" bestFit="1" customWidth="1"/>
    <col min="4099" max="4099" width="34" style="468" bestFit="1" customWidth="1"/>
    <col min="4100" max="4100" width="36.375" style="468" customWidth="1"/>
    <col min="4101" max="4103" width="0" style="468" hidden="1" customWidth="1"/>
    <col min="4104" max="4104" width="12.625" style="468" customWidth="1"/>
    <col min="4105" max="4348" width="9" style="468" customWidth="1"/>
    <col min="4349" max="4352" width="6.375" style="468"/>
    <col min="4353" max="4353" width="3.875" style="468" customWidth="1"/>
    <col min="4354" max="4354" width="4.75" style="468" bestFit="1" customWidth="1"/>
    <col min="4355" max="4355" width="34" style="468" bestFit="1" customWidth="1"/>
    <col min="4356" max="4356" width="36.375" style="468" customWidth="1"/>
    <col min="4357" max="4359" width="0" style="468" hidden="1" customWidth="1"/>
    <col min="4360" max="4360" width="12.625" style="468" customWidth="1"/>
    <col min="4361" max="4604" width="9" style="468" customWidth="1"/>
    <col min="4605" max="4608" width="6.375" style="468"/>
    <col min="4609" max="4609" width="3.875" style="468" customWidth="1"/>
    <col min="4610" max="4610" width="4.75" style="468" bestFit="1" customWidth="1"/>
    <col min="4611" max="4611" width="34" style="468" bestFit="1" customWidth="1"/>
    <col min="4612" max="4612" width="36.375" style="468" customWidth="1"/>
    <col min="4613" max="4615" width="0" style="468" hidden="1" customWidth="1"/>
    <col min="4616" max="4616" width="12.625" style="468" customWidth="1"/>
    <col min="4617" max="4860" width="9" style="468" customWidth="1"/>
    <col min="4861" max="4864" width="6.375" style="468"/>
    <col min="4865" max="4865" width="3.875" style="468" customWidth="1"/>
    <col min="4866" max="4866" width="4.75" style="468" bestFit="1" customWidth="1"/>
    <col min="4867" max="4867" width="34" style="468" bestFit="1" customWidth="1"/>
    <col min="4868" max="4868" width="36.375" style="468" customWidth="1"/>
    <col min="4869" max="4871" width="0" style="468" hidden="1" customWidth="1"/>
    <col min="4872" max="4872" width="12.625" style="468" customWidth="1"/>
    <col min="4873" max="5116" width="9" style="468" customWidth="1"/>
    <col min="5117" max="5120" width="6.375" style="468"/>
    <col min="5121" max="5121" width="3.875" style="468" customWidth="1"/>
    <col min="5122" max="5122" width="4.75" style="468" bestFit="1" customWidth="1"/>
    <col min="5123" max="5123" width="34" style="468" bestFit="1" customWidth="1"/>
    <col min="5124" max="5124" width="36.375" style="468" customWidth="1"/>
    <col min="5125" max="5127" width="0" style="468" hidden="1" customWidth="1"/>
    <col min="5128" max="5128" width="12.625" style="468" customWidth="1"/>
    <col min="5129" max="5372" width="9" style="468" customWidth="1"/>
    <col min="5373" max="5376" width="6.375" style="468"/>
    <col min="5377" max="5377" width="3.875" style="468" customWidth="1"/>
    <col min="5378" max="5378" width="4.75" style="468" bestFit="1" customWidth="1"/>
    <col min="5379" max="5379" width="34" style="468" bestFit="1" customWidth="1"/>
    <col min="5380" max="5380" width="36.375" style="468" customWidth="1"/>
    <col min="5381" max="5383" width="0" style="468" hidden="1" customWidth="1"/>
    <col min="5384" max="5384" width="12.625" style="468" customWidth="1"/>
    <col min="5385" max="5628" width="9" style="468" customWidth="1"/>
    <col min="5629" max="5632" width="6.375" style="468"/>
    <col min="5633" max="5633" width="3.875" style="468" customWidth="1"/>
    <col min="5634" max="5634" width="4.75" style="468" bestFit="1" customWidth="1"/>
    <col min="5635" max="5635" width="34" style="468" bestFit="1" customWidth="1"/>
    <col min="5636" max="5636" width="36.375" style="468" customWidth="1"/>
    <col min="5637" max="5639" width="0" style="468" hidden="1" customWidth="1"/>
    <col min="5640" max="5640" width="12.625" style="468" customWidth="1"/>
    <col min="5641" max="5884" width="9" style="468" customWidth="1"/>
    <col min="5885" max="5888" width="6.375" style="468"/>
    <col min="5889" max="5889" width="3.875" style="468" customWidth="1"/>
    <col min="5890" max="5890" width="4.75" style="468" bestFit="1" customWidth="1"/>
    <col min="5891" max="5891" width="34" style="468" bestFit="1" customWidth="1"/>
    <col min="5892" max="5892" width="36.375" style="468" customWidth="1"/>
    <col min="5893" max="5895" width="0" style="468" hidden="1" customWidth="1"/>
    <col min="5896" max="5896" width="12.625" style="468" customWidth="1"/>
    <col min="5897" max="6140" width="9" style="468" customWidth="1"/>
    <col min="6141" max="6144" width="6.375" style="468"/>
    <col min="6145" max="6145" width="3.875" style="468" customWidth="1"/>
    <col min="6146" max="6146" width="4.75" style="468" bestFit="1" customWidth="1"/>
    <col min="6147" max="6147" width="34" style="468" bestFit="1" customWidth="1"/>
    <col min="6148" max="6148" width="36.375" style="468" customWidth="1"/>
    <col min="6149" max="6151" width="0" style="468" hidden="1" customWidth="1"/>
    <col min="6152" max="6152" width="12.625" style="468" customWidth="1"/>
    <col min="6153" max="6396" width="9" style="468" customWidth="1"/>
    <col min="6397" max="6400" width="6.375" style="468"/>
    <col min="6401" max="6401" width="3.875" style="468" customWidth="1"/>
    <col min="6402" max="6402" width="4.75" style="468" bestFit="1" customWidth="1"/>
    <col min="6403" max="6403" width="34" style="468" bestFit="1" customWidth="1"/>
    <col min="6404" max="6404" width="36.375" style="468" customWidth="1"/>
    <col min="6405" max="6407" width="0" style="468" hidden="1" customWidth="1"/>
    <col min="6408" max="6408" width="12.625" style="468" customWidth="1"/>
    <col min="6409" max="6652" width="9" style="468" customWidth="1"/>
    <col min="6653" max="6656" width="6.375" style="468"/>
    <col min="6657" max="6657" width="3.875" style="468" customWidth="1"/>
    <col min="6658" max="6658" width="4.75" style="468" bestFit="1" customWidth="1"/>
    <col min="6659" max="6659" width="34" style="468" bestFit="1" customWidth="1"/>
    <col min="6660" max="6660" width="36.375" style="468" customWidth="1"/>
    <col min="6661" max="6663" width="0" style="468" hidden="1" customWidth="1"/>
    <col min="6664" max="6664" width="12.625" style="468" customWidth="1"/>
    <col min="6665" max="6908" width="9" style="468" customWidth="1"/>
    <col min="6909" max="6912" width="6.375" style="468"/>
    <col min="6913" max="6913" width="3.875" style="468" customWidth="1"/>
    <col min="6914" max="6914" width="4.75" style="468" bestFit="1" customWidth="1"/>
    <col min="6915" max="6915" width="34" style="468" bestFit="1" customWidth="1"/>
    <col min="6916" max="6916" width="36.375" style="468" customWidth="1"/>
    <col min="6917" max="6919" width="0" style="468" hidden="1" customWidth="1"/>
    <col min="6920" max="6920" width="12.625" style="468" customWidth="1"/>
    <col min="6921" max="7164" width="9" style="468" customWidth="1"/>
    <col min="7165" max="7168" width="6.375" style="468"/>
    <col min="7169" max="7169" width="3.875" style="468" customWidth="1"/>
    <col min="7170" max="7170" width="4.75" style="468" bestFit="1" customWidth="1"/>
    <col min="7171" max="7171" width="34" style="468" bestFit="1" customWidth="1"/>
    <col min="7172" max="7172" width="36.375" style="468" customWidth="1"/>
    <col min="7173" max="7175" width="0" style="468" hidden="1" customWidth="1"/>
    <col min="7176" max="7176" width="12.625" style="468" customWidth="1"/>
    <col min="7177" max="7420" width="9" style="468" customWidth="1"/>
    <col min="7421" max="7424" width="6.375" style="468"/>
    <col min="7425" max="7425" width="3.875" style="468" customWidth="1"/>
    <col min="7426" max="7426" width="4.75" style="468" bestFit="1" customWidth="1"/>
    <col min="7427" max="7427" width="34" style="468" bestFit="1" customWidth="1"/>
    <col min="7428" max="7428" width="36.375" style="468" customWidth="1"/>
    <col min="7429" max="7431" width="0" style="468" hidden="1" customWidth="1"/>
    <col min="7432" max="7432" width="12.625" style="468" customWidth="1"/>
    <col min="7433" max="7676" width="9" style="468" customWidth="1"/>
    <col min="7677" max="7680" width="6.375" style="468"/>
    <col min="7681" max="7681" width="3.875" style="468" customWidth="1"/>
    <col min="7682" max="7682" width="4.75" style="468" bestFit="1" customWidth="1"/>
    <col min="7683" max="7683" width="34" style="468" bestFit="1" customWidth="1"/>
    <col min="7684" max="7684" width="36.375" style="468" customWidth="1"/>
    <col min="7685" max="7687" width="0" style="468" hidden="1" customWidth="1"/>
    <col min="7688" max="7688" width="12.625" style="468" customWidth="1"/>
    <col min="7689" max="7932" width="9" style="468" customWidth="1"/>
    <col min="7933" max="7936" width="6.375" style="468"/>
    <col min="7937" max="7937" width="3.875" style="468" customWidth="1"/>
    <col min="7938" max="7938" width="4.75" style="468" bestFit="1" customWidth="1"/>
    <col min="7939" max="7939" width="34" style="468" bestFit="1" customWidth="1"/>
    <col min="7940" max="7940" width="36.375" style="468" customWidth="1"/>
    <col min="7941" max="7943" width="0" style="468" hidden="1" customWidth="1"/>
    <col min="7944" max="7944" width="12.625" style="468" customWidth="1"/>
    <col min="7945" max="8188" width="9" style="468" customWidth="1"/>
    <col min="8189" max="8192" width="6.375" style="468"/>
    <col min="8193" max="8193" width="3.875" style="468" customWidth="1"/>
    <col min="8194" max="8194" width="4.75" style="468" bestFit="1" customWidth="1"/>
    <col min="8195" max="8195" width="34" style="468" bestFit="1" customWidth="1"/>
    <col min="8196" max="8196" width="36.375" style="468" customWidth="1"/>
    <col min="8197" max="8199" width="0" style="468" hidden="1" customWidth="1"/>
    <col min="8200" max="8200" width="12.625" style="468" customWidth="1"/>
    <col min="8201" max="8444" width="9" style="468" customWidth="1"/>
    <col min="8445" max="8448" width="6.375" style="468"/>
    <col min="8449" max="8449" width="3.875" style="468" customWidth="1"/>
    <col min="8450" max="8450" width="4.75" style="468" bestFit="1" customWidth="1"/>
    <col min="8451" max="8451" width="34" style="468" bestFit="1" customWidth="1"/>
    <col min="8452" max="8452" width="36.375" style="468" customWidth="1"/>
    <col min="8453" max="8455" width="0" style="468" hidden="1" customWidth="1"/>
    <col min="8456" max="8456" width="12.625" style="468" customWidth="1"/>
    <col min="8457" max="8700" width="9" style="468" customWidth="1"/>
    <col min="8701" max="8704" width="6.375" style="468"/>
    <col min="8705" max="8705" width="3.875" style="468" customWidth="1"/>
    <col min="8706" max="8706" width="4.75" style="468" bestFit="1" customWidth="1"/>
    <col min="8707" max="8707" width="34" style="468" bestFit="1" customWidth="1"/>
    <col min="8708" max="8708" width="36.375" style="468" customWidth="1"/>
    <col min="8709" max="8711" width="0" style="468" hidden="1" customWidth="1"/>
    <col min="8712" max="8712" width="12.625" style="468" customWidth="1"/>
    <col min="8713" max="8956" width="9" style="468" customWidth="1"/>
    <col min="8957" max="8960" width="6.375" style="468"/>
    <col min="8961" max="8961" width="3.875" style="468" customWidth="1"/>
    <col min="8962" max="8962" width="4.75" style="468" bestFit="1" customWidth="1"/>
    <col min="8963" max="8963" width="34" style="468" bestFit="1" customWidth="1"/>
    <col min="8964" max="8964" width="36.375" style="468" customWidth="1"/>
    <col min="8965" max="8967" width="0" style="468" hidden="1" customWidth="1"/>
    <col min="8968" max="8968" width="12.625" style="468" customWidth="1"/>
    <col min="8969" max="9212" width="9" style="468" customWidth="1"/>
    <col min="9213" max="9216" width="6.375" style="468"/>
    <col min="9217" max="9217" width="3.875" style="468" customWidth="1"/>
    <col min="9218" max="9218" width="4.75" style="468" bestFit="1" customWidth="1"/>
    <col min="9219" max="9219" width="34" style="468" bestFit="1" customWidth="1"/>
    <col min="9220" max="9220" width="36.375" style="468" customWidth="1"/>
    <col min="9221" max="9223" width="0" style="468" hidden="1" customWidth="1"/>
    <col min="9224" max="9224" width="12.625" style="468" customWidth="1"/>
    <col min="9225" max="9468" width="9" style="468" customWidth="1"/>
    <col min="9469" max="9472" width="6.375" style="468"/>
    <col min="9473" max="9473" width="3.875" style="468" customWidth="1"/>
    <col min="9474" max="9474" width="4.75" style="468" bestFit="1" customWidth="1"/>
    <col min="9475" max="9475" width="34" style="468" bestFit="1" customWidth="1"/>
    <col min="9476" max="9476" width="36.375" style="468" customWidth="1"/>
    <col min="9477" max="9479" width="0" style="468" hidden="1" customWidth="1"/>
    <col min="9480" max="9480" width="12.625" style="468" customWidth="1"/>
    <col min="9481" max="9724" width="9" style="468" customWidth="1"/>
    <col min="9725" max="9728" width="6.375" style="468"/>
    <col min="9729" max="9729" width="3.875" style="468" customWidth="1"/>
    <col min="9730" max="9730" width="4.75" style="468" bestFit="1" customWidth="1"/>
    <col min="9731" max="9731" width="34" style="468" bestFit="1" customWidth="1"/>
    <col min="9732" max="9732" width="36.375" style="468" customWidth="1"/>
    <col min="9733" max="9735" width="0" style="468" hidden="1" customWidth="1"/>
    <col min="9736" max="9736" width="12.625" style="468" customWidth="1"/>
    <col min="9737" max="9980" width="9" style="468" customWidth="1"/>
    <col min="9981" max="9984" width="6.375" style="468"/>
    <col min="9985" max="9985" width="3.875" style="468" customWidth="1"/>
    <col min="9986" max="9986" width="4.75" style="468" bestFit="1" customWidth="1"/>
    <col min="9987" max="9987" width="34" style="468" bestFit="1" customWidth="1"/>
    <col min="9988" max="9988" width="36.375" style="468" customWidth="1"/>
    <col min="9989" max="9991" width="0" style="468" hidden="1" customWidth="1"/>
    <col min="9992" max="9992" width="12.625" style="468" customWidth="1"/>
    <col min="9993" max="10236" width="9" style="468" customWidth="1"/>
    <col min="10237" max="10240" width="6.375" style="468"/>
    <col min="10241" max="10241" width="3.875" style="468" customWidth="1"/>
    <col min="10242" max="10242" width="4.75" style="468" bestFit="1" customWidth="1"/>
    <col min="10243" max="10243" width="34" style="468" bestFit="1" customWidth="1"/>
    <col min="10244" max="10244" width="36.375" style="468" customWidth="1"/>
    <col min="10245" max="10247" width="0" style="468" hidden="1" customWidth="1"/>
    <col min="10248" max="10248" width="12.625" style="468" customWidth="1"/>
    <col min="10249" max="10492" width="9" style="468" customWidth="1"/>
    <col min="10493" max="10496" width="6.375" style="468"/>
    <col min="10497" max="10497" width="3.875" style="468" customWidth="1"/>
    <col min="10498" max="10498" width="4.75" style="468" bestFit="1" customWidth="1"/>
    <col min="10499" max="10499" width="34" style="468" bestFit="1" customWidth="1"/>
    <col min="10500" max="10500" width="36.375" style="468" customWidth="1"/>
    <col min="10501" max="10503" width="0" style="468" hidden="1" customWidth="1"/>
    <col min="10504" max="10504" width="12.625" style="468" customWidth="1"/>
    <col min="10505" max="10748" width="9" style="468" customWidth="1"/>
    <col min="10749" max="10752" width="6.375" style="468"/>
    <col min="10753" max="10753" width="3.875" style="468" customWidth="1"/>
    <col min="10754" max="10754" width="4.75" style="468" bestFit="1" customWidth="1"/>
    <col min="10755" max="10755" width="34" style="468" bestFit="1" customWidth="1"/>
    <col min="10756" max="10756" width="36.375" style="468" customWidth="1"/>
    <col min="10757" max="10759" width="0" style="468" hidden="1" customWidth="1"/>
    <col min="10760" max="10760" width="12.625" style="468" customWidth="1"/>
    <col min="10761" max="11004" width="9" style="468" customWidth="1"/>
    <col min="11005" max="11008" width="6.375" style="468"/>
    <col min="11009" max="11009" width="3.875" style="468" customWidth="1"/>
    <col min="11010" max="11010" width="4.75" style="468" bestFit="1" customWidth="1"/>
    <col min="11011" max="11011" width="34" style="468" bestFit="1" customWidth="1"/>
    <col min="11012" max="11012" width="36.375" style="468" customWidth="1"/>
    <col min="11013" max="11015" width="0" style="468" hidden="1" customWidth="1"/>
    <col min="11016" max="11016" width="12.625" style="468" customWidth="1"/>
    <col min="11017" max="11260" width="9" style="468" customWidth="1"/>
    <col min="11261" max="11264" width="6.375" style="468"/>
    <col min="11265" max="11265" width="3.875" style="468" customWidth="1"/>
    <col min="11266" max="11266" width="4.75" style="468" bestFit="1" customWidth="1"/>
    <col min="11267" max="11267" width="34" style="468" bestFit="1" customWidth="1"/>
    <col min="11268" max="11268" width="36.375" style="468" customWidth="1"/>
    <col min="11269" max="11271" width="0" style="468" hidden="1" customWidth="1"/>
    <col min="11272" max="11272" width="12.625" style="468" customWidth="1"/>
    <col min="11273" max="11516" width="9" style="468" customWidth="1"/>
    <col min="11517" max="11520" width="6.375" style="468"/>
    <col min="11521" max="11521" width="3.875" style="468" customWidth="1"/>
    <col min="11522" max="11522" width="4.75" style="468" bestFit="1" customWidth="1"/>
    <col min="11523" max="11523" width="34" style="468" bestFit="1" customWidth="1"/>
    <col min="11524" max="11524" width="36.375" style="468" customWidth="1"/>
    <col min="11525" max="11527" width="0" style="468" hidden="1" customWidth="1"/>
    <col min="11528" max="11528" width="12.625" style="468" customWidth="1"/>
    <col min="11529" max="11772" width="9" style="468" customWidth="1"/>
    <col min="11773" max="11776" width="6.375" style="468"/>
    <col min="11777" max="11777" width="3.875" style="468" customWidth="1"/>
    <col min="11778" max="11778" width="4.75" style="468" bestFit="1" customWidth="1"/>
    <col min="11779" max="11779" width="34" style="468" bestFit="1" customWidth="1"/>
    <col min="11780" max="11780" width="36.375" style="468" customWidth="1"/>
    <col min="11781" max="11783" width="0" style="468" hidden="1" customWidth="1"/>
    <col min="11784" max="11784" width="12.625" style="468" customWidth="1"/>
    <col min="11785" max="12028" width="9" style="468" customWidth="1"/>
    <col min="12029" max="12032" width="6.375" style="468"/>
    <col min="12033" max="12033" width="3.875" style="468" customWidth="1"/>
    <col min="12034" max="12034" width="4.75" style="468" bestFit="1" customWidth="1"/>
    <col min="12035" max="12035" width="34" style="468" bestFit="1" customWidth="1"/>
    <col min="12036" max="12036" width="36.375" style="468" customWidth="1"/>
    <col min="12037" max="12039" width="0" style="468" hidden="1" customWidth="1"/>
    <col min="12040" max="12040" width="12.625" style="468" customWidth="1"/>
    <col min="12041" max="12284" width="9" style="468" customWidth="1"/>
    <col min="12285" max="12288" width="6.375" style="468"/>
    <col min="12289" max="12289" width="3.875" style="468" customWidth="1"/>
    <col min="12290" max="12290" width="4.75" style="468" bestFit="1" customWidth="1"/>
    <col min="12291" max="12291" width="34" style="468" bestFit="1" customWidth="1"/>
    <col min="12292" max="12292" width="36.375" style="468" customWidth="1"/>
    <col min="12293" max="12295" width="0" style="468" hidden="1" customWidth="1"/>
    <col min="12296" max="12296" width="12.625" style="468" customWidth="1"/>
    <col min="12297" max="12540" width="9" style="468" customWidth="1"/>
    <col min="12541" max="12544" width="6.375" style="468"/>
    <col min="12545" max="12545" width="3.875" style="468" customWidth="1"/>
    <col min="12546" max="12546" width="4.75" style="468" bestFit="1" customWidth="1"/>
    <col min="12547" max="12547" width="34" style="468" bestFit="1" customWidth="1"/>
    <col min="12548" max="12548" width="36.375" style="468" customWidth="1"/>
    <col min="12549" max="12551" width="0" style="468" hidden="1" customWidth="1"/>
    <col min="12552" max="12552" width="12.625" style="468" customWidth="1"/>
    <col min="12553" max="12796" width="9" style="468" customWidth="1"/>
    <col min="12797" max="12800" width="6.375" style="468"/>
    <col min="12801" max="12801" width="3.875" style="468" customWidth="1"/>
    <col min="12802" max="12802" width="4.75" style="468" bestFit="1" customWidth="1"/>
    <col min="12803" max="12803" width="34" style="468" bestFit="1" customWidth="1"/>
    <col min="12804" max="12804" width="36.375" style="468" customWidth="1"/>
    <col min="12805" max="12807" width="0" style="468" hidden="1" customWidth="1"/>
    <col min="12808" max="12808" width="12.625" style="468" customWidth="1"/>
    <col min="12809" max="13052" width="9" style="468" customWidth="1"/>
    <col min="13053" max="13056" width="6.375" style="468"/>
    <col min="13057" max="13057" width="3.875" style="468" customWidth="1"/>
    <col min="13058" max="13058" width="4.75" style="468" bestFit="1" customWidth="1"/>
    <col min="13059" max="13059" width="34" style="468" bestFit="1" customWidth="1"/>
    <col min="13060" max="13060" width="36.375" style="468" customWidth="1"/>
    <col min="13061" max="13063" width="0" style="468" hidden="1" customWidth="1"/>
    <col min="13064" max="13064" width="12.625" style="468" customWidth="1"/>
    <col min="13065" max="13308" width="9" style="468" customWidth="1"/>
    <col min="13309" max="13312" width="6.375" style="468"/>
    <col min="13313" max="13313" width="3.875" style="468" customWidth="1"/>
    <col min="13314" max="13314" width="4.75" style="468" bestFit="1" customWidth="1"/>
    <col min="13315" max="13315" width="34" style="468" bestFit="1" customWidth="1"/>
    <col min="13316" max="13316" width="36.375" style="468" customWidth="1"/>
    <col min="13317" max="13319" width="0" style="468" hidden="1" customWidth="1"/>
    <col min="13320" max="13320" width="12.625" style="468" customWidth="1"/>
    <col min="13321" max="13564" width="9" style="468" customWidth="1"/>
    <col min="13565" max="13568" width="6.375" style="468"/>
    <col min="13569" max="13569" width="3.875" style="468" customWidth="1"/>
    <col min="13570" max="13570" width="4.75" style="468" bestFit="1" customWidth="1"/>
    <col min="13571" max="13571" width="34" style="468" bestFit="1" customWidth="1"/>
    <col min="13572" max="13572" width="36.375" style="468" customWidth="1"/>
    <col min="13573" max="13575" width="0" style="468" hidden="1" customWidth="1"/>
    <col min="13576" max="13576" width="12.625" style="468" customWidth="1"/>
    <col min="13577" max="13820" width="9" style="468" customWidth="1"/>
    <col min="13821" max="13824" width="6.375" style="468"/>
    <col min="13825" max="13825" width="3.875" style="468" customWidth="1"/>
    <col min="13826" max="13826" width="4.75" style="468" bestFit="1" customWidth="1"/>
    <col min="13827" max="13827" width="34" style="468" bestFit="1" customWidth="1"/>
    <col min="13828" max="13828" width="36.375" style="468" customWidth="1"/>
    <col min="13829" max="13831" width="0" style="468" hidden="1" customWidth="1"/>
    <col min="13832" max="13832" width="12.625" style="468" customWidth="1"/>
    <col min="13833" max="14076" width="9" style="468" customWidth="1"/>
    <col min="14077" max="14080" width="6.375" style="468"/>
    <col min="14081" max="14081" width="3.875" style="468" customWidth="1"/>
    <col min="14082" max="14082" width="4.75" style="468" bestFit="1" customWidth="1"/>
    <col min="14083" max="14083" width="34" style="468" bestFit="1" customWidth="1"/>
    <col min="14084" max="14084" width="36.375" style="468" customWidth="1"/>
    <col min="14085" max="14087" width="0" style="468" hidden="1" customWidth="1"/>
    <col min="14088" max="14088" width="12.625" style="468" customWidth="1"/>
    <col min="14089" max="14332" width="9" style="468" customWidth="1"/>
    <col min="14333" max="14336" width="6.375" style="468"/>
    <col min="14337" max="14337" width="3.875" style="468" customWidth="1"/>
    <col min="14338" max="14338" width="4.75" style="468" bestFit="1" customWidth="1"/>
    <col min="14339" max="14339" width="34" style="468" bestFit="1" customWidth="1"/>
    <col min="14340" max="14340" width="36.375" style="468" customWidth="1"/>
    <col min="14341" max="14343" width="0" style="468" hidden="1" customWidth="1"/>
    <col min="14344" max="14344" width="12.625" style="468" customWidth="1"/>
    <col min="14345" max="14588" width="9" style="468" customWidth="1"/>
    <col min="14589" max="14592" width="6.375" style="468"/>
    <col min="14593" max="14593" width="3.875" style="468" customWidth="1"/>
    <col min="14594" max="14594" width="4.75" style="468" bestFit="1" customWidth="1"/>
    <col min="14595" max="14595" width="34" style="468" bestFit="1" customWidth="1"/>
    <col min="14596" max="14596" width="36.375" style="468" customWidth="1"/>
    <col min="14597" max="14599" width="0" style="468" hidden="1" customWidth="1"/>
    <col min="14600" max="14600" width="12.625" style="468" customWidth="1"/>
    <col min="14601" max="14844" width="9" style="468" customWidth="1"/>
    <col min="14845" max="14848" width="6.375" style="468"/>
    <col min="14849" max="14849" width="3.875" style="468" customWidth="1"/>
    <col min="14850" max="14850" width="4.75" style="468" bestFit="1" customWidth="1"/>
    <col min="14851" max="14851" width="34" style="468" bestFit="1" customWidth="1"/>
    <col min="14852" max="14852" width="36.375" style="468" customWidth="1"/>
    <col min="14853" max="14855" width="0" style="468" hidden="1" customWidth="1"/>
    <col min="14856" max="14856" width="12.625" style="468" customWidth="1"/>
    <col min="14857" max="15100" width="9" style="468" customWidth="1"/>
    <col min="15101" max="15104" width="6.375" style="468"/>
    <col min="15105" max="15105" width="3.875" style="468" customWidth="1"/>
    <col min="15106" max="15106" width="4.75" style="468" bestFit="1" customWidth="1"/>
    <col min="15107" max="15107" width="34" style="468" bestFit="1" customWidth="1"/>
    <col min="15108" max="15108" width="36.375" style="468" customWidth="1"/>
    <col min="15109" max="15111" width="0" style="468" hidden="1" customWidth="1"/>
    <col min="15112" max="15112" width="12.625" style="468" customWidth="1"/>
    <col min="15113" max="15356" width="9" style="468" customWidth="1"/>
    <col min="15357" max="15360" width="6.375" style="468"/>
    <col min="15361" max="15361" width="3.875" style="468" customWidth="1"/>
    <col min="15362" max="15362" width="4.75" style="468" bestFit="1" customWidth="1"/>
    <col min="15363" max="15363" width="34" style="468" bestFit="1" customWidth="1"/>
    <col min="15364" max="15364" width="36.375" style="468" customWidth="1"/>
    <col min="15365" max="15367" width="0" style="468" hidden="1" customWidth="1"/>
    <col min="15368" max="15368" width="12.625" style="468" customWidth="1"/>
    <col min="15369" max="15612" width="9" style="468" customWidth="1"/>
    <col min="15613" max="15616" width="6.375" style="468"/>
    <col min="15617" max="15617" width="3.875" style="468" customWidth="1"/>
    <col min="15618" max="15618" width="4.75" style="468" bestFit="1" customWidth="1"/>
    <col min="15619" max="15619" width="34" style="468" bestFit="1" customWidth="1"/>
    <col min="15620" max="15620" width="36.375" style="468" customWidth="1"/>
    <col min="15621" max="15623" width="0" style="468" hidden="1" customWidth="1"/>
    <col min="15624" max="15624" width="12.625" style="468" customWidth="1"/>
    <col min="15625" max="15868" width="9" style="468" customWidth="1"/>
    <col min="15869" max="15872" width="6.375" style="468"/>
    <col min="15873" max="15873" width="3.875" style="468" customWidth="1"/>
    <col min="15874" max="15874" width="4.75" style="468" bestFit="1" customWidth="1"/>
    <col min="15875" max="15875" width="34" style="468" bestFit="1" customWidth="1"/>
    <col min="15876" max="15876" width="36.375" style="468" customWidth="1"/>
    <col min="15877" max="15879" width="0" style="468" hidden="1" customWidth="1"/>
    <col min="15880" max="15880" width="12.625" style="468" customWidth="1"/>
    <col min="15881" max="16124" width="9" style="468" customWidth="1"/>
    <col min="16125" max="16128" width="6.375" style="468"/>
    <col min="16129" max="16129" width="3.875" style="468" customWidth="1"/>
    <col min="16130" max="16130" width="4.75" style="468" bestFit="1" customWidth="1"/>
    <col min="16131" max="16131" width="34" style="468" bestFit="1" customWidth="1"/>
    <col min="16132" max="16132" width="36.375" style="468" customWidth="1"/>
    <col min="16133" max="16135" width="0" style="468" hidden="1" customWidth="1"/>
    <col min="16136" max="16136" width="12.625" style="468" customWidth="1"/>
    <col min="16137" max="16380" width="9" style="468" customWidth="1"/>
    <col min="16381" max="16384" width="6.375" style="468"/>
  </cols>
  <sheetData>
    <row r="1" spans="2:8">
      <c r="B1" s="693"/>
      <c r="C1" s="694"/>
      <c r="D1" s="467"/>
    </row>
    <row r="2" spans="2:8" ht="12.75" hidden="1" customHeight="1">
      <c r="B2" s="689" t="s">
        <v>817</v>
      </c>
      <c r="C2" s="690"/>
      <c r="D2" s="470" t="s">
        <v>818</v>
      </c>
    </row>
    <row r="3" spans="2:8" ht="30" hidden="1" customHeight="1">
      <c r="B3" s="689" t="s">
        <v>819</v>
      </c>
      <c r="C3" s="690"/>
      <c r="D3" s="471" t="s">
        <v>820</v>
      </c>
    </row>
    <row r="4" spans="2:8" ht="12.75" hidden="1" customHeight="1">
      <c r="B4" s="689" t="s">
        <v>821</v>
      </c>
      <c r="C4" s="690"/>
      <c r="D4" s="470"/>
    </row>
    <row r="5" spans="2:8" ht="12.75" hidden="1" customHeight="1">
      <c r="B5" s="689" t="s">
        <v>822</v>
      </c>
      <c r="C5" s="690"/>
      <c r="D5" s="472"/>
      <c r="H5" s="473"/>
    </row>
    <row r="6" spans="2:8" ht="12.75" hidden="1" customHeight="1">
      <c r="B6" s="689" t="s">
        <v>823</v>
      </c>
      <c r="C6" s="690"/>
      <c r="D6" s="472" t="s">
        <v>824</v>
      </c>
      <c r="H6" s="473"/>
    </row>
    <row r="7" spans="2:8" hidden="1">
      <c r="B7" s="689" t="s">
        <v>825</v>
      </c>
      <c r="C7" s="690"/>
      <c r="D7" s="472" t="s">
        <v>826</v>
      </c>
      <c r="H7" s="473"/>
    </row>
    <row r="8" spans="2:8" ht="12.75" hidden="1" customHeight="1">
      <c r="B8" s="689" t="s">
        <v>827</v>
      </c>
      <c r="C8" s="690"/>
      <c r="D8" s="472" t="s">
        <v>10</v>
      </c>
    </row>
    <row r="9" spans="2:8" ht="12.75" hidden="1" customHeight="1">
      <c r="B9" s="689" t="s">
        <v>828</v>
      </c>
      <c r="C9" s="690"/>
      <c r="D9" s="474">
        <f>ROUND(G35,2)</f>
        <v>54500</v>
      </c>
      <c r="E9" s="475"/>
    </row>
    <row r="10" spans="2:8" ht="12.75" hidden="1" customHeight="1">
      <c r="B10" s="689" t="s">
        <v>829</v>
      </c>
      <c r="C10" s="690"/>
      <c r="D10" s="476">
        <v>1</v>
      </c>
    </row>
    <row r="11" spans="2:8" ht="12.75" hidden="1" customHeight="1">
      <c r="B11" s="689" t="s">
        <v>830</v>
      </c>
      <c r="C11" s="690"/>
      <c r="D11" s="474">
        <f>D9*D10</f>
        <v>54500</v>
      </c>
    </row>
    <row r="12" spans="2:8" ht="12.75" hidden="1" customHeight="1">
      <c r="B12" s="689" t="s">
        <v>831</v>
      </c>
      <c r="C12" s="690"/>
      <c r="D12" s="476">
        <f>D10*1.17</f>
        <v>1.17</v>
      </c>
    </row>
    <row r="13" spans="2:8" ht="12.75" hidden="1" customHeight="1">
      <c r="B13" s="689" t="s">
        <v>832</v>
      </c>
      <c r="C13" s="690"/>
      <c r="D13" s="474">
        <f>ROUND(D11*1.17,2)</f>
        <v>63765</v>
      </c>
      <c r="E13" s="477"/>
    </row>
    <row r="14" spans="2:8" ht="30" hidden="1" customHeight="1">
      <c r="B14" s="689" t="s">
        <v>833</v>
      </c>
      <c r="C14" s="690"/>
      <c r="D14" s="478">
        <v>0.17</v>
      </c>
    </row>
    <row r="15" spans="2:8" ht="12.75" hidden="1" customHeight="1">
      <c r="B15" s="689" t="s">
        <v>17</v>
      </c>
      <c r="C15" s="690"/>
      <c r="D15" s="479"/>
    </row>
    <row r="16" spans="2:8" hidden="1">
      <c r="B16" s="689" t="s">
        <v>834</v>
      </c>
      <c r="C16" s="690"/>
      <c r="D16" s="480" t="s">
        <v>835</v>
      </c>
      <c r="E16" s="481"/>
    </row>
    <row r="17" spans="2:7" ht="12.75" hidden="1" customHeight="1">
      <c r="B17" s="689" t="s">
        <v>836</v>
      </c>
      <c r="C17" s="690"/>
      <c r="D17" s="482" t="s">
        <v>837</v>
      </c>
    </row>
    <row r="18" spans="2:7" ht="12.75" hidden="1" customHeight="1">
      <c r="B18" s="689" t="s">
        <v>838</v>
      </c>
      <c r="C18" s="690"/>
      <c r="D18" s="483" t="s">
        <v>839</v>
      </c>
    </row>
    <row r="19" spans="2:7" ht="30" hidden="1" customHeight="1">
      <c r="B19" s="689" t="s">
        <v>22</v>
      </c>
      <c r="C19" s="690"/>
      <c r="D19" s="482"/>
    </row>
    <row r="20" spans="2:7" ht="12.75" hidden="1" customHeight="1">
      <c r="B20" s="689" t="s">
        <v>840</v>
      </c>
      <c r="C20" s="690"/>
      <c r="D20" s="484">
        <v>42551</v>
      </c>
    </row>
    <row r="21" spans="2:7" ht="12.75" hidden="1" customHeight="1">
      <c r="B21" s="689" t="s">
        <v>841</v>
      </c>
      <c r="C21" s="690"/>
      <c r="D21" s="485" t="s">
        <v>842</v>
      </c>
    </row>
    <row r="22" spans="2:7" hidden="1">
      <c r="B22" s="691" t="s">
        <v>843</v>
      </c>
      <c r="C22" s="691"/>
      <c r="D22" s="483">
        <v>0</v>
      </c>
    </row>
    <row r="23" spans="2:7" hidden="1">
      <c r="B23" s="692" t="s">
        <v>844</v>
      </c>
      <c r="C23" s="691"/>
      <c r="D23" s="486">
        <v>0</v>
      </c>
    </row>
    <row r="24" spans="2:7" ht="12.75" hidden="1" customHeight="1">
      <c r="B24" s="687" t="s">
        <v>845</v>
      </c>
      <c r="C24" s="687"/>
      <c r="D24" s="487"/>
    </row>
    <row r="25" spans="2:7" ht="12.75" hidden="1" customHeight="1">
      <c r="B25" s="687" t="s">
        <v>846</v>
      </c>
      <c r="C25" s="687"/>
      <c r="D25" s="487"/>
    </row>
    <row r="26" spans="2:7" ht="14.25" customHeight="1">
      <c r="B26" s="488"/>
      <c r="C26" s="488"/>
    </row>
    <row r="27" spans="2:7" ht="21" customHeight="1">
      <c r="B27" s="516" t="s">
        <v>805</v>
      </c>
      <c r="C27" s="488"/>
    </row>
    <row r="28" spans="2:7" s="489" customFormat="1" ht="24.75" customHeight="1">
      <c r="B28" s="490" t="s">
        <v>847</v>
      </c>
      <c r="C28" s="490" t="s">
        <v>848</v>
      </c>
      <c r="D28" s="491" t="s">
        <v>849</v>
      </c>
      <c r="E28" s="492" t="s">
        <v>850</v>
      </c>
      <c r="F28" s="493" t="s">
        <v>851</v>
      </c>
      <c r="G28" s="494" t="s">
        <v>852</v>
      </c>
    </row>
    <row r="29" spans="2:7" s="489" customFormat="1" ht="24.75" customHeight="1">
      <c r="B29" s="490">
        <v>1</v>
      </c>
      <c r="C29" s="517" t="s">
        <v>853</v>
      </c>
      <c r="D29" s="518" t="s">
        <v>854</v>
      </c>
      <c r="E29" s="519">
        <f t="shared" ref="E29:E34" si="0">IFERROR(G29/F29,0)</f>
        <v>20</v>
      </c>
      <c r="F29" s="502">
        <f>'[9]7月Pantene生产费'!AW56</f>
        <v>500</v>
      </c>
      <c r="G29" s="520">
        <v>10000</v>
      </c>
    </row>
    <row r="30" spans="2:7" s="489" customFormat="1" ht="24.75" customHeight="1">
      <c r="B30" s="490">
        <v>2</v>
      </c>
      <c r="C30" s="517" t="s">
        <v>855</v>
      </c>
      <c r="D30" s="518" t="s">
        <v>854</v>
      </c>
      <c r="E30" s="519">
        <f t="shared" si="0"/>
        <v>20</v>
      </c>
      <c r="F30" s="502">
        <f>'[9]Pantene 骨架生产费'!Q7</f>
        <v>500</v>
      </c>
      <c r="G30" s="520">
        <v>10000</v>
      </c>
    </row>
    <row r="31" spans="2:7" s="489" customFormat="1" ht="24.75" customHeight="1">
      <c r="B31" s="490">
        <v>3</v>
      </c>
      <c r="C31" s="521" t="s">
        <v>856</v>
      </c>
      <c r="D31" s="518" t="s">
        <v>857</v>
      </c>
      <c r="E31" s="519">
        <f t="shared" si="0"/>
        <v>20</v>
      </c>
      <c r="F31" s="502">
        <f>'[9]OSD 运输仓储服务费'!E4</f>
        <v>500</v>
      </c>
      <c r="G31" s="520">
        <v>10000</v>
      </c>
    </row>
    <row r="32" spans="2:7" s="489" customFormat="1" ht="24.75" customHeight="1">
      <c r="B32" s="490">
        <v>4</v>
      </c>
      <c r="C32" s="499" t="s">
        <v>896</v>
      </c>
      <c r="D32" s="495" t="s">
        <v>858</v>
      </c>
      <c r="E32" s="496">
        <f t="shared" si="0"/>
        <v>20</v>
      </c>
      <c r="F32" s="497">
        <f>'[9]OSD 运输仓储服务费'!E5</f>
        <v>500</v>
      </c>
      <c r="G32" s="498">
        <v>10000</v>
      </c>
    </row>
    <row r="33" spans="2:8" s="489" customFormat="1" ht="24.75" customHeight="1">
      <c r="B33" s="490">
        <v>5</v>
      </c>
      <c r="C33" s="553" t="s">
        <v>897</v>
      </c>
      <c r="D33" s="554" t="s">
        <v>898</v>
      </c>
      <c r="E33" s="555"/>
      <c r="F33" s="556"/>
      <c r="G33" s="557">
        <f>G32*H33</f>
        <v>4500</v>
      </c>
      <c r="H33" s="552">
        <v>0.45</v>
      </c>
    </row>
    <row r="34" spans="2:8" s="489" customFormat="1" ht="24.75" customHeight="1">
      <c r="B34" s="490">
        <v>6</v>
      </c>
      <c r="C34" s="522" t="s">
        <v>859</v>
      </c>
      <c r="D34" s="523" t="s">
        <v>857</v>
      </c>
      <c r="E34" s="524">
        <f t="shared" si="0"/>
        <v>20</v>
      </c>
      <c r="F34" s="525">
        <f>'[9]OSD 运输仓储服务费'!E5</f>
        <v>500</v>
      </c>
      <c r="G34" s="526">
        <v>10000</v>
      </c>
    </row>
    <row r="35" spans="2:8" s="505" customFormat="1" ht="18.75" customHeight="1">
      <c r="B35" s="500"/>
      <c r="C35" s="688" t="s">
        <v>860</v>
      </c>
      <c r="D35" s="688"/>
      <c r="E35" s="501"/>
      <c r="F35" s="502">
        <f>SUM(F29:F34)</f>
        <v>2500</v>
      </c>
      <c r="G35" s="503">
        <f>SUM(G29:G34)</f>
        <v>54500</v>
      </c>
      <c r="H35" s="504"/>
    </row>
    <row r="36" spans="2:8" s="505" customFormat="1" ht="21.95" customHeight="1">
      <c r="B36" s="500"/>
      <c r="C36" s="688" t="s">
        <v>861</v>
      </c>
      <c r="D36" s="688"/>
      <c r="E36" s="506"/>
      <c r="F36" s="507"/>
      <c r="G36" s="503">
        <f>G35*0.17</f>
        <v>9265</v>
      </c>
      <c r="H36" s="504"/>
    </row>
    <row r="37" spans="2:8" s="505" customFormat="1" ht="24" customHeight="1">
      <c r="B37" s="500"/>
      <c r="C37" s="688" t="s">
        <v>862</v>
      </c>
      <c r="D37" s="688"/>
      <c r="E37" s="506"/>
      <c r="F37" s="507"/>
      <c r="G37" s="503">
        <f>G35+G36</f>
        <v>63765</v>
      </c>
    </row>
    <row r="38" spans="2:8" s="505" customFormat="1" ht="18" customHeight="1">
      <c r="B38" s="481"/>
      <c r="C38" s="468"/>
      <c r="D38" s="468"/>
      <c r="F38" s="508"/>
      <c r="G38" s="508"/>
    </row>
    <row r="39" spans="2:8" s="505" customFormat="1">
      <c r="C39" s="509"/>
      <c r="D39" s="510" t="s">
        <v>863</v>
      </c>
      <c r="F39" s="511"/>
      <c r="G39" s="508"/>
    </row>
    <row r="40" spans="2:8" s="505" customFormat="1" ht="21.75" customHeight="1">
      <c r="C40" s="512"/>
      <c r="D40" s="510" t="s">
        <v>864</v>
      </c>
      <c r="F40" s="513"/>
      <c r="G40" s="508"/>
    </row>
    <row r="41" spans="2:8" s="505" customFormat="1">
      <c r="B41" s="481"/>
      <c r="C41" s="468"/>
      <c r="D41" s="468"/>
      <c r="E41" s="468"/>
      <c r="F41" s="469"/>
      <c r="G41" s="469"/>
    </row>
    <row r="45" spans="2:8">
      <c r="E45" s="665" t="s">
        <v>1064</v>
      </c>
      <c r="F45" s="666" t="s">
        <v>1065</v>
      </c>
    </row>
    <row r="46" spans="2:8">
      <c r="E46" s="468">
        <v>20000</v>
      </c>
      <c r="F46" s="469">
        <v>20000</v>
      </c>
    </row>
    <row r="47" spans="2:8">
      <c r="F47" s="469">
        <v>10000</v>
      </c>
    </row>
    <row r="52" spans="1:8" s="469" customFormat="1">
      <c r="A52" s="468"/>
      <c r="B52" s="481"/>
      <c r="C52" s="468"/>
      <c r="D52" s="468"/>
      <c r="E52" s="514"/>
      <c r="H52" s="468"/>
    </row>
    <row r="53" spans="1:8" s="469" customFormat="1">
      <c r="A53" s="468"/>
      <c r="B53" s="481"/>
      <c r="C53" s="468"/>
      <c r="D53" s="468"/>
      <c r="E53" s="514"/>
      <c r="H53" s="468"/>
    </row>
  </sheetData>
  <protectedRanges>
    <protectedRange sqref="C26:C27" name="範圍1_3"/>
    <protectedRange sqref="D15" name="範圍1_4"/>
    <protectedRange sqref="D3" name="範圍1_1_1"/>
    <protectedRange sqref="D20:D21" name="範圍1_3_1"/>
    <protectedRange sqref="D24:D25" name="範圍1_3_3_1"/>
    <protectedRange sqref="D18" name="範圍1_3_1_2_1"/>
    <protectedRange sqref="D8" name="範圍1_4_3_1"/>
    <protectedRange sqref="D4" name="範圍1_4_3_1_1_1"/>
    <protectedRange sqref="D6" name="範圍1_4_3_1_2"/>
    <protectedRange sqref="D7" name="範圍1_2_1_1_1_1_1_1"/>
    <protectedRange sqref="D5" name="範圍1_4_2_1_1_1"/>
    <protectedRange sqref="D22:D23" name="範圍1_3_1_1"/>
  </protectedRanges>
  <mergeCells count="28">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25:C25"/>
    <mergeCell ref="C35:D35"/>
    <mergeCell ref="C36:D36"/>
    <mergeCell ref="C37:D37"/>
    <mergeCell ref="B19:C19"/>
    <mergeCell ref="B20:C20"/>
    <mergeCell ref="B21:C21"/>
    <mergeCell ref="B22:C22"/>
    <mergeCell ref="B23:C23"/>
    <mergeCell ref="B24:C24"/>
  </mergeCells>
  <phoneticPr fontId="29" type="noConversion"/>
  <dataValidations disablePrompts="1" count="2">
    <dataValidation type="list" allowBlank="1" showInputMessage="1" sqref="D8">
      <formula1>$I$2:$M$2</formula1>
    </dataValidation>
    <dataValidation type="list" allowBlank="1" showInputMessage="1" sqref="WVL983031 D65527 IZ65527 SV65527 ACR65527 AMN65527 AWJ65527 BGF65527 BQB65527 BZX65527 CJT65527 CTP65527 DDL65527 DNH65527 DXD65527 EGZ65527 EQV65527 FAR65527 FKN65527 FUJ65527 GEF65527 GOB65527 GXX65527 HHT65527 HRP65527 IBL65527 ILH65527 IVD65527 JEZ65527 JOV65527 JYR65527 KIN65527 KSJ65527 LCF65527 LMB65527 LVX65527 MFT65527 MPP65527 MZL65527 NJH65527 NTD65527 OCZ65527 OMV65527 OWR65527 PGN65527 PQJ65527 QAF65527 QKB65527 QTX65527 RDT65527 RNP65527 RXL65527 SHH65527 SRD65527 TAZ65527 TKV65527 TUR65527 UEN65527 UOJ65527 UYF65527 VIB65527 VRX65527 WBT65527 WLP65527 WVL65527 D131063 IZ131063 SV131063 ACR131063 AMN131063 AWJ131063 BGF131063 BQB131063 BZX131063 CJT131063 CTP131063 DDL131063 DNH131063 DXD131063 EGZ131063 EQV131063 FAR131063 FKN131063 FUJ131063 GEF131063 GOB131063 GXX131063 HHT131063 HRP131063 IBL131063 ILH131063 IVD131063 JEZ131063 JOV131063 JYR131063 KIN131063 KSJ131063 LCF131063 LMB131063 LVX131063 MFT131063 MPP131063 MZL131063 NJH131063 NTD131063 OCZ131063 OMV131063 OWR131063 PGN131063 PQJ131063 QAF131063 QKB131063 QTX131063 RDT131063 RNP131063 RXL131063 SHH131063 SRD131063 TAZ131063 TKV131063 TUR131063 UEN131063 UOJ131063 UYF131063 VIB131063 VRX131063 WBT131063 WLP131063 WVL131063 D196599 IZ196599 SV196599 ACR196599 AMN196599 AWJ196599 BGF196599 BQB196599 BZX196599 CJT196599 CTP196599 DDL196599 DNH196599 DXD196599 EGZ196599 EQV196599 FAR196599 FKN196599 FUJ196599 GEF196599 GOB196599 GXX196599 HHT196599 HRP196599 IBL196599 ILH196599 IVD196599 JEZ196599 JOV196599 JYR196599 KIN196599 KSJ196599 LCF196599 LMB196599 LVX196599 MFT196599 MPP196599 MZL196599 NJH196599 NTD196599 OCZ196599 OMV196599 OWR196599 PGN196599 PQJ196599 QAF196599 QKB196599 QTX196599 RDT196599 RNP196599 RXL196599 SHH196599 SRD196599 TAZ196599 TKV196599 TUR196599 UEN196599 UOJ196599 UYF196599 VIB196599 VRX196599 WBT196599 WLP196599 WVL196599 D262135 IZ262135 SV262135 ACR262135 AMN262135 AWJ262135 BGF262135 BQB262135 BZX262135 CJT262135 CTP262135 DDL262135 DNH262135 DXD262135 EGZ262135 EQV262135 FAR262135 FKN262135 FUJ262135 GEF262135 GOB262135 GXX262135 HHT262135 HRP262135 IBL262135 ILH262135 IVD262135 JEZ262135 JOV262135 JYR262135 KIN262135 KSJ262135 LCF262135 LMB262135 LVX262135 MFT262135 MPP262135 MZL262135 NJH262135 NTD262135 OCZ262135 OMV262135 OWR262135 PGN262135 PQJ262135 QAF262135 QKB262135 QTX262135 RDT262135 RNP262135 RXL262135 SHH262135 SRD262135 TAZ262135 TKV262135 TUR262135 UEN262135 UOJ262135 UYF262135 VIB262135 VRX262135 WBT262135 WLP262135 WVL262135 D327671 IZ327671 SV327671 ACR327671 AMN327671 AWJ327671 BGF327671 BQB327671 BZX327671 CJT327671 CTP327671 DDL327671 DNH327671 DXD327671 EGZ327671 EQV327671 FAR327671 FKN327671 FUJ327671 GEF327671 GOB327671 GXX327671 HHT327671 HRP327671 IBL327671 ILH327671 IVD327671 JEZ327671 JOV327671 JYR327671 KIN327671 KSJ327671 LCF327671 LMB327671 LVX327671 MFT327671 MPP327671 MZL327671 NJH327671 NTD327671 OCZ327671 OMV327671 OWR327671 PGN327671 PQJ327671 QAF327671 QKB327671 QTX327671 RDT327671 RNP327671 RXL327671 SHH327671 SRD327671 TAZ327671 TKV327671 TUR327671 UEN327671 UOJ327671 UYF327671 VIB327671 VRX327671 WBT327671 WLP327671 WVL327671 D393207 IZ393207 SV393207 ACR393207 AMN393207 AWJ393207 BGF393207 BQB393207 BZX393207 CJT393207 CTP393207 DDL393207 DNH393207 DXD393207 EGZ393207 EQV393207 FAR393207 FKN393207 FUJ393207 GEF393207 GOB393207 GXX393207 HHT393207 HRP393207 IBL393207 ILH393207 IVD393207 JEZ393207 JOV393207 JYR393207 KIN393207 KSJ393207 LCF393207 LMB393207 LVX393207 MFT393207 MPP393207 MZL393207 NJH393207 NTD393207 OCZ393207 OMV393207 OWR393207 PGN393207 PQJ393207 QAF393207 QKB393207 QTX393207 RDT393207 RNP393207 RXL393207 SHH393207 SRD393207 TAZ393207 TKV393207 TUR393207 UEN393207 UOJ393207 UYF393207 VIB393207 VRX393207 WBT393207 WLP393207 WVL393207 D458743 IZ458743 SV458743 ACR458743 AMN458743 AWJ458743 BGF458743 BQB458743 BZX458743 CJT458743 CTP458743 DDL458743 DNH458743 DXD458743 EGZ458743 EQV458743 FAR458743 FKN458743 FUJ458743 GEF458743 GOB458743 GXX458743 HHT458743 HRP458743 IBL458743 ILH458743 IVD458743 JEZ458743 JOV458743 JYR458743 KIN458743 KSJ458743 LCF458743 LMB458743 LVX458743 MFT458743 MPP458743 MZL458743 NJH458743 NTD458743 OCZ458743 OMV458743 OWR458743 PGN458743 PQJ458743 QAF458743 QKB458743 QTX458743 RDT458743 RNP458743 RXL458743 SHH458743 SRD458743 TAZ458743 TKV458743 TUR458743 UEN458743 UOJ458743 UYF458743 VIB458743 VRX458743 WBT458743 WLP458743 WVL458743 D524279 IZ524279 SV524279 ACR524279 AMN524279 AWJ524279 BGF524279 BQB524279 BZX524279 CJT524279 CTP524279 DDL524279 DNH524279 DXD524279 EGZ524279 EQV524279 FAR524279 FKN524279 FUJ524279 GEF524279 GOB524279 GXX524279 HHT524279 HRP524279 IBL524279 ILH524279 IVD524279 JEZ524279 JOV524279 JYR524279 KIN524279 KSJ524279 LCF524279 LMB524279 LVX524279 MFT524279 MPP524279 MZL524279 NJH524279 NTD524279 OCZ524279 OMV524279 OWR524279 PGN524279 PQJ524279 QAF524279 QKB524279 QTX524279 RDT524279 RNP524279 RXL524279 SHH524279 SRD524279 TAZ524279 TKV524279 TUR524279 UEN524279 UOJ524279 UYF524279 VIB524279 VRX524279 WBT524279 WLP524279 WVL524279 D589815 IZ589815 SV589815 ACR589815 AMN589815 AWJ589815 BGF589815 BQB589815 BZX589815 CJT589815 CTP589815 DDL589815 DNH589815 DXD589815 EGZ589815 EQV589815 FAR589815 FKN589815 FUJ589815 GEF589815 GOB589815 GXX589815 HHT589815 HRP589815 IBL589815 ILH589815 IVD589815 JEZ589815 JOV589815 JYR589815 KIN589815 KSJ589815 LCF589815 LMB589815 LVX589815 MFT589815 MPP589815 MZL589815 NJH589815 NTD589815 OCZ589815 OMV589815 OWR589815 PGN589815 PQJ589815 QAF589815 QKB589815 QTX589815 RDT589815 RNP589815 RXL589815 SHH589815 SRD589815 TAZ589815 TKV589815 TUR589815 UEN589815 UOJ589815 UYF589815 VIB589815 VRX589815 WBT589815 WLP589815 WVL589815 D655351 IZ655351 SV655351 ACR655351 AMN655351 AWJ655351 BGF655351 BQB655351 BZX655351 CJT655351 CTP655351 DDL655351 DNH655351 DXD655351 EGZ655351 EQV655351 FAR655351 FKN655351 FUJ655351 GEF655351 GOB655351 GXX655351 HHT655351 HRP655351 IBL655351 ILH655351 IVD655351 JEZ655351 JOV655351 JYR655351 KIN655351 KSJ655351 LCF655351 LMB655351 LVX655351 MFT655351 MPP655351 MZL655351 NJH655351 NTD655351 OCZ655351 OMV655351 OWR655351 PGN655351 PQJ655351 QAF655351 QKB655351 QTX655351 RDT655351 RNP655351 RXL655351 SHH655351 SRD655351 TAZ655351 TKV655351 TUR655351 UEN655351 UOJ655351 UYF655351 VIB655351 VRX655351 WBT655351 WLP655351 WVL655351 D720887 IZ720887 SV720887 ACR720887 AMN720887 AWJ720887 BGF720887 BQB720887 BZX720887 CJT720887 CTP720887 DDL720887 DNH720887 DXD720887 EGZ720887 EQV720887 FAR720887 FKN720887 FUJ720887 GEF720887 GOB720887 GXX720887 HHT720887 HRP720887 IBL720887 ILH720887 IVD720887 JEZ720887 JOV720887 JYR720887 KIN720887 KSJ720887 LCF720887 LMB720887 LVX720887 MFT720887 MPP720887 MZL720887 NJH720887 NTD720887 OCZ720887 OMV720887 OWR720887 PGN720887 PQJ720887 QAF720887 QKB720887 QTX720887 RDT720887 RNP720887 RXL720887 SHH720887 SRD720887 TAZ720887 TKV720887 TUR720887 UEN720887 UOJ720887 UYF720887 VIB720887 VRX720887 WBT720887 WLP720887 WVL720887 D786423 IZ786423 SV786423 ACR786423 AMN786423 AWJ786423 BGF786423 BQB786423 BZX786423 CJT786423 CTP786423 DDL786423 DNH786423 DXD786423 EGZ786423 EQV786423 FAR786423 FKN786423 FUJ786423 GEF786423 GOB786423 GXX786423 HHT786423 HRP786423 IBL786423 ILH786423 IVD786423 JEZ786423 JOV786423 JYR786423 KIN786423 KSJ786423 LCF786423 LMB786423 LVX786423 MFT786423 MPP786423 MZL786423 NJH786423 NTD786423 OCZ786423 OMV786423 OWR786423 PGN786423 PQJ786423 QAF786423 QKB786423 QTX786423 RDT786423 RNP786423 RXL786423 SHH786423 SRD786423 TAZ786423 TKV786423 TUR786423 UEN786423 UOJ786423 UYF786423 VIB786423 VRX786423 WBT786423 WLP786423 WVL786423 D851959 IZ851959 SV851959 ACR851959 AMN851959 AWJ851959 BGF851959 BQB851959 BZX851959 CJT851959 CTP851959 DDL851959 DNH851959 DXD851959 EGZ851959 EQV851959 FAR851959 FKN851959 FUJ851959 GEF851959 GOB851959 GXX851959 HHT851959 HRP851959 IBL851959 ILH851959 IVD851959 JEZ851959 JOV851959 JYR851959 KIN851959 KSJ851959 LCF851959 LMB851959 LVX851959 MFT851959 MPP851959 MZL851959 NJH851959 NTD851959 OCZ851959 OMV851959 OWR851959 PGN851959 PQJ851959 QAF851959 QKB851959 QTX851959 RDT851959 RNP851959 RXL851959 SHH851959 SRD851959 TAZ851959 TKV851959 TUR851959 UEN851959 UOJ851959 UYF851959 VIB851959 VRX851959 WBT851959 WLP851959 WVL851959 D917495 IZ917495 SV917495 ACR917495 AMN917495 AWJ917495 BGF917495 BQB917495 BZX917495 CJT917495 CTP917495 DDL917495 DNH917495 DXD917495 EGZ917495 EQV917495 FAR917495 FKN917495 FUJ917495 GEF917495 GOB917495 GXX917495 HHT917495 HRP917495 IBL917495 ILH917495 IVD917495 JEZ917495 JOV917495 JYR917495 KIN917495 KSJ917495 LCF917495 LMB917495 LVX917495 MFT917495 MPP917495 MZL917495 NJH917495 NTD917495 OCZ917495 OMV917495 OWR917495 PGN917495 PQJ917495 QAF917495 QKB917495 QTX917495 RDT917495 RNP917495 RXL917495 SHH917495 SRD917495 TAZ917495 TKV917495 TUR917495 UEN917495 UOJ917495 UYF917495 VIB917495 VRX917495 WBT917495 WLP917495 WVL917495 D983031 IZ983031 SV983031 ACR983031 AMN983031 AWJ983031 BGF983031 BQB983031 BZX983031 CJT983031 CTP983031 DDL983031 DNH983031 DXD983031 EGZ983031 EQV983031 FAR983031 FKN983031 FUJ983031 GEF983031 GOB983031 GXX983031 HHT983031 HRP983031 IBL983031 ILH983031 IVD983031 JEZ983031 JOV983031 JYR983031 KIN983031 KSJ983031 LCF983031 LMB983031 LVX983031 MFT983031 MPP983031 MZL983031 NJH983031 NTD983031 OCZ983031 OMV983031 OWR983031 PGN983031 PQJ983031 QAF983031 QKB983031 QTX983031 RDT983031 RNP983031 RXL983031 SHH983031 SRD983031 TAZ983031 TKV983031 TUR983031 UEN983031 UOJ983031 UYF983031 VIB983031 VRX983031 WBT983031 WLP983031 IZ8 SV8 ACR8 AMN8 AWJ8 BGF8 BQB8 BZX8 CJT8 CTP8 DDL8 DNH8 DXD8 EGZ8 EQV8 FAR8 FKN8 FUJ8 GEF8 GOB8 GXX8 HHT8 HRP8 IBL8 ILH8 IVD8 JEZ8 JOV8 JYR8 KIN8 KSJ8 LCF8 LMB8 LVX8 MFT8 MPP8 MZL8 NJH8 NTD8 OCZ8 OMV8 OWR8 PGN8 PQJ8 QAF8 QKB8 QTX8 RDT8 RNP8 RXL8 SHH8 SRD8 TAZ8 TKV8 TUR8 UEN8 UOJ8 UYF8 VIB8 VRX8 WBT8 WLP8 WVL8">
      <formula1>$J$2:$O$2</formula1>
    </dataValidation>
  </dataValidations>
  <hyperlinks>
    <hyperlink ref="C29" location="'7月Pantene生产费'!A1" display="'7月Pantene生产费'!A1"/>
    <hyperlink ref="C30" location="'Pantene 骨架生产费'!A1" display="'Pantene 骨架生产费'!A1"/>
    <hyperlink ref="C31" location="'OSD 运输仓储服务费'!A1" display="OSD 运输仓储服务费"/>
  </hyperlinks>
  <pageMargins left="0.47244094488188981" right="0.55118110236220474" top="0.35433070866141736" bottom="0.47244094488188981" header="0.31496062992125984" footer="0.31496062992125984"/>
  <pageSetup paperSize="9" scale="65" orientation="portrait" r:id="rId1"/>
  <headerFooter>
    <oddFooter>第 &amp;P 页，共 &amp;N 页</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2"/>
  <sheetViews>
    <sheetView zoomScale="80" zoomScaleNormal="80" workbookViewId="0">
      <selection activeCell="D16" sqref="D16"/>
    </sheetView>
  </sheetViews>
  <sheetFormatPr defaultColWidth="9" defaultRowHeight="13.5"/>
  <cols>
    <col min="1" max="14" width="11.5" customWidth="1"/>
  </cols>
  <sheetData>
    <row r="1" spans="1:32" s="160" customFormat="1" ht="32.25">
      <c r="A1" s="695" t="s">
        <v>175</v>
      </c>
      <c r="B1" s="696"/>
      <c r="C1" s="696"/>
      <c r="D1" s="696"/>
      <c r="E1" s="696"/>
      <c r="F1" s="696"/>
      <c r="G1" s="696"/>
      <c r="H1" s="696"/>
      <c r="I1" s="696"/>
      <c r="J1" s="696"/>
      <c r="K1" s="696"/>
      <c r="L1" s="696"/>
      <c r="M1" s="696"/>
      <c r="N1" s="161"/>
      <c r="O1" s="198"/>
      <c r="P1" s="198"/>
      <c r="Q1" s="198"/>
      <c r="R1" s="198"/>
      <c r="S1" s="198"/>
      <c r="T1" s="198"/>
      <c r="U1" s="198"/>
      <c r="V1" s="198"/>
      <c r="W1" s="198"/>
      <c r="X1" s="198"/>
      <c r="Y1" s="198"/>
      <c r="Z1" s="198"/>
      <c r="AA1" s="198"/>
      <c r="AB1" s="198"/>
      <c r="AC1" s="198"/>
    </row>
    <row r="2" spans="1:32" s="160" customFormat="1" ht="17.25">
      <c r="A2" s="163" t="s">
        <v>176</v>
      </c>
      <c r="B2" s="697" t="s">
        <v>177</v>
      </c>
      <c r="C2" s="698"/>
      <c r="D2" s="698"/>
      <c r="E2" s="698"/>
      <c r="F2" s="698"/>
      <c r="G2" s="699" t="s">
        <v>178</v>
      </c>
      <c r="H2" s="699"/>
      <c r="I2" s="699"/>
      <c r="J2" s="699"/>
      <c r="K2" s="699"/>
      <c r="L2" s="699"/>
      <c r="M2" s="699"/>
      <c r="N2" s="161"/>
      <c r="O2" s="161"/>
      <c r="P2" s="161"/>
      <c r="Q2" s="161"/>
      <c r="R2" s="161"/>
      <c r="S2" s="161"/>
      <c r="T2" s="161"/>
      <c r="U2" s="161"/>
      <c r="V2" s="161"/>
      <c r="W2" s="161"/>
      <c r="X2" s="161"/>
      <c r="Y2" s="161"/>
      <c r="Z2" s="161"/>
      <c r="AA2" s="161"/>
      <c r="AB2" s="161"/>
      <c r="AC2" s="161"/>
    </row>
    <row r="3" spans="1:32" s="160" customFormat="1" ht="57">
      <c r="A3" s="164" t="s">
        <v>179</v>
      </c>
      <c r="B3" s="165" t="str">
        <f t="shared" ref="B3" si="0">B5&amp;"层板灯"</f>
        <v>760mm层板灯</v>
      </c>
      <c r="C3" s="165" t="str">
        <f>C5&amp;"层板灯"</f>
        <v>960mm层板灯</v>
      </c>
      <c r="D3" s="165" t="str">
        <f>D5&amp;"层板灯"</f>
        <v>1110mm层板灯</v>
      </c>
      <c r="E3" s="165" t="str">
        <f>E5&amp;"层板灯"</f>
        <v>1160mm层板灯</v>
      </c>
      <c r="F3" s="165" t="str">
        <f>F5&amp;"层板灯"</f>
        <v>1210mm层板灯</v>
      </c>
      <c r="G3" s="166" t="s">
        <v>180</v>
      </c>
      <c r="H3" s="166" t="s">
        <v>181</v>
      </c>
      <c r="I3" s="166" t="s">
        <v>182</v>
      </c>
      <c r="J3" s="166" t="s">
        <v>183</v>
      </c>
      <c r="K3" s="166" t="s">
        <v>184</v>
      </c>
      <c r="L3" s="166" t="s">
        <v>185</v>
      </c>
      <c r="M3" s="199" t="s">
        <v>186</v>
      </c>
      <c r="N3" s="161"/>
      <c r="O3" s="161"/>
      <c r="P3" s="161"/>
      <c r="Q3" s="161"/>
      <c r="R3" s="161"/>
      <c r="S3" s="161"/>
      <c r="T3" s="161"/>
      <c r="U3" s="161"/>
      <c r="V3" s="161"/>
      <c r="W3" s="161"/>
      <c r="X3" s="161"/>
      <c r="Y3" s="161"/>
      <c r="Z3" s="161"/>
    </row>
    <row r="4" spans="1:32" s="160" customFormat="1" ht="30">
      <c r="A4" s="164" t="s">
        <v>187</v>
      </c>
      <c r="B4" s="167" t="s">
        <v>188</v>
      </c>
      <c r="C4" s="167" t="s">
        <v>188</v>
      </c>
      <c r="D4" s="167" t="s">
        <v>188</v>
      </c>
      <c r="E4" s="167" t="s">
        <v>188</v>
      </c>
      <c r="F4" s="167" t="s">
        <v>188</v>
      </c>
      <c r="G4" s="168" t="s">
        <v>189</v>
      </c>
      <c r="H4" s="168" t="s">
        <v>190</v>
      </c>
      <c r="I4" s="168" t="s">
        <v>191</v>
      </c>
      <c r="J4" s="168" t="s">
        <v>192</v>
      </c>
      <c r="K4" s="168" t="s">
        <v>193</v>
      </c>
      <c r="L4" s="168" t="s">
        <v>194</v>
      </c>
      <c r="M4" s="171" t="s">
        <v>195</v>
      </c>
      <c r="N4" s="161"/>
      <c r="O4" s="161"/>
      <c r="P4" s="161"/>
      <c r="Q4" s="161"/>
      <c r="R4" s="161"/>
      <c r="S4" s="161"/>
      <c r="T4" s="161"/>
      <c r="U4" s="161"/>
      <c r="V4" s="161"/>
      <c r="W4" s="161"/>
      <c r="X4" s="161"/>
      <c r="Y4" s="161"/>
      <c r="Z4" s="161"/>
    </row>
    <row r="5" spans="1:32" s="160" customFormat="1" ht="17.25">
      <c r="A5" s="164" t="s">
        <v>196</v>
      </c>
      <c r="B5" s="169" t="s">
        <v>197</v>
      </c>
      <c r="C5" s="170" t="s">
        <v>198</v>
      </c>
      <c r="D5" s="170" t="s">
        <v>199</v>
      </c>
      <c r="E5" s="169" t="s">
        <v>200</v>
      </c>
      <c r="F5" s="169" t="s">
        <v>201</v>
      </c>
      <c r="G5" s="171" t="s">
        <v>202</v>
      </c>
      <c r="H5" s="168" t="s">
        <v>203</v>
      </c>
      <c r="I5" s="168" t="s">
        <v>204</v>
      </c>
      <c r="J5" s="168" t="s">
        <v>205</v>
      </c>
      <c r="K5" s="168" t="s">
        <v>206</v>
      </c>
      <c r="L5" s="168" t="s">
        <v>207</v>
      </c>
      <c r="M5" s="171" t="s">
        <v>208</v>
      </c>
      <c r="N5" s="161"/>
      <c r="O5" s="161"/>
      <c r="P5" s="161"/>
      <c r="Q5" s="161"/>
      <c r="R5" s="161"/>
      <c r="S5" s="161"/>
      <c r="T5" s="161"/>
      <c r="U5" s="161"/>
      <c r="V5" s="161"/>
      <c r="W5" s="161"/>
      <c r="X5" s="161"/>
      <c r="Y5" s="161"/>
      <c r="Z5" s="161"/>
    </row>
    <row r="6" spans="1:32" s="160" customFormat="1" ht="17.25">
      <c r="A6" s="164" t="s">
        <v>209</v>
      </c>
      <c r="B6" s="168"/>
      <c r="C6" s="168"/>
      <c r="D6" s="168"/>
      <c r="E6" s="172"/>
      <c r="F6" s="171"/>
      <c r="G6" s="168" t="s">
        <v>210</v>
      </c>
      <c r="H6" s="168" t="s">
        <v>211</v>
      </c>
      <c r="I6" s="168" t="s">
        <v>211</v>
      </c>
      <c r="J6" s="168" t="s">
        <v>211</v>
      </c>
      <c r="K6" s="168" t="s">
        <v>211</v>
      </c>
      <c r="L6" s="168" t="s">
        <v>211</v>
      </c>
      <c r="M6" s="168" t="s">
        <v>211</v>
      </c>
      <c r="N6" s="161"/>
      <c r="O6" s="161"/>
      <c r="P6" s="161"/>
      <c r="Q6" s="161"/>
      <c r="R6" s="161"/>
      <c r="S6" s="161"/>
      <c r="T6" s="161"/>
      <c r="U6" s="161"/>
      <c r="V6" s="161"/>
      <c r="W6" s="161"/>
      <c r="X6" s="161"/>
      <c r="Y6" s="161"/>
      <c r="Z6" s="161"/>
    </row>
    <row r="7" spans="1:32" s="160" customFormat="1" ht="30">
      <c r="A7" s="173" t="s">
        <v>212</v>
      </c>
      <c r="B7" s="700">
        <v>162</v>
      </c>
      <c r="C7" s="701"/>
      <c r="D7" s="701"/>
      <c r="E7" s="701"/>
      <c r="F7" s="702"/>
      <c r="G7" s="174">
        <v>635</v>
      </c>
      <c r="H7" s="703">
        <v>33</v>
      </c>
      <c r="I7" s="703"/>
      <c r="J7" s="703"/>
      <c r="K7" s="703"/>
      <c r="L7" s="703"/>
      <c r="M7" s="703"/>
      <c r="N7" s="161"/>
      <c r="O7" s="161"/>
      <c r="P7" s="161"/>
      <c r="Q7" s="161"/>
      <c r="R7" s="161"/>
      <c r="S7" s="161"/>
      <c r="T7" s="161"/>
      <c r="U7" s="161"/>
      <c r="V7" s="161"/>
      <c r="W7" s="161"/>
      <c r="X7" s="161"/>
      <c r="Y7" s="161"/>
      <c r="Z7" s="161"/>
    </row>
    <row r="8" spans="1:32" s="160" customFormat="1" ht="30">
      <c r="A8" s="173" t="s">
        <v>213</v>
      </c>
      <c r="B8" s="700">
        <v>189.54</v>
      </c>
      <c r="C8" s="701"/>
      <c r="D8" s="701"/>
      <c r="E8" s="701"/>
      <c r="F8" s="702"/>
      <c r="G8" s="175">
        <v>742.95</v>
      </c>
      <c r="H8" s="704">
        <v>38.61</v>
      </c>
      <c r="I8" s="704"/>
      <c r="J8" s="704"/>
      <c r="K8" s="704"/>
      <c r="L8" s="704"/>
      <c r="M8" s="704"/>
      <c r="N8" s="161"/>
      <c r="O8" s="161"/>
      <c r="P8" s="161"/>
      <c r="Q8" s="161"/>
      <c r="R8" s="161"/>
      <c r="S8" s="161"/>
      <c r="T8" s="161"/>
      <c r="U8" s="161"/>
      <c r="V8" s="161"/>
      <c r="W8" s="161"/>
      <c r="X8" s="161"/>
      <c r="Y8" s="161"/>
      <c r="Z8" s="161"/>
    </row>
    <row r="9" spans="1:32" s="160" customFormat="1" ht="30" hidden="1">
      <c r="A9" s="173" t="s">
        <v>214</v>
      </c>
      <c r="B9" s="176">
        <f>0.76*$B$7</f>
        <v>123.12</v>
      </c>
      <c r="C9" s="176">
        <f>0.96*$B$7</f>
        <v>155.51999999999998</v>
      </c>
      <c r="D9" s="176">
        <f>1.11*$B$7</f>
        <v>179.82000000000002</v>
      </c>
      <c r="E9" s="176">
        <f>1.16*$B$7</f>
        <v>187.92</v>
      </c>
      <c r="F9" s="176">
        <f>1.21*$B$7</f>
        <v>196.01999999999998</v>
      </c>
      <c r="G9" s="176">
        <v>635</v>
      </c>
      <c r="H9" s="176">
        <v>37.950000000000003</v>
      </c>
      <c r="I9" s="176">
        <v>34.65</v>
      </c>
      <c r="J9" s="176">
        <v>36.630000000000003</v>
      </c>
      <c r="K9" s="176">
        <v>25.08</v>
      </c>
      <c r="L9" s="176">
        <v>42.9</v>
      </c>
      <c r="M9" s="176">
        <v>52.8</v>
      </c>
      <c r="N9" s="161"/>
      <c r="O9" s="161"/>
      <c r="P9" s="161"/>
      <c r="Q9" s="161"/>
      <c r="R9" s="161"/>
      <c r="S9" s="161"/>
      <c r="T9" s="161"/>
      <c r="U9" s="161"/>
      <c r="V9" s="161"/>
      <c r="W9" s="161"/>
      <c r="X9" s="161"/>
      <c r="Y9" s="161"/>
      <c r="Z9" s="161"/>
    </row>
    <row r="10" spans="1:32" s="160" customFormat="1" ht="30" hidden="1">
      <c r="A10" s="173" t="s">
        <v>215</v>
      </c>
      <c r="B10" s="176">
        <f t="shared" ref="B10" si="1">B9*1.17</f>
        <v>144.0504</v>
      </c>
      <c r="C10" s="176">
        <f t="shared" ref="C10:M10" si="2">C9*1.17</f>
        <v>181.95839999999995</v>
      </c>
      <c r="D10" s="176">
        <f t="shared" si="2"/>
        <v>210.38940000000002</v>
      </c>
      <c r="E10" s="176">
        <f t="shared" si="2"/>
        <v>219.86639999999997</v>
      </c>
      <c r="F10" s="176">
        <f t="shared" si="2"/>
        <v>229.34339999999997</v>
      </c>
      <c r="G10" s="176">
        <f t="shared" si="2"/>
        <v>742.94999999999993</v>
      </c>
      <c r="H10" s="176">
        <f t="shared" si="2"/>
        <v>44.401499999999999</v>
      </c>
      <c r="I10" s="176">
        <f t="shared" si="2"/>
        <v>40.540499999999994</v>
      </c>
      <c r="J10" s="176">
        <f t="shared" si="2"/>
        <v>42.857100000000003</v>
      </c>
      <c r="K10" s="176">
        <f t="shared" si="2"/>
        <v>29.343599999999995</v>
      </c>
      <c r="L10" s="176">
        <f t="shared" si="2"/>
        <v>50.192999999999998</v>
      </c>
      <c r="M10" s="176">
        <f t="shared" si="2"/>
        <v>61.775999999999996</v>
      </c>
      <c r="N10" s="161"/>
      <c r="O10" s="161"/>
      <c r="P10" s="161"/>
      <c r="Q10" s="161"/>
      <c r="R10" s="161"/>
      <c r="S10" s="161"/>
      <c r="T10" s="161"/>
      <c r="U10" s="161"/>
      <c r="V10" s="161"/>
      <c r="W10" s="161"/>
      <c r="X10" s="161"/>
      <c r="Y10" s="161"/>
      <c r="Z10" s="161"/>
    </row>
    <row r="11" spans="1:32" s="160" customFormat="1" ht="17.25">
      <c r="A11" s="164" t="s">
        <v>216</v>
      </c>
      <c r="B11" s="168">
        <v>0</v>
      </c>
      <c r="C11" s="168">
        <f>3+6</f>
        <v>9</v>
      </c>
      <c r="D11" s="168">
        <v>0</v>
      </c>
      <c r="E11" s="168">
        <v>0</v>
      </c>
      <c r="F11" s="168">
        <v>0</v>
      </c>
      <c r="G11" s="168">
        <v>1</v>
      </c>
      <c r="H11" s="168">
        <v>1</v>
      </c>
      <c r="I11" s="168">
        <v>0</v>
      </c>
      <c r="J11" s="168">
        <v>0</v>
      </c>
      <c r="K11" s="168">
        <v>1</v>
      </c>
      <c r="L11" s="168">
        <v>0</v>
      </c>
      <c r="M11" s="171">
        <v>0</v>
      </c>
      <c r="N11" s="161"/>
      <c r="O11" s="161"/>
      <c r="P11" s="161"/>
      <c r="Q11" s="161"/>
      <c r="R11" s="161"/>
      <c r="S11" s="161"/>
      <c r="T11" s="161"/>
      <c r="U11" s="161"/>
      <c r="V11" s="161"/>
      <c r="W11" s="161"/>
      <c r="X11" s="161"/>
      <c r="Y11" s="161"/>
      <c r="Z11" s="161"/>
    </row>
    <row r="12" spans="1:32" s="160" customFormat="1" ht="17.25" hidden="1">
      <c r="A12" s="177" t="s">
        <v>217</v>
      </c>
      <c r="B12" s="178">
        <f t="shared" ref="B12" si="3">B11*B9</f>
        <v>0</v>
      </c>
      <c r="C12" s="178">
        <f t="shared" ref="C12:M12" si="4">C11*C9</f>
        <v>1399.6799999999998</v>
      </c>
      <c r="D12" s="178">
        <f t="shared" si="4"/>
        <v>0</v>
      </c>
      <c r="E12" s="178">
        <f t="shared" si="4"/>
        <v>0</v>
      </c>
      <c r="F12" s="178">
        <f t="shared" si="4"/>
        <v>0</v>
      </c>
      <c r="G12" s="178">
        <f t="shared" si="4"/>
        <v>635</v>
      </c>
      <c r="H12" s="178">
        <f t="shared" si="4"/>
        <v>37.950000000000003</v>
      </c>
      <c r="I12" s="178">
        <f t="shared" si="4"/>
        <v>0</v>
      </c>
      <c r="J12" s="178">
        <f t="shared" si="4"/>
        <v>0</v>
      </c>
      <c r="K12" s="178">
        <f t="shared" si="4"/>
        <v>25.08</v>
      </c>
      <c r="L12" s="178">
        <f t="shared" si="4"/>
        <v>0</v>
      </c>
      <c r="M12" s="178">
        <f t="shared" si="4"/>
        <v>0</v>
      </c>
      <c r="N12" s="200">
        <f>SUM(B12:M12)</f>
        <v>2097.7099999999996</v>
      </c>
      <c r="O12" s="161"/>
      <c r="P12" s="161"/>
      <c r="Q12" s="161"/>
      <c r="R12" s="161"/>
      <c r="S12" s="161"/>
      <c r="T12" s="161"/>
      <c r="U12" s="161"/>
      <c r="V12" s="161"/>
      <c r="W12" s="161"/>
      <c r="X12" s="161"/>
      <c r="Y12" s="161"/>
      <c r="Z12" s="161"/>
    </row>
    <row r="13" spans="1:32" s="160" customFormat="1" ht="17.25">
      <c r="A13" s="164" t="s">
        <v>218</v>
      </c>
      <c r="B13" s="705" t="s">
        <v>219</v>
      </c>
      <c r="C13" s="706"/>
      <c r="D13" s="706"/>
      <c r="E13" s="706"/>
      <c r="F13" s="706"/>
      <c r="G13" s="179"/>
      <c r="H13" s="179"/>
      <c r="I13" s="179"/>
      <c r="J13" s="179"/>
      <c r="K13" s="179"/>
      <c r="L13" s="201"/>
      <c r="M13" s="202"/>
      <c r="N13" s="161"/>
      <c r="O13" s="161"/>
      <c r="P13" s="161"/>
      <c r="Q13" s="161"/>
      <c r="R13" s="161"/>
      <c r="S13" s="161"/>
      <c r="T13" s="161"/>
      <c r="U13" s="161"/>
      <c r="V13" s="161"/>
      <c r="W13" s="161"/>
      <c r="X13" s="161"/>
      <c r="Y13" s="161"/>
      <c r="Z13" s="161"/>
      <c r="AA13" s="161"/>
      <c r="AB13" s="161"/>
      <c r="AC13" s="161"/>
    </row>
    <row r="14" spans="1:32" s="160" customFormat="1" ht="30">
      <c r="A14" s="180" t="s">
        <v>220</v>
      </c>
      <c r="B14" s="707"/>
      <c r="C14" s="707"/>
      <c r="D14" s="707"/>
      <c r="E14" s="707"/>
      <c r="F14" s="707"/>
      <c r="G14" s="181"/>
      <c r="H14" s="707"/>
      <c r="I14" s="707"/>
      <c r="J14" s="707"/>
      <c r="K14" s="707"/>
      <c r="L14" s="707"/>
      <c r="M14" s="707"/>
      <c r="N14" s="161"/>
      <c r="O14" s="161"/>
      <c r="P14" s="161"/>
      <c r="Q14" s="161"/>
      <c r="R14" s="161"/>
      <c r="S14" s="161"/>
      <c r="T14" s="161"/>
      <c r="U14" s="161"/>
      <c r="V14" s="161"/>
      <c r="W14" s="161"/>
      <c r="X14" s="161"/>
      <c r="Y14" s="161"/>
      <c r="Z14" s="161"/>
      <c r="AA14" s="161"/>
      <c r="AB14" s="161"/>
      <c r="AC14" s="161"/>
      <c r="AD14" s="161"/>
      <c r="AE14" s="161"/>
      <c r="AF14" s="161"/>
    </row>
    <row r="15" spans="1:32" s="160" customFormat="1" ht="17.25">
      <c r="A15" s="182"/>
      <c r="B15" s="183"/>
      <c r="C15" s="183"/>
      <c r="D15" s="183"/>
      <c r="E15" s="183"/>
      <c r="F15" s="183"/>
      <c r="G15" s="183"/>
      <c r="H15" s="183"/>
      <c r="I15" s="183"/>
      <c r="J15" s="183"/>
      <c r="K15" s="183"/>
      <c r="L15" s="183"/>
      <c r="M15" s="183"/>
      <c r="N15" s="183"/>
      <c r="O15" s="183"/>
      <c r="P15" s="183"/>
      <c r="Q15" s="183"/>
      <c r="R15" s="183"/>
      <c r="S15" s="183"/>
      <c r="T15" s="183"/>
      <c r="U15" s="193"/>
      <c r="V15" s="193"/>
      <c r="W15" s="193"/>
      <c r="X15" s="212"/>
      <c r="Y15" s="213"/>
      <c r="Z15" s="213"/>
      <c r="AA15" s="213"/>
      <c r="AB15" s="213"/>
      <c r="AC15" s="214"/>
      <c r="AD15" s="214"/>
      <c r="AE15" s="214"/>
      <c r="AF15" s="214"/>
    </row>
    <row r="16" spans="1:32" s="161" customFormat="1" ht="16.5">
      <c r="A16" s="161" t="s">
        <v>221</v>
      </c>
      <c r="B16" s="162"/>
      <c r="C16" s="161" t="s">
        <v>256</v>
      </c>
      <c r="H16" s="161" t="s">
        <v>257</v>
      </c>
      <c r="J16" s="161" t="s">
        <v>257</v>
      </c>
    </row>
    <row r="17" spans="1:15" s="161" customFormat="1" ht="16.5">
      <c r="B17" s="162"/>
    </row>
    <row r="18" spans="1:15" s="161" customFormat="1" ht="16.5">
      <c r="A18" s="708"/>
      <c r="B18" s="708"/>
      <c r="C18" s="708"/>
      <c r="D18" s="708"/>
      <c r="E18" s="708"/>
      <c r="F18" s="709"/>
      <c r="G18" s="709"/>
      <c r="H18" s="709"/>
      <c r="I18" s="709"/>
      <c r="J18" s="709"/>
      <c r="K18" s="709"/>
      <c r="L18" s="709"/>
      <c r="M18" s="709"/>
      <c r="N18" s="709"/>
    </row>
    <row r="19" spans="1:15" s="161" customFormat="1" ht="16.5">
      <c r="A19" s="186" t="s">
        <v>176</v>
      </c>
      <c r="B19" s="710" t="s">
        <v>223</v>
      </c>
      <c r="C19" s="710"/>
      <c r="D19" s="710"/>
      <c r="E19" s="710"/>
      <c r="F19" s="711" t="s">
        <v>224</v>
      </c>
      <c r="G19" s="711"/>
      <c r="H19" s="711"/>
      <c r="I19" s="711"/>
      <c r="J19" s="711" t="s">
        <v>225</v>
      </c>
      <c r="K19" s="711"/>
      <c r="L19" s="711"/>
    </row>
    <row r="20" spans="1:15" s="161" customFormat="1" ht="57">
      <c r="A20" s="164" t="s">
        <v>179</v>
      </c>
      <c r="B20" s="187" t="s">
        <v>226</v>
      </c>
      <c r="C20" s="187" t="s">
        <v>227</v>
      </c>
      <c r="D20" s="187" t="s">
        <v>228</v>
      </c>
      <c r="E20" s="187" t="s">
        <v>229</v>
      </c>
      <c r="F20" s="712" t="s">
        <v>230</v>
      </c>
      <c r="G20" s="712"/>
      <c r="H20" s="712" t="s">
        <v>231</v>
      </c>
      <c r="I20" s="712"/>
      <c r="J20" s="203" t="s">
        <v>232</v>
      </c>
      <c r="K20" s="203" t="s">
        <v>233</v>
      </c>
      <c r="L20" s="188" t="s">
        <v>234</v>
      </c>
    </row>
    <row r="21" spans="1:15" s="161" customFormat="1" ht="30">
      <c r="A21" s="164" t="s">
        <v>187</v>
      </c>
      <c r="B21" s="168" t="s">
        <v>235</v>
      </c>
      <c r="C21" s="168" t="s">
        <v>236</v>
      </c>
      <c r="D21" s="168" t="s">
        <v>237</v>
      </c>
      <c r="E21" s="168" t="s">
        <v>238</v>
      </c>
      <c r="F21" s="713" t="s">
        <v>239</v>
      </c>
      <c r="G21" s="713"/>
      <c r="H21" s="713" t="s">
        <v>240</v>
      </c>
      <c r="I21" s="713"/>
      <c r="J21" s="202" t="s">
        <v>188</v>
      </c>
      <c r="K21" s="202" t="s">
        <v>188</v>
      </c>
      <c r="L21" s="168" t="s">
        <v>188</v>
      </c>
    </row>
    <row r="22" spans="1:15" s="161" customFormat="1" ht="28.5">
      <c r="A22" s="164" t="s">
        <v>196</v>
      </c>
      <c r="B22" s="168" t="s">
        <v>241</v>
      </c>
      <c r="C22" s="168" t="s">
        <v>241</v>
      </c>
      <c r="D22" s="168" t="s">
        <v>241</v>
      </c>
      <c r="E22" s="168" t="s">
        <v>241</v>
      </c>
      <c r="F22" s="713" t="s">
        <v>242</v>
      </c>
      <c r="G22" s="713"/>
      <c r="H22" s="713" t="s">
        <v>242</v>
      </c>
      <c r="I22" s="713"/>
      <c r="J22" s="202" t="s">
        <v>243</v>
      </c>
      <c r="K22" s="202" t="s">
        <v>244</v>
      </c>
      <c r="L22" s="204" t="s">
        <v>245</v>
      </c>
    </row>
    <row r="23" spans="1:15" s="161" customFormat="1" ht="16.5">
      <c r="A23" s="164" t="s">
        <v>209</v>
      </c>
      <c r="B23" s="168" t="s">
        <v>246</v>
      </c>
      <c r="C23" s="168" t="s">
        <v>246</v>
      </c>
      <c r="D23" s="168" t="s">
        <v>246</v>
      </c>
      <c r="E23" s="168" t="s">
        <v>246</v>
      </c>
      <c r="F23" s="713" t="s">
        <v>247</v>
      </c>
      <c r="G23" s="713"/>
      <c r="H23" s="713" t="s">
        <v>247</v>
      </c>
      <c r="I23" s="713"/>
      <c r="J23" s="202"/>
      <c r="K23" s="205"/>
      <c r="L23" s="205"/>
    </row>
    <row r="24" spans="1:15" s="161" customFormat="1" ht="45" hidden="1">
      <c r="A24" s="173" t="s">
        <v>248</v>
      </c>
      <c r="B24" s="714">
        <v>1367.52</v>
      </c>
      <c r="C24" s="715"/>
      <c r="D24" s="715"/>
      <c r="E24" s="716"/>
      <c r="F24" s="704">
        <v>72.5</v>
      </c>
      <c r="G24" s="704"/>
      <c r="H24" s="704"/>
      <c r="I24" s="704"/>
      <c r="J24" s="206">
        <v>500</v>
      </c>
      <c r="K24" s="206">
        <v>235</v>
      </c>
      <c r="L24" s="189">
        <v>162</v>
      </c>
    </row>
    <row r="25" spans="1:15" s="161" customFormat="1" ht="45" hidden="1">
      <c r="A25" s="173" t="s">
        <v>249</v>
      </c>
      <c r="B25" s="717">
        <v>1600</v>
      </c>
      <c r="C25" s="718"/>
      <c r="D25" s="718"/>
      <c r="E25" s="719"/>
      <c r="F25" s="704">
        <v>84.83</v>
      </c>
      <c r="G25" s="704"/>
      <c r="H25" s="704"/>
      <c r="I25" s="704"/>
      <c r="J25" s="206">
        <f t="shared" ref="J25" si="5">J24*1.17</f>
        <v>585</v>
      </c>
      <c r="K25" s="206">
        <f>K24*1.17</f>
        <v>274.95</v>
      </c>
      <c r="L25" s="189">
        <f>L24*1.17</f>
        <v>189.54</v>
      </c>
    </row>
    <row r="26" spans="1:15" s="161" customFormat="1" ht="30" customHeight="1">
      <c r="A26" s="164" t="s">
        <v>216</v>
      </c>
      <c r="B26" s="168">
        <v>0</v>
      </c>
      <c r="C26" s="168">
        <v>0</v>
      </c>
      <c r="D26" s="168">
        <v>0</v>
      </c>
      <c r="E26" s="168">
        <v>0</v>
      </c>
      <c r="F26" s="720">
        <v>0</v>
      </c>
      <c r="G26" s="720"/>
      <c r="H26" s="720">
        <v>3</v>
      </c>
      <c r="I26" s="720"/>
      <c r="J26" s="206">
        <v>0</v>
      </c>
      <c r="K26" s="206">
        <v>0</v>
      </c>
      <c r="L26" s="189">
        <v>0</v>
      </c>
    </row>
    <row r="27" spans="1:15" s="161" customFormat="1" ht="16.5" hidden="1">
      <c r="A27" s="177" t="s">
        <v>217</v>
      </c>
      <c r="B27" s="190">
        <f t="shared" ref="B27" si="6">B26*B24</f>
        <v>0</v>
      </c>
      <c r="C27" s="190">
        <f>C26*C24</f>
        <v>0</v>
      </c>
      <c r="D27" s="190">
        <f>D26*D24</f>
        <v>0</v>
      </c>
      <c r="E27" s="190">
        <f>E26*E24</f>
        <v>0</v>
      </c>
      <c r="F27" s="725">
        <f>F26*F24</f>
        <v>0</v>
      </c>
      <c r="G27" s="725"/>
      <c r="H27" s="725">
        <f>H26*F24</f>
        <v>217.5</v>
      </c>
      <c r="I27" s="725"/>
      <c r="J27" s="207">
        <f t="shared" ref="J27" si="7">J24*J26</f>
        <v>0</v>
      </c>
      <c r="K27" s="207">
        <f>K24*K26</f>
        <v>0</v>
      </c>
      <c r="L27" s="191">
        <f>L24*L26</f>
        <v>0</v>
      </c>
      <c r="N27" s="200">
        <f>SUM(F27:L27)</f>
        <v>217.5</v>
      </c>
    </row>
    <row r="28" spans="1:15" s="161" customFormat="1" ht="16.5">
      <c r="A28" s="164" t="s">
        <v>218</v>
      </c>
      <c r="B28" s="726" t="s">
        <v>250</v>
      </c>
      <c r="C28" s="727"/>
      <c r="D28" s="727"/>
      <c r="E28" s="728"/>
      <c r="F28" s="729" t="s">
        <v>251</v>
      </c>
      <c r="G28" s="729"/>
      <c r="H28" s="730" t="s">
        <v>252</v>
      </c>
      <c r="I28" s="730"/>
      <c r="J28" s="205"/>
      <c r="K28" s="205"/>
      <c r="L28" s="205"/>
    </row>
    <row r="29" spans="1:15" s="161" customFormat="1" ht="30">
      <c r="A29" s="180" t="s">
        <v>220</v>
      </c>
      <c r="B29" s="721"/>
      <c r="C29" s="722"/>
      <c r="D29" s="722"/>
      <c r="E29" s="723"/>
      <c r="F29" s="724"/>
      <c r="G29" s="724"/>
      <c r="H29" s="724"/>
      <c r="I29" s="724"/>
      <c r="J29" s="724"/>
      <c r="K29" s="724"/>
      <c r="L29" s="208"/>
    </row>
    <row r="30" spans="1:15" s="161" customFormat="1" ht="16.5">
      <c r="A30" s="192"/>
      <c r="B30" s="193"/>
      <c r="C30" s="193"/>
      <c r="D30" s="193"/>
      <c r="E30" s="193"/>
      <c r="F30" s="185"/>
      <c r="G30" s="185"/>
      <c r="H30" s="185" t="s">
        <v>254</v>
      </c>
      <c r="I30" s="185"/>
      <c r="J30" s="185"/>
      <c r="K30" s="185"/>
      <c r="L30" s="185"/>
      <c r="M30" s="193"/>
      <c r="N30" s="193"/>
    </row>
    <row r="31" spans="1:15" s="161" customFormat="1" ht="16.5">
      <c r="A31" s="194" t="s">
        <v>221</v>
      </c>
      <c r="B31" s="194"/>
      <c r="C31" s="194"/>
      <c r="D31" s="194"/>
      <c r="E31" s="194"/>
      <c r="F31" s="194"/>
      <c r="G31" s="194"/>
      <c r="H31" s="194"/>
      <c r="I31" s="194"/>
      <c r="J31" s="194"/>
      <c r="K31" s="194"/>
      <c r="L31" s="194"/>
      <c r="M31" s="194"/>
      <c r="N31" s="209">
        <f>N12+N27</f>
        <v>2315.2099999999996</v>
      </c>
      <c r="O31" s="210"/>
    </row>
    <row r="32" spans="1:15" s="161" customFormat="1" ht="16.5">
      <c r="A32" s="192"/>
      <c r="B32" s="193"/>
      <c r="C32" s="193"/>
      <c r="D32" s="193"/>
      <c r="E32" s="193"/>
      <c r="F32" s="185"/>
      <c r="G32" s="185"/>
      <c r="H32" s="185"/>
      <c r="I32" s="185"/>
      <c r="J32" s="185"/>
      <c r="K32" s="185"/>
      <c r="L32" s="185"/>
      <c r="M32" s="193"/>
      <c r="N32" s="193"/>
    </row>
  </sheetData>
  <sheetProtection algorithmName="SHA-512" hashValue="bBodczs1JmJGTFs3fE+GhP0psYvG6/qBIoICJYedtGfAM6O90Xw/xPKLruVxRXS4W0gzMFq+wDAfQKQGewmpIg==" saltValue="LMlzt0nmmu4OUGpQpKpCZA==" spinCount="100000" sheet="1" objects="1" scenarios="1"/>
  <mergeCells count="36">
    <mergeCell ref="B29:E29"/>
    <mergeCell ref="F29:I29"/>
    <mergeCell ref="J29:K29"/>
    <mergeCell ref="F27:G27"/>
    <mergeCell ref="H27:I27"/>
    <mergeCell ref="B28:E28"/>
    <mergeCell ref="F28:G28"/>
    <mergeCell ref="H28:I28"/>
    <mergeCell ref="B24:E24"/>
    <mergeCell ref="F24:I24"/>
    <mergeCell ref="B25:E25"/>
    <mergeCell ref="F25:I25"/>
    <mergeCell ref="F26:G26"/>
    <mergeCell ref="H26:I26"/>
    <mergeCell ref="F21:G21"/>
    <mergeCell ref="H21:I21"/>
    <mergeCell ref="F22:G22"/>
    <mergeCell ref="H22:I22"/>
    <mergeCell ref="F23:G23"/>
    <mergeCell ref="H23:I23"/>
    <mergeCell ref="A18:N18"/>
    <mergeCell ref="B19:E19"/>
    <mergeCell ref="F19:I19"/>
    <mergeCell ref="J19:L19"/>
    <mergeCell ref="F20:G20"/>
    <mergeCell ref="H20:I20"/>
    <mergeCell ref="B8:F8"/>
    <mergeCell ref="H8:M8"/>
    <mergeCell ref="B13:F13"/>
    <mergeCell ref="B14:F14"/>
    <mergeCell ref="H14:M14"/>
    <mergeCell ref="A1:M1"/>
    <mergeCell ref="B2:F2"/>
    <mergeCell ref="G2:M2"/>
    <mergeCell ref="B7:F7"/>
    <mergeCell ref="H7:M7"/>
  </mergeCells>
  <phoneticPr fontId="29" type="noConversion"/>
  <pageMargins left="0.69930555555555596" right="0.69930555555555596"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zoomScale="80" zoomScaleNormal="80" workbookViewId="0">
      <selection activeCell="D16" sqref="D16"/>
    </sheetView>
  </sheetViews>
  <sheetFormatPr defaultColWidth="9" defaultRowHeight="14.25"/>
  <cols>
    <col min="1" max="1" width="4.5" style="215" customWidth="1"/>
    <col min="2" max="2" width="25.5" style="215" customWidth="1"/>
    <col min="3" max="3" width="36.75" style="218" customWidth="1"/>
    <col min="4" max="4" width="13" style="219" customWidth="1"/>
    <col min="5" max="5" width="14.375" style="220" hidden="1" customWidth="1"/>
    <col min="6" max="6" width="12.625" style="221" customWidth="1"/>
    <col min="7" max="7" width="10.375" style="222" hidden="1" customWidth="1"/>
    <col min="8" max="8" width="64.25" style="223" hidden="1" customWidth="1"/>
    <col min="9" max="16384" width="9" style="218"/>
  </cols>
  <sheetData>
    <row r="1" spans="1:8" s="215" customFormat="1">
      <c r="D1" s="220"/>
      <c r="E1" s="220"/>
      <c r="F1" s="221"/>
      <c r="G1" s="224"/>
      <c r="H1" s="225"/>
    </row>
    <row r="2" spans="1:8" s="215" customFormat="1" ht="17.25">
      <c r="A2" s="731" t="s">
        <v>31</v>
      </c>
      <c r="B2" s="731"/>
      <c r="C2" s="731"/>
      <c r="D2" s="731"/>
      <c r="E2" s="731"/>
      <c r="F2" s="731"/>
      <c r="G2" s="731"/>
      <c r="H2" s="731"/>
    </row>
    <row r="3" spans="1:8" s="216" customFormat="1">
      <c r="A3" s="226" t="s">
        <v>32</v>
      </c>
      <c r="B3" s="227" t="s">
        <v>33</v>
      </c>
      <c r="C3" s="228" t="s">
        <v>34</v>
      </c>
      <c r="D3" s="228" t="s">
        <v>35</v>
      </c>
      <c r="E3" s="228" t="s">
        <v>36</v>
      </c>
      <c r="F3" s="229" t="s">
        <v>37</v>
      </c>
      <c r="G3" s="230" t="s">
        <v>38</v>
      </c>
      <c r="H3" s="228" t="s">
        <v>39</v>
      </c>
    </row>
    <row r="4" spans="1:8" s="216" customFormat="1" ht="16.5">
      <c r="A4" s="231">
        <v>1</v>
      </c>
      <c r="B4" s="37" t="s">
        <v>40</v>
      </c>
      <c r="C4" s="37" t="s">
        <v>41</v>
      </c>
      <c r="D4" s="37" t="s">
        <v>42</v>
      </c>
      <c r="E4" s="37">
        <v>56.354999999999997</v>
      </c>
      <c r="F4" s="38">
        <f>1.119*0.105*1*5</f>
        <v>0.58747499999999997</v>
      </c>
      <c r="G4" s="232">
        <f>E4*F4</f>
        <v>33.107153624999995</v>
      </c>
      <c r="H4" s="233" t="s">
        <v>43</v>
      </c>
    </row>
    <row r="5" spans="1:8" s="216" customFormat="1" ht="16.5">
      <c r="A5" s="231"/>
      <c r="B5" s="37"/>
      <c r="C5" s="37" t="s">
        <v>41</v>
      </c>
      <c r="D5" s="37" t="s">
        <v>42</v>
      </c>
      <c r="E5" s="37">
        <v>56.354999999999997</v>
      </c>
      <c r="F5" s="38">
        <f>1.119*0.118*1*5</f>
        <v>0.66020999999999996</v>
      </c>
      <c r="G5" s="232">
        <f t="shared" ref="G5" si="0">E5*F5</f>
        <v>37.206134549999994</v>
      </c>
      <c r="H5" s="233" t="s">
        <v>44</v>
      </c>
    </row>
    <row r="6" spans="1:8" s="216" customFormat="1" ht="16.5">
      <c r="A6" s="231"/>
      <c r="B6" s="37"/>
      <c r="C6" s="37" t="s">
        <v>41</v>
      </c>
      <c r="D6" s="37" t="s">
        <v>42</v>
      </c>
      <c r="E6" s="37">
        <v>56.354999999999997</v>
      </c>
      <c r="F6" s="38">
        <f>1.376*0.555*1*5</f>
        <v>3.8184</v>
      </c>
      <c r="G6" s="232">
        <f t="shared" ref="G6:G37" si="1">E6*F6</f>
        <v>215.18593199999998</v>
      </c>
      <c r="H6" s="233" t="s">
        <v>45</v>
      </c>
    </row>
    <row r="7" spans="1:8" s="216" customFormat="1" ht="16.5">
      <c r="A7" s="231"/>
      <c r="B7" s="37"/>
      <c r="C7" s="37" t="s">
        <v>41</v>
      </c>
      <c r="D7" s="37" t="s">
        <v>42</v>
      </c>
      <c r="E7" s="37">
        <v>56.354999999999997</v>
      </c>
      <c r="F7" s="38">
        <f>0.384*0.069*2*5</f>
        <v>0.26496000000000003</v>
      </c>
      <c r="G7" s="232">
        <f t="shared" si="1"/>
        <v>14.931820800000001</v>
      </c>
      <c r="H7" s="233" t="s">
        <v>46</v>
      </c>
    </row>
    <row r="8" spans="1:8" s="216" customFormat="1" ht="33">
      <c r="A8" s="231"/>
      <c r="B8" s="37"/>
      <c r="C8" s="37" t="s">
        <v>47</v>
      </c>
      <c r="D8" s="37" t="s">
        <v>42</v>
      </c>
      <c r="E8" s="37">
        <v>30</v>
      </c>
      <c r="F8" s="38">
        <f>1.119*0.105*1*5+1.119*0.118*1*5+1.376*0.555*1*5+0.384*0.069*2*5</f>
        <v>5.3310450000000005</v>
      </c>
      <c r="G8" s="232">
        <f t="shared" si="1"/>
        <v>159.93135000000001</v>
      </c>
      <c r="H8" s="233" t="s">
        <v>48</v>
      </c>
    </row>
    <row r="9" spans="1:8" s="216" customFormat="1" ht="16.5">
      <c r="A9" s="234">
        <v>2</v>
      </c>
      <c r="B9" s="235" t="s">
        <v>49</v>
      </c>
      <c r="C9" s="73" t="s">
        <v>50</v>
      </c>
      <c r="D9" s="73" t="s">
        <v>51</v>
      </c>
      <c r="E9" s="73">
        <v>9.4700000000000006</v>
      </c>
      <c r="F9" s="236">
        <f>0.505*1*10</f>
        <v>5.05</v>
      </c>
      <c r="G9" s="237">
        <f t="shared" si="1"/>
        <v>47.823500000000003</v>
      </c>
      <c r="H9" s="238" t="s">
        <v>52</v>
      </c>
    </row>
    <row r="10" spans="1:8" s="216" customFormat="1" ht="16.5">
      <c r="A10" s="234"/>
      <c r="B10" s="239"/>
      <c r="C10" s="73" t="s">
        <v>50</v>
      </c>
      <c r="D10" s="73" t="s">
        <v>51</v>
      </c>
      <c r="E10" s="73">
        <v>9.4700000000000006</v>
      </c>
      <c r="F10" s="236">
        <f>0.375*1*10</f>
        <v>3.75</v>
      </c>
      <c r="G10" s="237">
        <f t="shared" si="1"/>
        <v>35.512500000000003</v>
      </c>
      <c r="H10" s="238" t="s">
        <v>53</v>
      </c>
    </row>
    <row r="11" spans="1:8" s="216" customFormat="1" ht="16.5">
      <c r="A11" s="231"/>
      <c r="B11" s="240"/>
      <c r="C11" s="37" t="s">
        <v>54</v>
      </c>
      <c r="D11" s="37" t="s">
        <v>55</v>
      </c>
      <c r="E11" s="37">
        <v>0.5</v>
      </c>
      <c r="F11" s="38">
        <f>6*10</f>
        <v>60</v>
      </c>
      <c r="G11" s="232">
        <f t="shared" si="1"/>
        <v>30</v>
      </c>
      <c r="H11" s="233" t="s">
        <v>56</v>
      </c>
    </row>
    <row r="12" spans="1:8" s="216" customFormat="1" ht="16.5">
      <c r="A12" s="231"/>
      <c r="B12" s="240"/>
      <c r="C12" s="37" t="s">
        <v>47</v>
      </c>
      <c r="D12" s="37" t="s">
        <v>42</v>
      </c>
      <c r="E12" s="37">
        <v>30</v>
      </c>
      <c r="F12" s="38">
        <f>0.505*1*6+0.375*1*10</f>
        <v>6.78</v>
      </c>
      <c r="G12" s="232">
        <f t="shared" si="1"/>
        <v>203.4</v>
      </c>
      <c r="H12" s="233" t="s">
        <v>262</v>
      </c>
    </row>
    <row r="13" spans="1:8" s="216" customFormat="1" ht="16.5">
      <c r="A13" s="231">
        <v>3</v>
      </c>
      <c r="B13" s="240" t="s">
        <v>57</v>
      </c>
      <c r="C13" s="37" t="s">
        <v>41</v>
      </c>
      <c r="D13" s="37" t="s">
        <v>42</v>
      </c>
      <c r="E13" s="37">
        <v>56.354999999999997</v>
      </c>
      <c r="F13" s="38">
        <f>1.403*0.065*2*5</f>
        <v>0.91195000000000004</v>
      </c>
      <c r="G13" s="232">
        <f t="shared" si="1"/>
        <v>51.392942249999997</v>
      </c>
      <c r="H13" s="233" t="s">
        <v>58</v>
      </c>
    </row>
    <row r="14" spans="1:8" s="216" customFormat="1" ht="16.5">
      <c r="A14" s="231"/>
      <c r="B14" s="240"/>
      <c r="C14" s="37" t="s">
        <v>41</v>
      </c>
      <c r="D14" s="37" t="s">
        <v>42</v>
      </c>
      <c r="E14" s="37">
        <v>56.354999999999997</v>
      </c>
      <c r="F14" s="38">
        <f>1.403*0.158*1*5</f>
        <v>1.1083700000000001</v>
      </c>
      <c r="G14" s="232">
        <f t="shared" si="1"/>
        <v>62.462191349999998</v>
      </c>
      <c r="H14" s="233" t="s">
        <v>59</v>
      </c>
    </row>
    <row r="15" spans="1:8" s="216" customFormat="1" ht="16.5">
      <c r="A15" s="231"/>
      <c r="B15" s="240"/>
      <c r="C15" s="37" t="s">
        <v>41</v>
      </c>
      <c r="D15" s="37" t="s">
        <v>42</v>
      </c>
      <c r="E15" s="37">
        <v>56.354999999999997</v>
      </c>
      <c r="F15" s="38">
        <f>1.403*0.069*2*5</f>
        <v>0.96806999999999999</v>
      </c>
      <c r="G15" s="232">
        <f t="shared" si="1"/>
        <v>54.555584849999995</v>
      </c>
      <c r="H15" s="233" t="s">
        <v>60</v>
      </c>
    </row>
    <row r="16" spans="1:8" s="216" customFormat="1" ht="16.5">
      <c r="A16" s="231"/>
      <c r="B16" s="240"/>
      <c r="C16" s="37" t="s">
        <v>41</v>
      </c>
      <c r="D16" s="37" t="s">
        <v>42</v>
      </c>
      <c r="E16" s="37">
        <v>56.354999999999997</v>
      </c>
      <c r="F16" s="38">
        <f>1.533*1.381*1*5</f>
        <v>10.585364999999999</v>
      </c>
      <c r="G16" s="232">
        <f t="shared" si="1"/>
        <v>596.53824457499991</v>
      </c>
      <c r="H16" s="233" t="s">
        <v>61</v>
      </c>
    </row>
    <row r="17" spans="1:8" s="216" customFormat="1" ht="33">
      <c r="A17" s="231"/>
      <c r="B17" s="240"/>
      <c r="C17" s="37" t="s">
        <v>47</v>
      </c>
      <c r="D17" s="37" t="s">
        <v>42</v>
      </c>
      <c r="E17" s="37">
        <v>30</v>
      </c>
      <c r="F17" s="38">
        <f>1.403*0.065*2*5+1.403*0.158*1*5+1.403*0.069*2*5+1.533*1.381*1*5</f>
        <v>13.573754999999998</v>
      </c>
      <c r="G17" s="232">
        <f t="shared" si="1"/>
        <v>407.21264999999994</v>
      </c>
      <c r="H17" s="233" t="s">
        <v>62</v>
      </c>
    </row>
    <row r="18" spans="1:8" s="216" customFormat="1" ht="16.5">
      <c r="A18" s="231"/>
      <c r="B18" s="235" t="s">
        <v>263</v>
      </c>
      <c r="C18" s="73" t="s">
        <v>50</v>
      </c>
      <c r="D18" s="73" t="s">
        <v>51</v>
      </c>
      <c r="E18" s="73">
        <v>9.4700000000000006</v>
      </c>
      <c r="F18" s="236">
        <f>(1.44*3+1.197)*5</f>
        <v>27.585000000000001</v>
      </c>
      <c r="G18" s="237">
        <f t="shared" si="1"/>
        <v>261.22995000000003</v>
      </c>
      <c r="H18" s="238" t="s">
        <v>264</v>
      </c>
    </row>
    <row r="19" spans="1:8" s="216" customFormat="1" ht="16.5">
      <c r="A19" s="231"/>
      <c r="B19" s="240"/>
      <c r="C19" s="37" t="s">
        <v>47</v>
      </c>
      <c r="D19" s="37" t="s">
        <v>42</v>
      </c>
      <c r="E19" s="37">
        <v>30</v>
      </c>
      <c r="F19" s="38">
        <f>(1.44*3*0.16+1.197*0.16)*5</f>
        <v>4.4136000000000006</v>
      </c>
      <c r="G19" s="38">
        <f t="shared" si="1"/>
        <v>132.40800000000002</v>
      </c>
      <c r="H19" s="233" t="s">
        <v>265</v>
      </c>
    </row>
    <row r="20" spans="1:8" s="216" customFormat="1" ht="16.5">
      <c r="A20" s="231">
        <v>4</v>
      </c>
      <c r="B20" s="240" t="s">
        <v>63</v>
      </c>
      <c r="C20" s="37" t="s">
        <v>41</v>
      </c>
      <c r="D20" s="37" t="s">
        <v>42</v>
      </c>
      <c r="E20" s="37">
        <v>56.354999999999997</v>
      </c>
      <c r="F20" s="38">
        <f>0.605*0.535*1</f>
        <v>0.32367499999999999</v>
      </c>
      <c r="G20" s="232">
        <f t="shared" si="1"/>
        <v>18.240704624999999</v>
      </c>
      <c r="H20" s="233" t="s">
        <v>64</v>
      </c>
    </row>
    <row r="21" spans="1:8" s="216" customFormat="1" ht="16.5">
      <c r="A21" s="231"/>
      <c r="B21" s="240"/>
      <c r="C21" s="37" t="s">
        <v>41</v>
      </c>
      <c r="D21" s="37" t="s">
        <v>42</v>
      </c>
      <c r="E21" s="37">
        <v>56.354999999999997</v>
      </c>
      <c r="F21" s="38">
        <f>0.405*0.069*1</f>
        <v>2.7945000000000005E-2</v>
      </c>
      <c r="G21" s="232">
        <f t="shared" si="1"/>
        <v>1.5748404750000002</v>
      </c>
      <c r="H21" s="233" t="s">
        <v>65</v>
      </c>
    </row>
    <row r="22" spans="1:8" s="216" customFormat="1" ht="16.5">
      <c r="A22" s="231"/>
      <c r="B22" s="240"/>
      <c r="C22" s="37" t="s">
        <v>41</v>
      </c>
      <c r="D22" s="37" t="s">
        <v>42</v>
      </c>
      <c r="E22" s="37">
        <v>56.354999999999997</v>
      </c>
      <c r="F22" s="38">
        <f>0.462*0.118*1</f>
        <v>5.4516000000000002E-2</v>
      </c>
      <c r="G22" s="232">
        <f t="shared" si="1"/>
        <v>3.07224918</v>
      </c>
      <c r="H22" s="233" t="s">
        <v>66</v>
      </c>
    </row>
    <row r="23" spans="1:8" s="216" customFormat="1" ht="16.5">
      <c r="A23" s="231"/>
      <c r="B23" s="240"/>
      <c r="C23" s="37" t="s">
        <v>47</v>
      </c>
      <c r="D23" s="37" t="s">
        <v>42</v>
      </c>
      <c r="E23" s="37">
        <v>30</v>
      </c>
      <c r="F23" s="38">
        <f>0.605*0.535*1+0.405*0.069*1+0.462*0.118*1</f>
        <v>0.406136</v>
      </c>
      <c r="G23" s="232">
        <f t="shared" si="1"/>
        <v>12.18408</v>
      </c>
      <c r="H23" s="233" t="s">
        <v>67</v>
      </c>
    </row>
    <row r="24" spans="1:8" s="216" customFormat="1" ht="16.5">
      <c r="A24" s="231">
        <v>5</v>
      </c>
      <c r="B24" s="240" t="s">
        <v>68</v>
      </c>
      <c r="C24" s="37" t="s">
        <v>41</v>
      </c>
      <c r="D24" s="37" t="s">
        <v>42</v>
      </c>
      <c r="E24" s="37">
        <v>56.354999999999997</v>
      </c>
      <c r="F24" s="38">
        <f>0.605*0.535*1</f>
        <v>0.32367499999999999</v>
      </c>
      <c r="G24" s="232">
        <f t="shared" si="1"/>
        <v>18.240704624999999</v>
      </c>
      <c r="H24" s="233" t="s">
        <v>64</v>
      </c>
    </row>
    <row r="25" spans="1:8" s="216" customFormat="1" ht="16.5">
      <c r="A25" s="231"/>
      <c r="B25" s="240"/>
      <c r="C25" s="37" t="s">
        <v>41</v>
      </c>
      <c r="D25" s="37" t="s">
        <v>42</v>
      </c>
      <c r="E25" s="37">
        <v>56.354999999999997</v>
      </c>
      <c r="F25" s="38">
        <f>0.405*0.069*1</f>
        <v>2.7945000000000005E-2</v>
      </c>
      <c r="G25" s="232">
        <f t="shared" si="1"/>
        <v>1.5748404750000002</v>
      </c>
      <c r="H25" s="233" t="s">
        <v>65</v>
      </c>
    </row>
    <row r="26" spans="1:8" s="216" customFormat="1" ht="16.5">
      <c r="A26" s="231"/>
      <c r="B26" s="240"/>
      <c r="C26" s="37" t="s">
        <v>41</v>
      </c>
      <c r="D26" s="37" t="s">
        <v>42</v>
      </c>
      <c r="E26" s="37">
        <v>56.354999999999997</v>
      </c>
      <c r="F26" s="38">
        <f>0.462*0.118*1</f>
        <v>5.4516000000000002E-2</v>
      </c>
      <c r="G26" s="232">
        <f t="shared" si="1"/>
        <v>3.07224918</v>
      </c>
      <c r="H26" s="233" t="s">
        <v>66</v>
      </c>
    </row>
    <row r="27" spans="1:8" s="216" customFormat="1" ht="16.5">
      <c r="A27" s="231"/>
      <c r="B27" s="240"/>
      <c r="C27" s="37" t="s">
        <v>47</v>
      </c>
      <c r="D27" s="37" t="s">
        <v>42</v>
      </c>
      <c r="E27" s="37">
        <v>30</v>
      </c>
      <c r="F27" s="38">
        <f>0.605*0.535*10.405*0.069*10.462*0.118*1</f>
        <v>0.28687787479525345</v>
      </c>
      <c r="G27" s="232">
        <f t="shared" si="1"/>
        <v>8.6063362438576032</v>
      </c>
      <c r="H27" s="233" t="s">
        <v>69</v>
      </c>
    </row>
    <row r="28" spans="1:8" s="216" customFormat="1" ht="16.5">
      <c r="A28" s="231">
        <v>6</v>
      </c>
      <c r="B28" s="240" t="s">
        <v>70</v>
      </c>
      <c r="C28" s="37" t="s">
        <v>41</v>
      </c>
      <c r="D28" s="37" t="s">
        <v>42</v>
      </c>
      <c r="E28" s="37">
        <v>56.354999999999997</v>
      </c>
      <c r="F28" s="38">
        <f>0.869*0.464*1</f>
        <v>0.40321600000000002</v>
      </c>
      <c r="G28" s="232">
        <f t="shared" si="1"/>
        <v>22.72323768</v>
      </c>
      <c r="H28" s="233" t="s">
        <v>71</v>
      </c>
    </row>
    <row r="29" spans="1:8" s="216" customFormat="1" ht="16.5">
      <c r="A29" s="231"/>
      <c r="B29" s="240"/>
      <c r="C29" s="37" t="s">
        <v>47</v>
      </c>
      <c r="D29" s="37" t="s">
        <v>42</v>
      </c>
      <c r="E29" s="37">
        <v>30</v>
      </c>
      <c r="F29" s="38">
        <f>0.869*0.464*1</f>
        <v>0.40321600000000002</v>
      </c>
      <c r="G29" s="232">
        <f t="shared" si="1"/>
        <v>12.09648</v>
      </c>
      <c r="H29" s="233" t="s">
        <v>71</v>
      </c>
    </row>
    <row r="30" spans="1:8" s="216" customFormat="1" ht="16.5">
      <c r="A30" s="234">
        <v>7</v>
      </c>
      <c r="B30" s="235" t="s">
        <v>72</v>
      </c>
      <c r="C30" s="73" t="s">
        <v>50</v>
      </c>
      <c r="D30" s="73" t="s">
        <v>51</v>
      </c>
      <c r="E30" s="73">
        <v>9.4700000000000006</v>
      </c>
      <c r="F30" s="236">
        <f>0.505*1*2</f>
        <v>1.01</v>
      </c>
      <c r="G30" s="237">
        <f t="shared" si="1"/>
        <v>9.5647000000000002</v>
      </c>
      <c r="H30" s="238" t="s">
        <v>73</v>
      </c>
    </row>
    <row r="31" spans="1:8" s="216" customFormat="1" ht="16.5">
      <c r="A31" s="234"/>
      <c r="B31" s="239"/>
      <c r="C31" s="73" t="s">
        <v>50</v>
      </c>
      <c r="D31" s="73" t="s">
        <v>51</v>
      </c>
      <c r="E31" s="73">
        <v>9.4700000000000006</v>
      </c>
      <c r="F31" s="236">
        <f>0.375*1*2</f>
        <v>0.75</v>
      </c>
      <c r="G31" s="237">
        <f t="shared" si="1"/>
        <v>7.1025000000000009</v>
      </c>
      <c r="H31" s="238" t="s">
        <v>74</v>
      </c>
    </row>
    <row r="32" spans="1:8" s="216" customFormat="1" ht="16.5">
      <c r="A32" s="231"/>
      <c r="B32" s="240"/>
      <c r="C32" s="37" t="s">
        <v>54</v>
      </c>
      <c r="D32" s="37" t="s">
        <v>55</v>
      </c>
      <c r="E32" s="37">
        <v>0.5</v>
      </c>
      <c r="F32" s="38">
        <f>6*2</f>
        <v>12</v>
      </c>
      <c r="G32" s="232">
        <f t="shared" si="1"/>
        <v>6</v>
      </c>
      <c r="H32" s="233" t="s">
        <v>75</v>
      </c>
    </row>
    <row r="33" spans="1:8" s="216" customFormat="1" ht="16.5">
      <c r="A33" s="231"/>
      <c r="B33" s="240"/>
      <c r="C33" s="37" t="s">
        <v>47</v>
      </c>
      <c r="D33" s="37" t="s">
        <v>42</v>
      </c>
      <c r="E33" s="37">
        <v>30</v>
      </c>
      <c r="F33" s="38">
        <f>0.505*1*2+0.375*1*2</f>
        <v>1.76</v>
      </c>
      <c r="G33" s="232">
        <f t="shared" si="1"/>
        <v>52.8</v>
      </c>
      <c r="H33" s="233" t="s">
        <v>76</v>
      </c>
    </row>
    <row r="34" spans="1:8" s="216" customFormat="1" ht="16.5">
      <c r="A34" s="231">
        <v>8</v>
      </c>
      <c r="B34" s="240" t="s">
        <v>77</v>
      </c>
      <c r="C34" s="37" t="s">
        <v>41</v>
      </c>
      <c r="D34" s="37" t="s">
        <v>42</v>
      </c>
      <c r="E34" s="37">
        <v>56.354999999999997</v>
      </c>
      <c r="F34" s="38">
        <f>1.533*0.61*1</f>
        <v>0.93512999999999991</v>
      </c>
      <c r="G34" s="232">
        <f t="shared" si="1"/>
        <v>52.699251149999995</v>
      </c>
      <c r="H34" s="233" t="s">
        <v>78</v>
      </c>
    </row>
    <row r="35" spans="1:8" s="216" customFormat="1" ht="16.5">
      <c r="A35" s="231"/>
      <c r="B35" s="240"/>
      <c r="C35" s="37" t="s">
        <v>41</v>
      </c>
      <c r="D35" s="37" t="s">
        <v>42</v>
      </c>
      <c r="E35" s="37">
        <v>56.354999999999997</v>
      </c>
      <c r="F35" s="38">
        <f>1.403*0.069*1</f>
        <v>9.6807000000000004E-2</v>
      </c>
      <c r="G35" s="232">
        <f t="shared" si="1"/>
        <v>5.4555584850000001</v>
      </c>
      <c r="H35" s="233" t="s">
        <v>79</v>
      </c>
    </row>
    <row r="36" spans="1:8" s="216" customFormat="1" ht="16.5">
      <c r="A36" s="231"/>
      <c r="B36" s="240"/>
      <c r="C36" s="37" t="s">
        <v>41</v>
      </c>
      <c r="D36" s="37" t="s">
        <v>42</v>
      </c>
      <c r="E36" s="37">
        <v>56.354999999999997</v>
      </c>
      <c r="F36" s="38">
        <f>1.403*0.065*1</f>
        <v>9.1194999999999998E-2</v>
      </c>
      <c r="G36" s="232">
        <f t="shared" si="1"/>
        <v>5.1392942249999995</v>
      </c>
      <c r="H36" s="233" t="s">
        <v>80</v>
      </c>
    </row>
    <row r="37" spans="1:8" s="216" customFormat="1" ht="16.5">
      <c r="A37" s="231"/>
      <c r="B37" s="240"/>
      <c r="C37" s="37" t="s">
        <v>47</v>
      </c>
      <c r="D37" s="37" t="s">
        <v>42</v>
      </c>
      <c r="E37" s="37">
        <v>30</v>
      </c>
      <c r="F37" s="38">
        <f>1.533*0.61*1+1.403*0.069*1+1.403*0.065*1</f>
        <v>1.1231319999999998</v>
      </c>
      <c r="G37" s="232">
        <f t="shared" si="1"/>
        <v>33.693959999999997</v>
      </c>
      <c r="H37" s="233" t="s">
        <v>81</v>
      </c>
    </row>
    <row r="38" spans="1:8" s="216" customFormat="1" ht="16.5">
      <c r="A38" s="231">
        <v>9</v>
      </c>
      <c r="B38" s="240" t="s">
        <v>82</v>
      </c>
      <c r="C38" s="37" t="s">
        <v>41</v>
      </c>
      <c r="D38" s="37" t="s">
        <v>42</v>
      </c>
      <c r="E38" s="37">
        <v>56.354999999999997</v>
      </c>
      <c r="F38" s="38">
        <f>1.533*0.61*1</f>
        <v>0.93512999999999991</v>
      </c>
      <c r="G38" s="232">
        <f t="shared" ref="G38:G68" si="2">E38*F38</f>
        <v>52.699251149999995</v>
      </c>
      <c r="H38" s="233" t="s">
        <v>78</v>
      </c>
    </row>
    <row r="39" spans="1:8" s="216" customFormat="1" ht="16.5">
      <c r="A39" s="231"/>
      <c r="B39" s="240"/>
      <c r="C39" s="37" t="s">
        <v>41</v>
      </c>
      <c r="D39" s="37" t="s">
        <v>42</v>
      </c>
      <c r="E39" s="37">
        <v>56.354999999999997</v>
      </c>
      <c r="F39" s="38">
        <f>1.403*0.069*1</f>
        <v>9.6807000000000004E-2</v>
      </c>
      <c r="G39" s="232">
        <f t="shared" si="2"/>
        <v>5.4555584850000001</v>
      </c>
      <c r="H39" s="233" t="s">
        <v>79</v>
      </c>
    </row>
    <row r="40" spans="1:8" s="216" customFormat="1" ht="16.5">
      <c r="A40" s="231"/>
      <c r="B40" s="240"/>
      <c r="C40" s="37" t="s">
        <v>41</v>
      </c>
      <c r="D40" s="37" t="s">
        <v>42</v>
      </c>
      <c r="E40" s="37">
        <v>56.354999999999997</v>
      </c>
      <c r="F40" s="38">
        <f>1.403*0.065*1</f>
        <v>9.1194999999999998E-2</v>
      </c>
      <c r="G40" s="232">
        <f t="shared" si="2"/>
        <v>5.1392942249999995</v>
      </c>
      <c r="H40" s="233" t="s">
        <v>80</v>
      </c>
    </row>
    <row r="41" spans="1:8" s="216" customFormat="1" ht="16.5">
      <c r="A41" s="231"/>
      <c r="B41" s="240"/>
      <c r="C41" s="37" t="s">
        <v>47</v>
      </c>
      <c r="D41" s="37" t="s">
        <v>42</v>
      </c>
      <c r="E41" s="37">
        <v>30</v>
      </c>
      <c r="F41" s="38">
        <f>1.533*0.61*1+1.403*0.069*1+1.403*0.065*1</f>
        <v>1.1231319999999998</v>
      </c>
      <c r="G41" s="232">
        <f t="shared" si="2"/>
        <v>33.693959999999997</v>
      </c>
      <c r="H41" s="233" t="s">
        <v>81</v>
      </c>
    </row>
    <row r="42" spans="1:8" s="216" customFormat="1" ht="16.5">
      <c r="A42" s="231">
        <v>10</v>
      </c>
      <c r="B42" s="240" t="s">
        <v>83</v>
      </c>
      <c r="C42" s="37" t="s">
        <v>41</v>
      </c>
      <c r="D42" s="37" t="s">
        <v>42</v>
      </c>
      <c r="E42" s="37">
        <v>56.354999999999997</v>
      </c>
      <c r="F42" s="38">
        <f>1.503*0.871*1</f>
        <v>1.309113</v>
      </c>
      <c r="G42" s="232">
        <f t="shared" si="2"/>
        <v>73.775063114999995</v>
      </c>
      <c r="H42" s="233" t="s">
        <v>84</v>
      </c>
    </row>
    <row r="43" spans="1:8" s="216" customFormat="1" ht="16.5">
      <c r="A43" s="231"/>
      <c r="B43" s="240"/>
      <c r="C43" s="37" t="s">
        <v>41</v>
      </c>
      <c r="D43" s="37" t="s">
        <v>42</v>
      </c>
      <c r="E43" s="37">
        <v>56.354999999999997</v>
      </c>
      <c r="F43" s="38">
        <f>1.397*0.104*1</f>
        <v>0.145288</v>
      </c>
      <c r="G43" s="232">
        <f t="shared" si="2"/>
        <v>8.1877052399999997</v>
      </c>
      <c r="H43" s="233" t="s">
        <v>85</v>
      </c>
    </row>
    <row r="44" spans="1:8" s="216" customFormat="1" ht="16.5">
      <c r="A44" s="231"/>
      <c r="B44" s="240"/>
      <c r="C44" s="37" t="s">
        <v>47</v>
      </c>
      <c r="D44" s="37" t="s">
        <v>42</v>
      </c>
      <c r="E44" s="37">
        <v>30</v>
      </c>
      <c r="F44" s="38">
        <f>1.503*0.871*1+1.397*0.104*1</f>
        <v>1.4544010000000001</v>
      </c>
      <c r="G44" s="232">
        <f t="shared" si="2"/>
        <v>43.63203</v>
      </c>
      <c r="H44" s="233" t="s">
        <v>86</v>
      </c>
    </row>
    <row r="45" spans="1:8" s="216" customFormat="1" ht="16.5">
      <c r="A45" s="231"/>
      <c r="B45" s="240" t="s">
        <v>266</v>
      </c>
      <c r="C45" s="73" t="s">
        <v>50</v>
      </c>
      <c r="D45" s="73" t="s">
        <v>51</v>
      </c>
      <c r="E45" s="73">
        <v>17.5</v>
      </c>
      <c r="F45" s="236">
        <f>1.44*3+1.66</f>
        <v>5.98</v>
      </c>
      <c r="G45" s="237">
        <f t="shared" si="2"/>
        <v>104.65</v>
      </c>
      <c r="H45" s="238" t="s">
        <v>267</v>
      </c>
    </row>
    <row r="46" spans="1:8" s="216" customFormat="1" ht="16.5">
      <c r="A46" s="231"/>
      <c r="B46" s="240"/>
      <c r="C46" s="37" t="s">
        <v>47</v>
      </c>
      <c r="D46" s="37" t="s">
        <v>42</v>
      </c>
      <c r="E46" s="37">
        <v>30</v>
      </c>
      <c r="F46" s="38">
        <f>1.44*3*0.16+1.66*0.16</f>
        <v>0.95680000000000009</v>
      </c>
      <c r="G46" s="232">
        <f t="shared" si="2"/>
        <v>28.704000000000004</v>
      </c>
      <c r="H46" s="233" t="s">
        <v>268</v>
      </c>
    </row>
    <row r="47" spans="1:8" s="216" customFormat="1" ht="16.5">
      <c r="A47" s="231"/>
      <c r="B47" s="240" t="s">
        <v>269</v>
      </c>
      <c r="C47" s="241" t="s">
        <v>270</v>
      </c>
      <c r="D47" s="37" t="s">
        <v>51</v>
      </c>
      <c r="E47" s="37">
        <v>4.9000000000000004</v>
      </c>
      <c r="F47" s="38">
        <f>(0.183+0.224+0.3)*5</f>
        <v>3.5350000000000001</v>
      </c>
      <c r="G47" s="232">
        <f t="shared" si="2"/>
        <v>17.3215</v>
      </c>
      <c r="H47" s="233" t="s">
        <v>271</v>
      </c>
    </row>
    <row r="48" spans="1:8" s="216" customFormat="1" ht="16.5">
      <c r="A48" s="231"/>
      <c r="B48" s="240"/>
      <c r="C48" s="37" t="s">
        <v>47</v>
      </c>
      <c r="D48" s="37" t="s">
        <v>42</v>
      </c>
      <c r="E48" s="37">
        <v>30</v>
      </c>
      <c r="F48" s="38">
        <f>(0.025*4*(0.183+0.224+0.3))*5</f>
        <v>0.35350000000000004</v>
      </c>
      <c r="G48" s="232">
        <f t="shared" si="2"/>
        <v>10.605</v>
      </c>
      <c r="H48" s="233" t="s">
        <v>272</v>
      </c>
    </row>
    <row r="49" spans="1:8" s="216" customFormat="1" ht="16.5">
      <c r="A49" s="231"/>
      <c r="B49" s="240"/>
      <c r="C49" s="23" t="s">
        <v>88</v>
      </c>
      <c r="D49" s="37" t="s">
        <v>42</v>
      </c>
      <c r="E49" s="37">
        <v>91.034999999999997</v>
      </c>
      <c r="F49" s="38">
        <f>(0.071*0.085+0.071*0.1+0.1*0.051)*5</f>
        <v>9.1175000000000006E-2</v>
      </c>
      <c r="G49" s="232">
        <f t="shared" si="2"/>
        <v>8.3001161250000006</v>
      </c>
      <c r="H49" s="233" t="s">
        <v>273</v>
      </c>
    </row>
    <row r="50" spans="1:8" s="216" customFormat="1" ht="16.5">
      <c r="A50" s="231"/>
      <c r="B50" s="240"/>
      <c r="C50" s="37" t="s">
        <v>47</v>
      </c>
      <c r="D50" s="37" t="s">
        <v>42</v>
      </c>
      <c r="E50" s="37">
        <v>30</v>
      </c>
      <c r="F50" s="38">
        <f>(0.071*0.085+0.071*0.1+0.1*0.051)*5</f>
        <v>9.1175000000000006E-2</v>
      </c>
      <c r="G50" s="232">
        <f t="shared" si="2"/>
        <v>2.7352500000000002</v>
      </c>
      <c r="H50" s="233" t="s">
        <v>273</v>
      </c>
    </row>
    <row r="51" spans="1:8" s="216" customFormat="1" ht="16.5">
      <c r="A51" s="231"/>
      <c r="B51" s="240" t="s">
        <v>87</v>
      </c>
      <c r="C51" s="23" t="s">
        <v>88</v>
      </c>
      <c r="D51" s="37" t="s">
        <v>42</v>
      </c>
      <c r="E51" s="37">
        <v>91.034999999999997</v>
      </c>
      <c r="F51" s="38">
        <f>0.07*0.063*5*2</f>
        <v>4.4100000000000007E-2</v>
      </c>
      <c r="G51" s="232">
        <f t="shared" si="2"/>
        <v>4.0146435000000009</v>
      </c>
      <c r="H51" s="233" t="s">
        <v>89</v>
      </c>
    </row>
    <row r="52" spans="1:8" s="216" customFormat="1" ht="16.5">
      <c r="A52" s="231"/>
      <c r="B52" s="240"/>
      <c r="C52" s="37" t="s">
        <v>47</v>
      </c>
      <c r="D52" s="37" t="s">
        <v>42</v>
      </c>
      <c r="E52" s="37">
        <v>30</v>
      </c>
      <c r="F52" s="38">
        <f>0.07*0.063*5*2*2</f>
        <v>8.8200000000000014E-2</v>
      </c>
      <c r="G52" s="232">
        <f t="shared" si="2"/>
        <v>2.6460000000000004</v>
      </c>
      <c r="H52" s="233" t="s">
        <v>90</v>
      </c>
    </row>
    <row r="53" spans="1:8" s="216" customFormat="1" ht="16.5">
      <c r="A53" s="231"/>
      <c r="B53" s="240" t="s">
        <v>91</v>
      </c>
      <c r="C53" s="37" t="s">
        <v>88</v>
      </c>
      <c r="D53" s="37" t="s">
        <v>42</v>
      </c>
      <c r="E53" s="37">
        <v>91.034999999999997</v>
      </c>
      <c r="F53" s="38">
        <f>0.235*0.071*5*2</f>
        <v>0.16685</v>
      </c>
      <c r="G53" s="232">
        <f t="shared" si="2"/>
        <v>15.189189749999999</v>
      </c>
      <c r="H53" s="233" t="s">
        <v>92</v>
      </c>
    </row>
    <row r="54" spans="1:8" s="216" customFormat="1" ht="16.5">
      <c r="A54" s="231"/>
      <c r="B54" s="240"/>
      <c r="C54" s="37" t="s">
        <v>47</v>
      </c>
      <c r="D54" s="37" t="s">
        <v>42</v>
      </c>
      <c r="E54" s="37">
        <v>30</v>
      </c>
      <c r="F54" s="38">
        <f>0.235*0.071*5*2*2</f>
        <v>0.3337</v>
      </c>
      <c r="G54" s="232">
        <f t="shared" si="2"/>
        <v>10.010999999999999</v>
      </c>
      <c r="H54" s="233" t="s">
        <v>93</v>
      </c>
    </row>
    <row r="55" spans="1:8" s="216" customFormat="1" ht="16.5">
      <c r="A55" s="231"/>
      <c r="B55" s="240" t="s">
        <v>94</v>
      </c>
      <c r="C55" s="37" t="s">
        <v>88</v>
      </c>
      <c r="D55" s="37" t="s">
        <v>42</v>
      </c>
      <c r="E55" s="37">
        <v>91.034999999999997</v>
      </c>
      <c r="F55" s="38">
        <f>(0.11*0.125+0.045*0.03)*5*2</f>
        <v>0.151</v>
      </c>
      <c r="G55" s="232">
        <f t="shared" si="2"/>
        <v>13.746284999999999</v>
      </c>
      <c r="H55" s="233" t="s">
        <v>95</v>
      </c>
    </row>
    <row r="56" spans="1:8" s="216" customFormat="1" ht="16.5">
      <c r="A56" s="231"/>
      <c r="B56" s="240"/>
      <c r="C56" s="37" t="s">
        <v>47</v>
      </c>
      <c r="D56" s="37" t="s">
        <v>42</v>
      </c>
      <c r="E56" s="37">
        <v>30</v>
      </c>
      <c r="F56" s="38">
        <f>(0.11*0.125+0.045*0.03)*5*2*2</f>
        <v>0.30199999999999999</v>
      </c>
      <c r="G56" s="232">
        <f t="shared" si="2"/>
        <v>9.06</v>
      </c>
      <c r="H56" s="233" t="s">
        <v>96</v>
      </c>
    </row>
    <row r="57" spans="1:8" s="216" customFormat="1" ht="16.5">
      <c r="A57" s="231"/>
      <c r="B57" s="37" t="s">
        <v>97</v>
      </c>
      <c r="C57" s="37" t="s">
        <v>98</v>
      </c>
      <c r="D57" s="37" t="s">
        <v>51</v>
      </c>
      <c r="E57" s="37">
        <v>2.91</v>
      </c>
      <c r="F57" s="38">
        <f>0.232*1*84</f>
        <v>19.488</v>
      </c>
      <c r="G57" s="232">
        <f t="shared" si="2"/>
        <v>56.710080000000005</v>
      </c>
      <c r="H57" s="233" t="s">
        <v>274</v>
      </c>
    </row>
    <row r="58" spans="1:8" s="216" customFormat="1" ht="16.5">
      <c r="A58" s="231"/>
      <c r="B58" s="37"/>
      <c r="C58" s="37" t="s">
        <v>88</v>
      </c>
      <c r="D58" s="37" t="s">
        <v>42</v>
      </c>
      <c r="E58" s="37">
        <v>91.034999999999997</v>
      </c>
      <c r="F58" s="38">
        <f>0.095*0.245*1*84</f>
        <v>1.9551000000000001</v>
      </c>
      <c r="G58" s="232">
        <f t="shared" si="2"/>
        <v>177.9825285</v>
      </c>
      <c r="H58" s="233" t="s">
        <v>275</v>
      </c>
    </row>
    <row r="59" spans="1:8" s="216" customFormat="1" ht="16.5">
      <c r="A59" s="231"/>
      <c r="B59" s="37"/>
      <c r="C59" s="37" t="s">
        <v>88</v>
      </c>
      <c r="D59" s="37" t="s">
        <v>42</v>
      </c>
      <c r="E59" s="37">
        <v>91.034999999999997</v>
      </c>
      <c r="F59" s="38">
        <f>0.048*0.036*1*84</f>
        <v>0.145152</v>
      </c>
      <c r="G59" s="232">
        <f t="shared" si="2"/>
        <v>13.21391232</v>
      </c>
      <c r="H59" s="233" t="s">
        <v>276</v>
      </c>
    </row>
    <row r="60" spans="1:8" s="216" customFormat="1" ht="16.5">
      <c r="A60" s="231"/>
      <c r="B60" s="37"/>
      <c r="C60" s="37" t="s">
        <v>88</v>
      </c>
      <c r="D60" s="37" t="s">
        <v>42</v>
      </c>
      <c r="E60" s="37">
        <v>91.034999999999997</v>
      </c>
      <c r="F60" s="38">
        <f>0.041*0.023*1*84</f>
        <v>7.9212000000000005E-2</v>
      </c>
      <c r="G60" s="232">
        <f t="shared" si="2"/>
        <v>7.2110644200000005</v>
      </c>
      <c r="H60" s="233" t="s">
        <v>277</v>
      </c>
    </row>
    <row r="61" spans="1:8" s="216" customFormat="1" ht="16.5">
      <c r="A61" s="231"/>
      <c r="B61" s="37"/>
      <c r="C61" s="37" t="s">
        <v>88</v>
      </c>
      <c r="D61" s="37" t="s">
        <v>42</v>
      </c>
      <c r="E61" s="37">
        <v>91.034999999999997</v>
      </c>
      <c r="F61" s="38">
        <f>0.025*0.015*1*84</f>
        <v>3.15E-2</v>
      </c>
      <c r="G61" s="232">
        <f t="shared" si="2"/>
        <v>2.8676024999999998</v>
      </c>
      <c r="H61" s="233" t="s">
        <v>278</v>
      </c>
    </row>
    <row r="62" spans="1:8" s="216" customFormat="1" ht="33">
      <c r="A62" s="231"/>
      <c r="B62" s="37"/>
      <c r="C62" s="37" t="s">
        <v>47</v>
      </c>
      <c r="D62" s="37" t="s">
        <v>42</v>
      </c>
      <c r="E62" s="37">
        <v>30</v>
      </c>
      <c r="F62" s="38">
        <f>0.232*1*84+0.095*0.245*1*84+0.048*0.036*1*84+0.041*0.023*1*84+0.025*0.015*1*84</f>
        <v>21.698964</v>
      </c>
      <c r="G62" s="232">
        <f t="shared" si="2"/>
        <v>650.96892000000003</v>
      </c>
      <c r="H62" s="233" t="s">
        <v>279</v>
      </c>
    </row>
    <row r="63" spans="1:8" s="216" customFormat="1" ht="16.5">
      <c r="A63" s="231"/>
      <c r="B63" s="37" t="s">
        <v>99</v>
      </c>
      <c r="C63" s="37" t="s">
        <v>100</v>
      </c>
      <c r="D63" s="37" t="s">
        <v>101</v>
      </c>
      <c r="E63" s="37">
        <v>21.524999999999999</v>
      </c>
      <c r="F63" s="38">
        <f>1.165*0.074*1*0.5*1.4*31.5</f>
        <v>1.9009304999999996</v>
      </c>
      <c r="G63" s="232">
        <f t="shared" si="2"/>
        <v>40.91752901249999</v>
      </c>
      <c r="H63" s="233" t="s">
        <v>280</v>
      </c>
    </row>
    <row r="64" spans="1:8" s="216" customFormat="1" ht="16.5">
      <c r="A64" s="231"/>
      <c r="B64" s="37"/>
      <c r="C64" s="37" t="s">
        <v>102</v>
      </c>
      <c r="D64" s="37" t="s">
        <v>42</v>
      </c>
      <c r="E64" s="37">
        <v>47.66</v>
      </c>
      <c r="F64" s="38">
        <f>1.165*0.04*1*31.5</f>
        <v>1.4679</v>
      </c>
      <c r="G64" s="232">
        <f t="shared" si="2"/>
        <v>69.96011399999999</v>
      </c>
      <c r="H64" s="233" t="s">
        <v>281</v>
      </c>
    </row>
    <row r="65" spans="1:8" s="216" customFormat="1" ht="16.5">
      <c r="A65" s="231"/>
      <c r="B65" s="37"/>
      <c r="C65" s="37" t="s">
        <v>103</v>
      </c>
      <c r="D65" s="37" t="s">
        <v>101</v>
      </c>
      <c r="E65" s="37">
        <v>28.14</v>
      </c>
      <c r="F65" s="38">
        <f>1.165*0.04*1*2*1.2*31.5</f>
        <v>3.5229600000000003</v>
      </c>
      <c r="G65" s="232">
        <f t="shared" si="2"/>
        <v>99.136094400000005</v>
      </c>
      <c r="H65" s="233" t="s">
        <v>282</v>
      </c>
    </row>
    <row r="66" spans="1:8" s="216" customFormat="1" ht="16.5">
      <c r="A66" s="231"/>
      <c r="B66" s="37"/>
      <c r="C66" s="37" t="s">
        <v>103</v>
      </c>
      <c r="D66" s="37" t="s">
        <v>101</v>
      </c>
      <c r="E66" s="37">
        <v>28.14</v>
      </c>
      <c r="F66" s="38">
        <f>1.165*0.035*1*2*1.2*31.5</f>
        <v>3.0825900000000006</v>
      </c>
      <c r="G66" s="232">
        <f t="shared" si="2"/>
        <v>86.744082600000013</v>
      </c>
      <c r="H66" s="233" t="s">
        <v>283</v>
      </c>
    </row>
    <row r="67" spans="1:8" s="216" customFormat="1" ht="16.5">
      <c r="A67" s="231"/>
      <c r="B67" s="37"/>
      <c r="C67" s="37" t="s">
        <v>103</v>
      </c>
      <c r="D67" s="37" t="s">
        <v>101</v>
      </c>
      <c r="E67" s="37">
        <v>28.14</v>
      </c>
      <c r="F67" s="38">
        <f>1.165*0.011*1*2*1.2*31.5</f>
        <v>0.96881399999999995</v>
      </c>
      <c r="G67" s="232">
        <f t="shared" si="2"/>
        <v>27.262425959999998</v>
      </c>
      <c r="H67" s="233" t="s">
        <v>284</v>
      </c>
    </row>
    <row r="68" spans="1:8" s="216" customFormat="1" ht="16.5">
      <c r="A68" s="231"/>
      <c r="B68" s="37"/>
      <c r="C68" s="37" t="s">
        <v>103</v>
      </c>
      <c r="D68" s="37" t="s">
        <v>101</v>
      </c>
      <c r="E68" s="37">
        <v>28.14</v>
      </c>
      <c r="F68" s="38">
        <f>1.165*0.0095*1*5*1.2*31.5</f>
        <v>2.0917574999999999</v>
      </c>
      <c r="G68" s="232">
        <f t="shared" si="2"/>
        <v>58.86205605</v>
      </c>
      <c r="H68" s="233" t="s">
        <v>285</v>
      </c>
    </row>
    <row r="69" spans="1:8" s="216" customFormat="1" ht="16.5">
      <c r="A69" s="231"/>
      <c r="B69" s="37"/>
      <c r="C69" s="37" t="s">
        <v>104</v>
      </c>
      <c r="D69" s="37" t="s">
        <v>101</v>
      </c>
      <c r="E69" s="37">
        <v>28.14</v>
      </c>
      <c r="F69" s="38">
        <f>1.165*0.045*1*2*1.2*31.5</f>
        <v>3.9633299999999996</v>
      </c>
      <c r="G69" s="232">
        <f t="shared" ref="G69" si="3">E69*F69</f>
        <v>111.5281062</v>
      </c>
      <c r="H69" s="233" t="s">
        <v>286</v>
      </c>
    </row>
    <row r="70" spans="1:8" s="216" customFormat="1" ht="16.5">
      <c r="A70" s="231"/>
      <c r="B70" s="37"/>
      <c r="C70" s="37" t="s">
        <v>104</v>
      </c>
      <c r="D70" s="37" t="s">
        <v>101</v>
      </c>
      <c r="E70" s="37">
        <v>28.14</v>
      </c>
      <c r="F70" s="38">
        <f>1.165*0.04*1*2*1.2*31.5</f>
        <v>3.5229600000000003</v>
      </c>
      <c r="G70" s="232">
        <f t="shared" ref="G70:G87" si="4">E70*F70</f>
        <v>99.136094400000005</v>
      </c>
      <c r="H70" s="233" t="s">
        <v>287</v>
      </c>
    </row>
    <row r="71" spans="1:8" s="216" customFormat="1" ht="16.5">
      <c r="A71" s="231"/>
      <c r="B71" s="37"/>
      <c r="C71" s="37" t="s">
        <v>104</v>
      </c>
      <c r="D71" s="37" t="s">
        <v>101</v>
      </c>
      <c r="E71" s="37">
        <v>28.14</v>
      </c>
      <c r="F71" s="38">
        <f>1.165*0.016*1*2*1.2*31.5</f>
        <v>1.409184</v>
      </c>
      <c r="G71" s="232">
        <f t="shared" si="4"/>
        <v>39.65443776</v>
      </c>
      <c r="H71" s="233" t="s">
        <v>288</v>
      </c>
    </row>
    <row r="72" spans="1:8" s="216" customFormat="1" ht="16.5">
      <c r="A72" s="231"/>
      <c r="B72" s="37"/>
      <c r="C72" s="37" t="s">
        <v>104</v>
      </c>
      <c r="D72" s="37" t="s">
        <v>101</v>
      </c>
      <c r="E72" s="37">
        <v>28.14</v>
      </c>
      <c r="F72" s="38">
        <f>1.165*0.0085*1*2*1.2*31.5</f>
        <v>0.7486290000000001</v>
      </c>
      <c r="G72" s="232">
        <f t="shared" si="4"/>
        <v>21.066420060000002</v>
      </c>
      <c r="H72" s="233" t="s">
        <v>289</v>
      </c>
    </row>
    <row r="73" spans="1:8" s="216" customFormat="1" ht="16.5">
      <c r="A73" s="231"/>
      <c r="B73" s="37"/>
      <c r="C73" s="37" t="s">
        <v>104</v>
      </c>
      <c r="D73" s="37" t="s">
        <v>101</v>
      </c>
      <c r="E73" s="37">
        <v>28.14</v>
      </c>
      <c r="F73" s="38">
        <f>1.165*0.023*1*2*1.2*31.5</f>
        <v>2.0257019999999999</v>
      </c>
      <c r="G73" s="232">
        <f t="shared" si="4"/>
        <v>57.00325428</v>
      </c>
      <c r="H73" s="233" t="s">
        <v>290</v>
      </c>
    </row>
    <row r="74" spans="1:8" s="216" customFormat="1" ht="16.5">
      <c r="A74" s="231"/>
      <c r="B74" s="37"/>
      <c r="C74" s="37" t="s">
        <v>104</v>
      </c>
      <c r="D74" s="37" t="s">
        <v>101</v>
      </c>
      <c r="E74" s="37">
        <v>28.14</v>
      </c>
      <c r="F74" s="38">
        <f>1.165*0.037*1*2*1.2*31.5</f>
        <v>3.2587379999999997</v>
      </c>
      <c r="G74" s="232">
        <f t="shared" si="4"/>
        <v>91.700887319999993</v>
      </c>
      <c r="H74" s="233" t="s">
        <v>291</v>
      </c>
    </row>
    <row r="75" spans="1:8" s="216" customFormat="1" ht="16.5">
      <c r="A75" s="231"/>
      <c r="B75" s="37"/>
      <c r="C75" s="37" t="s">
        <v>104</v>
      </c>
      <c r="D75" s="37" t="s">
        <v>101</v>
      </c>
      <c r="E75" s="37">
        <v>28.14</v>
      </c>
      <c r="F75" s="38">
        <f>1.165*0.01*5*5*1.2*31.5</f>
        <v>11.00925</v>
      </c>
      <c r="G75" s="232">
        <f t="shared" si="4"/>
        <v>309.80029500000001</v>
      </c>
      <c r="H75" s="233" t="s">
        <v>292</v>
      </c>
    </row>
    <row r="76" spans="1:8" s="216" customFormat="1" ht="16.5">
      <c r="A76" s="231"/>
      <c r="B76" s="37"/>
      <c r="C76" s="37" t="s">
        <v>103</v>
      </c>
      <c r="D76" s="37" t="s">
        <v>101</v>
      </c>
      <c r="E76" s="37">
        <v>28.14</v>
      </c>
      <c r="F76" s="38">
        <f>1.165*0.04*1*2*1.2*31.5</f>
        <v>3.5229600000000003</v>
      </c>
      <c r="G76" s="232">
        <f t="shared" si="4"/>
        <v>99.136094400000005</v>
      </c>
      <c r="H76" s="233" t="s">
        <v>287</v>
      </c>
    </row>
    <row r="77" spans="1:8" s="216" customFormat="1" ht="16.5">
      <c r="A77" s="231"/>
      <c r="B77" s="37"/>
      <c r="C77" s="37" t="s">
        <v>103</v>
      </c>
      <c r="D77" s="37" t="s">
        <v>101</v>
      </c>
      <c r="E77" s="37">
        <v>28.14</v>
      </c>
      <c r="F77" s="38">
        <f>1.165*0.032*1*2*1.2*31.5</f>
        <v>2.818368</v>
      </c>
      <c r="G77" s="232">
        <f t="shared" si="4"/>
        <v>79.308875520000001</v>
      </c>
      <c r="H77" s="233" t="s">
        <v>293</v>
      </c>
    </row>
    <row r="78" spans="1:8" s="216" customFormat="1" ht="16.5">
      <c r="A78" s="231"/>
      <c r="B78" s="37"/>
      <c r="C78" s="37" t="s">
        <v>103</v>
      </c>
      <c r="D78" s="37" t="s">
        <v>101</v>
      </c>
      <c r="E78" s="37">
        <v>28.14</v>
      </c>
      <c r="F78" s="38">
        <f>1.165*0.014*1*2*1.2*31.5</f>
        <v>1.2330360000000002</v>
      </c>
      <c r="G78" s="232">
        <f t="shared" si="4"/>
        <v>34.697633040000007</v>
      </c>
      <c r="H78" s="233" t="s">
        <v>294</v>
      </c>
    </row>
    <row r="79" spans="1:8" s="216" customFormat="1" ht="16.5">
      <c r="A79" s="231"/>
      <c r="B79" s="37"/>
      <c r="C79" s="37" t="s">
        <v>103</v>
      </c>
      <c r="D79" s="37" t="s">
        <v>101</v>
      </c>
      <c r="E79" s="37">
        <v>28.14</v>
      </c>
      <c r="F79" s="38">
        <f>1.165*0.01*1*2*1.2*31.5</f>
        <v>0.88074000000000008</v>
      </c>
      <c r="G79" s="232">
        <f t="shared" si="4"/>
        <v>24.784023600000001</v>
      </c>
      <c r="H79" s="233" t="s">
        <v>295</v>
      </c>
    </row>
    <row r="80" spans="1:8" s="216" customFormat="1" ht="16.5">
      <c r="A80" s="231"/>
      <c r="B80" s="37"/>
      <c r="C80" s="37" t="s">
        <v>103</v>
      </c>
      <c r="D80" s="37" t="s">
        <v>101</v>
      </c>
      <c r="E80" s="37">
        <v>28.14</v>
      </c>
      <c r="F80" s="38">
        <f>1.165*0.0085*1*2*1.2*31.5</f>
        <v>0.7486290000000001</v>
      </c>
      <c r="G80" s="232">
        <f t="shared" si="4"/>
        <v>21.066420060000002</v>
      </c>
      <c r="H80" s="233" t="s">
        <v>289</v>
      </c>
    </row>
    <row r="81" spans="1:8" s="216" customFormat="1" ht="16.5">
      <c r="A81" s="231"/>
      <c r="B81" s="37"/>
      <c r="C81" s="37" t="s">
        <v>105</v>
      </c>
      <c r="D81" s="37" t="s">
        <v>51</v>
      </c>
      <c r="E81" s="37">
        <v>1.5</v>
      </c>
      <c r="F81" s="38">
        <f>1.165*1*31.5</f>
        <v>36.697499999999998</v>
      </c>
      <c r="G81" s="232">
        <f t="shared" si="4"/>
        <v>55.046250000000001</v>
      </c>
      <c r="H81" s="233" t="s">
        <v>296</v>
      </c>
    </row>
    <row r="82" spans="1:8" s="216" customFormat="1" ht="16.5">
      <c r="A82" s="231"/>
      <c r="B82" s="37"/>
      <c r="C82" s="37" t="s">
        <v>106</v>
      </c>
      <c r="D82" s="37" t="s">
        <v>42</v>
      </c>
      <c r="E82" s="37">
        <v>246.78</v>
      </c>
      <c r="F82" s="38">
        <f>0.017*0.04*3*31.5</f>
        <v>6.4260000000000012E-2</v>
      </c>
      <c r="G82" s="232">
        <f t="shared" si="4"/>
        <v>15.858082800000004</v>
      </c>
      <c r="H82" s="233" t="s">
        <v>297</v>
      </c>
    </row>
    <row r="83" spans="1:8" s="216" customFormat="1" ht="16.5">
      <c r="A83" s="231"/>
      <c r="B83" s="73"/>
      <c r="C83" s="73" t="s">
        <v>107</v>
      </c>
      <c r="D83" s="73" t="s">
        <v>55</v>
      </c>
      <c r="E83" s="73">
        <v>0.9</v>
      </c>
      <c r="F83" s="236">
        <f>3*32</f>
        <v>96</v>
      </c>
      <c r="G83" s="237">
        <f t="shared" si="4"/>
        <v>86.4</v>
      </c>
      <c r="H83" s="238" t="s">
        <v>298</v>
      </c>
    </row>
    <row r="84" spans="1:8" s="216" customFormat="1" ht="16.5">
      <c r="A84" s="231"/>
      <c r="B84" s="37"/>
      <c r="C84" s="37" t="s">
        <v>108</v>
      </c>
      <c r="D84" s="37" t="s">
        <v>42</v>
      </c>
      <c r="E84" s="37">
        <v>40</v>
      </c>
      <c r="F84" s="38">
        <f>1.2*0.07*4.5*7</f>
        <v>2.6459999999999999</v>
      </c>
      <c r="G84" s="232">
        <f t="shared" si="4"/>
        <v>105.84</v>
      </c>
      <c r="H84" s="233" t="s">
        <v>299</v>
      </c>
    </row>
    <row r="85" spans="1:8" s="216" customFormat="1" ht="16.5">
      <c r="A85" s="231"/>
      <c r="B85" s="37" t="s">
        <v>109</v>
      </c>
      <c r="C85" s="37" t="s">
        <v>110</v>
      </c>
      <c r="D85" s="37" t="s">
        <v>42</v>
      </c>
      <c r="E85" s="37">
        <v>190</v>
      </c>
      <c r="F85" s="38">
        <f>1.19*0.27*18+0.635*0.27+1.105*0.27*6</f>
        <v>7.7449500000000002</v>
      </c>
      <c r="G85" s="232">
        <f t="shared" si="4"/>
        <v>1471.5405000000001</v>
      </c>
      <c r="H85" s="233" t="s">
        <v>300</v>
      </c>
    </row>
    <row r="86" spans="1:8" s="216" customFormat="1" ht="16.5">
      <c r="A86" s="231"/>
      <c r="B86" s="37" t="s">
        <v>301</v>
      </c>
      <c r="C86" s="242" t="s">
        <v>302</v>
      </c>
      <c r="D86" s="242" t="s">
        <v>42</v>
      </c>
      <c r="E86" s="243">
        <v>41.118000000000002</v>
      </c>
      <c r="F86" s="38">
        <f>1.189*0.38*1*4.5</f>
        <v>2.0331899999999998</v>
      </c>
      <c r="G86" s="232">
        <f t="shared" si="4"/>
        <v>83.600706419999995</v>
      </c>
      <c r="H86" s="233" t="s">
        <v>303</v>
      </c>
    </row>
    <row r="87" spans="1:8" s="216" customFormat="1" ht="16.5">
      <c r="A87" s="231"/>
      <c r="B87" s="37"/>
      <c r="C87" s="37" t="s">
        <v>304</v>
      </c>
      <c r="D87" s="37" t="s">
        <v>42</v>
      </c>
      <c r="E87" s="37">
        <v>20.286000000000001</v>
      </c>
      <c r="F87" s="38">
        <f>1.189*0.02*2*4.5</f>
        <v>0.21402000000000002</v>
      </c>
      <c r="G87" s="232">
        <f t="shared" si="4"/>
        <v>4.341609720000001</v>
      </c>
      <c r="H87" s="233" t="s">
        <v>305</v>
      </c>
    </row>
    <row r="88" spans="1:8" s="216" customFormat="1" ht="16.5">
      <c r="A88" s="231"/>
      <c r="B88" s="46" t="s">
        <v>111</v>
      </c>
      <c r="C88" s="244" t="s">
        <v>112</v>
      </c>
      <c r="D88" s="37" t="s">
        <v>42</v>
      </c>
      <c r="E88" s="37">
        <v>230</v>
      </c>
      <c r="F88" s="245">
        <f>(0.044+0.016+0.044)*1.07*2</f>
        <v>0.22256000000000001</v>
      </c>
      <c r="G88" s="232">
        <f t="shared" ref="G88" si="5">E88*F88</f>
        <v>51.188800000000001</v>
      </c>
      <c r="H88" s="246" t="s">
        <v>306</v>
      </c>
    </row>
    <row r="89" spans="1:8" s="216" customFormat="1" ht="16.5">
      <c r="A89" s="231"/>
      <c r="B89" s="46"/>
      <c r="C89" s="23" t="s">
        <v>113</v>
      </c>
      <c r="D89" s="37" t="s">
        <v>101</v>
      </c>
      <c r="E89" s="247">
        <v>26.59</v>
      </c>
      <c r="F89" s="245">
        <f>0.038*1.07*1.2*10*2</f>
        <v>0.97584000000000004</v>
      </c>
      <c r="G89" s="232">
        <f t="shared" ref="G89:G120" si="6">E89*F89</f>
        <v>25.9475856</v>
      </c>
      <c r="H89" s="246" t="s">
        <v>307</v>
      </c>
    </row>
    <row r="90" spans="1:8" s="216" customFormat="1" ht="16.5">
      <c r="A90" s="231"/>
      <c r="B90" s="46"/>
      <c r="C90" s="248" t="s">
        <v>114</v>
      </c>
      <c r="D90" s="37" t="s">
        <v>42</v>
      </c>
      <c r="E90" s="37">
        <v>80</v>
      </c>
      <c r="F90" s="245">
        <f>(0.008+0.008+0.02)*1.07*2+0.038*1.07*1.2*10*2</f>
        <v>1.05288</v>
      </c>
      <c r="G90" s="232">
        <f t="shared" si="6"/>
        <v>84.230400000000003</v>
      </c>
      <c r="H90" s="246" t="s">
        <v>308</v>
      </c>
    </row>
    <row r="91" spans="1:8" s="216" customFormat="1" ht="16.5">
      <c r="A91" s="231"/>
      <c r="B91" s="46" t="s">
        <v>115</v>
      </c>
      <c r="C91" s="37" t="s">
        <v>88</v>
      </c>
      <c r="D91" s="37" t="s">
        <v>42</v>
      </c>
      <c r="E91" s="37">
        <v>91.034999999999997</v>
      </c>
      <c r="F91" s="245">
        <f>0.08*0.04*2*2</f>
        <v>1.2800000000000001E-2</v>
      </c>
      <c r="G91" s="232">
        <f t="shared" si="6"/>
        <v>1.1652480000000001</v>
      </c>
      <c r="H91" s="246" t="s">
        <v>116</v>
      </c>
    </row>
    <row r="92" spans="1:8" s="216" customFormat="1" ht="16.5">
      <c r="A92" s="231"/>
      <c r="B92" s="46"/>
      <c r="C92" s="37" t="s">
        <v>117</v>
      </c>
      <c r="D92" s="37" t="s">
        <v>42</v>
      </c>
      <c r="E92" s="249">
        <v>136.55760000000001</v>
      </c>
      <c r="F92" s="245">
        <f>0.01*0.06*2*2</f>
        <v>2.3999999999999998E-3</v>
      </c>
      <c r="G92" s="232">
        <f t="shared" si="6"/>
        <v>0.32773824000000001</v>
      </c>
      <c r="H92" s="246" t="s">
        <v>118</v>
      </c>
    </row>
    <row r="93" spans="1:8" s="216" customFormat="1" ht="16.5">
      <c r="A93" s="231"/>
      <c r="B93" s="46"/>
      <c r="C93" s="241" t="s">
        <v>98</v>
      </c>
      <c r="D93" s="37" t="s">
        <v>51</v>
      </c>
      <c r="E93" s="247">
        <v>2.91</v>
      </c>
      <c r="F93" s="245">
        <f>0.3*2*2</f>
        <v>1.2</v>
      </c>
      <c r="G93" s="232">
        <f t="shared" si="6"/>
        <v>3.492</v>
      </c>
      <c r="H93" s="246" t="s">
        <v>119</v>
      </c>
    </row>
    <row r="94" spans="1:8" s="216" customFormat="1" ht="16.5">
      <c r="A94" s="231"/>
      <c r="B94" s="46"/>
      <c r="C94" s="37" t="s">
        <v>47</v>
      </c>
      <c r="D94" s="37" t="s">
        <v>42</v>
      </c>
      <c r="E94" s="37">
        <v>30</v>
      </c>
      <c r="F94" s="245">
        <f>0.291*0.06*2*2+0.08*0.04*2*2+0.01*0.06*2*2</f>
        <v>8.5040000000000004E-2</v>
      </c>
      <c r="G94" s="232">
        <f t="shared" si="6"/>
        <v>2.5512000000000001</v>
      </c>
      <c r="H94" s="246" t="s">
        <v>120</v>
      </c>
    </row>
    <row r="95" spans="1:8" s="216" customFormat="1" ht="16.5">
      <c r="A95" s="231"/>
      <c r="B95" s="46" t="s">
        <v>121</v>
      </c>
      <c r="C95" s="37" t="s">
        <v>88</v>
      </c>
      <c r="D95" s="37" t="s">
        <v>42</v>
      </c>
      <c r="E95" s="37">
        <v>91.034999999999997</v>
      </c>
      <c r="F95" s="245">
        <f>0.098*0.03*8*2</f>
        <v>4.7039999999999998E-2</v>
      </c>
      <c r="G95" s="232">
        <f t="shared" si="6"/>
        <v>4.2822863999999994</v>
      </c>
      <c r="H95" s="246" t="s">
        <v>258</v>
      </c>
    </row>
    <row r="96" spans="1:8" s="216" customFormat="1" ht="16.5">
      <c r="A96" s="231"/>
      <c r="B96" s="46"/>
      <c r="C96" s="37" t="s">
        <v>47</v>
      </c>
      <c r="D96" s="37" t="s">
        <v>42</v>
      </c>
      <c r="E96" s="37">
        <v>30</v>
      </c>
      <c r="F96" s="245">
        <f>0.098*0.03*8</f>
        <v>2.3519999999999999E-2</v>
      </c>
      <c r="G96" s="232">
        <f t="shared" si="6"/>
        <v>0.7056</v>
      </c>
      <c r="H96" s="246" t="s">
        <v>259</v>
      </c>
    </row>
    <row r="97" spans="1:8" s="216" customFormat="1" ht="16.5">
      <c r="A97" s="231"/>
      <c r="B97" s="46" t="s">
        <v>122</v>
      </c>
      <c r="C97" s="37" t="s">
        <v>88</v>
      </c>
      <c r="D97" s="37" t="s">
        <v>42</v>
      </c>
      <c r="E97" s="37">
        <v>91.034999999999997</v>
      </c>
      <c r="F97" s="245">
        <f>(0.032+0.015+0.032)*0.04*124</f>
        <v>0.39184000000000002</v>
      </c>
      <c r="G97" s="232">
        <f t="shared" si="6"/>
        <v>35.671154399999999</v>
      </c>
      <c r="H97" s="246" t="s">
        <v>309</v>
      </c>
    </row>
    <row r="98" spans="1:8" s="216" customFormat="1" ht="16.5">
      <c r="A98" s="231"/>
      <c r="B98" s="46"/>
      <c r="C98" s="250" t="s">
        <v>123</v>
      </c>
      <c r="D98" s="73" t="s">
        <v>51</v>
      </c>
      <c r="E98" s="73">
        <v>1.3</v>
      </c>
      <c r="F98" s="236">
        <f>0.38*2*144</f>
        <v>109.44</v>
      </c>
      <c r="G98" s="232">
        <f t="shared" si="6"/>
        <v>142.27199999999999</v>
      </c>
      <c r="H98" s="238" t="s">
        <v>310</v>
      </c>
    </row>
    <row r="99" spans="1:8" s="216" customFormat="1" ht="33">
      <c r="A99" s="231"/>
      <c r="B99" s="46"/>
      <c r="C99" s="241" t="s">
        <v>47</v>
      </c>
      <c r="D99" s="37" t="s">
        <v>42</v>
      </c>
      <c r="E99" s="247">
        <v>30</v>
      </c>
      <c r="F99" s="245">
        <f>(0.032+0.015+0.032)*0.04*144+0.005*3.14*0.38*2*144+(0.032+0.035+0.233)*0.04*34</f>
        <v>2.581248</v>
      </c>
      <c r="G99" s="232">
        <f t="shared" si="6"/>
        <v>77.437439999999995</v>
      </c>
      <c r="H99" s="246" t="s">
        <v>311</v>
      </c>
    </row>
    <row r="100" spans="1:8" s="216" customFormat="1" ht="16.5">
      <c r="A100" s="231"/>
      <c r="B100" s="46"/>
      <c r="C100" s="241" t="s">
        <v>124</v>
      </c>
      <c r="D100" s="37" t="s">
        <v>51</v>
      </c>
      <c r="E100" s="247">
        <v>1.87</v>
      </c>
      <c r="F100" s="245">
        <f>(0.032+0.035+0.233)*34</f>
        <v>10.200000000000001</v>
      </c>
      <c r="G100" s="232">
        <f t="shared" si="6"/>
        <v>19.074000000000002</v>
      </c>
      <c r="H100" s="246" t="s">
        <v>312</v>
      </c>
    </row>
    <row r="101" spans="1:8" s="216" customFormat="1" ht="16.5">
      <c r="A101" s="231"/>
      <c r="B101" s="46"/>
      <c r="C101" s="250" t="s">
        <v>125</v>
      </c>
      <c r="D101" s="73" t="s">
        <v>55</v>
      </c>
      <c r="E101" s="73">
        <v>1</v>
      </c>
      <c r="F101" s="236">
        <f>34*2</f>
        <v>68</v>
      </c>
      <c r="G101" s="232">
        <f t="shared" si="6"/>
        <v>68</v>
      </c>
      <c r="H101" s="238" t="s">
        <v>313</v>
      </c>
    </row>
    <row r="102" spans="1:8" s="216" customFormat="1" ht="16.5">
      <c r="A102" s="231"/>
      <c r="B102" s="46"/>
      <c r="C102" s="241" t="s">
        <v>126</v>
      </c>
      <c r="D102" s="46" t="s">
        <v>51</v>
      </c>
      <c r="E102" s="247">
        <v>6</v>
      </c>
      <c r="F102" s="245">
        <f>2*8</f>
        <v>16</v>
      </c>
      <c r="G102" s="232">
        <f t="shared" si="6"/>
        <v>96</v>
      </c>
      <c r="H102" s="246" t="s">
        <v>314</v>
      </c>
    </row>
    <row r="103" spans="1:8" s="216" customFormat="1" ht="16.5">
      <c r="A103" s="231"/>
      <c r="B103" s="46"/>
      <c r="C103" s="251" t="s">
        <v>128</v>
      </c>
      <c r="D103" s="252" t="s">
        <v>101</v>
      </c>
      <c r="E103" s="253">
        <v>24.99</v>
      </c>
      <c r="F103" s="254">
        <f>(0.0389+0.012+0.005+0.05+0.012+0.012)*2*1.4*2*8</f>
        <v>5.8195199999999989</v>
      </c>
      <c r="G103" s="232">
        <f t="shared" si="6"/>
        <v>145.42980479999997</v>
      </c>
      <c r="H103" s="246" t="s">
        <v>315</v>
      </c>
    </row>
    <row r="104" spans="1:8" s="216" customFormat="1" ht="16.5">
      <c r="A104" s="231"/>
      <c r="B104" s="46" t="s">
        <v>129</v>
      </c>
      <c r="C104" s="244" t="s">
        <v>130</v>
      </c>
      <c r="D104" s="37" t="s">
        <v>51</v>
      </c>
      <c r="E104" s="37">
        <v>3.95</v>
      </c>
      <c r="F104" s="245">
        <f>1.71*10</f>
        <v>17.100000000000001</v>
      </c>
      <c r="G104" s="232">
        <f t="shared" si="6"/>
        <v>67.545000000000002</v>
      </c>
      <c r="H104" s="246" t="s">
        <v>316</v>
      </c>
    </row>
    <row r="105" spans="1:8" s="216" customFormat="1" ht="16.5">
      <c r="A105" s="231"/>
      <c r="B105" s="46"/>
      <c r="C105" s="23" t="s">
        <v>47</v>
      </c>
      <c r="D105" s="37" t="s">
        <v>42</v>
      </c>
      <c r="E105" s="247">
        <v>30</v>
      </c>
      <c r="F105" s="245">
        <f>0.08*1.71*10</f>
        <v>1.3680000000000001</v>
      </c>
      <c r="G105" s="232">
        <f t="shared" si="6"/>
        <v>41.040000000000006</v>
      </c>
      <c r="H105" s="246" t="s">
        <v>317</v>
      </c>
    </row>
    <row r="106" spans="1:8" s="216" customFormat="1" ht="16.5">
      <c r="A106" s="231"/>
      <c r="B106" s="46"/>
      <c r="C106" s="23" t="s">
        <v>131</v>
      </c>
      <c r="D106" s="37" t="s">
        <v>132</v>
      </c>
      <c r="E106" s="247">
        <v>1</v>
      </c>
      <c r="F106" s="245">
        <v>20</v>
      </c>
      <c r="G106" s="232">
        <f t="shared" si="6"/>
        <v>20</v>
      </c>
      <c r="H106" s="246">
        <v>20</v>
      </c>
    </row>
    <row r="107" spans="1:8" s="216" customFormat="1" ht="16.5">
      <c r="A107" s="231"/>
      <c r="B107" s="46" t="s">
        <v>133</v>
      </c>
      <c r="C107" s="248" t="s">
        <v>88</v>
      </c>
      <c r="D107" s="37" t="s">
        <v>42</v>
      </c>
      <c r="E107" s="37">
        <v>91.034999999999997</v>
      </c>
      <c r="F107" s="245">
        <f>0.052*0.064*32</f>
        <v>0.10649599999999999</v>
      </c>
      <c r="G107" s="232">
        <f t="shared" si="6"/>
        <v>9.6948633599999994</v>
      </c>
      <c r="H107" s="246" t="s">
        <v>318</v>
      </c>
    </row>
    <row r="108" spans="1:8" s="216" customFormat="1" ht="16.5">
      <c r="A108" s="231"/>
      <c r="B108" s="46" t="s">
        <v>319</v>
      </c>
      <c r="C108" s="37" t="s">
        <v>104</v>
      </c>
      <c r="D108" s="37" t="s">
        <v>101</v>
      </c>
      <c r="E108" s="37">
        <v>28.14</v>
      </c>
      <c r="F108" s="245">
        <f>0.12*1.72*3*1.2</f>
        <v>0.74303999999999992</v>
      </c>
      <c r="G108" s="232">
        <f t="shared" si="6"/>
        <v>20.909145599999999</v>
      </c>
      <c r="H108" s="246" t="s">
        <v>320</v>
      </c>
    </row>
    <row r="109" spans="1:8" s="216" customFormat="1" ht="16.5">
      <c r="A109" s="231"/>
      <c r="B109" s="46"/>
      <c r="C109" s="37" t="s">
        <v>104</v>
      </c>
      <c r="D109" s="37" t="s">
        <v>101</v>
      </c>
      <c r="E109" s="37">
        <v>28.14</v>
      </c>
      <c r="F109" s="245">
        <f>(0.008+0.008+0.011+0.011)*1.72*5*1.2</f>
        <v>0.39215999999999995</v>
      </c>
      <c r="G109" s="232">
        <f t="shared" si="6"/>
        <v>11.0353824</v>
      </c>
      <c r="H109" s="246" t="s">
        <v>321</v>
      </c>
    </row>
    <row r="110" spans="1:8" s="216" customFormat="1" ht="16.5">
      <c r="A110" s="231"/>
      <c r="B110" s="46"/>
      <c r="C110" s="37" t="s">
        <v>322</v>
      </c>
      <c r="D110" s="37" t="s">
        <v>101</v>
      </c>
      <c r="E110" s="37">
        <v>28.14</v>
      </c>
      <c r="F110" s="245">
        <f>0.012*1.72*8*1.2</f>
        <v>0.19814399999999999</v>
      </c>
      <c r="G110" s="232">
        <f t="shared" si="6"/>
        <v>5.5757721599999996</v>
      </c>
      <c r="H110" s="246" t="s">
        <v>323</v>
      </c>
    </row>
    <row r="111" spans="1:8" s="216" customFormat="1" ht="16.5">
      <c r="A111" s="231"/>
      <c r="B111" s="46"/>
      <c r="C111" s="248" t="s">
        <v>324</v>
      </c>
      <c r="D111" s="37" t="s">
        <v>42</v>
      </c>
      <c r="E111" s="247">
        <v>169.5</v>
      </c>
      <c r="F111" s="245">
        <f t="shared" ref="F111" si="7">0.11*1.72</f>
        <v>0.18920000000000001</v>
      </c>
      <c r="G111" s="232">
        <f t="shared" si="6"/>
        <v>32.069400000000002</v>
      </c>
      <c r="H111" s="233" t="s">
        <v>325</v>
      </c>
    </row>
    <row r="112" spans="1:8" s="216" customFormat="1" ht="16.5">
      <c r="A112" s="231"/>
      <c r="B112" s="46"/>
      <c r="C112" s="248" t="s">
        <v>326</v>
      </c>
      <c r="D112" s="37" t="s">
        <v>42</v>
      </c>
      <c r="E112" s="247">
        <v>15.45</v>
      </c>
      <c r="F112" s="245">
        <f>0.11*1.72</f>
        <v>0.18920000000000001</v>
      </c>
      <c r="G112" s="232">
        <f t="shared" si="6"/>
        <v>2.9231400000000001</v>
      </c>
      <c r="H112" s="233" t="s">
        <v>325</v>
      </c>
    </row>
    <row r="113" spans="1:8" s="216" customFormat="1" ht="16.5">
      <c r="A113" s="231"/>
      <c r="B113" s="46"/>
      <c r="C113" s="37" t="s">
        <v>104</v>
      </c>
      <c r="D113" s="37" t="s">
        <v>101</v>
      </c>
      <c r="E113" s="37">
        <v>28.14</v>
      </c>
      <c r="F113" s="245">
        <f>0.11*1.72</f>
        <v>0.18920000000000001</v>
      </c>
      <c r="G113" s="232">
        <f t="shared" si="6"/>
        <v>5.3240880000000006</v>
      </c>
      <c r="H113" s="233" t="s">
        <v>325</v>
      </c>
    </row>
    <row r="114" spans="1:8" s="216" customFormat="1" ht="16.5">
      <c r="A114" s="231"/>
      <c r="B114" s="37"/>
      <c r="C114" s="37" t="s">
        <v>108</v>
      </c>
      <c r="D114" s="37" t="s">
        <v>42</v>
      </c>
      <c r="E114" s="37">
        <v>40</v>
      </c>
      <c r="F114" s="38">
        <f>0.11*1.72</f>
        <v>0.18920000000000001</v>
      </c>
      <c r="G114" s="232">
        <f t="shared" si="6"/>
        <v>7.5680000000000005</v>
      </c>
      <c r="H114" s="233" t="s">
        <v>325</v>
      </c>
    </row>
    <row r="115" spans="1:8" s="216" customFormat="1" ht="16.5">
      <c r="A115" s="231"/>
      <c r="B115" s="46" t="s">
        <v>327</v>
      </c>
      <c r="C115" s="37" t="s">
        <v>104</v>
      </c>
      <c r="D115" s="37" t="s">
        <v>101</v>
      </c>
      <c r="E115" s="37">
        <v>28.14</v>
      </c>
      <c r="F115" s="245">
        <f>(0.015+0.018)*0.08*2*1.2*2</f>
        <v>1.2671999999999999E-2</v>
      </c>
      <c r="G115" s="232">
        <f t="shared" si="6"/>
        <v>0.35659007999999998</v>
      </c>
      <c r="H115" s="233" t="s">
        <v>328</v>
      </c>
    </row>
    <row r="116" spans="1:8" s="216" customFormat="1" ht="16.5">
      <c r="A116" s="231"/>
      <c r="B116" s="46"/>
      <c r="C116" s="37" t="s">
        <v>322</v>
      </c>
      <c r="D116" s="37" t="s">
        <v>101</v>
      </c>
      <c r="E116" s="37">
        <v>28.14</v>
      </c>
      <c r="F116" s="245">
        <f>0.08*0.006*8*1.2*2</f>
        <v>9.2160000000000002E-3</v>
      </c>
      <c r="G116" s="232">
        <f t="shared" si="6"/>
        <v>0.25933824</v>
      </c>
      <c r="H116" s="246" t="s">
        <v>329</v>
      </c>
    </row>
    <row r="117" spans="1:8" s="216" customFormat="1" ht="16.5">
      <c r="A117" s="231"/>
      <c r="B117" s="37" t="s">
        <v>330</v>
      </c>
      <c r="C117" s="37" t="s">
        <v>98</v>
      </c>
      <c r="D117" s="37" t="s">
        <v>51</v>
      </c>
      <c r="E117" s="37">
        <v>2.91</v>
      </c>
      <c r="F117" s="38">
        <f>0.232*1*2</f>
        <v>0.46400000000000002</v>
      </c>
      <c r="G117" s="232">
        <f t="shared" si="6"/>
        <v>1.3502400000000001</v>
      </c>
      <c r="H117" s="233" t="s">
        <v>331</v>
      </c>
    </row>
    <row r="118" spans="1:8" s="216" customFormat="1" ht="16.5">
      <c r="A118" s="231"/>
      <c r="B118" s="37"/>
      <c r="C118" s="37" t="s">
        <v>88</v>
      </c>
      <c r="D118" s="37" t="s">
        <v>42</v>
      </c>
      <c r="E118" s="37">
        <v>91.034999999999997</v>
      </c>
      <c r="F118" s="38">
        <f>0.095*0.245*1*2</f>
        <v>4.6550000000000001E-2</v>
      </c>
      <c r="G118" s="232">
        <f t="shared" si="6"/>
        <v>4.2376792500000002</v>
      </c>
      <c r="H118" s="233" t="s">
        <v>332</v>
      </c>
    </row>
    <row r="119" spans="1:8" s="216" customFormat="1" ht="16.5">
      <c r="A119" s="231"/>
      <c r="B119" s="37"/>
      <c r="C119" s="37" t="s">
        <v>88</v>
      </c>
      <c r="D119" s="37" t="s">
        <v>42</v>
      </c>
      <c r="E119" s="37">
        <v>91.034999999999997</v>
      </c>
      <c r="F119" s="38">
        <f>0.048*0.036*1*2</f>
        <v>3.4559999999999999E-3</v>
      </c>
      <c r="G119" s="232">
        <f t="shared" si="6"/>
        <v>0.31461696</v>
      </c>
      <c r="H119" s="233" t="s">
        <v>333</v>
      </c>
    </row>
    <row r="120" spans="1:8" s="216" customFormat="1" ht="16.5">
      <c r="A120" s="231"/>
      <c r="B120" s="37"/>
      <c r="C120" s="37" t="s">
        <v>88</v>
      </c>
      <c r="D120" s="37" t="s">
        <v>42</v>
      </c>
      <c r="E120" s="37">
        <v>91.034999999999997</v>
      </c>
      <c r="F120" s="38">
        <f>0.041*0.023*1*2</f>
        <v>1.8860000000000001E-3</v>
      </c>
      <c r="G120" s="232">
        <f t="shared" si="6"/>
        <v>0.17169201000000001</v>
      </c>
      <c r="H120" s="233" t="s">
        <v>334</v>
      </c>
    </row>
    <row r="121" spans="1:8" s="216" customFormat="1" ht="16.5">
      <c r="A121" s="231"/>
      <c r="B121" s="37"/>
      <c r="C121" s="37" t="s">
        <v>88</v>
      </c>
      <c r="D121" s="37" t="s">
        <v>42</v>
      </c>
      <c r="E121" s="37">
        <v>91.034999999999997</v>
      </c>
      <c r="F121" s="38">
        <f>0.025*0.015*1*2</f>
        <v>7.5000000000000002E-4</v>
      </c>
      <c r="G121" s="232">
        <f t="shared" ref="G121:G151" si="8">E121*F121</f>
        <v>6.8276249999999997E-2</v>
      </c>
      <c r="H121" s="233" t="s">
        <v>335</v>
      </c>
    </row>
    <row r="122" spans="1:8" s="216" customFormat="1" ht="33">
      <c r="A122" s="231"/>
      <c r="B122" s="37"/>
      <c r="C122" s="37" t="s">
        <v>47</v>
      </c>
      <c r="D122" s="37" t="s">
        <v>42</v>
      </c>
      <c r="E122" s="37">
        <v>30</v>
      </c>
      <c r="F122" s="38">
        <f>0.232*1*2+0.095*0.245*1*2+0.048*0.036*1*2+0.041*0.023*1*2+0.025*0.015*1*2</f>
        <v>0.51664200000000016</v>
      </c>
      <c r="G122" s="232">
        <f t="shared" si="8"/>
        <v>15.499260000000005</v>
      </c>
      <c r="H122" s="233" t="s">
        <v>336</v>
      </c>
    </row>
    <row r="123" spans="1:8" s="216" customFormat="1" ht="16.5">
      <c r="A123" s="231"/>
      <c r="B123" s="240" t="s">
        <v>337</v>
      </c>
      <c r="C123" s="37" t="s">
        <v>88</v>
      </c>
      <c r="D123" s="37" t="s">
        <v>42</v>
      </c>
      <c r="E123" s="37">
        <v>91.034999999999997</v>
      </c>
      <c r="F123" s="38">
        <f>0.014*(0.049+0.059)*4</f>
        <v>6.0480000000000004E-3</v>
      </c>
      <c r="G123" s="232">
        <f t="shared" si="8"/>
        <v>0.55057968000000002</v>
      </c>
      <c r="H123" s="233" t="s">
        <v>338</v>
      </c>
    </row>
    <row r="124" spans="1:8" s="216" customFormat="1" ht="16.5">
      <c r="A124" s="231"/>
      <c r="B124" s="240"/>
      <c r="C124" s="37" t="s">
        <v>47</v>
      </c>
      <c r="D124" s="37" t="s">
        <v>42</v>
      </c>
      <c r="E124" s="37">
        <v>30</v>
      </c>
      <c r="F124" s="38">
        <f>0.014*(0.049+0.059)*4*2</f>
        <v>1.2096000000000001E-2</v>
      </c>
      <c r="G124" s="232">
        <f t="shared" si="8"/>
        <v>0.36288000000000004</v>
      </c>
      <c r="H124" s="233" t="s">
        <v>339</v>
      </c>
    </row>
    <row r="125" spans="1:8" s="216" customFormat="1" ht="16.5">
      <c r="A125" s="231"/>
      <c r="B125" s="240" t="s">
        <v>340</v>
      </c>
      <c r="C125" s="251" t="s">
        <v>141</v>
      </c>
      <c r="D125" s="37" t="s">
        <v>42</v>
      </c>
      <c r="E125" s="37">
        <v>25.515000000000001</v>
      </c>
      <c r="F125" s="38">
        <f>1.73*0.365</f>
        <v>0.63144999999999996</v>
      </c>
      <c r="G125" s="232">
        <f t="shared" si="8"/>
        <v>16.111446749999999</v>
      </c>
      <c r="H125" s="233" t="s">
        <v>341</v>
      </c>
    </row>
    <row r="126" spans="1:8" s="216" customFormat="1" ht="16.5">
      <c r="A126" s="231"/>
      <c r="B126" s="240"/>
      <c r="C126" s="255" t="s">
        <v>142</v>
      </c>
      <c r="D126" s="37" t="s">
        <v>51</v>
      </c>
      <c r="E126" s="37">
        <v>1.6</v>
      </c>
      <c r="F126" s="38">
        <f>1.73+0.365+0.365+1.73</f>
        <v>4.1899999999999995</v>
      </c>
      <c r="G126" s="232">
        <f t="shared" si="8"/>
        <v>6.7039999999999997</v>
      </c>
      <c r="H126" s="233" t="s">
        <v>342</v>
      </c>
    </row>
    <row r="127" spans="1:8" s="216" customFormat="1" ht="16.5">
      <c r="A127" s="231"/>
      <c r="B127" s="240" t="s">
        <v>260</v>
      </c>
      <c r="C127" s="244" t="s">
        <v>112</v>
      </c>
      <c r="D127" s="37" t="s">
        <v>42</v>
      </c>
      <c r="E127" s="37">
        <v>230</v>
      </c>
      <c r="F127" s="245">
        <f>(0.044+0.016+0.044)*1.895</f>
        <v>0.19708000000000001</v>
      </c>
      <c r="G127" s="232">
        <f t="shared" si="8"/>
        <v>45.328400000000002</v>
      </c>
      <c r="H127" s="246" t="s">
        <v>343</v>
      </c>
    </row>
    <row r="128" spans="1:8" s="216" customFormat="1" ht="16.5">
      <c r="A128" s="231"/>
      <c r="B128" s="240"/>
      <c r="C128" s="23" t="s">
        <v>113</v>
      </c>
      <c r="D128" s="37" t="s">
        <v>101</v>
      </c>
      <c r="E128" s="247">
        <v>26.59</v>
      </c>
      <c r="F128" s="245">
        <f>0.038*1.895*1.2*10</f>
        <v>0.86412</v>
      </c>
      <c r="G128" s="232">
        <f t="shared" si="8"/>
        <v>22.976950800000001</v>
      </c>
      <c r="H128" s="246" t="s">
        <v>344</v>
      </c>
    </row>
    <row r="129" spans="1:8" s="216" customFormat="1" ht="16.5">
      <c r="A129" s="231"/>
      <c r="B129" s="240"/>
      <c r="C129" s="248" t="s">
        <v>114</v>
      </c>
      <c r="D129" s="37" t="s">
        <v>42</v>
      </c>
      <c r="E129" s="37">
        <v>80</v>
      </c>
      <c r="F129" s="245">
        <f>0.01*1.895*2</f>
        <v>3.7900000000000003E-2</v>
      </c>
      <c r="G129" s="232">
        <f t="shared" si="8"/>
        <v>3.032</v>
      </c>
      <c r="H129" s="246" t="s">
        <v>345</v>
      </c>
    </row>
    <row r="130" spans="1:8" s="216" customFormat="1" ht="16.5">
      <c r="A130" s="231"/>
      <c r="B130" s="240" t="s">
        <v>135</v>
      </c>
      <c r="C130" s="37" t="s">
        <v>136</v>
      </c>
      <c r="D130" s="37" t="s">
        <v>42</v>
      </c>
      <c r="E130" s="249">
        <v>47.685000000000002</v>
      </c>
      <c r="F130" s="38">
        <f>(0.05+0.05+0.01+0.01)*2*3</f>
        <v>0.72</v>
      </c>
      <c r="G130" s="232">
        <f t="shared" si="8"/>
        <v>34.333199999999998</v>
      </c>
      <c r="H130" s="233" t="s">
        <v>346</v>
      </c>
    </row>
    <row r="131" spans="1:8" s="216" customFormat="1" ht="16.5">
      <c r="A131" s="231"/>
      <c r="B131" s="240"/>
      <c r="C131" s="37" t="s">
        <v>47</v>
      </c>
      <c r="D131" s="37" t="s">
        <v>42</v>
      </c>
      <c r="E131" s="37">
        <v>30</v>
      </c>
      <c r="F131" s="38">
        <f>(0.05+0.05+0.01+0.01)*2*3</f>
        <v>0.72</v>
      </c>
      <c r="G131" s="232">
        <f t="shared" si="8"/>
        <v>21.599999999999998</v>
      </c>
      <c r="H131" s="233" t="s">
        <v>346</v>
      </c>
    </row>
    <row r="132" spans="1:8" s="216" customFormat="1" ht="16.5">
      <c r="A132" s="231"/>
      <c r="B132" s="37" t="s">
        <v>137</v>
      </c>
      <c r="C132" s="46" t="s">
        <v>138</v>
      </c>
      <c r="D132" s="46" t="s">
        <v>139</v>
      </c>
      <c r="E132" s="247">
        <v>1.55</v>
      </c>
      <c r="F132" s="245">
        <v>15</v>
      </c>
      <c r="G132" s="28">
        <f t="shared" si="8"/>
        <v>23.25</v>
      </c>
      <c r="H132" s="246" t="s">
        <v>127</v>
      </c>
    </row>
    <row r="133" spans="1:8" s="216" customFormat="1" ht="16.5">
      <c r="A133" s="231"/>
      <c r="B133" s="240"/>
      <c r="C133" s="37" t="s">
        <v>88</v>
      </c>
      <c r="D133" s="37" t="s">
        <v>42</v>
      </c>
      <c r="E133" s="37">
        <v>91.034999999999997</v>
      </c>
      <c r="F133" s="38">
        <f>0.07*(0.03+0.056+0.045)*3*5</f>
        <v>0.13755000000000001</v>
      </c>
      <c r="G133" s="232">
        <f t="shared" si="8"/>
        <v>12.52186425</v>
      </c>
      <c r="H133" s="233" t="s">
        <v>140</v>
      </c>
    </row>
    <row r="134" spans="1:8" s="216" customFormat="1" ht="16.5">
      <c r="A134" s="231"/>
      <c r="B134" s="240"/>
      <c r="C134" s="37" t="s">
        <v>47</v>
      </c>
      <c r="D134" s="37" t="s">
        <v>42</v>
      </c>
      <c r="E134" s="37">
        <v>30</v>
      </c>
      <c r="F134" s="38">
        <f>0.07*(0.03+0.056+0.045)*3*5</f>
        <v>0.13755000000000001</v>
      </c>
      <c r="G134" s="232">
        <f t="shared" si="8"/>
        <v>4.1265000000000001</v>
      </c>
      <c r="H134" s="233" t="s">
        <v>140</v>
      </c>
    </row>
    <row r="135" spans="1:8" s="216" customFormat="1" ht="16.5">
      <c r="A135" s="231"/>
      <c r="B135" s="37" t="s">
        <v>347</v>
      </c>
      <c r="C135" s="37" t="s">
        <v>88</v>
      </c>
      <c r="D135" s="37" t="s">
        <v>42</v>
      </c>
      <c r="E135" s="37">
        <v>91.034999999999997</v>
      </c>
      <c r="F135" s="38">
        <f>(0.049+0.039)*0.01*5*2</f>
        <v>8.7999999999999988E-3</v>
      </c>
      <c r="G135" s="232">
        <f t="shared" si="8"/>
        <v>0.80110799999999982</v>
      </c>
      <c r="H135" s="233" t="s">
        <v>348</v>
      </c>
    </row>
    <row r="136" spans="1:8" s="216" customFormat="1" ht="16.5">
      <c r="A136" s="231"/>
      <c r="B136" s="240"/>
      <c r="C136" s="37" t="s">
        <v>47</v>
      </c>
      <c r="D136" s="37" t="s">
        <v>42</v>
      </c>
      <c r="E136" s="37">
        <v>30</v>
      </c>
      <c r="F136" s="38">
        <f>(0.049+0.039)*0.01*5</f>
        <v>4.3999999999999994E-3</v>
      </c>
      <c r="G136" s="232">
        <f t="shared" si="8"/>
        <v>0.13199999999999998</v>
      </c>
      <c r="H136" s="233" t="s">
        <v>349</v>
      </c>
    </row>
    <row r="137" spans="1:8" s="216" customFormat="1" ht="16.5">
      <c r="A137" s="231"/>
      <c r="B137" s="240" t="s">
        <v>350</v>
      </c>
      <c r="C137" s="251" t="s">
        <v>141</v>
      </c>
      <c r="D137" s="37" t="s">
        <v>42</v>
      </c>
      <c r="E137" s="249">
        <v>25.515000000000001</v>
      </c>
      <c r="F137" s="38">
        <f>0.365*1.73+0.365*0.1*1.73</f>
        <v>0.69459499999999996</v>
      </c>
      <c r="G137" s="232">
        <f t="shared" si="8"/>
        <v>17.722591425000001</v>
      </c>
      <c r="H137" s="312" t="s">
        <v>351</v>
      </c>
    </row>
    <row r="138" spans="1:8" s="216" customFormat="1" ht="16.5">
      <c r="A138" s="231"/>
      <c r="B138" s="240"/>
      <c r="C138" s="251" t="s">
        <v>141</v>
      </c>
      <c r="D138" s="37" t="s">
        <v>42</v>
      </c>
      <c r="E138" s="249">
        <v>25.515000000000001</v>
      </c>
      <c r="F138" s="38">
        <f>0.07*1.73</f>
        <v>0.12110000000000001</v>
      </c>
      <c r="G138" s="232">
        <f t="shared" si="8"/>
        <v>3.0898665000000003</v>
      </c>
      <c r="H138" s="233" t="s">
        <v>352</v>
      </c>
    </row>
    <row r="139" spans="1:8" s="216" customFormat="1" ht="16.5">
      <c r="A139" s="231"/>
      <c r="B139" s="240"/>
      <c r="C139" s="37" t="s">
        <v>146</v>
      </c>
      <c r="D139" s="37" t="s">
        <v>42</v>
      </c>
      <c r="E139" s="249">
        <v>57.6</v>
      </c>
      <c r="F139" s="38">
        <f>0.07*1.73</f>
        <v>0.12110000000000001</v>
      </c>
      <c r="G139" s="232">
        <f t="shared" si="8"/>
        <v>6.9753600000000011</v>
      </c>
      <c r="H139" s="233" t="s">
        <v>352</v>
      </c>
    </row>
    <row r="140" spans="1:8" s="216" customFormat="1" ht="16.5">
      <c r="A140" s="231"/>
      <c r="B140" s="240"/>
      <c r="C140" s="255" t="s">
        <v>142</v>
      </c>
      <c r="D140" s="37" t="s">
        <v>51</v>
      </c>
      <c r="E140" s="256">
        <v>1.6</v>
      </c>
      <c r="F140" s="38">
        <f>1.73+1.73+0.365+0.365</f>
        <v>4.1900000000000004</v>
      </c>
      <c r="G140" s="232">
        <f t="shared" si="8"/>
        <v>6.7040000000000006</v>
      </c>
      <c r="H140" s="233" t="s">
        <v>353</v>
      </c>
    </row>
    <row r="141" spans="1:8" s="216" customFormat="1" ht="16.5">
      <c r="A141" s="231"/>
      <c r="B141" s="240" t="s">
        <v>354</v>
      </c>
      <c r="C141" s="251" t="s">
        <v>141</v>
      </c>
      <c r="D141" s="37" t="s">
        <v>42</v>
      </c>
      <c r="E141" s="249">
        <v>25.515000000000001</v>
      </c>
      <c r="F141" s="38">
        <f>0.365*2.4+0.365*0.1*2.4</f>
        <v>0.96360000000000001</v>
      </c>
      <c r="G141" s="232">
        <f t="shared" si="8"/>
        <v>24.586254</v>
      </c>
      <c r="H141" s="312" t="s">
        <v>355</v>
      </c>
    </row>
    <row r="142" spans="1:8" s="216" customFormat="1" ht="16.5">
      <c r="A142" s="231"/>
      <c r="B142" s="240"/>
      <c r="C142" s="251" t="s">
        <v>141</v>
      </c>
      <c r="D142" s="37" t="s">
        <v>42</v>
      </c>
      <c r="E142" s="249">
        <v>25.515000000000001</v>
      </c>
      <c r="F142" s="38">
        <f t="shared" ref="F142" si="9">0.07*2.4</f>
        <v>0.16800000000000001</v>
      </c>
      <c r="G142" s="232">
        <f t="shared" si="8"/>
        <v>4.2865200000000003</v>
      </c>
      <c r="H142" s="233" t="s">
        <v>356</v>
      </c>
    </row>
    <row r="143" spans="1:8" s="216" customFormat="1" ht="16.5">
      <c r="A143" s="231"/>
      <c r="B143" s="240"/>
      <c r="C143" s="37" t="s">
        <v>146</v>
      </c>
      <c r="D143" s="37" t="s">
        <v>42</v>
      </c>
      <c r="E143" s="249">
        <v>57.6</v>
      </c>
      <c r="F143" s="38">
        <f>0.07*2.4</f>
        <v>0.16800000000000001</v>
      </c>
      <c r="G143" s="232">
        <f t="shared" si="8"/>
        <v>9.6768000000000001</v>
      </c>
      <c r="H143" s="233" t="s">
        <v>356</v>
      </c>
    </row>
    <row r="144" spans="1:8" s="216" customFormat="1" ht="16.5">
      <c r="A144" s="231"/>
      <c r="B144" s="240"/>
      <c r="C144" s="255" t="s">
        <v>142</v>
      </c>
      <c r="D144" s="37" t="s">
        <v>51</v>
      </c>
      <c r="E144" s="256">
        <v>1.6</v>
      </c>
      <c r="F144" s="38">
        <f>2.4+0.365+0.356+2.4</f>
        <v>5.520999999999999</v>
      </c>
      <c r="G144" s="232">
        <f t="shared" si="8"/>
        <v>8.8335999999999988</v>
      </c>
      <c r="H144" s="233" t="s">
        <v>357</v>
      </c>
    </row>
    <row r="145" spans="1:8" s="216" customFormat="1" ht="16.5">
      <c r="A145" s="231"/>
      <c r="B145" s="240" t="s">
        <v>358</v>
      </c>
      <c r="C145" s="251" t="s">
        <v>141</v>
      </c>
      <c r="D145" s="37" t="s">
        <v>42</v>
      </c>
      <c r="E145" s="249">
        <v>25.515000000000001</v>
      </c>
      <c r="F145" s="38">
        <f>0.365*2.4+0.365*0.1*2.4</f>
        <v>0.96360000000000001</v>
      </c>
      <c r="G145" s="232">
        <f t="shared" si="8"/>
        <v>24.586254</v>
      </c>
      <c r="H145" s="312" t="s">
        <v>355</v>
      </c>
    </row>
    <row r="146" spans="1:8" s="216" customFormat="1" ht="16.5">
      <c r="A146" s="231"/>
      <c r="B146" s="240"/>
      <c r="C146" s="251" t="s">
        <v>141</v>
      </c>
      <c r="D146" s="37" t="s">
        <v>42</v>
      </c>
      <c r="E146" s="249">
        <v>25.515000000000001</v>
      </c>
      <c r="F146" s="38">
        <f>0.07*2.4</f>
        <v>0.16800000000000001</v>
      </c>
      <c r="G146" s="232">
        <f t="shared" si="8"/>
        <v>4.2865200000000003</v>
      </c>
      <c r="H146" s="233" t="s">
        <v>356</v>
      </c>
    </row>
    <row r="147" spans="1:8" s="216" customFormat="1" ht="16.5">
      <c r="A147" s="231"/>
      <c r="B147" s="240"/>
      <c r="C147" s="37" t="s">
        <v>146</v>
      </c>
      <c r="D147" s="37" t="s">
        <v>42</v>
      </c>
      <c r="E147" s="249">
        <v>57.6</v>
      </c>
      <c r="F147" s="38">
        <f>0.07*2.4</f>
        <v>0.16800000000000001</v>
      </c>
      <c r="G147" s="232">
        <f t="shared" si="8"/>
        <v>9.6768000000000001</v>
      </c>
      <c r="H147" s="233" t="s">
        <v>356</v>
      </c>
    </row>
    <row r="148" spans="1:8" s="216" customFormat="1" ht="16.5">
      <c r="A148" s="231"/>
      <c r="B148" s="240"/>
      <c r="C148" s="255" t="s">
        <v>142</v>
      </c>
      <c r="D148" s="37" t="s">
        <v>51</v>
      </c>
      <c r="E148" s="256">
        <v>1.6</v>
      </c>
      <c r="F148" s="38">
        <f>2.4+0.365+0.356+2.4</f>
        <v>5.520999999999999</v>
      </c>
      <c r="G148" s="232">
        <f t="shared" si="8"/>
        <v>8.8335999999999988</v>
      </c>
      <c r="H148" s="233" t="s">
        <v>357</v>
      </c>
    </row>
    <row r="149" spans="1:8" s="216" customFormat="1" ht="16.5">
      <c r="A149" s="231"/>
      <c r="B149" s="240" t="s">
        <v>359</v>
      </c>
      <c r="C149" s="251" t="s">
        <v>141</v>
      </c>
      <c r="D149" s="37" t="s">
        <v>42</v>
      </c>
      <c r="E149" s="249">
        <v>25.515000000000001</v>
      </c>
      <c r="F149" s="38">
        <f>0.365*0.585+0.365*0.1*0.585</f>
        <v>0.23487749999999999</v>
      </c>
      <c r="G149" s="232">
        <f t="shared" si="8"/>
        <v>5.9928994124999999</v>
      </c>
      <c r="H149" s="312" t="s">
        <v>360</v>
      </c>
    </row>
    <row r="150" spans="1:8" s="216" customFormat="1" ht="16.5">
      <c r="A150" s="231"/>
      <c r="B150" s="240"/>
      <c r="C150" s="251" t="s">
        <v>141</v>
      </c>
      <c r="D150" s="37" t="s">
        <v>42</v>
      </c>
      <c r="E150" s="249">
        <v>25.515000000000001</v>
      </c>
      <c r="F150" s="38">
        <f>0.07*0.585</f>
        <v>4.095E-2</v>
      </c>
      <c r="G150" s="232">
        <f t="shared" si="8"/>
        <v>1.0448392500000001</v>
      </c>
      <c r="H150" s="233" t="s">
        <v>361</v>
      </c>
    </row>
    <row r="151" spans="1:8" s="216" customFormat="1" ht="16.5">
      <c r="A151" s="231"/>
      <c r="B151" s="240"/>
      <c r="C151" s="37" t="s">
        <v>146</v>
      </c>
      <c r="D151" s="37" t="s">
        <v>42</v>
      </c>
      <c r="E151" s="249">
        <v>57.6</v>
      </c>
      <c r="F151" s="38">
        <f>0.07*0.585</f>
        <v>4.095E-2</v>
      </c>
      <c r="G151" s="232">
        <f t="shared" si="8"/>
        <v>2.3587199999999999</v>
      </c>
      <c r="H151" s="233" t="s">
        <v>361</v>
      </c>
    </row>
    <row r="152" spans="1:8" s="216" customFormat="1" ht="16.5">
      <c r="A152" s="231"/>
      <c r="B152" s="240"/>
      <c r="C152" s="255" t="s">
        <v>142</v>
      </c>
      <c r="D152" s="37" t="s">
        <v>51</v>
      </c>
      <c r="E152" s="256">
        <v>1.6</v>
      </c>
      <c r="F152" s="38">
        <f>0.565+0.365+0.356+0.585</f>
        <v>1.871</v>
      </c>
      <c r="G152" s="232">
        <f t="shared" ref="G152" si="10">E152*F152</f>
        <v>2.9936000000000003</v>
      </c>
      <c r="H152" s="233" t="s">
        <v>362</v>
      </c>
    </row>
    <row r="153" spans="1:8" s="216" customFormat="1" ht="16.5">
      <c r="A153" s="231"/>
      <c r="B153" s="240" t="s">
        <v>143</v>
      </c>
      <c r="C153" s="23" t="s">
        <v>363</v>
      </c>
      <c r="D153" s="37" t="s">
        <v>42</v>
      </c>
      <c r="E153" s="37">
        <v>31.5</v>
      </c>
      <c r="F153" s="38">
        <f>0.45*2.4*2</f>
        <v>2.16</v>
      </c>
      <c r="G153" s="232">
        <f t="shared" ref="G153:G189" si="11">E153*F153</f>
        <v>68.040000000000006</v>
      </c>
      <c r="H153" s="233" t="s">
        <v>364</v>
      </c>
    </row>
    <row r="154" spans="1:8" s="216" customFormat="1" ht="16.5">
      <c r="A154" s="231"/>
      <c r="B154" s="240"/>
      <c r="C154" s="23" t="s">
        <v>144</v>
      </c>
      <c r="D154" s="37" t="s">
        <v>42</v>
      </c>
      <c r="E154" s="37">
        <v>42</v>
      </c>
      <c r="F154" s="38">
        <f t="shared" ref="F154" si="12">0.45*2.4</f>
        <v>1.08</v>
      </c>
      <c r="G154" s="232">
        <f t="shared" si="11"/>
        <v>45.36</v>
      </c>
      <c r="H154" s="233" t="s">
        <v>365</v>
      </c>
    </row>
    <row r="155" spans="1:8" s="216" customFormat="1" ht="16.5">
      <c r="A155" s="231"/>
      <c r="B155" s="240"/>
      <c r="C155" s="23" t="s">
        <v>145</v>
      </c>
      <c r="D155" s="37" t="s">
        <v>42</v>
      </c>
      <c r="E155" s="37">
        <v>68.25</v>
      </c>
      <c r="F155" s="38">
        <f>0.45*2.4</f>
        <v>1.08</v>
      </c>
      <c r="G155" s="232">
        <f t="shared" si="11"/>
        <v>73.710000000000008</v>
      </c>
      <c r="H155" s="233" t="s">
        <v>365</v>
      </c>
    </row>
    <row r="156" spans="1:8" s="216" customFormat="1" ht="16.5">
      <c r="A156" s="231"/>
      <c r="B156" s="240"/>
      <c r="C156" s="37" t="s">
        <v>146</v>
      </c>
      <c r="D156" s="37" t="s">
        <v>42</v>
      </c>
      <c r="E156" s="249">
        <v>57.6</v>
      </c>
      <c r="F156" s="38">
        <f>0.45*2.4</f>
        <v>1.08</v>
      </c>
      <c r="G156" s="232">
        <f t="shared" si="11"/>
        <v>62.208000000000006</v>
      </c>
      <c r="H156" s="233" t="s">
        <v>365</v>
      </c>
    </row>
    <row r="157" spans="1:8" s="216" customFormat="1" ht="16.5">
      <c r="A157" s="231"/>
      <c r="B157" s="240"/>
      <c r="C157" s="23" t="s">
        <v>113</v>
      </c>
      <c r="D157" s="37" t="s">
        <v>101</v>
      </c>
      <c r="E157" s="37">
        <v>26.59</v>
      </c>
      <c r="F157" s="38">
        <f>1.9*0.145*12*1.2</f>
        <v>3.9671999999999992</v>
      </c>
      <c r="G157" s="232">
        <f t="shared" si="11"/>
        <v>105.48784799999997</v>
      </c>
      <c r="H157" s="233" t="s">
        <v>366</v>
      </c>
    </row>
    <row r="158" spans="1:8" s="216" customFormat="1" ht="16.5">
      <c r="A158" s="231"/>
      <c r="B158" s="240"/>
      <c r="C158" s="248" t="s">
        <v>114</v>
      </c>
      <c r="D158" s="37" t="s">
        <v>42</v>
      </c>
      <c r="E158" s="37">
        <v>80</v>
      </c>
      <c r="F158" s="38">
        <f>1.9*0.145*2*2</f>
        <v>1.1019999999999999</v>
      </c>
      <c r="G158" s="232">
        <f t="shared" si="11"/>
        <v>88.16</v>
      </c>
      <c r="H158" s="233" t="s">
        <v>367</v>
      </c>
    </row>
    <row r="159" spans="1:8" s="216" customFormat="1" ht="16.5">
      <c r="A159" s="231"/>
      <c r="B159" s="240" t="s">
        <v>147</v>
      </c>
      <c r="C159" s="23" t="s">
        <v>148</v>
      </c>
      <c r="D159" s="37" t="s">
        <v>42</v>
      </c>
      <c r="E159" s="249">
        <v>52.5</v>
      </c>
      <c r="F159" s="245">
        <f>0.45*2.4</f>
        <v>1.08</v>
      </c>
      <c r="G159" s="28">
        <f t="shared" si="11"/>
        <v>56.7</v>
      </c>
      <c r="H159" s="246" t="s">
        <v>365</v>
      </c>
    </row>
    <row r="160" spans="1:8" s="216" customFormat="1" ht="16.5">
      <c r="A160" s="231"/>
      <c r="B160" s="240"/>
      <c r="C160" s="23" t="s">
        <v>368</v>
      </c>
      <c r="D160" s="37" t="s">
        <v>42</v>
      </c>
      <c r="E160" s="37">
        <v>43</v>
      </c>
      <c r="F160" s="38">
        <f>0.45*2.4+0.03*2.4</f>
        <v>1.1520000000000001</v>
      </c>
      <c r="G160" s="232">
        <f t="shared" si="11"/>
        <v>49.536000000000008</v>
      </c>
      <c r="H160" s="233" t="s">
        <v>369</v>
      </c>
    </row>
    <row r="161" spans="1:8" s="216" customFormat="1" ht="16.5">
      <c r="A161" s="231"/>
      <c r="B161" s="240"/>
      <c r="C161" s="23" t="s">
        <v>145</v>
      </c>
      <c r="D161" s="37" t="s">
        <v>42</v>
      </c>
      <c r="E161" s="37">
        <v>68.25</v>
      </c>
      <c r="F161" s="38">
        <f>0.45*2.4</f>
        <v>1.08</v>
      </c>
      <c r="G161" s="232">
        <f t="shared" si="11"/>
        <v>73.710000000000008</v>
      </c>
      <c r="H161" s="233" t="s">
        <v>365</v>
      </c>
    </row>
    <row r="162" spans="1:8" s="216" customFormat="1" ht="16.5">
      <c r="A162" s="231"/>
      <c r="B162" s="240" t="s">
        <v>370</v>
      </c>
      <c r="C162" s="23" t="s">
        <v>363</v>
      </c>
      <c r="D162" s="37" t="s">
        <v>42</v>
      </c>
      <c r="E162" s="37">
        <v>31.5</v>
      </c>
      <c r="F162" s="38">
        <f>0.45*2.1*2</f>
        <v>1.8900000000000001</v>
      </c>
      <c r="G162" s="232">
        <f t="shared" si="11"/>
        <v>59.535000000000004</v>
      </c>
      <c r="H162" s="233" t="s">
        <v>371</v>
      </c>
    </row>
    <row r="163" spans="1:8" s="216" customFormat="1" ht="16.5">
      <c r="A163" s="231"/>
      <c r="B163" s="240"/>
      <c r="C163" s="23" t="s">
        <v>144</v>
      </c>
      <c r="D163" s="37" t="s">
        <v>42</v>
      </c>
      <c r="E163" s="37">
        <v>42</v>
      </c>
      <c r="F163" s="38">
        <f>0.45*2.1</f>
        <v>0.94500000000000006</v>
      </c>
      <c r="G163" s="232">
        <f t="shared" si="11"/>
        <v>39.690000000000005</v>
      </c>
      <c r="H163" s="233" t="s">
        <v>372</v>
      </c>
    </row>
    <row r="164" spans="1:8" s="216" customFormat="1" ht="16.5">
      <c r="A164" s="231"/>
      <c r="B164" s="240"/>
      <c r="C164" s="23" t="s">
        <v>145</v>
      </c>
      <c r="D164" s="37" t="s">
        <v>42</v>
      </c>
      <c r="E164" s="37">
        <v>68.25</v>
      </c>
      <c r="F164" s="38">
        <f>0.45*2.1*2</f>
        <v>1.8900000000000001</v>
      </c>
      <c r="G164" s="232">
        <f t="shared" si="11"/>
        <v>128.99250000000001</v>
      </c>
      <c r="H164" s="233" t="s">
        <v>371</v>
      </c>
    </row>
    <row r="165" spans="1:8" s="216" customFormat="1" ht="16.5">
      <c r="A165" s="231"/>
      <c r="B165" s="240"/>
      <c r="C165" s="37" t="s">
        <v>146</v>
      </c>
      <c r="D165" s="37" t="s">
        <v>42</v>
      </c>
      <c r="E165" s="249">
        <v>57.6</v>
      </c>
      <c r="F165" s="38">
        <f>0.035*1.9</f>
        <v>6.6500000000000004E-2</v>
      </c>
      <c r="G165" s="232">
        <f t="shared" si="11"/>
        <v>3.8304000000000005</v>
      </c>
      <c r="H165" s="233" t="s">
        <v>373</v>
      </c>
    </row>
    <row r="166" spans="1:8" s="216" customFormat="1" ht="16.5">
      <c r="A166" s="231"/>
      <c r="B166" s="240"/>
      <c r="C166" s="23" t="s">
        <v>113</v>
      </c>
      <c r="D166" s="37" t="s">
        <v>101</v>
      </c>
      <c r="E166" s="37">
        <v>26.59</v>
      </c>
      <c r="F166" s="38">
        <f>1.9*0.145*12*1.2</f>
        <v>3.9671999999999992</v>
      </c>
      <c r="G166" s="232">
        <f t="shared" si="11"/>
        <v>105.48784799999997</v>
      </c>
      <c r="H166" s="233" t="s">
        <v>366</v>
      </c>
    </row>
    <row r="167" spans="1:8" s="216" customFormat="1" ht="16.5">
      <c r="A167" s="231"/>
      <c r="B167" s="240"/>
      <c r="C167" s="248" t="s">
        <v>114</v>
      </c>
      <c r="D167" s="37" t="s">
        <v>42</v>
      </c>
      <c r="E167" s="37">
        <v>80</v>
      </c>
      <c r="F167" s="38">
        <f>1.9*0.145*2*2</f>
        <v>1.1019999999999999</v>
      </c>
      <c r="G167" s="232">
        <f t="shared" si="11"/>
        <v>88.16</v>
      </c>
      <c r="H167" s="233" t="s">
        <v>367</v>
      </c>
    </row>
    <row r="168" spans="1:8" s="216" customFormat="1" ht="16.5">
      <c r="A168" s="231"/>
      <c r="B168" s="240" t="s">
        <v>374</v>
      </c>
      <c r="C168" s="257" t="s">
        <v>255</v>
      </c>
      <c r="D168" s="37" t="s">
        <v>42</v>
      </c>
      <c r="E168" s="37">
        <v>350</v>
      </c>
      <c r="F168" s="38">
        <f>(0.4+0.1+0.1+0.054+0.054)*2.4</f>
        <v>1.6992</v>
      </c>
      <c r="G168" s="232">
        <f t="shared" si="11"/>
        <v>594.72</v>
      </c>
      <c r="H168" s="233" t="s">
        <v>375</v>
      </c>
    </row>
    <row r="169" spans="1:8" s="216" customFormat="1" ht="16.5">
      <c r="A169" s="231"/>
      <c r="B169" s="240"/>
      <c r="C169" s="37" t="s">
        <v>47</v>
      </c>
      <c r="D169" s="37" t="s">
        <v>42</v>
      </c>
      <c r="E169" s="37">
        <v>30</v>
      </c>
      <c r="F169" s="38">
        <f>(0.4+0.1+0.1+0.054+0.054)*2.4</f>
        <v>1.6992</v>
      </c>
      <c r="G169" s="232">
        <f t="shared" si="11"/>
        <v>50.975999999999999</v>
      </c>
      <c r="H169" s="233" t="s">
        <v>375</v>
      </c>
    </row>
    <row r="170" spans="1:8" s="216" customFormat="1" ht="16.5">
      <c r="A170" s="231"/>
      <c r="B170" s="240"/>
      <c r="C170" s="23" t="s">
        <v>363</v>
      </c>
      <c r="D170" s="37" t="s">
        <v>42</v>
      </c>
      <c r="E170" s="37">
        <v>31.5</v>
      </c>
      <c r="F170" s="38">
        <f>(1.657+0.095+0.4+0.4+1.66)*0.07</f>
        <v>0.29483999999999999</v>
      </c>
      <c r="G170" s="232">
        <f t="shared" si="11"/>
        <v>9.2874599999999994</v>
      </c>
      <c r="H170" s="233" t="s">
        <v>376</v>
      </c>
    </row>
    <row r="171" spans="1:8" s="216" customFormat="1" ht="16.5">
      <c r="A171" s="231"/>
      <c r="B171" s="240"/>
      <c r="C171" s="258" t="s">
        <v>377</v>
      </c>
      <c r="D171" s="73" t="s">
        <v>42</v>
      </c>
      <c r="E171" s="73">
        <v>33</v>
      </c>
      <c r="F171" s="236">
        <f>0.22*1.752</f>
        <v>0.38544</v>
      </c>
      <c r="G171" s="237">
        <f t="shared" si="11"/>
        <v>12.719519999999999</v>
      </c>
      <c r="H171" s="238" t="s">
        <v>378</v>
      </c>
    </row>
    <row r="172" spans="1:8" s="216" customFormat="1" ht="16.5">
      <c r="A172" s="231"/>
      <c r="B172" s="240"/>
      <c r="C172" s="37" t="s">
        <v>104</v>
      </c>
      <c r="D172" s="37" t="s">
        <v>101</v>
      </c>
      <c r="E172" s="37">
        <v>28.14</v>
      </c>
      <c r="F172" s="38">
        <f>0.22*1.657*3*1.2</f>
        <v>1.312344</v>
      </c>
      <c r="G172" s="232">
        <f t="shared" si="11"/>
        <v>36.929360160000002</v>
      </c>
      <c r="H172" s="233" t="s">
        <v>379</v>
      </c>
    </row>
    <row r="173" spans="1:8" s="216" customFormat="1" ht="16.5">
      <c r="A173" s="231"/>
      <c r="B173" s="240"/>
      <c r="C173" s="258" t="s">
        <v>380</v>
      </c>
      <c r="D173" s="73" t="s">
        <v>101</v>
      </c>
      <c r="E173" s="73">
        <v>26.61</v>
      </c>
      <c r="F173" s="236">
        <f>0.22*1.657*15*1.2</f>
        <v>6.5617200000000002</v>
      </c>
      <c r="G173" s="237">
        <f t="shared" si="11"/>
        <v>174.60736919999999</v>
      </c>
      <c r="H173" s="238" t="s">
        <v>381</v>
      </c>
    </row>
    <row r="174" spans="1:8" s="216" customFormat="1" ht="16.5">
      <c r="A174" s="231"/>
      <c r="B174" s="240"/>
      <c r="C174" s="248" t="s">
        <v>134</v>
      </c>
      <c r="D174" s="37" t="s">
        <v>42</v>
      </c>
      <c r="E174" s="37">
        <v>500</v>
      </c>
      <c r="F174" s="38">
        <f>0.22*1.657</f>
        <v>0.36454000000000003</v>
      </c>
      <c r="G174" s="232">
        <f t="shared" si="11"/>
        <v>182.27</v>
      </c>
      <c r="H174" s="233" t="s">
        <v>382</v>
      </c>
    </row>
    <row r="175" spans="1:8" s="216" customFormat="1" ht="16.5">
      <c r="A175" s="231"/>
      <c r="B175" s="240" t="s">
        <v>383</v>
      </c>
      <c r="C175" s="37" t="s">
        <v>104</v>
      </c>
      <c r="D175" s="37" t="s">
        <v>101</v>
      </c>
      <c r="E175" s="37">
        <v>28.14</v>
      </c>
      <c r="F175" s="38">
        <f>0.739*0.4*5*1.2</f>
        <v>1.7736000000000003</v>
      </c>
      <c r="G175" s="232">
        <f t="shared" si="11"/>
        <v>49.909104000000006</v>
      </c>
      <c r="H175" s="233" t="s">
        <v>384</v>
      </c>
    </row>
    <row r="176" spans="1:8" s="216" customFormat="1" ht="16.5">
      <c r="A176" s="231"/>
      <c r="B176" s="240"/>
      <c r="C176" s="37" t="s">
        <v>103</v>
      </c>
      <c r="D176" s="37" t="s">
        <v>101</v>
      </c>
      <c r="E176" s="37">
        <v>28.14</v>
      </c>
      <c r="F176" s="38">
        <f>0.739*0.4*5*1.2+0.1*0.649*3*1.2+0.1*0.739*3*1.2+0.392*0.1*3*1.2*2</f>
        <v>2.55552</v>
      </c>
      <c r="G176" s="232">
        <f t="shared" si="11"/>
        <v>71.912332800000001</v>
      </c>
      <c r="H176" s="233" t="s">
        <v>385</v>
      </c>
    </row>
    <row r="177" spans="1:8" s="216" customFormat="1" ht="16.5">
      <c r="A177" s="231"/>
      <c r="B177" s="240"/>
      <c r="C177" s="248" t="s">
        <v>386</v>
      </c>
      <c r="D177" s="37" t="s">
        <v>42</v>
      </c>
      <c r="E177" s="249">
        <v>86.4</v>
      </c>
      <c r="F177" s="38">
        <f>0.649*0.01*2*1.2+0.739*0.01*2*1.2</f>
        <v>3.3311999999999994E-2</v>
      </c>
      <c r="G177" s="232">
        <f t="shared" si="11"/>
        <v>2.8781567999999997</v>
      </c>
      <c r="H177" s="233" t="s">
        <v>387</v>
      </c>
    </row>
    <row r="178" spans="1:8" s="216" customFormat="1" ht="16.5">
      <c r="A178" s="231"/>
      <c r="B178" s="240"/>
      <c r="C178" s="37" t="s">
        <v>388</v>
      </c>
      <c r="D178" s="37" t="s">
        <v>42</v>
      </c>
      <c r="E178" s="249">
        <v>57.6</v>
      </c>
      <c r="F178" s="38">
        <f>0.649*0.01*2*1.2+0.739*0.01*2*1.2</f>
        <v>3.3311999999999994E-2</v>
      </c>
      <c r="G178" s="232">
        <f t="shared" si="11"/>
        <v>1.9187711999999997</v>
      </c>
      <c r="H178" s="233" t="s">
        <v>387</v>
      </c>
    </row>
    <row r="179" spans="1:8" s="216" customFormat="1" ht="16.5">
      <c r="A179" s="231"/>
      <c r="B179" s="240"/>
      <c r="C179" s="37" t="s">
        <v>108</v>
      </c>
      <c r="D179" s="37" t="s">
        <v>42</v>
      </c>
      <c r="E179" s="37">
        <v>40</v>
      </c>
      <c r="F179" s="38">
        <f>0.739*0.4</f>
        <v>0.29560000000000003</v>
      </c>
      <c r="G179" s="232">
        <f t="shared" si="11"/>
        <v>11.824000000000002</v>
      </c>
      <c r="H179" s="233" t="s">
        <v>389</v>
      </c>
    </row>
    <row r="180" spans="1:8" s="216" customFormat="1" ht="16.5">
      <c r="A180" s="231"/>
      <c r="B180" s="240" t="s">
        <v>390</v>
      </c>
      <c r="C180" s="257" t="s">
        <v>255</v>
      </c>
      <c r="D180" s="37" t="s">
        <v>42</v>
      </c>
      <c r="E180" s="37">
        <v>350</v>
      </c>
      <c r="F180" s="38">
        <f>1.2*(0.4+0.1+0.1+0.054+0.054)*2</f>
        <v>1.6992</v>
      </c>
      <c r="G180" s="232">
        <f t="shared" si="11"/>
        <v>594.72</v>
      </c>
      <c r="H180" s="233" t="s">
        <v>391</v>
      </c>
    </row>
    <row r="181" spans="1:8" s="216" customFormat="1" ht="16.5">
      <c r="A181" s="231"/>
      <c r="B181" s="240"/>
      <c r="C181" s="37" t="s">
        <v>47</v>
      </c>
      <c r="D181" s="37" t="s">
        <v>42</v>
      </c>
      <c r="E181" s="37">
        <v>30</v>
      </c>
      <c r="F181" s="38">
        <f>1.2*(0.4+0.1+0.1+0.054+0.054)*2</f>
        <v>1.6992</v>
      </c>
      <c r="G181" s="232">
        <f t="shared" si="11"/>
        <v>50.975999999999999</v>
      </c>
      <c r="H181" s="233" t="s">
        <v>391</v>
      </c>
    </row>
    <row r="182" spans="1:8" s="216" customFormat="1" ht="16.5">
      <c r="A182" s="231"/>
      <c r="B182" s="240"/>
      <c r="C182" s="23" t="s">
        <v>363</v>
      </c>
      <c r="D182" s="37" t="s">
        <v>42</v>
      </c>
      <c r="E182" s="37">
        <v>31.5</v>
      </c>
      <c r="F182" s="38">
        <f>(0.054*0.092*2+0.392*0.054*2)*3*2</f>
        <v>0.31363200000000002</v>
      </c>
      <c r="G182" s="232">
        <f t="shared" si="11"/>
        <v>9.8794080000000015</v>
      </c>
      <c r="H182" s="233" t="s">
        <v>392</v>
      </c>
    </row>
    <row r="183" spans="1:8" s="216" customFormat="1" ht="16.5">
      <c r="A183" s="231"/>
      <c r="B183" s="240"/>
      <c r="C183" s="73" t="s">
        <v>377</v>
      </c>
      <c r="D183" s="73" t="s">
        <v>42</v>
      </c>
      <c r="E183" s="73">
        <v>33</v>
      </c>
      <c r="F183" s="236">
        <f>0.22*0.7</f>
        <v>0.154</v>
      </c>
      <c r="G183" s="237">
        <f t="shared" si="11"/>
        <v>5.0819999999999999</v>
      </c>
      <c r="H183" s="238" t="s">
        <v>393</v>
      </c>
    </row>
    <row r="184" spans="1:8" s="216" customFormat="1" ht="16.5">
      <c r="A184" s="231"/>
      <c r="B184" s="240"/>
      <c r="C184" s="258" t="s">
        <v>380</v>
      </c>
      <c r="D184" s="73" t="s">
        <v>101</v>
      </c>
      <c r="E184" s="73">
        <v>26.61</v>
      </c>
      <c r="F184" s="236">
        <f>0.1*0.7*15*1.2</f>
        <v>1.2599999999999998</v>
      </c>
      <c r="G184" s="237">
        <f t="shared" si="11"/>
        <v>33.52859999999999</v>
      </c>
      <c r="H184" s="238" t="s">
        <v>394</v>
      </c>
    </row>
    <row r="185" spans="1:8" s="216" customFormat="1" ht="16.5">
      <c r="A185" s="231"/>
      <c r="B185" s="240"/>
      <c r="C185" s="37" t="s">
        <v>104</v>
      </c>
      <c r="D185" s="37" t="s">
        <v>101</v>
      </c>
      <c r="E185" s="37">
        <v>28.14</v>
      </c>
      <c r="F185" s="38">
        <f>0.2*0.7*15*1.2</f>
        <v>2.5199999999999996</v>
      </c>
      <c r="G185" s="232">
        <f t="shared" si="11"/>
        <v>70.91279999999999</v>
      </c>
      <c r="H185" s="233" t="s">
        <v>395</v>
      </c>
    </row>
    <row r="186" spans="1:8" s="216" customFormat="1" ht="16.5">
      <c r="A186" s="231"/>
      <c r="B186" s="240"/>
      <c r="C186" s="248" t="s">
        <v>134</v>
      </c>
      <c r="D186" s="37" t="s">
        <v>42</v>
      </c>
      <c r="E186" s="37">
        <v>500</v>
      </c>
      <c r="F186" s="38">
        <f>0.1*0.7</f>
        <v>6.9999999999999993E-2</v>
      </c>
      <c r="G186" s="232">
        <f t="shared" si="11"/>
        <v>34.999999999999993</v>
      </c>
      <c r="H186" s="233" t="s">
        <v>396</v>
      </c>
    </row>
    <row r="187" spans="1:8" s="216" customFormat="1" ht="16.5">
      <c r="A187" s="231"/>
      <c r="B187" s="240" t="s">
        <v>397</v>
      </c>
      <c r="C187" s="23" t="s">
        <v>363</v>
      </c>
      <c r="D187" s="37" t="s">
        <v>42</v>
      </c>
      <c r="E187" s="37">
        <v>31.5</v>
      </c>
      <c r="F187" s="38">
        <f>(0.05*0.092*2+0.392*0.05*2)*6</f>
        <v>0.29040000000000005</v>
      </c>
      <c r="G187" s="232">
        <f t="shared" si="11"/>
        <v>9.1476000000000006</v>
      </c>
      <c r="H187" s="233" t="s">
        <v>398</v>
      </c>
    </row>
    <row r="188" spans="1:8" s="216" customFormat="1" ht="16.5">
      <c r="A188" s="231"/>
      <c r="B188" s="240"/>
      <c r="C188" s="257" t="s">
        <v>255</v>
      </c>
      <c r="D188" s="37" t="s">
        <v>42</v>
      </c>
      <c r="E188" s="37">
        <v>350</v>
      </c>
      <c r="F188" s="38">
        <f>(0.4+0.1+0.1+0.054+0.054)*2.4</f>
        <v>1.6992</v>
      </c>
      <c r="G188" s="232">
        <f t="shared" si="11"/>
        <v>594.72</v>
      </c>
      <c r="H188" s="233" t="s">
        <v>375</v>
      </c>
    </row>
    <row r="189" spans="1:8" s="216" customFormat="1" ht="16.5">
      <c r="A189" s="231"/>
      <c r="B189" s="240"/>
      <c r="C189" s="37" t="s">
        <v>47</v>
      </c>
      <c r="D189" s="37" t="s">
        <v>42</v>
      </c>
      <c r="E189" s="37">
        <v>30</v>
      </c>
      <c r="F189" s="38">
        <f>(0.4+0.1+0.1+0.054+0.054)*2.4</f>
        <v>1.6992</v>
      </c>
      <c r="G189" s="232">
        <f t="shared" si="11"/>
        <v>50.975999999999999</v>
      </c>
      <c r="H189" s="233" t="s">
        <v>375</v>
      </c>
    </row>
    <row r="190" spans="1:8" s="216" customFormat="1" ht="16.5">
      <c r="A190" s="231"/>
      <c r="B190" s="240"/>
      <c r="C190" s="258" t="s">
        <v>377</v>
      </c>
      <c r="D190" s="73" t="s">
        <v>42</v>
      </c>
      <c r="E190" s="73">
        <v>33</v>
      </c>
      <c r="F190" s="236">
        <f>0.292*1.6</f>
        <v>0.4672</v>
      </c>
      <c r="G190" s="237"/>
      <c r="H190" s="238" t="s">
        <v>399</v>
      </c>
    </row>
    <row r="191" spans="1:8" s="216" customFormat="1" ht="16.5">
      <c r="A191" s="231"/>
      <c r="B191" s="240"/>
      <c r="C191" s="258" t="s">
        <v>380</v>
      </c>
      <c r="D191" s="73" t="s">
        <v>101</v>
      </c>
      <c r="E191" s="73">
        <v>26.61</v>
      </c>
      <c r="F191" s="236">
        <f>0.1*1.6*15*1.2</f>
        <v>2.8800000000000003</v>
      </c>
      <c r="G191" s="237"/>
      <c r="H191" s="238" t="s">
        <v>400</v>
      </c>
    </row>
    <row r="192" spans="1:8" s="216" customFormat="1" ht="16.5">
      <c r="A192" s="231"/>
      <c r="B192" s="240"/>
      <c r="C192" s="37" t="s">
        <v>104</v>
      </c>
      <c r="D192" s="37" t="s">
        <v>101</v>
      </c>
      <c r="E192" s="37">
        <v>28.14</v>
      </c>
      <c r="F192" s="38">
        <f>0.2*1.6*3*1.2</f>
        <v>1.1520000000000001</v>
      </c>
      <c r="G192" s="232"/>
      <c r="H192" s="233" t="s">
        <v>401</v>
      </c>
    </row>
    <row r="193" spans="1:8" s="216" customFormat="1" ht="16.5">
      <c r="A193" s="231"/>
      <c r="B193" s="240"/>
      <c r="C193" s="248" t="s">
        <v>134</v>
      </c>
      <c r="D193" s="37" t="s">
        <v>42</v>
      </c>
      <c r="E193" s="37">
        <v>500</v>
      </c>
      <c r="F193" s="38">
        <f>0.1*1.6</f>
        <v>0.16000000000000003</v>
      </c>
      <c r="G193" s="232"/>
      <c r="H193" s="233" t="s">
        <v>402</v>
      </c>
    </row>
    <row r="194" spans="1:8" s="216" customFormat="1" ht="16.5">
      <c r="A194" s="231"/>
      <c r="B194" s="240" t="s">
        <v>403</v>
      </c>
      <c r="C194" s="37" t="s">
        <v>404</v>
      </c>
      <c r="D194" s="37" t="s">
        <v>51</v>
      </c>
      <c r="E194" s="37">
        <v>3.89</v>
      </c>
      <c r="F194" s="38">
        <f>(0.269+0.32+0.269+0.32)*7</f>
        <v>8.2459999999999987</v>
      </c>
      <c r="G194" s="232">
        <f t="shared" ref="G194" si="13">E194*F194</f>
        <v>32.076939999999993</v>
      </c>
      <c r="H194" s="233" t="s">
        <v>405</v>
      </c>
    </row>
    <row r="195" spans="1:8" s="216" customFormat="1" ht="16.5">
      <c r="A195" s="231"/>
      <c r="B195" s="240"/>
      <c r="C195" s="37" t="s">
        <v>88</v>
      </c>
      <c r="D195" s="37" t="s">
        <v>42</v>
      </c>
      <c r="E195" s="37">
        <v>91.034999999999997</v>
      </c>
      <c r="F195" s="38">
        <f>0.073*0.032*2*7</f>
        <v>3.2703999999999997E-2</v>
      </c>
      <c r="G195" s="232">
        <f t="shared" ref="G195:G206" si="14">E195*F195</f>
        <v>2.9772086399999997</v>
      </c>
      <c r="H195" s="233" t="s">
        <v>406</v>
      </c>
    </row>
    <row r="196" spans="1:8" s="216" customFormat="1" ht="16.5">
      <c r="A196" s="231"/>
      <c r="B196" s="240"/>
      <c r="C196" s="37" t="s">
        <v>88</v>
      </c>
      <c r="D196" s="37" t="s">
        <v>42</v>
      </c>
      <c r="E196" s="37">
        <v>91.034999999999997</v>
      </c>
      <c r="F196" s="38">
        <f>0.056*0.32*7</f>
        <v>0.12544000000000002</v>
      </c>
      <c r="G196" s="232">
        <f t="shared" si="14"/>
        <v>11.419430400000001</v>
      </c>
      <c r="H196" s="233" t="s">
        <v>407</v>
      </c>
    </row>
    <row r="197" spans="1:8" s="216" customFormat="1" ht="16.5">
      <c r="A197" s="231"/>
      <c r="B197" s="240"/>
      <c r="C197" s="37" t="s">
        <v>47</v>
      </c>
      <c r="D197" s="37" t="s">
        <v>42</v>
      </c>
      <c r="E197" s="37">
        <v>30</v>
      </c>
      <c r="F197" s="38">
        <f>(0.073*0.032*2*7+0.056*0.32*7)</f>
        <v>0.15814400000000001</v>
      </c>
      <c r="G197" s="232">
        <f t="shared" si="14"/>
        <v>4.7443200000000001</v>
      </c>
      <c r="H197" s="233" t="s">
        <v>408</v>
      </c>
    </row>
    <row r="198" spans="1:8" s="216" customFormat="1" ht="16.5">
      <c r="A198" s="231"/>
      <c r="B198" s="240" t="s">
        <v>409</v>
      </c>
      <c r="C198" s="37" t="s">
        <v>404</v>
      </c>
      <c r="D198" s="37" t="s">
        <v>51</v>
      </c>
      <c r="E198" s="37">
        <v>3.89</v>
      </c>
      <c r="F198" s="38">
        <f>(0.27+0.32+0.27+0.32)</f>
        <v>1.1800000000000002</v>
      </c>
      <c r="G198" s="232">
        <f t="shared" si="14"/>
        <v>4.5902000000000012</v>
      </c>
      <c r="H198" s="233" t="s">
        <v>410</v>
      </c>
    </row>
    <row r="199" spans="1:8" s="216" customFormat="1" ht="16.5">
      <c r="A199" s="231"/>
      <c r="B199" s="240"/>
      <c r="C199" s="37" t="s">
        <v>88</v>
      </c>
      <c r="D199" s="37" t="s">
        <v>42</v>
      </c>
      <c r="E199" s="37">
        <v>91.034999999999997</v>
      </c>
      <c r="F199" s="38">
        <f>0.073*0.032</f>
        <v>2.336E-3</v>
      </c>
      <c r="G199" s="232">
        <f t="shared" si="14"/>
        <v>0.21265776</v>
      </c>
      <c r="H199" s="233" t="s">
        <v>411</v>
      </c>
    </row>
    <row r="200" spans="1:8" s="216" customFormat="1" ht="16.5">
      <c r="A200" s="231"/>
      <c r="B200" s="240"/>
      <c r="C200" s="37" t="s">
        <v>88</v>
      </c>
      <c r="D200" s="37" t="s">
        <v>42</v>
      </c>
      <c r="E200" s="37">
        <v>91.034999999999997</v>
      </c>
      <c r="F200" s="38">
        <f>0.056*0.32</f>
        <v>1.7920000000000002E-2</v>
      </c>
      <c r="G200" s="232">
        <f t="shared" si="14"/>
        <v>1.6313472000000002</v>
      </c>
      <c r="H200" s="233" t="s">
        <v>412</v>
      </c>
    </row>
    <row r="201" spans="1:8" s="216" customFormat="1" ht="16.5">
      <c r="A201" s="231"/>
      <c r="B201" s="240"/>
      <c r="C201" s="37" t="s">
        <v>47</v>
      </c>
      <c r="D201" s="37" t="s">
        <v>42</v>
      </c>
      <c r="E201" s="37">
        <v>30</v>
      </c>
      <c r="F201" s="38">
        <f>0.073*0.032*2*7+0.056*0.32*2</f>
        <v>6.8543999999999994E-2</v>
      </c>
      <c r="G201" s="232">
        <f t="shared" si="14"/>
        <v>2.0563199999999999</v>
      </c>
      <c r="H201" s="233" t="s">
        <v>413</v>
      </c>
    </row>
    <row r="202" spans="1:8" s="216" customFormat="1" ht="16.5">
      <c r="A202" s="231"/>
      <c r="B202" s="240" t="s">
        <v>414</v>
      </c>
      <c r="C202" s="73" t="s">
        <v>415</v>
      </c>
      <c r="D202" s="73" t="s">
        <v>51</v>
      </c>
      <c r="E202" s="73">
        <v>7.2</v>
      </c>
      <c r="F202" s="236">
        <f>1.73*2+2.4*4+0.51*2</f>
        <v>14.079999999999998</v>
      </c>
      <c r="G202" s="237">
        <f t="shared" si="14"/>
        <v>101.37599999999999</v>
      </c>
      <c r="H202" s="238" t="s">
        <v>416</v>
      </c>
    </row>
    <row r="203" spans="1:8" s="216" customFormat="1" ht="16.5">
      <c r="A203" s="231"/>
      <c r="B203" s="240"/>
      <c r="C203" s="37" t="s">
        <v>47</v>
      </c>
      <c r="D203" s="37" t="s">
        <v>42</v>
      </c>
      <c r="E203" s="37">
        <v>30</v>
      </c>
      <c r="F203" s="245">
        <f>0.03*14.8</f>
        <v>0.44400000000000001</v>
      </c>
      <c r="G203" s="28">
        <f t="shared" si="14"/>
        <v>13.32</v>
      </c>
      <c r="H203" s="246" t="s">
        <v>417</v>
      </c>
    </row>
    <row r="204" spans="1:8" s="216" customFormat="1" ht="16.5">
      <c r="A204" s="231"/>
      <c r="B204" s="240" t="s">
        <v>418</v>
      </c>
      <c r="C204" s="37" t="s">
        <v>88</v>
      </c>
      <c r="D204" s="37" t="s">
        <v>42</v>
      </c>
      <c r="E204" s="37">
        <v>91.034999999999997</v>
      </c>
      <c r="F204" s="38">
        <f>0.043*0.043*12</f>
        <v>2.2187999999999996E-2</v>
      </c>
      <c r="G204" s="232">
        <f t="shared" si="14"/>
        <v>2.0198845799999994</v>
      </c>
      <c r="H204" s="233" t="s">
        <v>419</v>
      </c>
    </row>
    <row r="205" spans="1:8" s="216" customFormat="1" ht="16.5">
      <c r="A205" s="231"/>
      <c r="B205" s="240"/>
      <c r="C205" s="37" t="s">
        <v>47</v>
      </c>
      <c r="D205" s="37" t="s">
        <v>42</v>
      </c>
      <c r="E205" s="37">
        <v>30</v>
      </c>
      <c r="F205" s="38">
        <f>0.043*0.043*12*2</f>
        <v>4.4375999999999992E-2</v>
      </c>
      <c r="G205" s="232">
        <f t="shared" si="14"/>
        <v>1.3312799999999998</v>
      </c>
      <c r="H205" s="233" t="s">
        <v>420</v>
      </c>
    </row>
    <row r="206" spans="1:8" s="216" customFormat="1" ht="16.5">
      <c r="A206" s="231"/>
      <c r="B206" s="240" t="s">
        <v>421</v>
      </c>
      <c r="C206" s="73" t="s">
        <v>422</v>
      </c>
      <c r="D206" s="73" t="s">
        <v>42</v>
      </c>
      <c r="E206" s="73">
        <v>5.28</v>
      </c>
      <c r="F206" s="236">
        <f>0.269*7</f>
        <v>1.883</v>
      </c>
      <c r="G206" s="237">
        <f t="shared" si="14"/>
        <v>9.94224</v>
      </c>
      <c r="H206" s="238" t="s">
        <v>423</v>
      </c>
    </row>
    <row r="207" spans="1:8" s="216" customFormat="1">
      <c r="A207" s="226"/>
      <c r="B207" s="259"/>
      <c r="C207" s="259"/>
      <c r="D207" s="260"/>
      <c r="E207" s="261"/>
      <c r="F207" s="262"/>
      <c r="G207" s="263"/>
      <c r="H207" s="264"/>
    </row>
    <row r="208" spans="1:8" s="217" customFormat="1">
      <c r="A208" s="265">
        <v>1</v>
      </c>
      <c r="B208" s="266" t="s">
        <v>149</v>
      </c>
      <c r="C208" s="267"/>
      <c r="D208" s="267"/>
      <c r="E208" s="268"/>
      <c r="F208" s="269"/>
      <c r="G208" s="270">
        <f>SUM(G4:G207)</f>
        <v>12398.047689833867</v>
      </c>
      <c r="H208" s="271"/>
    </row>
    <row r="209" spans="1:8" s="217" customFormat="1">
      <c r="A209" s="265">
        <v>2</v>
      </c>
      <c r="B209" s="228" t="s">
        <v>150</v>
      </c>
      <c r="C209" s="272"/>
      <c r="D209" s="273"/>
      <c r="E209" s="274"/>
      <c r="F209" s="275"/>
      <c r="G209" s="230">
        <f t="shared" ref="G209" si="15">$G$208*H209</f>
        <v>1239.8047689833868</v>
      </c>
      <c r="H209" s="276">
        <v>0.1</v>
      </c>
    </row>
    <row r="210" spans="1:8" s="217" customFormat="1">
      <c r="A210" s="265">
        <v>3</v>
      </c>
      <c r="B210" s="228" t="s">
        <v>151</v>
      </c>
      <c r="C210" s="272"/>
      <c r="D210" s="273"/>
      <c r="E210" s="274"/>
      <c r="F210" s="275"/>
      <c r="G210" s="230">
        <f>$G$208*H210</f>
        <v>1239.8047689833868</v>
      </c>
      <c r="H210" s="276">
        <v>0.1</v>
      </c>
    </row>
    <row r="211" spans="1:8" s="217" customFormat="1">
      <c r="A211" s="265">
        <v>4</v>
      </c>
      <c r="B211" s="228" t="s">
        <v>152</v>
      </c>
      <c r="C211" s="272"/>
      <c r="D211" s="273"/>
      <c r="E211" s="274"/>
      <c r="F211" s="275"/>
      <c r="G211" s="230">
        <f>$G$208*H211</f>
        <v>4339.3166914418534</v>
      </c>
      <c r="H211" s="276">
        <v>0.35</v>
      </c>
    </row>
    <row r="212" spans="1:8" s="217" customFormat="1">
      <c r="A212" s="265">
        <v>5</v>
      </c>
      <c r="B212" s="228" t="s">
        <v>153</v>
      </c>
      <c r="C212" s="272" t="s">
        <v>154</v>
      </c>
      <c r="D212" s="273"/>
      <c r="E212" s="274"/>
      <c r="F212" s="275"/>
      <c r="G212" s="230">
        <f>$G$208*H212</f>
        <v>2107.6681072717574</v>
      </c>
      <c r="H212" s="276">
        <v>0.17</v>
      </c>
    </row>
    <row r="213" spans="1:8" s="217" customFormat="1" ht="15.75">
      <c r="A213" s="265">
        <v>6</v>
      </c>
      <c r="B213" s="228" t="s">
        <v>155</v>
      </c>
      <c r="C213" s="272" t="s">
        <v>156</v>
      </c>
      <c r="D213" s="273"/>
      <c r="E213" s="274"/>
      <c r="F213" s="275"/>
      <c r="G213" s="230">
        <v>0</v>
      </c>
      <c r="H213" s="277" t="s">
        <v>157</v>
      </c>
    </row>
    <row r="214" spans="1:8" s="217" customFormat="1">
      <c r="A214" s="265">
        <v>7</v>
      </c>
      <c r="B214" s="228" t="s">
        <v>158</v>
      </c>
      <c r="C214" s="272"/>
      <c r="D214" s="273"/>
      <c r="E214" s="274"/>
      <c r="F214" s="275"/>
      <c r="G214" s="230">
        <f>$G$208*H214</f>
        <v>1611.7461996784027</v>
      </c>
      <c r="H214" s="276">
        <v>0.13</v>
      </c>
    </row>
    <row r="215" spans="1:8" s="217" customFormat="1">
      <c r="A215" s="265">
        <v>8</v>
      </c>
      <c r="B215" s="228" t="s">
        <v>159</v>
      </c>
      <c r="C215" s="272"/>
      <c r="D215" s="273"/>
      <c r="E215" s="274"/>
      <c r="F215" s="275"/>
      <c r="G215" s="230">
        <f>$G$208*H215</f>
        <v>1487.7657227800642</v>
      </c>
      <c r="H215" s="276">
        <v>0.12</v>
      </c>
    </row>
    <row r="216" spans="1:8" s="217" customFormat="1">
      <c r="A216" s="265">
        <v>9</v>
      </c>
      <c r="B216" s="228" t="s">
        <v>160</v>
      </c>
      <c r="C216" s="272"/>
      <c r="D216" s="273"/>
      <c r="E216" s="274"/>
      <c r="F216" s="275"/>
      <c r="G216" s="230">
        <f>'[10]lighting detail'!N31</f>
        <v>15638.995000000001</v>
      </c>
      <c r="H216" s="278"/>
    </row>
    <row r="217" spans="1:8" s="217" customFormat="1">
      <c r="A217" s="265">
        <v>10</v>
      </c>
      <c r="B217" s="228" t="s">
        <v>161</v>
      </c>
      <c r="C217" s="272"/>
      <c r="D217" s="273"/>
      <c r="E217" s="274"/>
      <c r="F217" s="275"/>
      <c r="G217" s="230">
        <f>G216*0.6</f>
        <v>9383.3970000000008</v>
      </c>
      <c r="H217" s="278"/>
    </row>
    <row r="218" spans="1:8" s="217" customFormat="1">
      <c r="A218" s="265">
        <v>11</v>
      </c>
      <c r="B218" s="226" t="s">
        <v>162</v>
      </c>
      <c r="C218" s="272"/>
      <c r="D218" s="273"/>
      <c r="E218" s="274"/>
      <c r="F218" s="275"/>
      <c r="G218" s="230">
        <f>SUM(G208:G217)</f>
        <v>49446.545948972722</v>
      </c>
      <c r="H218" s="279"/>
    </row>
    <row r="219" spans="1:8" s="217" customFormat="1" ht="16.5">
      <c r="A219" s="39">
        <v>12</v>
      </c>
      <c r="B219" s="280" t="s">
        <v>163</v>
      </c>
      <c r="C219" s="47"/>
      <c r="D219" s="49"/>
      <c r="E219" s="281"/>
      <c r="F219" s="49"/>
      <c r="G219" s="282">
        <f>G218*H219</f>
        <v>4104.0633137647364</v>
      </c>
      <c r="H219" s="283">
        <v>8.3000000000000004E-2</v>
      </c>
    </row>
    <row r="220" spans="1:8" s="217" customFormat="1" ht="16.5">
      <c r="A220" s="39">
        <v>13</v>
      </c>
      <c r="B220" s="280" t="s">
        <v>164</v>
      </c>
      <c r="C220" s="47"/>
      <c r="D220" s="49"/>
      <c r="E220" s="281"/>
      <c r="F220" s="49"/>
      <c r="G220" s="282">
        <f>G219+G218</f>
        <v>53550.60926273746</v>
      </c>
      <c r="H220" s="284"/>
    </row>
    <row r="221" spans="1:8" s="217" customFormat="1">
      <c r="A221" s="265">
        <v>13</v>
      </c>
      <c r="B221" s="228" t="s">
        <v>165</v>
      </c>
      <c r="C221" s="285"/>
      <c r="D221" s="273"/>
      <c r="E221" s="274"/>
      <c r="F221" s="275"/>
      <c r="G221" s="230">
        <f>G220*H221</f>
        <v>9103.6035746653688</v>
      </c>
      <c r="H221" s="276">
        <v>0.17</v>
      </c>
    </row>
    <row r="222" spans="1:8" s="217" customFormat="1">
      <c r="A222" s="265">
        <v>14</v>
      </c>
      <c r="B222" s="228" t="s">
        <v>166</v>
      </c>
      <c r="C222" s="272"/>
      <c r="D222" s="273"/>
      <c r="E222" s="274"/>
      <c r="F222" s="275"/>
      <c r="G222" s="230">
        <f>SUM(G220:G221)</f>
        <v>62654.212837402825</v>
      </c>
      <c r="H222" s="278">
        <f>G222</f>
        <v>62654.212837402825</v>
      </c>
    </row>
    <row r="223" spans="1:8" s="217" customFormat="1">
      <c r="A223" s="286"/>
      <c r="B223" s="287"/>
      <c r="C223" s="287"/>
      <c r="D223" s="287"/>
      <c r="E223" s="288"/>
      <c r="F223" s="289"/>
      <c r="G223" s="290"/>
      <c r="H223" s="291"/>
    </row>
    <row r="224" spans="1:8" s="217" customFormat="1">
      <c r="A224" s="286"/>
      <c r="B224" s="287" t="s">
        <v>167</v>
      </c>
      <c r="C224" s="287"/>
      <c r="D224" s="287"/>
      <c r="E224" s="288"/>
      <c r="F224" s="289"/>
      <c r="G224" s="292"/>
      <c r="H224" s="291">
        <f>G220/7.2</f>
        <v>7437.5846198246472</v>
      </c>
    </row>
    <row r="225" spans="1:8" s="217" customFormat="1">
      <c r="A225" s="286"/>
      <c r="B225" s="287"/>
      <c r="C225" s="287"/>
      <c r="D225" s="287"/>
      <c r="E225" s="288"/>
      <c r="F225" s="289"/>
      <c r="G225" s="290"/>
      <c r="H225" s="291"/>
    </row>
    <row r="226" spans="1:8" s="217" customFormat="1">
      <c r="A226" s="286"/>
      <c r="B226" s="291"/>
      <c r="C226" s="291"/>
      <c r="D226" s="291"/>
      <c r="E226" s="291"/>
      <c r="F226" s="293"/>
      <c r="G226" s="294"/>
      <c r="H226" s="291"/>
    </row>
    <row r="227" spans="1:8" s="217" customFormat="1">
      <c r="A227" s="286"/>
      <c r="B227" s="288"/>
      <c r="C227" s="291"/>
      <c r="D227" s="291"/>
      <c r="E227" s="291"/>
      <c r="F227" s="293"/>
      <c r="G227" s="294"/>
      <c r="H227" s="291"/>
    </row>
    <row r="228" spans="1:8" s="217" customFormat="1">
      <c r="A228" s="286"/>
      <c r="B228" s="732" t="s">
        <v>168</v>
      </c>
      <c r="C228" s="733"/>
      <c r="D228" s="733"/>
      <c r="E228" s="288"/>
      <c r="F228" s="289"/>
      <c r="G228" s="289"/>
      <c r="H228" s="291"/>
    </row>
    <row r="229" spans="1:8" s="217" customFormat="1">
      <c r="A229" s="286"/>
      <c r="B229" s="295" t="s">
        <v>169</v>
      </c>
      <c r="C229" s="296" t="s">
        <v>170</v>
      </c>
      <c r="D229" s="295" t="s">
        <v>171</v>
      </c>
      <c r="E229" s="216"/>
      <c r="F229" s="297"/>
      <c r="G229" s="298"/>
      <c r="H229" s="299"/>
    </row>
    <row r="230" spans="1:8" s="217" customFormat="1" ht="16.5">
      <c r="A230" s="286"/>
      <c r="B230" s="73" t="s">
        <v>50</v>
      </c>
      <c r="C230" s="300">
        <f t="shared" ref="C230" ca="1" si="16">SUMIF($C$4:$G$207,B230,$G$4:$G$207)</f>
        <v>465.88315000000011</v>
      </c>
      <c r="D230" s="301">
        <f t="shared" ref="D230" ca="1" si="17">C230/$G$208</f>
        <v>3.7577138082959163E-2</v>
      </c>
      <c r="E230" s="216"/>
      <c r="F230" s="297"/>
      <c r="G230" s="298"/>
      <c r="H230" s="299"/>
    </row>
    <row r="231" spans="1:8" s="217" customFormat="1" ht="16.5">
      <c r="A231" s="286"/>
      <c r="B231" s="73" t="s">
        <v>107</v>
      </c>
      <c r="C231" s="300">
        <f t="shared" ref="C231:C237" ca="1" si="18">SUMIF($C$4:$G$207,B231,$G$4:$G$207)</f>
        <v>86.4</v>
      </c>
      <c r="D231" s="301">
        <f t="shared" ref="D231:D237" ca="1" si="19">C231/$G$208</f>
        <v>6.9688391399596039E-3</v>
      </c>
      <c r="E231" s="216"/>
      <c r="F231" s="297"/>
      <c r="G231" s="298"/>
      <c r="H231" s="299"/>
    </row>
    <row r="232" spans="1:8" s="217" customFormat="1" ht="16.5">
      <c r="A232" s="286"/>
      <c r="B232" s="250" t="s">
        <v>123</v>
      </c>
      <c r="C232" s="300">
        <f t="shared" ca="1" si="18"/>
        <v>142.27199999999999</v>
      </c>
      <c r="D232" s="301">
        <f t="shared" ca="1" si="19"/>
        <v>1.147535511713348E-2</v>
      </c>
      <c r="E232" s="216"/>
      <c r="F232" s="297"/>
      <c r="G232" s="298"/>
      <c r="H232" s="299"/>
    </row>
    <row r="233" spans="1:8" s="217" customFormat="1" ht="16.5">
      <c r="A233" s="286"/>
      <c r="B233" s="250" t="s">
        <v>424</v>
      </c>
      <c r="C233" s="300">
        <f t="shared" ca="1" si="18"/>
        <v>0</v>
      </c>
      <c r="D233" s="301">
        <f t="shared" ca="1" si="19"/>
        <v>0</v>
      </c>
      <c r="E233" s="216"/>
      <c r="F233" s="297"/>
      <c r="G233" s="298"/>
      <c r="H233" s="299"/>
    </row>
    <row r="234" spans="1:8" s="217" customFormat="1" ht="16.5">
      <c r="A234" s="286"/>
      <c r="B234" s="258" t="s">
        <v>377</v>
      </c>
      <c r="C234" s="300">
        <f t="shared" ca="1" si="18"/>
        <v>17.80152</v>
      </c>
      <c r="D234" s="301">
        <f t="shared" ca="1" si="19"/>
        <v>1.435832515356177E-3</v>
      </c>
      <c r="E234" s="216"/>
      <c r="F234" s="297"/>
      <c r="G234" s="298"/>
      <c r="H234" s="299"/>
    </row>
    <row r="235" spans="1:8" s="217" customFormat="1" ht="16.5">
      <c r="A235" s="286"/>
      <c r="B235" s="258" t="s">
        <v>380</v>
      </c>
      <c r="C235" s="300">
        <f t="shared" ca="1" si="18"/>
        <v>208.13596919999998</v>
      </c>
      <c r="D235" s="301">
        <f t="shared" ca="1" si="19"/>
        <v>1.6787801951323917E-2</v>
      </c>
      <c r="E235" s="216"/>
      <c r="F235" s="297"/>
      <c r="G235" s="298"/>
      <c r="H235" s="299"/>
    </row>
    <row r="236" spans="1:8" s="217" customFormat="1" ht="16.5">
      <c r="A236" s="286"/>
      <c r="B236" s="73" t="s">
        <v>415</v>
      </c>
      <c r="C236" s="300">
        <f t="shared" ca="1" si="18"/>
        <v>101.37599999999999</v>
      </c>
      <c r="D236" s="301">
        <f t="shared" ca="1" si="19"/>
        <v>8.1767712575526001E-3</v>
      </c>
      <c r="E236" s="216"/>
      <c r="F236" s="297"/>
      <c r="G236" s="298"/>
      <c r="H236" s="299"/>
    </row>
    <row r="237" spans="1:8" s="217" customFormat="1" ht="16.5">
      <c r="A237" s="286"/>
      <c r="B237" s="73" t="s">
        <v>422</v>
      </c>
      <c r="C237" s="300">
        <f t="shared" ca="1" si="18"/>
        <v>9.94224</v>
      </c>
      <c r="D237" s="301">
        <f t="shared" ca="1" si="19"/>
        <v>8.0191980614435147E-4</v>
      </c>
      <c r="E237" s="216"/>
      <c r="F237" s="297"/>
      <c r="G237" s="298"/>
      <c r="H237" s="299"/>
    </row>
    <row r="238" spans="1:8" s="217" customFormat="1">
      <c r="A238" s="286"/>
      <c r="B238" s="302"/>
      <c r="C238" s="300"/>
      <c r="D238" s="301"/>
      <c r="E238" s="216"/>
      <c r="F238" s="297"/>
      <c r="G238" s="298"/>
      <c r="H238" s="299"/>
    </row>
    <row r="239" spans="1:8" s="217" customFormat="1">
      <c r="A239" s="286"/>
      <c r="B239" s="303" t="s">
        <v>172</v>
      </c>
      <c r="C239" s="304">
        <f ca="1">SUBTOTAL(9,C230:C238)</f>
        <v>1031.8108792</v>
      </c>
      <c r="D239" s="305">
        <f ca="1">SUM(D230:D238)</f>
        <v>8.3223657870429305E-2</v>
      </c>
      <c r="E239" s="216"/>
      <c r="F239" s="297"/>
      <c r="G239" s="298"/>
      <c r="H239" s="299"/>
    </row>
    <row r="240" spans="1:8" s="217" customFormat="1">
      <c r="A240" s="286"/>
      <c r="B240" s="291"/>
      <c r="C240" s="306"/>
      <c r="D240" s="307"/>
      <c r="E240" s="216"/>
      <c r="F240" s="297"/>
      <c r="G240" s="298"/>
      <c r="H240" s="299"/>
    </row>
    <row r="241" spans="1:8" s="217" customFormat="1">
      <c r="A241" s="286"/>
      <c r="B241" s="291"/>
      <c r="C241" s="306"/>
      <c r="D241" s="307"/>
      <c r="E241" s="216"/>
      <c r="F241" s="297"/>
      <c r="G241" s="298"/>
      <c r="H241" s="299"/>
    </row>
    <row r="242" spans="1:8" s="217" customFormat="1">
      <c r="A242" s="286"/>
      <c r="B242" s="291"/>
      <c r="C242" s="306"/>
      <c r="D242" s="307"/>
      <c r="E242" s="216"/>
      <c r="F242" s="297"/>
      <c r="G242" s="298"/>
      <c r="H242" s="299"/>
    </row>
    <row r="243" spans="1:8" s="217" customFormat="1">
      <c r="A243" s="286"/>
      <c r="B243" s="291"/>
      <c r="C243" s="306"/>
      <c r="D243" s="307"/>
      <c r="E243" s="216"/>
      <c r="F243" s="297"/>
      <c r="G243" s="298"/>
      <c r="H243" s="299"/>
    </row>
    <row r="244" spans="1:8" s="217" customFormat="1">
      <c r="A244" s="286"/>
      <c r="B244" s="286"/>
      <c r="C244" s="217" t="s">
        <v>173</v>
      </c>
      <c r="D244" s="308"/>
      <c r="E244" s="216"/>
      <c r="F244" s="297"/>
      <c r="G244" s="298"/>
      <c r="H244" s="309">
        <v>42065</v>
      </c>
    </row>
    <row r="245" spans="1:8" s="217" customFormat="1">
      <c r="A245" s="286"/>
      <c r="B245" s="286"/>
      <c r="D245" s="308"/>
      <c r="E245" s="216"/>
      <c r="F245" s="297"/>
      <c r="G245" s="298"/>
      <c r="H245" s="299" t="s">
        <v>174</v>
      </c>
    </row>
  </sheetData>
  <sheetProtection algorithmName="SHA-512" hashValue="33TyYCUsX8x34u5rMRsV2/4BfUMyiRZfzI0wHjPRtdsR7OwhMbzrFTjCar+P/616CofSU4GmEOoTMy4LS/5Syg==" saltValue="WtO9csP8iVuv/D8Xg4i1Jg==" spinCount="100000" sheet="1" objects="1" scenarios="1"/>
  <mergeCells count="2">
    <mergeCell ref="A2:H2"/>
    <mergeCell ref="B228:D228"/>
  </mergeCells>
  <phoneticPr fontId="29" type="noConversion"/>
  <conditionalFormatting sqref="D31:D40 D29 D4:D18 F47:F83 D47:D83 F123:F126 D98 D102 F102 F97:F98 F100 D85:D87 F85:F95 F188:F189 D207 F207 F4:F41 D20:D26 F130:F184">
    <cfRule type="cellIs" dxfId="479" priority="1" stopIfTrue="1" operator="notEqual">
      <formula>""</formula>
    </cfRule>
    <cfRule type="cellIs" dxfId="478" priority="2" stopIfTrue="1" operator="equal">
      <formula>""</formula>
    </cfRule>
  </conditionalFormatting>
  <conditionalFormatting sqref="D42">
    <cfRule type="cellIs" dxfId="477" priority="3" stopIfTrue="1" operator="notEqual">
      <formula>""</formula>
    </cfRule>
    <cfRule type="cellIs" dxfId="476" priority="4" stopIfTrue="1" operator="equal">
      <formula>""</formula>
    </cfRule>
  </conditionalFormatting>
  <conditionalFormatting sqref="F42">
    <cfRule type="cellIs" dxfId="475" priority="5" stopIfTrue="1" operator="notEqual">
      <formula>""</formula>
    </cfRule>
    <cfRule type="cellIs" dxfId="474" priority="6" stopIfTrue="1" operator="equal">
      <formula>""</formula>
    </cfRule>
  </conditionalFormatting>
  <conditionalFormatting sqref="D27">
    <cfRule type="cellIs" dxfId="473" priority="7" stopIfTrue="1" operator="notEqual">
      <formula>""</formula>
    </cfRule>
    <cfRule type="cellIs" dxfId="472" priority="8" stopIfTrue="1" operator="equal">
      <formula>""</formula>
    </cfRule>
  </conditionalFormatting>
  <conditionalFormatting sqref="D28">
    <cfRule type="cellIs" dxfId="471" priority="9" stopIfTrue="1" operator="notEqual">
      <formula>""</formula>
    </cfRule>
    <cfRule type="cellIs" dxfId="470" priority="10" stopIfTrue="1" operator="equal">
      <formula>""</formula>
    </cfRule>
  </conditionalFormatting>
  <conditionalFormatting sqref="D30">
    <cfRule type="cellIs" dxfId="469" priority="11" stopIfTrue="1" operator="notEqual">
      <formula>""</formula>
    </cfRule>
    <cfRule type="cellIs" dxfId="468" priority="12" stopIfTrue="1" operator="equal">
      <formula>""</formula>
    </cfRule>
  </conditionalFormatting>
  <conditionalFormatting sqref="D41">
    <cfRule type="cellIs" dxfId="467" priority="13" stopIfTrue="1" operator="notEqual">
      <formula>""</formula>
    </cfRule>
    <cfRule type="cellIs" dxfId="466" priority="14" stopIfTrue="1" operator="equal">
      <formula>""</formula>
    </cfRule>
  </conditionalFormatting>
  <conditionalFormatting sqref="D43">
    <cfRule type="cellIs" dxfId="465" priority="15" stopIfTrue="1" operator="notEqual">
      <formula>""</formula>
    </cfRule>
    <cfRule type="cellIs" dxfId="464" priority="16" stopIfTrue="1" operator="equal">
      <formula>""</formula>
    </cfRule>
  </conditionalFormatting>
  <conditionalFormatting sqref="F43">
    <cfRule type="cellIs" dxfId="463" priority="17" stopIfTrue="1" operator="notEqual">
      <formula>""</formula>
    </cfRule>
    <cfRule type="cellIs" dxfId="462" priority="18" stopIfTrue="1" operator="equal">
      <formula>""</formula>
    </cfRule>
  </conditionalFormatting>
  <conditionalFormatting sqref="F44 D44">
    <cfRule type="cellIs" dxfId="461" priority="19" stopIfTrue="1" operator="notEqual">
      <formula>""</formula>
    </cfRule>
    <cfRule type="cellIs" dxfId="460" priority="20" stopIfTrue="1" operator="equal">
      <formula>""</formula>
    </cfRule>
  </conditionalFormatting>
  <conditionalFormatting sqref="D88:D89">
    <cfRule type="cellIs" dxfId="459" priority="21" stopIfTrue="1" operator="notEqual">
      <formula>""</formula>
    </cfRule>
    <cfRule type="cellIs" dxfId="458" priority="22" stopIfTrue="1" operator="equal">
      <formula>""</formula>
    </cfRule>
  </conditionalFormatting>
  <conditionalFormatting sqref="F45:F46 D45">
    <cfRule type="cellIs" dxfId="457" priority="23" stopIfTrue="1" operator="notEqual">
      <formula>""</formula>
    </cfRule>
    <cfRule type="cellIs" dxfId="456" priority="24" stopIfTrue="1" operator="equal">
      <formula>""</formula>
    </cfRule>
  </conditionalFormatting>
  <conditionalFormatting sqref="D90:D95">
    <cfRule type="cellIs" dxfId="455" priority="25" stopIfTrue="1" operator="notEqual">
      <formula>""</formula>
    </cfRule>
    <cfRule type="cellIs" dxfId="454" priority="26" stopIfTrue="1" operator="equal">
      <formula>""</formula>
    </cfRule>
  </conditionalFormatting>
  <conditionalFormatting sqref="D107:D108">
    <cfRule type="cellIs" dxfId="453" priority="27" stopIfTrue="1" operator="notEqual">
      <formula>""</formula>
    </cfRule>
    <cfRule type="cellIs" dxfId="452" priority="28" stopIfTrue="1" operator="equal">
      <formula>""</formula>
    </cfRule>
  </conditionalFormatting>
  <conditionalFormatting sqref="D97">
    <cfRule type="cellIs" dxfId="451" priority="29" stopIfTrue="1" operator="notEqual">
      <formula>""</formula>
    </cfRule>
    <cfRule type="cellIs" dxfId="450" priority="30" stopIfTrue="1" operator="equal">
      <formula>""</formula>
    </cfRule>
  </conditionalFormatting>
  <conditionalFormatting sqref="F104:F108 F112:F113 F115:F116">
    <cfRule type="cellIs" dxfId="449" priority="31" stopIfTrue="1" operator="notEqual">
      <formula>""</formula>
    </cfRule>
    <cfRule type="cellIs" dxfId="448" priority="32" stopIfTrue="1" operator="equal">
      <formula>""</formula>
    </cfRule>
  </conditionalFormatting>
  <conditionalFormatting sqref="D104:D106">
    <cfRule type="cellIs" dxfId="447" priority="33" stopIfTrue="1" operator="notEqual">
      <formula>""</formula>
    </cfRule>
    <cfRule type="cellIs" dxfId="446" priority="34" stopIfTrue="1" operator="equal">
      <formula>""</formula>
    </cfRule>
  </conditionalFormatting>
  <conditionalFormatting sqref="F101 D101">
    <cfRule type="cellIs" dxfId="445" priority="35" stopIfTrue="1" operator="notEqual">
      <formula>""</formula>
    </cfRule>
    <cfRule type="cellIs" dxfId="444" priority="36" stopIfTrue="1" operator="equal">
      <formula>""</formula>
    </cfRule>
  </conditionalFormatting>
  <conditionalFormatting sqref="F96">
    <cfRule type="cellIs" dxfId="443" priority="37" stopIfTrue="1" operator="notEqual">
      <formula>""</formula>
    </cfRule>
    <cfRule type="cellIs" dxfId="442" priority="38" stopIfTrue="1" operator="equal">
      <formula>""</formula>
    </cfRule>
  </conditionalFormatting>
  <conditionalFormatting sqref="F111">
    <cfRule type="cellIs" dxfId="441" priority="39" stopIfTrue="1" operator="notEqual">
      <formula>""</formula>
    </cfRule>
    <cfRule type="cellIs" dxfId="440" priority="40" stopIfTrue="1" operator="equal">
      <formula>""</formula>
    </cfRule>
  </conditionalFormatting>
  <conditionalFormatting sqref="F99">
    <cfRule type="cellIs" dxfId="439" priority="41" stopIfTrue="1" operator="notEqual">
      <formula>""</formula>
    </cfRule>
    <cfRule type="cellIs" dxfId="438" priority="42" stopIfTrue="1" operator="equal">
      <formula>""</formula>
    </cfRule>
  </conditionalFormatting>
  <conditionalFormatting sqref="D124">
    <cfRule type="cellIs" dxfId="437" priority="43" stopIfTrue="1" operator="notEqual">
      <formula>""</formula>
    </cfRule>
    <cfRule type="cellIs" dxfId="436" priority="44" stopIfTrue="1" operator="equal">
      <formula>""</formula>
    </cfRule>
  </conditionalFormatting>
  <conditionalFormatting sqref="D123">
    <cfRule type="cellIs" dxfId="435" priority="45" stopIfTrue="1" operator="notEqual">
      <formula>""</formula>
    </cfRule>
    <cfRule type="cellIs" dxfId="434" priority="46" stopIfTrue="1" operator="equal">
      <formula>""</formula>
    </cfRule>
  </conditionalFormatting>
  <conditionalFormatting sqref="D96">
    <cfRule type="cellIs" dxfId="433" priority="47" stopIfTrue="1" operator="notEqual">
      <formula>""</formula>
    </cfRule>
    <cfRule type="cellIs" dxfId="432" priority="48" stopIfTrue="1" operator="equal">
      <formula>""</formula>
    </cfRule>
  </conditionalFormatting>
  <conditionalFormatting sqref="D173 D156:D168">
    <cfRule type="cellIs" dxfId="431" priority="49" stopIfTrue="1" operator="notEqual">
      <formula>""</formula>
    </cfRule>
    <cfRule type="cellIs" dxfId="430" priority="50" stopIfTrue="1" operator="equal">
      <formula>""</formula>
    </cfRule>
  </conditionalFormatting>
  <conditionalFormatting sqref="D178">
    <cfRule type="cellIs" dxfId="429" priority="51" stopIfTrue="1" operator="notEqual">
      <formula>""</formula>
    </cfRule>
    <cfRule type="cellIs" dxfId="428" priority="52" stopIfTrue="1" operator="equal">
      <formula>""</formula>
    </cfRule>
  </conditionalFormatting>
  <conditionalFormatting sqref="D109">
    <cfRule type="cellIs" dxfId="427" priority="53" stopIfTrue="1" operator="notEqual">
      <formula>""</formula>
    </cfRule>
    <cfRule type="cellIs" dxfId="426" priority="54" stopIfTrue="1" operator="equal">
      <formula>""</formula>
    </cfRule>
  </conditionalFormatting>
  <conditionalFormatting sqref="F109">
    <cfRule type="cellIs" dxfId="425" priority="55" stopIfTrue="1" operator="notEqual">
      <formula>""</formula>
    </cfRule>
    <cfRule type="cellIs" dxfId="424" priority="56" stopIfTrue="1" operator="equal">
      <formula>""</formula>
    </cfRule>
  </conditionalFormatting>
  <conditionalFormatting sqref="F114">
    <cfRule type="cellIs" dxfId="423" priority="57" stopIfTrue="1" operator="notEqual">
      <formula>""</formula>
    </cfRule>
    <cfRule type="cellIs" dxfId="422" priority="58" stopIfTrue="1" operator="equal">
      <formula>""</formula>
    </cfRule>
  </conditionalFormatting>
  <conditionalFormatting sqref="F110">
    <cfRule type="cellIs" dxfId="421" priority="59" stopIfTrue="1" operator="notEqual">
      <formula>""</formula>
    </cfRule>
    <cfRule type="cellIs" dxfId="420" priority="60" stopIfTrue="1" operator="equal">
      <formula>""</formula>
    </cfRule>
  </conditionalFormatting>
  <conditionalFormatting sqref="F84 D84">
    <cfRule type="cellIs" dxfId="419" priority="61" stopIfTrue="1" operator="notEqual">
      <formula>""</formula>
    </cfRule>
    <cfRule type="cellIs" dxfId="418" priority="62" stopIfTrue="1" operator="equal">
      <formula>""</formula>
    </cfRule>
  </conditionalFormatting>
  <conditionalFormatting sqref="D116">
    <cfRule type="cellIs" dxfId="417" priority="63" stopIfTrue="1" operator="notEqual">
      <formula>""</formula>
    </cfRule>
    <cfRule type="cellIs" dxfId="416" priority="64" stopIfTrue="1" operator="equal">
      <formula>""</formula>
    </cfRule>
  </conditionalFormatting>
  <conditionalFormatting sqref="D115">
    <cfRule type="cellIs" dxfId="415" priority="65" stopIfTrue="1" operator="notEqual">
      <formula>""</formula>
    </cfRule>
    <cfRule type="cellIs" dxfId="414" priority="66" stopIfTrue="1" operator="equal">
      <formula>""</formula>
    </cfRule>
  </conditionalFormatting>
  <conditionalFormatting sqref="F117:F122 D117:D122">
    <cfRule type="cellIs" dxfId="413" priority="67" stopIfTrue="1" operator="notEqual">
      <formula>""</formula>
    </cfRule>
    <cfRule type="cellIs" dxfId="412" priority="68" stopIfTrue="1" operator="equal">
      <formula>""</formula>
    </cfRule>
  </conditionalFormatting>
  <conditionalFormatting sqref="D177">
    <cfRule type="cellIs" dxfId="411" priority="69" stopIfTrue="1" operator="notEqual">
      <formula>""</formula>
    </cfRule>
    <cfRule type="cellIs" dxfId="410" priority="70" stopIfTrue="1" operator="equal">
      <formula>""</formula>
    </cfRule>
  </conditionalFormatting>
  <conditionalFormatting sqref="F127:F129">
    <cfRule type="cellIs" dxfId="409" priority="71" stopIfTrue="1" operator="notEqual">
      <formula>""</formula>
    </cfRule>
    <cfRule type="cellIs" dxfId="408" priority="72" stopIfTrue="1" operator="equal">
      <formula>""</formula>
    </cfRule>
  </conditionalFormatting>
  <conditionalFormatting sqref="D127:D128">
    <cfRule type="cellIs" dxfId="407" priority="73" stopIfTrue="1" operator="notEqual">
      <formula>""</formula>
    </cfRule>
    <cfRule type="cellIs" dxfId="406" priority="74" stopIfTrue="1" operator="equal">
      <formula>""</formula>
    </cfRule>
  </conditionalFormatting>
  <conditionalFormatting sqref="D129">
    <cfRule type="cellIs" dxfId="405" priority="75" stopIfTrue="1" operator="notEqual">
      <formula>""</formula>
    </cfRule>
    <cfRule type="cellIs" dxfId="404" priority="76" stopIfTrue="1" operator="equal">
      <formula>""</formula>
    </cfRule>
  </conditionalFormatting>
  <conditionalFormatting sqref="D135:D136">
    <cfRule type="cellIs" dxfId="403" priority="77" stopIfTrue="1" operator="notEqual">
      <formula>""</formula>
    </cfRule>
    <cfRule type="cellIs" dxfId="402" priority="78" stopIfTrue="1" operator="equal">
      <formula>""</formula>
    </cfRule>
  </conditionalFormatting>
  <conditionalFormatting sqref="D133:D134">
    <cfRule type="cellIs" dxfId="401" priority="79" stopIfTrue="1" operator="notEqual">
      <formula>""</formula>
    </cfRule>
    <cfRule type="cellIs" dxfId="400" priority="80" stopIfTrue="1" operator="equal">
      <formula>""</formula>
    </cfRule>
  </conditionalFormatting>
  <conditionalFormatting sqref="D169">
    <cfRule type="cellIs" dxfId="399" priority="81" stopIfTrue="1" operator="notEqual">
      <formula>""</formula>
    </cfRule>
    <cfRule type="cellIs" dxfId="398" priority="82" stopIfTrue="1" operator="equal">
      <formula>""</formula>
    </cfRule>
  </conditionalFormatting>
  <conditionalFormatting sqref="D170">
    <cfRule type="cellIs" dxfId="397" priority="83" stopIfTrue="1" operator="notEqual">
      <formula>""</formula>
    </cfRule>
    <cfRule type="cellIs" dxfId="396" priority="84" stopIfTrue="1" operator="equal">
      <formula>""</formula>
    </cfRule>
  </conditionalFormatting>
  <conditionalFormatting sqref="D171">
    <cfRule type="cellIs" dxfId="395" priority="85" stopIfTrue="1" operator="notEqual">
      <formula>""</formula>
    </cfRule>
    <cfRule type="cellIs" dxfId="394" priority="86" stopIfTrue="1" operator="equal">
      <formula>""</formula>
    </cfRule>
  </conditionalFormatting>
  <conditionalFormatting sqref="D179">
    <cfRule type="cellIs" dxfId="393" priority="87" stopIfTrue="1" operator="notEqual">
      <formula>""</formula>
    </cfRule>
    <cfRule type="cellIs" dxfId="392" priority="88" stopIfTrue="1" operator="equal">
      <formula>""</formula>
    </cfRule>
  </conditionalFormatting>
  <conditionalFormatting sqref="D180">
    <cfRule type="cellIs" dxfId="391" priority="89" stopIfTrue="1" operator="notEqual">
      <formula>""</formula>
    </cfRule>
    <cfRule type="cellIs" dxfId="390" priority="90" stopIfTrue="1" operator="equal">
      <formula>""</formula>
    </cfRule>
  </conditionalFormatting>
  <conditionalFormatting sqref="D181">
    <cfRule type="cellIs" dxfId="389" priority="91" stopIfTrue="1" operator="notEqual">
      <formula>""</formula>
    </cfRule>
    <cfRule type="cellIs" dxfId="388" priority="92" stopIfTrue="1" operator="equal">
      <formula>""</formula>
    </cfRule>
  </conditionalFormatting>
  <conditionalFormatting sqref="D175">
    <cfRule type="cellIs" dxfId="387" priority="93" stopIfTrue="1" operator="notEqual">
      <formula>""</formula>
    </cfRule>
    <cfRule type="cellIs" dxfId="386" priority="94" stopIfTrue="1" operator="equal">
      <formula>""</formula>
    </cfRule>
  </conditionalFormatting>
  <conditionalFormatting sqref="D176">
    <cfRule type="cellIs" dxfId="385" priority="95" stopIfTrue="1" operator="notEqual">
      <formula>""</formula>
    </cfRule>
    <cfRule type="cellIs" dxfId="384" priority="96" stopIfTrue="1" operator="equal">
      <formula>""</formula>
    </cfRule>
  </conditionalFormatting>
  <conditionalFormatting sqref="D182">
    <cfRule type="cellIs" dxfId="383" priority="97" stopIfTrue="1" operator="notEqual">
      <formula>""</formula>
    </cfRule>
    <cfRule type="cellIs" dxfId="382" priority="98" stopIfTrue="1" operator="equal">
      <formula>""</formula>
    </cfRule>
  </conditionalFormatting>
  <conditionalFormatting sqref="D183">
    <cfRule type="cellIs" dxfId="381" priority="99" stopIfTrue="1" operator="notEqual">
      <formula>""</formula>
    </cfRule>
    <cfRule type="cellIs" dxfId="380" priority="100" stopIfTrue="1" operator="equal">
      <formula>""</formula>
    </cfRule>
  </conditionalFormatting>
  <conditionalFormatting sqref="D172">
    <cfRule type="cellIs" dxfId="379" priority="101" stopIfTrue="1" operator="notEqual">
      <formula>""</formula>
    </cfRule>
    <cfRule type="cellIs" dxfId="378" priority="102" stopIfTrue="1" operator="equal">
      <formula>""</formula>
    </cfRule>
  </conditionalFormatting>
  <conditionalFormatting sqref="F187">
    <cfRule type="cellIs" dxfId="377" priority="103" stopIfTrue="1" operator="notEqual">
      <formula>""</formula>
    </cfRule>
    <cfRule type="cellIs" dxfId="376" priority="104" stopIfTrue="1" operator="equal">
      <formula>""</formula>
    </cfRule>
  </conditionalFormatting>
  <conditionalFormatting sqref="D187">
    <cfRule type="cellIs" dxfId="375" priority="105" stopIfTrue="1" operator="notEqual">
      <formula>""</formula>
    </cfRule>
    <cfRule type="cellIs" dxfId="374" priority="106" stopIfTrue="1" operator="equal">
      <formula>""</formula>
    </cfRule>
  </conditionalFormatting>
  <conditionalFormatting sqref="D188">
    <cfRule type="cellIs" dxfId="373" priority="107" stopIfTrue="1" operator="notEqual">
      <formula>""</formula>
    </cfRule>
    <cfRule type="cellIs" dxfId="372" priority="108" stopIfTrue="1" operator="equal">
      <formula>""</formula>
    </cfRule>
  </conditionalFormatting>
  <conditionalFormatting sqref="D189">
    <cfRule type="cellIs" dxfId="371" priority="109" stopIfTrue="1" operator="notEqual">
      <formula>""</formula>
    </cfRule>
    <cfRule type="cellIs" dxfId="370" priority="110" stopIfTrue="1" operator="equal">
      <formula>""</formula>
    </cfRule>
  </conditionalFormatting>
  <conditionalFormatting sqref="D192 D194:D202 D204:D206">
    <cfRule type="cellIs" dxfId="369" priority="111" stopIfTrue="1" operator="notEqual">
      <formula>""</formula>
    </cfRule>
    <cfRule type="cellIs" dxfId="368" priority="112" stopIfTrue="1" operator="equal">
      <formula>""</formula>
    </cfRule>
  </conditionalFormatting>
  <conditionalFormatting sqref="F190:F192 F194:F206">
    <cfRule type="cellIs" dxfId="367" priority="113" stopIfTrue="1" operator="notEqual">
      <formula>""</formula>
    </cfRule>
    <cfRule type="cellIs" dxfId="366" priority="114" stopIfTrue="1" operator="equal">
      <formula>""</formula>
    </cfRule>
  </conditionalFormatting>
  <conditionalFormatting sqref="D174">
    <cfRule type="cellIs" dxfId="365" priority="115" stopIfTrue="1" operator="notEqual">
      <formula>""</formula>
    </cfRule>
    <cfRule type="cellIs" dxfId="364" priority="116" stopIfTrue="1" operator="equal">
      <formula>""</formula>
    </cfRule>
  </conditionalFormatting>
  <conditionalFormatting sqref="F185">
    <cfRule type="cellIs" dxfId="363" priority="117" stopIfTrue="1" operator="notEqual">
      <formula>""</formula>
    </cfRule>
    <cfRule type="cellIs" dxfId="362" priority="118" stopIfTrue="1" operator="equal">
      <formula>""</formula>
    </cfRule>
  </conditionalFormatting>
  <conditionalFormatting sqref="D185">
    <cfRule type="cellIs" dxfId="361" priority="119" stopIfTrue="1" operator="notEqual">
      <formula>""</formula>
    </cfRule>
    <cfRule type="cellIs" dxfId="360" priority="120" stopIfTrue="1" operator="equal">
      <formula>""</formula>
    </cfRule>
  </conditionalFormatting>
  <conditionalFormatting sqref="D190">
    <cfRule type="cellIs" dxfId="359" priority="121" stopIfTrue="1" operator="notEqual">
      <formula>""</formula>
    </cfRule>
    <cfRule type="cellIs" dxfId="358" priority="122" stopIfTrue="1" operator="equal">
      <formula>""</formula>
    </cfRule>
  </conditionalFormatting>
  <conditionalFormatting sqref="D191">
    <cfRule type="cellIs" dxfId="357" priority="123" stopIfTrue="1" operator="notEqual">
      <formula>""</formula>
    </cfRule>
    <cfRule type="cellIs" dxfId="356" priority="124" stopIfTrue="1" operator="equal">
      <formula>""</formula>
    </cfRule>
  </conditionalFormatting>
  <conditionalFormatting sqref="D19">
    <cfRule type="cellIs" dxfId="355" priority="125" stopIfTrue="1" operator="notEqual">
      <formula>""</formula>
    </cfRule>
    <cfRule type="cellIs" dxfId="354" priority="126" stopIfTrue="1" operator="equal">
      <formula>""</formula>
    </cfRule>
  </conditionalFormatting>
  <conditionalFormatting sqref="D46">
    <cfRule type="cellIs" dxfId="353" priority="127" stopIfTrue="1" operator="notEqual">
      <formula>""</formula>
    </cfRule>
    <cfRule type="cellIs" dxfId="352" priority="128" stopIfTrue="1" operator="equal">
      <formula>""</formula>
    </cfRule>
  </conditionalFormatting>
  <conditionalFormatting sqref="D99:D100">
    <cfRule type="cellIs" dxfId="351" priority="129" stopIfTrue="1" operator="notEqual">
      <formula>""</formula>
    </cfRule>
    <cfRule type="cellIs" dxfId="350" priority="130" stopIfTrue="1" operator="equal">
      <formula>""</formula>
    </cfRule>
  </conditionalFormatting>
  <conditionalFormatting sqref="D130">
    <cfRule type="cellIs" dxfId="349" priority="131" stopIfTrue="1" operator="notEqual">
      <formula>""</formula>
    </cfRule>
    <cfRule type="cellIs" dxfId="348" priority="132" stopIfTrue="1" operator="equal">
      <formula>""</formula>
    </cfRule>
  </conditionalFormatting>
  <conditionalFormatting sqref="D131">
    <cfRule type="cellIs" dxfId="347" priority="133" stopIfTrue="1" operator="notEqual">
      <formula>""</formula>
    </cfRule>
    <cfRule type="cellIs" dxfId="346" priority="134" stopIfTrue="1" operator="equal">
      <formula>""</formula>
    </cfRule>
  </conditionalFormatting>
  <conditionalFormatting sqref="D184">
    <cfRule type="cellIs" dxfId="345" priority="135" stopIfTrue="1" operator="notEqual">
      <formula>""</formula>
    </cfRule>
    <cfRule type="cellIs" dxfId="344" priority="136" stopIfTrue="1" operator="equal">
      <formula>""</formula>
    </cfRule>
  </conditionalFormatting>
  <conditionalFormatting sqref="D137:D139 D141:D143">
    <cfRule type="cellIs" dxfId="343" priority="137" stopIfTrue="1" operator="notEqual">
      <formula>""</formula>
    </cfRule>
    <cfRule type="cellIs" dxfId="342" priority="138" stopIfTrue="1" operator="equal">
      <formula>""</formula>
    </cfRule>
  </conditionalFormatting>
  <conditionalFormatting sqref="D110:D114">
    <cfRule type="cellIs" dxfId="341" priority="139" stopIfTrue="1" operator="notEqual">
      <formula>""</formula>
    </cfRule>
    <cfRule type="cellIs" dxfId="340" priority="140" stopIfTrue="1" operator="equal">
      <formula>""</formula>
    </cfRule>
  </conditionalFormatting>
  <conditionalFormatting sqref="F186">
    <cfRule type="cellIs" dxfId="339" priority="141" stopIfTrue="1" operator="notEqual">
      <formula>""</formula>
    </cfRule>
    <cfRule type="cellIs" dxfId="338" priority="142" stopIfTrue="1" operator="equal">
      <formula>""</formula>
    </cfRule>
  </conditionalFormatting>
  <conditionalFormatting sqref="D186">
    <cfRule type="cellIs" dxfId="337" priority="143" stopIfTrue="1" operator="notEqual">
      <formula>""</formula>
    </cfRule>
    <cfRule type="cellIs" dxfId="336" priority="144" stopIfTrue="1" operator="equal">
      <formula>""</formula>
    </cfRule>
  </conditionalFormatting>
  <conditionalFormatting sqref="F193">
    <cfRule type="cellIs" dxfId="335" priority="145" stopIfTrue="1" operator="notEqual">
      <formula>""</formula>
    </cfRule>
    <cfRule type="cellIs" dxfId="334" priority="146" stopIfTrue="1" operator="equal">
      <formula>""</formula>
    </cfRule>
  </conditionalFormatting>
  <conditionalFormatting sqref="D193">
    <cfRule type="cellIs" dxfId="333" priority="147" stopIfTrue="1" operator="notEqual">
      <formula>""</formula>
    </cfRule>
    <cfRule type="cellIs" dxfId="332" priority="148" stopIfTrue="1" operator="equal">
      <formula>""</formula>
    </cfRule>
  </conditionalFormatting>
  <conditionalFormatting sqref="D132">
    <cfRule type="cellIs" dxfId="331" priority="149" stopIfTrue="1" operator="notEqual">
      <formula>""</formula>
    </cfRule>
    <cfRule type="cellIs" dxfId="330" priority="150" stopIfTrue="1" operator="equal">
      <formula>""</formula>
    </cfRule>
  </conditionalFormatting>
  <conditionalFormatting sqref="D144:D155">
    <cfRule type="cellIs" dxfId="329" priority="151" stopIfTrue="1" operator="notEqual">
      <formula>""</formula>
    </cfRule>
    <cfRule type="cellIs" dxfId="328" priority="152" stopIfTrue="1" operator="equal">
      <formula>""</formula>
    </cfRule>
  </conditionalFormatting>
  <conditionalFormatting sqref="D125:D126">
    <cfRule type="cellIs" dxfId="327" priority="153" stopIfTrue="1" operator="notEqual">
      <formula>""</formula>
    </cfRule>
    <cfRule type="cellIs" dxfId="326" priority="154" stopIfTrue="1" operator="equal">
      <formula>""</formula>
    </cfRule>
  </conditionalFormatting>
  <conditionalFormatting sqref="D203">
    <cfRule type="cellIs" dxfId="325" priority="155" stopIfTrue="1" operator="notEqual">
      <formula>""</formula>
    </cfRule>
    <cfRule type="cellIs" dxfId="324" priority="156" stopIfTrue="1" operator="equal">
      <formula>""</formula>
    </cfRule>
  </conditionalFormatting>
  <conditionalFormatting sqref="D103">
    <cfRule type="cellIs" dxfId="323" priority="157" stopIfTrue="1" operator="notEqual">
      <formula>""</formula>
    </cfRule>
    <cfRule type="cellIs" dxfId="322" priority="158" stopIfTrue="1" operator="equal">
      <formula>""</formula>
    </cfRule>
  </conditionalFormatting>
  <conditionalFormatting sqref="F103">
    <cfRule type="cellIs" dxfId="321" priority="159" stopIfTrue="1" operator="notEqual">
      <formula>""</formula>
    </cfRule>
    <cfRule type="cellIs" dxfId="320" priority="160" stopIfTrue="1" operator="equal">
      <formula>""</formula>
    </cfRule>
  </conditionalFormatting>
  <conditionalFormatting sqref="D140">
    <cfRule type="cellIs" dxfId="319" priority="161" stopIfTrue="1" operator="notEqual">
      <formula>""</formula>
    </cfRule>
    <cfRule type="cellIs" dxfId="318" priority="162" stopIfTrue="1" operator="equal">
      <formula>""</formula>
    </cfRule>
  </conditionalFormatting>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zoomScale="80" zoomScaleNormal="80" workbookViewId="0">
      <selection activeCell="D16" sqref="D16"/>
    </sheetView>
  </sheetViews>
  <sheetFormatPr defaultColWidth="9" defaultRowHeight="16.5"/>
  <cols>
    <col min="1" max="1" width="21" style="161" customWidth="1"/>
    <col min="2" max="2" width="14" style="162" customWidth="1"/>
    <col min="3" max="3" width="12.75" style="161" customWidth="1"/>
    <col min="4" max="4" width="12.25" style="161" customWidth="1"/>
    <col min="5" max="5" width="13.75" style="161" customWidth="1"/>
    <col min="6" max="6" width="12.25" style="161" customWidth="1"/>
    <col min="7" max="9" width="10.25" style="161" customWidth="1"/>
    <col min="10" max="11" width="10.125" style="161" customWidth="1"/>
    <col min="12" max="12" width="10.75" style="161" customWidth="1"/>
    <col min="13" max="13" width="11.75" style="161" customWidth="1"/>
    <col min="14" max="14" width="11.5" style="161" customWidth="1"/>
    <col min="15" max="15" width="16.875" style="161" customWidth="1"/>
    <col min="16" max="20" width="9" style="161"/>
    <col min="21" max="21" width="11.75" style="161" customWidth="1"/>
    <col min="22" max="22" width="9.875" style="161" customWidth="1"/>
    <col min="23" max="23" width="10.625" style="161" customWidth="1"/>
    <col min="24" max="24" width="12.75" style="161" customWidth="1"/>
    <col min="25" max="25" width="11.75" style="161" customWidth="1"/>
    <col min="26" max="26" width="9.875" style="161" customWidth="1"/>
    <col min="27" max="27" width="10.625" style="161" customWidth="1"/>
    <col min="28" max="28" width="12.75" style="161" customWidth="1"/>
    <col min="29" max="29" width="12.125" style="161" customWidth="1"/>
    <col min="30" max="30" width="10.625" style="161" customWidth="1"/>
    <col min="31" max="31" width="10.875" style="161" customWidth="1"/>
    <col min="32" max="32" width="11.25" style="161" customWidth="1"/>
    <col min="33" max="254" width="9" style="161"/>
    <col min="255" max="255" width="15.875" style="161" customWidth="1"/>
    <col min="256" max="256" width="14" style="161" customWidth="1"/>
    <col min="257" max="257" width="12.75" style="161" customWidth="1"/>
    <col min="258" max="258" width="12.25" style="161" customWidth="1"/>
    <col min="259" max="259" width="13.75" style="161" customWidth="1"/>
    <col min="260" max="260" width="9.625" style="161" customWidth="1"/>
    <col min="261" max="261" width="10.25" style="161" customWidth="1"/>
    <col min="262" max="262" width="10.125" style="161" customWidth="1"/>
    <col min="263" max="263" width="7" style="161" customWidth="1"/>
    <col min="264" max="264" width="11.75" style="161" customWidth="1"/>
    <col min="265" max="265" width="11.5" style="161" customWidth="1"/>
    <col min="266" max="266" width="9.75" style="161" customWidth="1"/>
    <col min="267" max="267" width="10.25" style="161" customWidth="1"/>
    <col min="268" max="268" width="9.25" style="161" customWidth="1"/>
    <col min="269" max="269" width="9.5" style="161" customWidth="1"/>
    <col min="270" max="270" width="10.125" style="161" customWidth="1"/>
    <col min="271" max="271" width="16.875" style="161" customWidth="1"/>
    <col min="272" max="276" width="9" style="161"/>
    <col min="277" max="277" width="11.75" style="161" customWidth="1"/>
    <col min="278" max="278" width="9.875" style="161" customWidth="1"/>
    <col min="279" max="279" width="10.625" style="161" customWidth="1"/>
    <col min="280" max="280" width="12.75" style="161" customWidth="1"/>
    <col min="281" max="281" width="11.75" style="161" customWidth="1"/>
    <col min="282" max="282" width="9.875" style="161" customWidth="1"/>
    <col min="283" max="283" width="10.625" style="161" customWidth="1"/>
    <col min="284" max="284" width="12.75" style="161" customWidth="1"/>
    <col min="285" max="285" width="12.125" style="161" customWidth="1"/>
    <col min="286" max="286" width="10.625" style="161" customWidth="1"/>
    <col min="287" max="287" width="10.875" style="161" customWidth="1"/>
    <col min="288" max="288" width="11.25" style="161" customWidth="1"/>
    <col min="289" max="510" width="9" style="161"/>
    <col min="511" max="511" width="15.875" style="161" customWidth="1"/>
    <col min="512" max="512" width="14" style="161" customWidth="1"/>
    <col min="513" max="513" width="12.75" style="161" customWidth="1"/>
    <col min="514" max="514" width="12.25" style="161" customWidth="1"/>
    <col min="515" max="515" width="13.75" style="161" customWidth="1"/>
    <col min="516" max="516" width="9.625" style="161" customWidth="1"/>
    <col min="517" max="517" width="10.25" style="161" customWidth="1"/>
    <col min="518" max="518" width="10.125" style="161" customWidth="1"/>
    <col min="519" max="519" width="7" style="161" customWidth="1"/>
    <col min="520" max="520" width="11.75" style="161" customWidth="1"/>
    <col min="521" max="521" width="11.5" style="161" customWidth="1"/>
    <col min="522" max="522" width="9.75" style="161" customWidth="1"/>
    <col min="523" max="523" width="10.25" style="161" customWidth="1"/>
    <col min="524" max="524" width="9.25" style="161" customWidth="1"/>
    <col min="525" max="525" width="9.5" style="161" customWidth="1"/>
    <col min="526" max="526" width="10.125" style="161" customWidth="1"/>
    <col min="527" max="527" width="16.875" style="161" customWidth="1"/>
    <col min="528" max="532" width="9" style="161"/>
    <col min="533" max="533" width="11.75" style="161" customWidth="1"/>
    <col min="534" max="534" width="9.875" style="161" customWidth="1"/>
    <col min="535" max="535" width="10.625" style="161" customWidth="1"/>
    <col min="536" max="536" width="12.75" style="161" customWidth="1"/>
    <col min="537" max="537" width="11.75" style="161" customWidth="1"/>
    <col min="538" max="538" width="9.875" style="161" customWidth="1"/>
    <col min="539" max="539" width="10.625" style="161" customWidth="1"/>
    <col min="540" max="540" width="12.75" style="161" customWidth="1"/>
    <col min="541" max="541" width="12.125" style="161" customWidth="1"/>
    <col min="542" max="542" width="10.625" style="161" customWidth="1"/>
    <col min="543" max="543" width="10.875" style="161" customWidth="1"/>
    <col min="544" max="544" width="11.25" style="161" customWidth="1"/>
    <col min="545" max="766" width="9" style="161"/>
    <col min="767" max="767" width="15.875" style="161" customWidth="1"/>
    <col min="768" max="768" width="14" style="161" customWidth="1"/>
    <col min="769" max="769" width="12.75" style="161" customWidth="1"/>
    <col min="770" max="770" width="12.25" style="161" customWidth="1"/>
    <col min="771" max="771" width="13.75" style="161" customWidth="1"/>
    <col min="772" max="772" width="9.625" style="161" customWidth="1"/>
    <col min="773" max="773" width="10.25" style="161" customWidth="1"/>
    <col min="774" max="774" width="10.125" style="161" customWidth="1"/>
    <col min="775" max="775" width="7" style="161" customWidth="1"/>
    <col min="776" max="776" width="11.75" style="161" customWidth="1"/>
    <col min="777" max="777" width="11.5" style="161" customWidth="1"/>
    <col min="778" max="778" width="9.75" style="161" customWidth="1"/>
    <col min="779" max="779" width="10.25" style="161" customWidth="1"/>
    <col min="780" max="780" width="9.25" style="161" customWidth="1"/>
    <col min="781" max="781" width="9.5" style="161" customWidth="1"/>
    <col min="782" max="782" width="10.125" style="161" customWidth="1"/>
    <col min="783" max="783" width="16.875" style="161" customWidth="1"/>
    <col min="784" max="788" width="9" style="161"/>
    <col min="789" max="789" width="11.75" style="161" customWidth="1"/>
    <col min="790" max="790" width="9.875" style="161" customWidth="1"/>
    <col min="791" max="791" width="10.625" style="161" customWidth="1"/>
    <col min="792" max="792" width="12.75" style="161" customWidth="1"/>
    <col min="793" max="793" width="11.75" style="161" customWidth="1"/>
    <col min="794" max="794" width="9.875" style="161" customWidth="1"/>
    <col min="795" max="795" width="10.625" style="161" customWidth="1"/>
    <col min="796" max="796" width="12.75" style="161" customWidth="1"/>
    <col min="797" max="797" width="12.125" style="161" customWidth="1"/>
    <col min="798" max="798" width="10.625" style="161" customWidth="1"/>
    <col min="799" max="799" width="10.875" style="161" customWidth="1"/>
    <col min="800" max="800" width="11.25" style="161" customWidth="1"/>
    <col min="801" max="1022" width="9" style="161"/>
    <col min="1023" max="1023" width="15.875" style="161" customWidth="1"/>
    <col min="1024" max="1024" width="14" style="161" customWidth="1"/>
    <col min="1025" max="1025" width="12.75" style="161" customWidth="1"/>
    <col min="1026" max="1026" width="12.25" style="161" customWidth="1"/>
    <col min="1027" max="1027" width="13.75" style="161" customWidth="1"/>
    <col min="1028" max="1028" width="9.625" style="161" customWidth="1"/>
    <col min="1029" max="1029" width="10.25" style="161" customWidth="1"/>
    <col min="1030" max="1030" width="10.125" style="161" customWidth="1"/>
    <col min="1031" max="1031" width="7" style="161" customWidth="1"/>
    <col min="1032" max="1032" width="11.75" style="161" customWidth="1"/>
    <col min="1033" max="1033" width="11.5" style="161" customWidth="1"/>
    <col min="1034" max="1034" width="9.75" style="161" customWidth="1"/>
    <col min="1035" max="1035" width="10.25" style="161" customWidth="1"/>
    <col min="1036" max="1036" width="9.25" style="161" customWidth="1"/>
    <col min="1037" max="1037" width="9.5" style="161" customWidth="1"/>
    <col min="1038" max="1038" width="10.125" style="161" customWidth="1"/>
    <col min="1039" max="1039" width="16.875" style="161" customWidth="1"/>
    <col min="1040" max="1044" width="9" style="161"/>
    <col min="1045" max="1045" width="11.75" style="161" customWidth="1"/>
    <col min="1046" max="1046" width="9.875" style="161" customWidth="1"/>
    <col min="1047" max="1047" width="10.625" style="161" customWidth="1"/>
    <col min="1048" max="1048" width="12.75" style="161" customWidth="1"/>
    <col min="1049" max="1049" width="11.75" style="161" customWidth="1"/>
    <col min="1050" max="1050" width="9.875" style="161" customWidth="1"/>
    <col min="1051" max="1051" width="10.625" style="161" customWidth="1"/>
    <col min="1052" max="1052" width="12.75" style="161" customWidth="1"/>
    <col min="1053" max="1053" width="12.125" style="161" customWidth="1"/>
    <col min="1054" max="1054" width="10.625" style="161" customWidth="1"/>
    <col min="1055" max="1055" width="10.875" style="161" customWidth="1"/>
    <col min="1056" max="1056" width="11.25" style="161" customWidth="1"/>
    <col min="1057" max="1278" width="9" style="161"/>
    <col min="1279" max="1279" width="15.875" style="161" customWidth="1"/>
    <col min="1280" max="1280" width="14" style="161" customWidth="1"/>
    <col min="1281" max="1281" width="12.75" style="161" customWidth="1"/>
    <col min="1282" max="1282" width="12.25" style="161" customWidth="1"/>
    <col min="1283" max="1283" width="13.75" style="161" customWidth="1"/>
    <col min="1284" max="1284" width="9.625" style="161" customWidth="1"/>
    <col min="1285" max="1285" width="10.25" style="161" customWidth="1"/>
    <col min="1286" max="1286" width="10.125" style="161" customWidth="1"/>
    <col min="1287" max="1287" width="7" style="161" customWidth="1"/>
    <col min="1288" max="1288" width="11.75" style="161" customWidth="1"/>
    <col min="1289" max="1289" width="11.5" style="161" customWidth="1"/>
    <col min="1290" max="1290" width="9.75" style="161" customWidth="1"/>
    <col min="1291" max="1291" width="10.25" style="161" customWidth="1"/>
    <col min="1292" max="1292" width="9.25" style="161" customWidth="1"/>
    <col min="1293" max="1293" width="9.5" style="161" customWidth="1"/>
    <col min="1294" max="1294" width="10.125" style="161" customWidth="1"/>
    <col min="1295" max="1295" width="16.875" style="161" customWidth="1"/>
    <col min="1296" max="1300" width="9" style="161"/>
    <col min="1301" max="1301" width="11.75" style="161" customWidth="1"/>
    <col min="1302" max="1302" width="9.875" style="161" customWidth="1"/>
    <col min="1303" max="1303" width="10.625" style="161" customWidth="1"/>
    <col min="1304" max="1304" width="12.75" style="161" customWidth="1"/>
    <col min="1305" max="1305" width="11.75" style="161" customWidth="1"/>
    <col min="1306" max="1306" width="9.875" style="161" customWidth="1"/>
    <col min="1307" max="1307" width="10.625" style="161" customWidth="1"/>
    <col min="1308" max="1308" width="12.75" style="161" customWidth="1"/>
    <col min="1309" max="1309" width="12.125" style="161" customWidth="1"/>
    <col min="1310" max="1310" width="10.625" style="161" customWidth="1"/>
    <col min="1311" max="1311" width="10.875" style="161" customWidth="1"/>
    <col min="1312" max="1312" width="11.25" style="161" customWidth="1"/>
    <col min="1313" max="1534" width="9" style="161"/>
    <col min="1535" max="1535" width="15.875" style="161" customWidth="1"/>
    <col min="1536" max="1536" width="14" style="161" customWidth="1"/>
    <col min="1537" max="1537" width="12.75" style="161" customWidth="1"/>
    <col min="1538" max="1538" width="12.25" style="161" customWidth="1"/>
    <col min="1539" max="1539" width="13.75" style="161" customWidth="1"/>
    <col min="1540" max="1540" width="9.625" style="161" customWidth="1"/>
    <col min="1541" max="1541" width="10.25" style="161" customWidth="1"/>
    <col min="1542" max="1542" width="10.125" style="161" customWidth="1"/>
    <col min="1543" max="1543" width="7" style="161" customWidth="1"/>
    <col min="1544" max="1544" width="11.75" style="161" customWidth="1"/>
    <col min="1545" max="1545" width="11.5" style="161" customWidth="1"/>
    <col min="1546" max="1546" width="9.75" style="161" customWidth="1"/>
    <col min="1547" max="1547" width="10.25" style="161" customWidth="1"/>
    <col min="1548" max="1548" width="9.25" style="161" customWidth="1"/>
    <col min="1549" max="1549" width="9.5" style="161" customWidth="1"/>
    <col min="1550" max="1550" width="10.125" style="161" customWidth="1"/>
    <col min="1551" max="1551" width="16.875" style="161" customWidth="1"/>
    <col min="1552" max="1556" width="9" style="161"/>
    <col min="1557" max="1557" width="11.75" style="161" customWidth="1"/>
    <col min="1558" max="1558" width="9.875" style="161" customWidth="1"/>
    <col min="1559" max="1559" width="10.625" style="161" customWidth="1"/>
    <col min="1560" max="1560" width="12.75" style="161" customWidth="1"/>
    <col min="1561" max="1561" width="11.75" style="161" customWidth="1"/>
    <col min="1562" max="1562" width="9.875" style="161" customWidth="1"/>
    <col min="1563" max="1563" width="10.625" style="161" customWidth="1"/>
    <col min="1564" max="1564" width="12.75" style="161" customWidth="1"/>
    <col min="1565" max="1565" width="12.125" style="161" customWidth="1"/>
    <col min="1566" max="1566" width="10.625" style="161" customWidth="1"/>
    <col min="1567" max="1567" width="10.875" style="161" customWidth="1"/>
    <col min="1568" max="1568" width="11.25" style="161" customWidth="1"/>
    <col min="1569" max="1790" width="9" style="161"/>
    <col min="1791" max="1791" width="15.875" style="161" customWidth="1"/>
    <col min="1792" max="1792" width="14" style="161" customWidth="1"/>
    <col min="1793" max="1793" width="12.75" style="161" customWidth="1"/>
    <col min="1794" max="1794" width="12.25" style="161" customWidth="1"/>
    <col min="1795" max="1795" width="13.75" style="161" customWidth="1"/>
    <col min="1796" max="1796" width="9.625" style="161" customWidth="1"/>
    <col min="1797" max="1797" width="10.25" style="161" customWidth="1"/>
    <col min="1798" max="1798" width="10.125" style="161" customWidth="1"/>
    <col min="1799" max="1799" width="7" style="161" customWidth="1"/>
    <col min="1800" max="1800" width="11.75" style="161" customWidth="1"/>
    <col min="1801" max="1801" width="11.5" style="161" customWidth="1"/>
    <col min="1802" max="1802" width="9.75" style="161" customWidth="1"/>
    <col min="1803" max="1803" width="10.25" style="161" customWidth="1"/>
    <col min="1804" max="1804" width="9.25" style="161" customWidth="1"/>
    <col min="1805" max="1805" width="9.5" style="161" customWidth="1"/>
    <col min="1806" max="1806" width="10.125" style="161" customWidth="1"/>
    <col min="1807" max="1807" width="16.875" style="161" customWidth="1"/>
    <col min="1808" max="1812" width="9" style="161"/>
    <col min="1813" max="1813" width="11.75" style="161" customWidth="1"/>
    <col min="1814" max="1814" width="9.875" style="161" customWidth="1"/>
    <col min="1815" max="1815" width="10.625" style="161" customWidth="1"/>
    <col min="1816" max="1816" width="12.75" style="161" customWidth="1"/>
    <col min="1817" max="1817" width="11.75" style="161" customWidth="1"/>
    <col min="1818" max="1818" width="9.875" style="161" customWidth="1"/>
    <col min="1819" max="1819" width="10.625" style="161" customWidth="1"/>
    <col min="1820" max="1820" width="12.75" style="161" customWidth="1"/>
    <col min="1821" max="1821" width="12.125" style="161" customWidth="1"/>
    <col min="1822" max="1822" width="10.625" style="161" customWidth="1"/>
    <col min="1823" max="1823" width="10.875" style="161" customWidth="1"/>
    <col min="1824" max="1824" width="11.25" style="161" customWidth="1"/>
    <col min="1825" max="2046" width="9" style="161"/>
    <col min="2047" max="2047" width="15.875" style="161" customWidth="1"/>
    <col min="2048" max="2048" width="14" style="161" customWidth="1"/>
    <col min="2049" max="2049" width="12.75" style="161" customWidth="1"/>
    <col min="2050" max="2050" width="12.25" style="161" customWidth="1"/>
    <col min="2051" max="2051" width="13.75" style="161" customWidth="1"/>
    <col min="2052" max="2052" width="9.625" style="161" customWidth="1"/>
    <col min="2053" max="2053" width="10.25" style="161" customWidth="1"/>
    <col min="2054" max="2054" width="10.125" style="161" customWidth="1"/>
    <col min="2055" max="2055" width="7" style="161" customWidth="1"/>
    <col min="2056" max="2056" width="11.75" style="161" customWidth="1"/>
    <col min="2057" max="2057" width="11.5" style="161" customWidth="1"/>
    <col min="2058" max="2058" width="9.75" style="161" customWidth="1"/>
    <col min="2059" max="2059" width="10.25" style="161" customWidth="1"/>
    <col min="2060" max="2060" width="9.25" style="161" customWidth="1"/>
    <col min="2061" max="2061" width="9.5" style="161" customWidth="1"/>
    <col min="2062" max="2062" width="10.125" style="161" customWidth="1"/>
    <col min="2063" max="2063" width="16.875" style="161" customWidth="1"/>
    <col min="2064" max="2068" width="9" style="161"/>
    <col min="2069" max="2069" width="11.75" style="161" customWidth="1"/>
    <col min="2070" max="2070" width="9.875" style="161" customWidth="1"/>
    <col min="2071" max="2071" width="10.625" style="161" customWidth="1"/>
    <col min="2072" max="2072" width="12.75" style="161" customWidth="1"/>
    <col min="2073" max="2073" width="11.75" style="161" customWidth="1"/>
    <col min="2074" max="2074" width="9.875" style="161" customWidth="1"/>
    <col min="2075" max="2075" width="10.625" style="161" customWidth="1"/>
    <col min="2076" max="2076" width="12.75" style="161" customWidth="1"/>
    <col min="2077" max="2077" width="12.125" style="161" customWidth="1"/>
    <col min="2078" max="2078" width="10.625" style="161" customWidth="1"/>
    <col min="2079" max="2079" width="10.875" style="161" customWidth="1"/>
    <col min="2080" max="2080" width="11.25" style="161" customWidth="1"/>
    <col min="2081" max="2302" width="9" style="161"/>
    <col min="2303" max="2303" width="15.875" style="161" customWidth="1"/>
    <col min="2304" max="2304" width="14" style="161" customWidth="1"/>
    <col min="2305" max="2305" width="12.75" style="161" customWidth="1"/>
    <col min="2306" max="2306" width="12.25" style="161" customWidth="1"/>
    <col min="2307" max="2307" width="13.75" style="161" customWidth="1"/>
    <col min="2308" max="2308" width="9.625" style="161" customWidth="1"/>
    <col min="2309" max="2309" width="10.25" style="161" customWidth="1"/>
    <col min="2310" max="2310" width="10.125" style="161" customWidth="1"/>
    <col min="2311" max="2311" width="7" style="161" customWidth="1"/>
    <col min="2312" max="2312" width="11.75" style="161" customWidth="1"/>
    <col min="2313" max="2313" width="11.5" style="161" customWidth="1"/>
    <col min="2314" max="2314" width="9.75" style="161" customWidth="1"/>
    <col min="2315" max="2315" width="10.25" style="161" customWidth="1"/>
    <col min="2316" max="2316" width="9.25" style="161" customWidth="1"/>
    <col min="2317" max="2317" width="9.5" style="161" customWidth="1"/>
    <col min="2318" max="2318" width="10.125" style="161" customWidth="1"/>
    <col min="2319" max="2319" width="16.875" style="161" customWidth="1"/>
    <col min="2320" max="2324" width="9" style="161"/>
    <col min="2325" max="2325" width="11.75" style="161" customWidth="1"/>
    <col min="2326" max="2326" width="9.875" style="161" customWidth="1"/>
    <col min="2327" max="2327" width="10.625" style="161" customWidth="1"/>
    <col min="2328" max="2328" width="12.75" style="161" customWidth="1"/>
    <col min="2329" max="2329" width="11.75" style="161" customWidth="1"/>
    <col min="2330" max="2330" width="9.875" style="161" customWidth="1"/>
    <col min="2331" max="2331" width="10.625" style="161" customWidth="1"/>
    <col min="2332" max="2332" width="12.75" style="161" customWidth="1"/>
    <col min="2333" max="2333" width="12.125" style="161" customWidth="1"/>
    <col min="2334" max="2334" width="10.625" style="161" customWidth="1"/>
    <col min="2335" max="2335" width="10.875" style="161" customWidth="1"/>
    <col min="2336" max="2336" width="11.25" style="161" customWidth="1"/>
    <col min="2337" max="2558" width="9" style="161"/>
    <col min="2559" max="2559" width="15.875" style="161" customWidth="1"/>
    <col min="2560" max="2560" width="14" style="161" customWidth="1"/>
    <col min="2561" max="2561" width="12.75" style="161" customWidth="1"/>
    <col min="2562" max="2562" width="12.25" style="161" customWidth="1"/>
    <col min="2563" max="2563" width="13.75" style="161" customWidth="1"/>
    <col min="2564" max="2564" width="9.625" style="161" customWidth="1"/>
    <col min="2565" max="2565" width="10.25" style="161" customWidth="1"/>
    <col min="2566" max="2566" width="10.125" style="161" customWidth="1"/>
    <col min="2567" max="2567" width="7" style="161" customWidth="1"/>
    <col min="2568" max="2568" width="11.75" style="161" customWidth="1"/>
    <col min="2569" max="2569" width="11.5" style="161" customWidth="1"/>
    <col min="2570" max="2570" width="9.75" style="161" customWidth="1"/>
    <col min="2571" max="2571" width="10.25" style="161" customWidth="1"/>
    <col min="2572" max="2572" width="9.25" style="161" customWidth="1"/>
    <col min="2573" max="2573" width="9.5" style="161" customWidth="1"/>
    <col min="2574" max="2574" width="10.125" style="161" customWidth="1"/>
    <col min="2575" max="2575" width="16.875" style="161" customWidth="1"/>
    <col min="2576" max="2580" width="9" style="161"/>
    <col min="2581" max="2581" width="11.75" style="161" customWidth="1"/>
    <col min="2582" max="2582" width="9.875" style="161" customWidth="1"/>
    <col min="2583" max="2583" width="10.625" style="161" customWidth="1"/>
    <col min="2584" max="2584" width="12.75" style="161" customWidth="1"/>
    <col min="2585" max="2585" width="11.75" style="161" customWidth="1"/>
    <col min="2586" max="2586" width="9.875" style="161" customWidth="1"/>
    <col min="2587" max="2587" width="10.625" style="161" customWidth="1"/>
    <col min="2588" max="2588" width="12.75" style="161" customWidth="1"/>
    <col min="2589" max="2589" width="12.125" style="161" customWidth="1"/>
    <col min="2590" max="2590" width="10.625" style="161" customWidth="1"/>
    <col min="2591" max="2591" width="10.875" style="161" customWidth="1"/>
    <col min="2592" max="2592" width="11.25" style="161" customWidth="1"/>
    <col min="2593" max="2814" width="9" style="161"/>
    <col min="2815" max="2815" width="15.875" style="161" customWidth="1"/>
    <col min="2816" max="2816" width="14" style="161" customWidth="1"/>
    <col min="2817" max="2817" width="12.75" style="161" customWidth="1"/>
    <col min="2818" max="2818" width="12.25" style="161" customWidth="1"/>
    <col min="2819" max="2819" width="13.75" style="161" customWidth="1"/>
    <col min="2820" max="2820" width="9.625" style="161" customWidth="1"/>
    <col min="2821" max="2821" width="10.25" style="161" customWidth="1"/>
    <col min="2822" max="2822" width="10.125" style="161" customWidth="1"/>
    <col min="2823" max="2823" width="7" style="161" customWidth="1"/>
    <col min="2824" max="2824" width="11.75" style="161" customWidth="1"/>
    <col min="2825" max="2825" width="11.5" style="161" customWidth="1"/>
    <col min="2826" max="2826" width="9.75" style="161" customWidth="1"/>
    <col min="2827" max="2827" width="10.25" style="161" customWidth="1"/>
    <col min="2828" max="2828" width="9.25" style="161" customWidth="1"/>
    <col min="2829" max="2829" width="9.5" style="161" customWidth="1"/>
    <col min="2830" max="2830" width="10.125" style="161" customWidth="1"/>
    <col min="2831" max="2831" width="16.875" style="161" customWidth="1"/>
    <col min="2832" max="2836" width="9" style="161"/>
    <col min="2837" max="2837" width="11.75" style="161" customWidth="1"/>
    <col min="2838" max="2838" width="9.875" style="161" customWidth="1"/>
    <col min="2839" max="2839" width="10.625" style="161" customWidth="1"/>
    <col min="2840" max="2840" width="12.75" style="161" customWidth="1"/>
    <col min="2841" max="2841" width="11.75" style="161" customWidth="1"/>
    <col min="2842" max="2842" width="9.875" style="161" customWidth="1"/>
    <col min="2843" max="2843" width="10.625" style="161" customWidth="1"/>
    <col min="2844" max="2844" width="12.75" style="161" customWidth="1"/>
    <col min="2845" max="2845" width="12.125" style="161" customWidth="1"/>
    <col min="2846" max="2846" width="10.625" style="161" customWidth="1"/>
    <col min="2847" max="2847" width="10.875" style="161" customWidth="1"/>
    <col min="2848" max="2848" width="11.25" style="161" customWidth="1"/>
    <col min="2849" max="3070" width="9" style="161"/>
    <col min="3071" max="3071" width="15.875" style="161" customWidth="1"/>
    <col min="3072" max="3072" width="14" style="161" customWidth="1"/>
    <col min="3073" max="3073" width="12.75" style="161" customWidth="1"/>
    <col min="3074" max="3074" width="12.25" style="161" customWidth="1"/>
    <col min="3075" max="3075" width="13.75" style="161" customWidth="1"/>
    <col min="3076" max="3076" width="9.625" style="161" customWidth="1"/>
    <col min="3077" max="3077" width="10.25" style="161" customWidth="1"/>
    <col min="3078" max="3078" width="10.125" style="161" customWidth="1"/>
    <col min="3079" max="3079" width="7" style="161" customWidth="1"/>
    <col min="3080" max="3080" width="11.75" style="161" customWidth="1"/>
    <col min="3081" max="3081" width="11.5" style="161" customWidth="1"/>
    <col min="3082" max="3082" width="9.75" style="161" customWidth="1"/>
    <col min="3083" max="3083" width="10.25" style="161" customWidth="1"/>
    <col min="3084" max="3084" width="9.25" style="161" customWidth="1"/>
    <col min="3085" max="3085" width="9.5" style="161" customWidth="1"/>
    <col min="3086" max="3086" width="10.125" style="161" customWidth="1"/>
    <col min="3087" max="3087" width="16.875" style="161" customWidth="1"/>
    <col min="3088" max="3092" width="9" style="161"/>
    <col min="3093" max="3093" width="11.75" style="161" customWidth="1"/>
    <col min="3094" max="3094" width="9.875" style="161" customWidth="1"/>
    <col min="3095" max="3095" width="10.625" style="161" customWidth="1"/>
    <col min="3096" max="3096" width="12.75" style="161" customWidth="1"/>
    <col min="3097" max="3097" width="11.75" style="161" customWidth="1"/>
    <col min="3098" max="3098" width="9.875" style="161" customWidth="1"/>
    <col min="3099" max="3099" width="10.625" style="161" customWidth="1"/>
    <col min="3100" max="3100" width="12.75" style="161" customWidth="1"/>
    <col min="3101" max="3101" width="12.125" style="161" customWidth="1"/>
    <col min="3102" max="3102" width="10.625" style="161" customWidth="1"/>
    <col min="3103" max="3103" width="10.875" style="161" customWidth="1"/>
    <col min="3104" max="3104" width="11.25" style="161" customWidth="1"/>
    <col min="3105" max="3326" width="9" style="161"/>
    <col min="3327" max="3327" width="15.875" style="161" customWidth="1"/>
    <col min="3328" max="3328" width="14" style="161" customWidth="1"/>
    <col min="3329" max="3329" width="12.75" style="161" customWidth="1"/>
    <col min="3330" max="3330" width="12.25" style="161" customWidth="1"/>
    <col min="3331" max="3331" width="13.75" style="161" customWidth="1"/>
    <col min="3332" max="3332" width="9.625" style="161" customWidth="1"/>
    <col min="3333" max="3333" width="10.25" style="161" customWidth="1"/>
    <col min="3334" max="3334" width="10.125" style="161" customWidth="1"/>
    <col min="3335" max="3335" width="7" style="161" customWidth="1"/>
    <col min="3336" max="3336" width="11.75" style="161" customWidth="1"/>
    <col min="3337" max="3337" width="11.5" style="161" customWidth="1"/>
    <col min="3338" max="3338" width="9.75" style="161" customWidth="1"/>
    <col min="3339" max="3339" width="10.25" style="161" customWidth="1"/>
    <col min="3340" max="3340" width="9.25" style="161" customWidth="1"/>
    <col min="3341" max="3341" width="9.5" style="161" customWidth="1"/>
    <col min="3342" max="3342" width="10.125" style="161" customWidth="1"/>
    <col min="3343" max="3343" width="16.875" style="161" customWidth="1"/>
    <col min="3344" max="3348" width="9" style="161"/>
    <col min="3349" max="3349" width="11.75" style="161" customWidth="1"/>
    <col min="3350" max="3350" width="9.875" style="161" customWidth="1"/>
    <col min="3351" max="3351" width="10.625" style="161" customWidth="1"/>
    <col min="3352" max="3352" width="12.75" style="161" customWidth="1"/>
    <col min="3353" max="3353" width="11.75" style="161" customWidth="1"/>
    <col min="3354" max="3354" width="9.875" style="161" customWidth="1"/>
    <col min="3355" max="3355" width="10.625" style="161" customWidth="1"/>
    <col min="3356" max="3356" width="12.75" style="161" customWidth="1"/>
    <col min="3357" max="3357" width="12.125" style="161" customWidth="1"/>
    <col min="3358" max="3358" width="10.625" style="161" customWidth="1"/>
    <col min="3359" max="3359" width="10.875" style="161" customWidth="1"/>
    <col min="3360" max="3360" width="11.25" style="161" customWidth="1"/>
    <col min="3361" max="3582" width="9" style="161"/>
    <col min="3583" max="3583" width="15.875" style="161" customWidth="1"/>
    <col min="3584" max="3584" width="14" style="161" customWidth="1"/>
    <col min="3585" max="3585" width="12.75" style="161" customWidth="1"/>
    <col min="3586" max="3586" width="12.25" style="161" customWidth="1"/>
    <col min="3587" max="3587" width="13.75" style="161" customWidth="1"/>
    <col min="3588" max="3588" width="9.625" style="161" customWidth="1"/>
    <col min="3589" max="3589" width="10.25" style="161" customWidth="1"/>
    <col min="3590" max="3590" width="10.125" style="161" customWidth="1"/>
    <col min="3591" max="3591" width="7" style="161" customWidth="1"/>
    <col min="3592" max="3592" width="11.75" style="161" customWidth="1"/>
    <col min="3593" max="3593" width="11.5" style="161" customWidth="1"/>
    <col min="3594" max="3594" width="9.75" style="161" customWidth="1"/>
    <col min="3595" max="3595" width="10.25" style="161" customWidth="1"/>
    <col min="3596" max="3596" width="9.25" style="161" customWidth="1"/>
    <col min="3597" max="3597" width="9.5" style="161" customWidth="1"/>
    <col min="3598" max="3598" width="10.125" style="161" customWidth="1"/>
    <col min="3599" max="3599" width="16.875" style="161" customWidth="1"/>
    <col min="3600" max="3604" width="9" style="161"/>
    <col min="3605" max="3605" width="11.75" style="161" customWidth="1"/>
    <col min="3606" max="3606" width="9.875" style="161" customWidth="1"/>
    <col min="3607" max="3607" width="10.625" style="161" customWidth="1"/>
    <col min="3608" max="3608" width="12.75" style="161" customWidth="1"/>
    <col min="3609" max="3609" width="11.75" style="161" customWidth="1"/>
    <col min="3610" max="3610" width="9.875" style="161" customWidth="1"/>
    <col min="3611" max="3611" width="10.625" style="161" customWidth="1"/>
    <col min="3612" max="3612" width="12.75" style="161" customWidth="1"/>
    <col min="3613" max="3613" width="12.125" style="161" customWidth="1"/>
    <col min="3614" max="3614" width="10.625" style="161" customWidth="1"/>
    <col min="3615" max="3615" width="10.875" style="161" customWidth="1"/>
    <col min="3616" max="3616" width="11.25" style="161" customWidth="1"/>
    <col min="3617" max="3838" width="9" style="161"/>
    <col min="3839" max="3839" width="15.875" style="161" customWidth="1"/>
    <col min="3840" max="3840" width="14" style="161" customWidth="1"/>
    <col min="3841" max="3841" width="12.75" style="161" customWidth="1"/>
    <col min="3842" max="3842" width="12.25" style="161" customWidth="1"/>
    <col min="3843" max="3843" width="13.75" style="161" customWidth="1"/>
    <col min="3844" max="3844" width="9.625" style="161" customWidth="1"/>
    <col min="3845" max="3845" width="10.25" style="161" customWidth="1"/>
    <col min="3846" max="3846" width="10.125" style="161" customWidth="1"/>
    <col min="3847" max="3847" width="7" style="161" customWidth="1"/>
    <col min="3848" max="3848" width="11.75" style="161" customWidth="1"/>
    <col min="3849" max="3849" width="11.5" style="161" customWidth="1"/>
    <col min="3850" max="3850" width="9.75" style="161" customWidth="1"/>
    <col min="3851" max="3851" width="10.25" style="161" customWidth="1"/>
    <col min="3852" max="3852" width="9.25" style="161" customWidth="1"/>
    <col min="3853" max="3853" width="9.5" style="161" customWidth="1"/>
    <col min="3854" max="3854" width="10.125" style="161" customWidth="1"/>
    <col min="3855" max="3855" width="16.875" style="161" customWidth="1"/>
    <col min="3856" max="3860" width="9" style="161"/>
    <col min="3861" max="3861" width="11.75" style="161" customWidth="1"/>
    <col min="3862" max="3862" width="9.875" style="161" customWidth="1"/>
    <col min="3863" max="3863" width="10.625" style="161" customWidth="1"/>
    <col min="3864" max="3864" width="12.75" style="161" customWidth="1"/>
    <col min="3865" max="3865" width="11.75" style="161" customWidth="1"/>
    <col min="3866" max="3866" width="9.875" style="161" customWidth="1"/>
    <col min="3867" max="3867" width="10.625" style="161" customWidth="1"/>
    <col min="3868" max="3868" width="12.75" style="161" customWidth="1"/>
    <col min="3869" max="3869" width="12.125" style="161" customWidth="1"/>
    <col min="3870" max="3870" width="10.625" style="161" customWidth="1"/>
    <col min="3871" max="3871" width="10.875" style="161" customWidth="1"/>
    <col min="3872" max="3872" width="11.25" style="161" customWidth="1"/>
    <col min="3873" max="4094" width="9" style="161"/>
    <col min="4095" max="4095" width="15.875" style="161" customWidth="1"/>
    <col min="4096" max="4096" width="14" style="161" customWidth="1"/>
    <col min="4097" max="4097" width="12.75" style="161" customWidth="1"/>
    <col min="4098" max="4098" width="12.25" style="161" customWidth="1"/>
    <col min="4099" max="4099" width="13.75" style="161" customWidth="1"/>
    <col min="4100" max="4100" width="9.625" style="161" customWidth="1"/>
    <col min="4101" max="4101" width="10.25" style="161" customWidth="1"/>
    <col min="4102" max="4102" width="10.125" style="161" customWidth="1"/>
    <col min="4103" max="4103" width="7" style="161" customWidth="1"/>
    <col min="4104" max="4104" width="11.75" style="161" customWidth="1"/>
    <col min="4105" max="4105" width="11.5" style="161" customWidth="1"/>
    <col min="4106" max="4106" width="9.75" style="161" customWidth="1"/>
    <col min="4107" max="4107" width="10.25" style="161" customWidth="1"/>
    <col min="4108" max="4108" width="9.25" style="161" customWidth="1"/>
    <col min="4109" max="4109" width="9.5" style="161" customWidth="1"/>
    <col min="4110" max="4110" width="10.125" style="161" customWidth="1"/>
    <col min="4111" max="4111" width="16.875" style="161" customWidth="1"/>
    <col min="4112" max="4116" width="9" style="161"/>
    <col min="4117" max="4117" width="11.75" style="161" customWidth="1"/>
    <col min="4118" max="4118" width="9.875" style="161" customWidth="1"/>
    <col min="4119" max="4119" width="10.625" style="161" customWidth="1"/>
    <col min="4120" max="4120" width="12.75" style="161" customWidth="1"/>
    <col min="4121" max="4121" width="11.75" style="161" customWidth="1"/>
    <col min="4122" max="4122" width="9.875" style="161" customWidth="1"/>
    <col min="4123" max="4123" width="10.625" style="161" customWidth="1"/>
    <col min="4124" max="4124" width="12.75" style="161" customWidth="1"/>
    <col min="4125" max="4125" width="12.125" style="161" customWidth="1"/>
    <col min="4126" max="4126" width="10.625" style="161" customWidth="1"/>
    <col min="4127" max="4127" width="10.875" style="161" customWidth="1"/>
    <col min="4128" max="4128" width="11.25" style="161" customWidth="1"/>
    <col min="4129" max="4350" width="9" style="161"/>
    <col min="4351" max="4351" width="15.875" style="161" customWidth="1"/>
    <col min="4352" max="4352" width="14" style="161" customWidth="1"/>
    <col min="4353" max="4353" width="12.75" style="161" customWidth="1"/>
    <col min="4354" max="4354" width="12.25" style="161" customWidth="1"/>
    <col min="4355" max="4355" width="13.75" style="161" customWidth="1"/>
    <col min="4356" max="4356" width="9.625" style="161" customWidth="1"/>
    <col min="4357" max="4357" width="10.25" style="161" customWidth="1"/>
    <col min="4358" max="4358" width="10.125" style="161" customWidth="1"/>
    <col min="4359" max="4359" width="7" style="161" customWidth="1"/>
    <col min="4360" max="4360" width="11.75" style="161" customWidth="1"/>
    <col min="4361" max="4361" width="11.5" style="161" customWidth="1"/>
    <col min="4362" max="4362" width="9.75" style="161" customWidth="1"/>
    <col min="4363" max="4363" width="10.25" style="161" customWidth="1"/>
    <col min="4364" max="4364" width="9.25" style="161" customWidth="1"/>
    <col min="4365" max="4365" width="9.5" style="161" customWidth="1"/>
    <col min="4366" max="4366" width="10.125" style="161" customWidth="1"/>
    <col min="4367" max="4367" width="16.875" style="161" customWidth="1"/>
    <col min="4368" max="4372" width="9" style="161"/>
    <col min="4373" max="4373" width="11.75" style="161" customWidth="1"/>
    <col min="4374" max="4374" width="9.875" style="161" customWidth="1"/>
    <col min="4375" max="4375" width="10.625" style="161" customWidth="1"/>
    <col min="4376" max="4376" width="12.75" style="161" customWidth="1"/>
    <col min="4377" max="4377" width="11.75" style="161" customWidth="1"/>
    <col min="4378" max="4378" width="9.875" style="161" customWidth="1"/>
    <col min="4379" max="4379" width="10.625" style="161" customWidth="1"/>
    <col min="4380" max="4380" width="12.75" style="161" customWidth="1"/>
    <col min="4381" max="4381" width="12.125" style="161" customWidth="1"/>
    <col min="4382" max="4382" width="10.625" style="161" customWidth="1"/>
    <col min="4383" max="4383" width="10.875" style="161" customWidth="1"/>
    <col min="4384" max="4384" width="11.25" style="161" customWidth="1"/>
    <col min="4385" max="4606" width="9" style="161"/>
    <col min="4607" max="4607" width="15.875" style="161" customWidth="1"/>
    <col min="4608" max="4608" width="14" style="161" customWidth="1"/>
    <col min="4609" max="4609" width="12.75" style="161" customWidth="1"/>
    <col min="4610" max="4610" width="12.25" style="161" customWidth="1"/>
    <col min="4611" max="4611" width="13.75" style="161" customWidth="1"/>
    <col min="4612" max="4612" width="9.625" style="161" customWidth="1"/>
    <col min="4613" max="4613" width="10.25" style="161" customWidth="1"/>
    <col min="4614" max="4614" width="10.125" style="161" customWidth="1"/>
    <col min="4615" max="4615" width="7" style="161" customWidth="1"/>
    <col min="4616" max="4616" width="11.75" style="161" customWidth="1"/>
    <col min="4617" max="4617" width="11.5" style="161" customWidth="1"/>
    <col min="4618" max="4618" width="9.75" style="161" customWidth="1"/>
    <col min="4619" max="4619" width="10.25" style="161" customWidth="1"/>
    <col min="4620" max="4620" width="9.25" style="161" customWidth="1"/>
    <col min="4621" max="4621" width="9.5" style="161" customWidth="1"/>
    <col min="4622" max="4622" width="10.125" style="161" customWidth="1"/>
    <col min="4623" max="4623" width="16.875" style="161" customWidth="1"/>
    <col min="4624" max="4628" width="9" style="161"/>
    <col min="4629" max="4629" width="11.75" style="161" customWidth="1"/>
    <col min="4630" max="4630" width="9.875" style="161" customWidth="1"/>
    <col min="4631" max="4631" width="10.625" style="161" customWidth="1"/>
    <col min="4632" max="4632" width="12.75" style="161" customWidth="1"/>
    <col min="4633" max="4633" width="11.75" style="161" customWidth="1"/>
    <col min="4634" max="4634" width="9.875" style="161" customWidth="1"/>
    <col min="4635" max="4635" width="10.625" style="161" customWidth="1"/>
    <col min="4636" max="4636" width="12.75" style="161" customWidth="1"/>
    <col min="4637" max="4637" width="12.125" style="161" customWidth="1"/>
    <col min="4638" max="4638" width="10.625" style="161" customWidth="1"/>
    <col min="4639" max="4639" width="10.875" style="161" customWidth="1"/>
    <col min="4640" max="4640" width="11.25" style="161" customWidth="1"/>
    <col min="4641" max="4862" width="9" style="161"/>
    <col min="4863" max="4863" width="15.875" style="161" customWidth="1"/>
    <col min="4864" max="4864" width="14" style="161" customWidth="1"/>
    <col min="4865" max="4865" width="12.75" style="161" customWidth="1"/>
    <col min="4866" max="4866" width="12.25" style="161" customWidth="1"/>
    <col min="4867" max="4867" width="13.75" style="161" customWidth="1"/>
    <col min="4868" max="4868" width="9.625" style="161" customWidth="1"/>
    <col min="4869" max="4869" width="10.25" style="161" customWidth="1"/>
    <col min="4870" max="4870" width="10.125" style="161" customWidth="1"/>
    <col min="4871" max="4871" width="7" style="161" customWidth="1"/>
    <col min="4872" max="4872" width="11.75" style="161" customWidth="1"/>
    <col min="4873" max="4873" width="11.5" style="161" customWidth="1"/>
    <col min="4874" max="4874" width="9.75" style="161" customWidth="1"/>
    <col min="4875" max="4875" width="10.25" style="161" customWidth="1"/>
    <col min="4876" max="4876" width="9.25" style="161" customWidth="1"/>
    <col min="4877" max="4877" width="9.5" style="161" customWidth="1"/>
    <col min="4878" max="4878" width="10.125" style="161" customWidth="1"/>
    <col min="4879" max="4879" width="16.875" style="161" customWidth="1"/>
    <col min="4880" max="4884" width="9" style="161"/>
    <col min="4885" max="4885" width="11.75" style="161" customWidth="1"/>
    <col min="4886" max="4886" width="9.875" style="161" customWidth="1"/>
    <col min="4887" max="4887" width="10.625" style="161" customWidth="1"/>
    <col min="4888" max="4888" width="12.75" style="161" customWidth="1"/>
    <col min="4889" max="4889" width="11.75" style="161" customWidth="1"/>
    <col min="4890" max="4890" width="9.875" style="161" customWidth="1"/>
    <col min="4891" max="4891" width="10.625" style="161" customWidth="1"/>
    <col min="4892" max="4892" width="12.75" style="161" customWidth="1"/>
    <col min="4893" max="4893" width="12.125" style="161" customWidth="1"/>
    <col min="4894" max="4894" width="10.625" style="161" customWidth="1"/>
    <col min="4895" max="4895" width="10.875" style="161" customWidth="1"/>
    <col min="4896" max="4896" width="11.25" style="161" customWidth="1"/>
    <col min="4897" max="5118" width="9" style="161"/>
    <col min="5119" max="5119" width="15.875" style="161" customWidth="1"/>
    <col min="5120" max="5120" width="14" style="161" customWidth="1"/>
    <col min="5121" max="5121" width="12.75" style="161" customWidth="1"/>
    <col min="5122" max="5122" width="12.25" style="161" customWidth="1"/>
    <col min="5123" max="5123" width="13.75" style="161" customWidth="1"/>
    <col min="5124" max="5124" width="9.625" style="161" customWidth="1"/>
    <col min="5125" max="5125" width="10.25" style="161" customWidth="1"/>
    <col min="5126" max="5126" width="10.125" style="161" customWidth="1"/>
    <col min="5127" max="5127" width="7" style="161" customWidth="1"/>
    <col min="5128" max="5128" width="11.75" style="161" customWidth="1"/>
    <col min="5129" max="5129" width="11.5" style="161" customWidth="1"/>
    <col min="5130" max="5130" width="9.75" style="161" customWidth="1"/>
    <col min="5131" max="5131" width="10.25" style="161" customWidth="1"/>
    <col min="5132" max="5132" width="9.25" style="161" customWidth="1"/>
    <col min="5133" max="5133" width="9.5" style="161" customWidth="1"/>
    <col min="5134" max="5134" width="10.125" style="161" customWidth="1"/>
    <col min="5135" max="5135" width="16.875" style="161" customWidth="1"/>
    <col min="5136" max="5140" width="9" style="161"/>
    <col min="5141" max="5141" width="11.75" style="161" customWidth="1"/>
    <col min="5142" max="5142" width="9.875" style="161" customWidth="1"/>
    <col min="5143" max="5143" width="10.625" style="161" customWidth="1"/>
    <col min="5144" max="5144" width="12.75" style="161" customWidth="1"/>
    <col min="5145" max="5145" width="11.75" style="161" customWidth="1"/>
    <col min="5146" max="5146" width="9.875" style="161" customWidth="1"/>
    <col min="5147" max="5147" width="10.625" style="161" customWidth="1"/>
    <col min="5148" max="5148" width="12.75" style="161" customWidth="1"/>
    <col min="5149" max="5149" width="12.125" style="161" customWidth="1"/>
    <col min="5150" max="5150" width="10.625" style="161" customWidth="1"/>
    <col min="5151" max="5151" width="10.875" style="161" customWidth="1"/>
    <col min="5152" max="5152" width="11.25" style="161" customWidth="1"/>
    <col min="5153" max="5374" width="9" style="161"/>
    <col min="5375" max="5375" width="15.875" style="161" customWidth="1"/>
    <col min="5376" max="5376" width="14" style="161" customWidth="1"/>
    <col min="5377" max="5377" width="12.75" style="161" customWidth="1"/>
    <col min="5378" max="5378" width="12.25" style="161" customWidth="1"/>
    <col min="5379" max="5379" width="13.75" style="161" customWidth="1"/>
    <col min="5380" max="5380" width="9.625" style="161" customWidth="1"/>
    <col min="5381" max="5381" width="10.25" style="161" customWidth="1"/>
    <col min="5382" max="5382" width="10.125" style="161" customWidth="1"/>
    <col min="5383" max="5383" width="7" style="161" customWidth="1"/>
    <col min="5384" max="5384" width="11.75" style="161" customWidth="1"/>
    <col min="5385" max="5385" width="11.5" style="161" customWidth="1"/>
    <col min="5386" max="5386" width="9.75" style="161" customWidth="1"/>
    <col min="5387" max="5387" width="10.25" style="161" customWidth="1"/>
    <col min="5388" max="5388" width="9.25" style="161" customWidth="1"/>
    <col min="5389" max="5389" width="9.5" style="161" customWidth="1"/>
    <col min="5390" max="5390" width="10.125" style="161" customWidth="1"/>
    <col min="5391" max="5391" width="16.875" style="161" customWidth="1"/>
    <col min="5392" max="5396" width="9" style="161"/>
    <col min="5397" max="5397" width="11.75" style="161" customWidth="1"/>
    <col min="5398" max="5398" width="9.875" style="161" customWidth="1"/>
    <col min="5399" max="5399" width="10.625" style="161" customWidth="1"/>
    <col min="5400" max="5400" width="12.75" style="161" customWidth="1"/>
    <col min="5401" max="5401" width="11.75" style="161" customWidth="1"/>
    <col min="5402" max="5402" width="9.875" style="161" customWidth="1"/>
    <col min="5403" max="5403" width="10.625" style="161" customWidth="1"/>
    <col min="5404" max="5404" width="12.75" style="161" customWidth="1"/>
    <col min="5405" max="5405" width="12.125" style="161" customWidth="1"/>
    <col min="5406" max="5406" width="10.625" style="161" customWidth="1"/>
    <col min="5407" max="5407" width="10.875" style="161" customWidth="1"/>
    <col min="5408" max="5408" width="11.25" style="161" customWidth="1"/>
    <col min="5409" max="5630" width="9" style="161"/>
    <col min="5631" max="5631" width="15.875" style="161" customWidth="1"/>
    <col min="5632" max="5632" width="14" style="161" customWidth="1"/>
    <col min="5633" max="5633" width="12.75" style="161" customWidth="1"/>
    <col min="5634" max="5634" width="12.25" style="161" customWidth="1"/>
    <col min="5635" max="5635" width="13.75" style="161" customWidth="1"/>
    <col min="5636" max="5636" width="9.625" style="161" customWidth="1"/>
    <col min="5637" max="5637" width="10.25" style="161" customWidth="1"/>
    <col min="5638" max="5638" width="10.125" style="161" customWidth="1"/>
    <col min="5639" max="5639" width="7" style="161" customWidth="1"/>
    <col min="5640" max="5640" width="11.75" style="161" customWidth="1"/>
    <col min="5641" max="5641" width="11.5" style="161" customWidth="1"/>
    <col min="5642" max="5642" width="9.75" style="161" customWidth="1"/>
    <col min="5643" max="5643" width="10.25" style="161" customWidth="1"/>
    <col min="5644" max="5644" width="9.25" style="161" customWidth="1"/>
    <col min="5645" max="5645" width="9.5" style="161" customWidth="1"/>
    <col min="5646" max="5646" width="10.125" style="161" customWidth="1"/>
    <col min="5647" max="5647" width="16.875" style="161" customWidth="1"/>
    <col min="5648" max="5652" width="9" style="161"/>
    <col min="5653" max="5653" width="11.75" style="161" customWidth="1"/>
    <col min="5654" max="5654" width="9.875" style="161" customWidth="1"/>
    <col min="5655" max="5655" width="10.625" style="161" customWidth="1"/>
    <col min="5656" max="5656" width="12.75" style="161" customWidth="1"/>
    <col min="5657" max="5657" width="11.75" style="161" customWidth="1"/>
    <col min="5658" max="5658" width="9.875" style="161" customWidth="1"/>
    <col min="5659" max="5659" width="10.625" style="161" customWidth="1"/>
    <col min="5660" max="5660" width="12.75" style="161" customWidth="1"/>
    <col min="5661" max="5661" width="12.125" style="161" customWidth="1"/>
    <col min="5662" max="5662" width="10.625" style="161" customWidth="1"/>
    <col min="5663" max="5663" width="10.875" style="161" customWidth="1"/>
    <col min="5664" max="5664" width="11.25" style="161" customWidth="1"/>
    <col min="5665" max="5886" width="9" style="161"/>
    <col min="5887" max="5887" width="15.875" style="161" customWidth="1"/>
    <col min="5888" max="5888" width="14" style="161" customWidth="1"/>
    <col min="5889" max="5889" width="12.75" style="161" customWidth="1"/>
    <col min="5890" max="5890" width="12.25" style="161" customWidth="1"/>
    <col min="5891" max="5891" width="13.75" style="161" customWidth="1"/>
    <col min="5892" max="5892" width="9.625" style="161" customWidth="1"/>
    <col min="5893" max="5893" width="10.25" style="161" customWidth="1"/>
    <col min="5894" max="5894" width="10.125" style="161" customWidth="1"/>
    <col min="5895" max="5895" width="7" style="161" customWidth="1"/>
    <col min="5896" max="5896" width="11.75" style="161" customWidth="1"/>
    <col min="5897" max="5897" width="11.5" style="161" customWidth="1"/>
    <col min="5898" max="5898" width="9.75" style="161" customWidth="1"/>
    <col min="5899" max="5899" width="10.25" style="161" customWidth="1"/>
    <col min="5900" max="5900" width="9.25" style="161" customWidth="1"/>
    <col min="5901" max="5901" width="9.5" style="161" customWidth="1"/>
    <col min="5902" max="5902" width="10.125" style="161" customWidth="1"/>
    <col min="5903" max="5903" width="16.875" style="161" customWidth="1"/>
    <col min="5904" max="5908" width="9" style="161"/>
    <col min="5909" max="5909" width="11.75" style="161" customWidth="1"/>
    <col min="5910" max="5910" width="9.875" style="161" customWidth="1"/>
    <col min="5911" max="5911" width="10.625" style="161" customWidth="1"/>
    <col min="5912" max="5912" width="12.75" style="161" customWidth="1"/>
    <col min="5913" max="5913" width="11.75" style="161" customWidth="1"/>
    <col min="5914" max="5914" width="9.875" style="161" customWidth="1"/>
    <col min="5915" max="5915" width="10.625" style="161" customWidth="1"/>
    <col min="5916" max="5916" width="12.75" style="161" customWidth="1"/>
    <col min="5917" max="5917" width="12.125" style="161" customWidth="1"/>
    <col min="5918" max="5918" width="10.625" style="161" customWidth="1"/>
    <col min="5919" max="5919" width="10.875" style="161" customWidth="1"/>
    <col min="5920" max="5920" width="11.25" style="161" customWidth="1"/>
    <col min="5921" max="6142" width="9" style="161"/>
    <col min="6143" max="6143" width="15.875" style="161" customWidth="1"/>
    <col min="6144" max="6144" width="14" style="161" customWidth="1"/>
    <col min="6145" max="6145" width="12.75" style="161" customWidth="1"/>
    <col min="6146" max="6146" width="12.25" style="161" customWidth="1"/>
    <col min="6147" max="6147" width="13.75" style="161" customWidth="1"/>
    <col min="6148" max="6148" width="9.625" style="161" customWidth="1"/>
    <col min="6149" max="6149" width="10.25" style="161" customWidth="1"/>
    <col min="6150" max="6150" width="10.125" style="161" customWidth="1"/>
    <col min="6151" max="6151" width="7" style="161" customWidth="1"/>
    <col min="6152" max="6152" width="11.75" style="161" customWidth="1"/>
    <col min="6153" max="6153" width="11.5" style="161" customWidth="1"/>
    <col min="6154" max="6154" width="9.75" style="161" customWidth="1"/>
    <col min="6155" max="6155" width="10.25" style="161" customWidth="1"/>
    <col min="6156" max="6156" width="9.25" style="161" customWidth="1"/>
    <col min="6157" max="6157" width="9.5" style="161" customWidth="1"/>
    <col min="6158" max="6158" width="10.125" style="161" customWidth="1"/>
    <col min="6159" max="6159" width="16.875" style="161" customWidth="1"/>
    <col min="6160" max="6164" width="9" style="161"/>
    <col min="6165" max="6165" width="11.75" style="161" customWidth="1"/>
    <col min="6166" max="6166" width="9.875" style="161" customWidth="1"/>
    <col min="6167" max="6167" width="10.625" style="161" customWidth="1"/>
    <col min="6168" max="6168" width="12.75" style="161" customWidth="1"/>
    <col min="6169" max="6169" width="11.75" style="161" customWidth="1"/>
    <col min="6170" max="6170" width="9.875" style="161" customWidth="1"/>
    <col min="6171" max="6171" width="10.625" style="161" customWidth="1"/>
    <col min="6172" max="6172" width="12.75" style="161" customWidth="1"/>
    <col min="6173" max="6173" width="12.125" style="161" customWidth="1"/>
    <col min="6174" max="6174" width="10.625" style="161" customWidth="1"/>
    <col min="6175" max="6175" width="10.875" style="161" customWidth="1"/>
    <col min="6176" max="6176" width="11.25" style="161" customWidth="1"/>
    <col min="6177" max="6398" width="9" style="161"/>
    <col min="6399" max="6399" width="15.875" style="161" customWidth="1"/>
    <col min="6400" max="6400" width="14" style="161" customWidth="1"/>
    <col min="6401" max="6401" width="12.75" style="161" customWidth="1"/>
    <col min="6402" max="6402" width="12.25" style="161" customWidth="1"/>
    <col min="6403" max="6403" width="13.75" style="161" customWidth="1"/>
    <col min="6404" max="6404" width="9.625" style="161" customWidth="1"/>
    <col min="6405" max="6405" width="10.25" style="161" customWidth="1"/>
    <col min="6406" max="6406" width="10.125" style="161" customWidth="1"/>
    <col min="6407" max="6407" width="7" style="161" customWidth="1"/>
    <col min="6408" max="6408" width="11.75" style="161" customWidth="1"/>
    <col min="6409" max="6409" width="11.5" style="161" customWidth="1"/>
    <col min="6410" max="6410" width="9.75" style="161" customWidth="1"/>
    <col min="6411" max="6411" width="10.25" style="161" customWidth="1"/>
    <col min="6412" max="6412" width="9.25" style="161" customWidth="1"/>
    <col min="6413" max="6413" width="9.5" style="161" customWidth="1"/>
    <col min="6414" max="6414" width="10.125" style="161" customWidth="1"/>
    <col min="6415" max="6415" width="16.875" style="161" customWidth="1"/>
    <col min="6416" max="6420" width="9" style="161"/>
    <col min="6421" max="6421" width="11.75" style="161" customWidth="1"/>
    <col min="6422" max="6422" width="9.875" style="161" customWidth="1"/>
    <col min="6423" max="6423" width="10.625" style="161" customWidth="1"/>
    <col min="6424" max="6424" width="12.75" style="161" customWidth="1"/>
    <col min="6425" max="6425" width="11.75" style="161" customWidth="1"/>
    <col min="6426" max="6426" width="9.875" style="161" customWidth="1"/>
    <col min="6427" max="6427" width="10.625" style="161" customWidth="1"/>
    <col min="6428" max="6428" width="12.75" style="161" customWidth="1"/>
    <col min="6429" max="6429" width="12.125" style="161" customWidth="1"/>
    <col min="6430" max="6430" width="10.625" style="161" customWidth="1"/>
    <col min="6431" max="6431" width="10.875" style="161" customWidth="1"/>
    <col min="6432" max="6432" width="11.25" style="161" customWidth="1"/>
    <col min="6433" max="6654" width="9" style="161"/>
    <col min="6655" max="6655" width="15.875" style="161" customWidth="1"/>
    <col min="6656" max="6656" width="14" style="161" customWidth="1"/>
    <col min="6657" max="6657" width="12.75" style="161" customWidth="1"/>
    <col min="6658" max="6658" width="12.25" style="161" customWidth="1"/>
    <col min="6659" max="6659" width="13.75" style="161" customWidth="1"/>
    <col min="6660" max="6660" width="9.625" style="161" customWidth="1"/>
    <col min="6661" max="6661" width="10.25" style="161" customWidth="1"/>
    <col min="6662" max="6662" width="10.125" style="161" customWidth="1"/>
    <col min="6663" max="6663" width="7" style="161" customWidth="1"/>
    <col min="6664" max="6664" width="11.75" style="161" customWidth="1"/>
    <col min="6665" max="6665" width="11.5" style="161" customWidth="1"/>
    <col min="6666" max="6666" width="9.75" style="161" customWidth="1"/>
    <col min="6667" max="6667" width="10.25" style="161" customWidth="1"/>
    <col min="6668" max="6668" width="9.25" style="161" customWidth="1"/>
    <col min="6669" max="6669" width="9.5" style="161" customWidth="1"/>
    <col min="6670" max="6670" width="10.125" style="161" customWidth="1"/>
    <col min="6671" max="6671" width="16.875" style="161" customWidth="1"/>
    <col min="6672" max="6676" width="9" style="161"/>
    <col min="6677" max="6677" width="11.75" style="161" customWidth="1"/>
    <col min="6678" max="6678" width="9.875" style="161" customWidth="1"/>
    <col min="6679" max="6679" width="10.625" style="161" customWidth="1"/>
    <col min="6680" max="6680" width="12.75" style="161" customWidth="1"/>
    <col min="6681" max="6681" width="11.75" style="161" customWidth="1"/>
    <col min="6682" max="6682" width="9.875" style="161" customWidth="1"/>
    <col min="6683" max="6683" width="10.625" style="161" customWidth="1"/>
    <col min="6684" max="6684" width="12.75" style="161" customWidth="1"/>
    <col min="6685" max="6685" width="12.125" style="161" customWidth="1"/>
    <col min="6686" max="6686" width="10.625" style="161" customWidth="1"/>
    <col min="6687" max="6687" width="10.875" style="161" customWidth="1"/>
    <col min="6688" max="6688" width="11.25" style="161" customWidth="1"/>
    <col min="6689" max="6910" width="9" style="161"/>
    <col min="6911" max="6911" width="15.875" style="161" customWidth="1"/>
    <col min="6912" max="6912" width="14" style="161" customWidth="1"/>
    <col min="6913" max="6913" width="12.75" style="161" customWidth="1"/>
    <col min="6914" max="6914" width="12.25" style="161" customWidth="1"/>
    <col min="6915" max="6915" width="13.75" style="161" customWidth="1"/>
    <col min="6916" max="6916" width="9.625" style="161" customWidth="1"/>
    <col min="6917" max="6917" width="10.25" style="161" customWidth="1"/>
    <col min="6918" max="6918" width="10.125" style="161" customWidth="1"/>
    <col min="6919" max="6919" width="7" style="161" customWidth="1"/>
    <col min="6920" max="6920" width="11.75" style="161" customWidth="1"/>
    <col min="6921" max="6921" width="11.5" style="161" customWidth="1"/>
    <col min="6922" max="6922" width="9.75" style="161" customWidth="1"/>
    <col min="6923" max="6923" width="10.25" style="161" customWidth="1"/>
    <col min="6924" max="6924" width="9.25" style="161" customWidth="1"/>
    <col min="6925" max="6925" width="9.5" style="161" customWidth="1"/>
    <col min="6926" max="6926" width="10.125" style="161" customWidth="1"/>
    <col min="6927" max="6927" width="16.875" style="161" customWidth="1"/>
    <col min="6928" max="6932" width="9" style="161"/>
    <col min="6933" max="6933" width="11.75" style="161" customWidth="1"/>
    <col min="6934" max="6934" width="9.875" style="161" customWidth="1"/>
    <col min="6935" max="6935" width="10.625" style="161" customWidth="1"/>
    <col min="6936" max="6936" width="12.75" style="161" customWidth="1"/>
    <col min="6937" max="6937" width="11.75" style="161" customWidth="1"/>
    <col min="6938" max="6938" width="9.875" style="161" customWidth="1"/>
    <col min="6939" max="6939" width="10.625" style="161" customWidth="1"/>
    <col min="6940" max="6940" width="12.75" style="161" customWidth="1"/>
    <col min="6941" max="6941" width="12.125" style="161" customWidth="1"/>
    <col min="6942" max="6942" width="10.625" style="161" customWidth="1"/>
    <col min="6943" max="6943" width="10.875" style="161" customWidth="1"/>
    <col min="6944" max="6944" width="11.25" style="161" customWidth="1"/>
    <col min="6945" max="7166" width="9" style="161"/>
    <col min="7167" max="7167" width="15.875" style="161" customWidth="1"/>
    <col min="7168" max="7168" width="14" style="161" customWidth="1"/>
    <col min="7169" max="7169" width="12.75" style="161" customWidth="1"/>
    <col min="7170" max="7170" width="12.25" style="161" customWidth="1"/>
    <col min="7171" max="7171" width="13.75" style="161" customWidth="1"/>
    <col min="7172" max="7172" width="9.625" style="161" customWidth="1"/>
    <col min="7173" max="7173" width="10.25" style="161" customWidth="1"/>
    <col min="7174" max="7174" width="10.125" style="161" customWidth="1"/>
    <col min="7175" max="7175" width="7" style="161" customWidth="1"/>
    <col min="7176" max="7176" width="11.75" style="161" customWidth="1"/>
    <col min="7177" max="7177" width="11.5" style="161" customWidth="1"/>
    <col min="7178" max="7178" width="9.75" style="161" customWidth="1"/>
    <col min="7179" max="7179" width="10.25" style="161" customWidth="1"/>
    <col min="7180" max="7180" width="9.25" style="161" customWidth="1"/>
    <col min="7181" max="7181" width="9.5" style="161" customWidth="1"/>
    <col min="7182" max="7182" width="10.125" style="161" customWidth="1"/>
    <col min="7183" max="7183" width="16.875" style="161" customWidth="1"/>
    <col min="7184" max="7188" width="9" style="161"/>
    <col min="7189" max="7189" width="11.75" style="161" customWidth="1"/>
    <col min="7190" max="7190" width="9.875" style="161" customWidth="1"/>
    <col min="7191" max="7191" width="10.625" style="161" customWidth="1"/>
    <col min="7192" max="7192" width="12.75" style="161" customWidth="1"/>
    <col min="7193" max="7193" width="11.75" style="161" customWidth="1"/>
    <col min="7194" max="7194" width="9.875" style="161" customWidth="1"/>
    <col min="7195" max="7195" width="10.625" style="161" customWidth="1"/>
    <col min="7196" max="7196" width="12.75" style="161" customWidth="1"/>
    <col min="7197" max="7197" width="12.125" style="161" customWidth="1"/>
    <col min="7198" max="7198" width="10.625" style="161" customWidth="1"/>
    <col min="7199" max="7199" width="10.875" style="161" customWidth="1"/>
    <col min="7200" max="7200" width="11.25" style="161" customWidth="1"/>
    <col min="7201" max="7422" width="9" style="161"/>
    <col min="7423" max="7423" width="15.875" style="161" customWidth="1"/>
    <col min="7424" max="7424" width="14" style="161" customWidth="1"/>
    <col min="7425" max="7425" width="12.75" style="161" customWidth="1"/>
    <col min="7426" max="7426" width="12.25" style="161" customWidth="1"/>
    <col min="7427" max="7427" width="13.75" style="161" customWidth="1"/>
    <col min="7428" max="7428" width="9.625" style="161" customWidth="1"/>
    <col min="7429" max="7429" width="10.25" style="161" customWidth="1"/>
    <col min="7430" max="7430" width="10.125" style="161" customWidth="1"/>
    <col min="7431" max="7431" width="7" style="161" customWidth="1"/>
    <col min="7432" max="7432" width="11.75" style="161" customWidth="1"/>
    <col min="7433" max="7433" width="11.5" style="161" customWidth="1"/>
    <col min="7434" max="7434" width="9.75" style="161" customWidth="1"/>
    <col min="7435" max="7435" width="10.25" style="161" customWidth="1"/>
    <col min="7436" max="7436" width="9.25" style="161" customWidth="1"/>
    <col min="7437" max="7437" width="9.5" style="161" customWidth="1"/>
    <col min="7438" max="7438" width="10.125" style="161" customWidth="1"/>
    <col min="7439" max="7439" width="16.875" style="161" customWidth="1"/>
    <col min="7440" max="7444" width="9" style="161"/>
    <col min="7445" max="7445" width="11.75" style="161" customWidth="1"/>
    <col min="7446" max="7446" width="9.875" style="161" customWidth="1"/>
    <col min="7447" max="7447" width="10.625" style="161" customWidth="1"/>
    <col min="7448" max="7448" width="12.75" style="161" customWidth="1"/>
    <col min="7449" max="7449" width="11.75" style="161" customWidth="1"/>
    <col min="7450" max="7450" width="9.875" style="161" customWidth="1"/>
    <col min="7451" max="7451" width="10.625" style="161" customWidth="1"/>
    <col min="7452" max="7452" width="12.75" style="161" customWidth="1"/>
    <col min="7453" max="7453" width="12.125" style="161" customWidth="1"/>
    <col min="7454" max="7454" width="10.625" style="161" customWidth="1"/>
    <col min="7455" max="7455" width="10.875" style="161" customWidth="1"/>
    <col min="7456" max="7456" width="11.25" style="161" customWidth="1"/>
    <col min="7457" max="7678" width="9" style="161"/>
    <col min="7679" max="7679" width="15.875" style="161" customWidth="1"/>
    <col min="7680" max="7680" width="14" style="161" customWidth="1"/>
    <col min="7681" max="7681" width="12.75" style="161" customWidth="1"/>
    <col min="7682" max="7682" width="12.25" style="161" customWidth="1"/>
    <col min="7683" max="7683" width="13.75" style="161" customWidth="1"/>
    <col min="7684" max="7684" width="9.625" style="161" customWidth="1"/>
    <col min="7685" max="7685" width="10.25" style="161" customWidth="1"/>
    <col min="7686" max="7686" width="10.125" style="161" customWidth="1"/>
    <col min="7687" max="7687" width="7" style="161" customWidth="1"/>
    <col min="7688" max="7688" width="11.75" style="161" customWidth="1"/>
    <col min="7689" max="7689" width="11.5" style="161" customWidth="1"/>
    <col min="7690" max="7690" width="9.75" style="161" customWidth="1"/>
    <col min="7691" max="7691" width="10.25" style="161" customWidth="1"/>
    <col min="7692" max="7692" width="9.25" style="161" customWidth="1"/>
    <col min="7693" max="7693" width="9.5" style="161" customWidth="1"/>
    <col min="7694" max="7694" width="10.125" style="161" customWidth="1"/>
    <col min="7695" max="7695" width="16.875" style="161" customWidth="1"/>
    <col min="7696" max="7700" width="9" style="161"/>
    <col min="7701" max="7701" width="11.75" style="161" customWidth="1"/>
    <col min="7702" max="7702" width="9.875" style="161" customWidth="1"/>
    <col min="7703" max="7703" width="10.625" style="161" customWidth="1"/>
    <col min="7704" max="7704" width="12.75" style="161" customWidth="1"/>
    <col min="7705" max="7705" width="11.75" style="161" customWidth="1"/>
    <col min="7706" max="7706" width="9.875" style="161" customWidth="1"/>
    <col min="7707" max="7707" width="10.625" style="161" customWidth="1"/>
    <col min="7708" max="7708" width="12.75" style="161" customWidth="1"/>
    <col min="7709" max="7709" width="12.125" style="161" customWidth="1"/>
    <col min="7710" max="7710" width="10.625" style="161" customWidth="1"/>
    <col min="7711" max="7711" width="10.875" style="161" customWidth="1"/>
    <col min="7712" max="7712" width="11.25" style="161" customWidth="1"/>
    <col min="7713" max="7934" width="9" style="161"/>
    <col min="7935" max="7935" width="15.875" style="161" customWidth="1"/>
    <col min="7936" max="7936" width="14" style="161" customWidth="1"/>
    <col min="7937" max="7937" width="12.75" style="161" customWidth="1"/>
    <col min="7938" max="7938" width="12.25" style="161" customWidth="1"/>
    <col min="7939" max="7939" width="13.75" style="161" customWidth="1"/>
    <col min="7940" max="7940" width="9.625" style="161" customWidth="1"/>
    <col min="7941" max="7941" width="10.25" style="161" customWidth="1"/>
    <col min="7942" max="7942" width="10.125" style="161" customWidth="1"/>
    <col min="7943" max="7943" width="7" style="161" customWidth="1"/>
    <col min="7944" max="7944" width="11.75" style="161" customWidth="1"/>
    <col min="7945" max="7945" width="11.5" style="161" customWidth="1"/>
    <col min="7946" max="7946" width="9.75" style="161" customWidth="1"/>
    <col min="7947" max="7947" width="10.25" style="161" customWidth="1"/>
    <col min="7948" max="7948" width="9.25" style="161" customWidth="1"/>
    <col min="7949" max="7949" width="9.5" style="161" customWidth="1"/>
    <col min="7950" max="7950" width="10.125" style="161" customWidth="1"/>
    <col min="7951" max="7951" width="16.875" style="161" customWidth="1"/>
    <col min="7952" max="7956" width="9" style="161"/>
    <col min="7957" max="7957" width="11.75" style="161" customWidth="1"/>
    <col min="7958" max="7958" width="9.875" style="161" customWidth="1"/>
    <col min="7959" max="7959" width="10.625" style="161" customWidth="1"/>
    <col min="7960" max="7960" width="12.75" style="161" customWidth="1"/>
    <col min="7961" max="7961" width="11.75" style="161" customWidth="1"/>
    <col min="7962" max="7962" width="9.875" style="161" customWidth="1"/>
    <col min="7963" max="7963" width="10.625" style="161" customWidth="1"/>
    <col min="7964" max="7964" width="12.75" style="161" customWidth="1"/>
    <col min="7965" max="7965" width="12.125" style="161" customWidth="1"/>
    <col min="7966" max="7966" width="10.625" style="161" customWidth="1"/>
    <col min="7967" max="7967" width="10.875" style="161" customWidth="1"/>
    <col min="7968" max="7968" width="11.25" style="161" customWidth="1"/>
    <col min="7969" max="8190" width="9" style="161"/>
    <col min="8191" max="8191" width="15.875" style="161" customWidth="1"/>
    <col min="8192" max="8192" width="14" style="161" customWidth="1"/>
    <col min="8193" max="8193" width="12.75" style="161" customWidth="1"/>
    <col min="8194" max="8194" width="12.25" style="161" customWidth="1"/>
    <col min="8195" max="8195" width="13.75" style="161" customWidth="1"/>
    <col min="8196" max="8196" width="9.625" style="161" customWidth="1"/>
    <col min="8197" max="8197" width="10.25" style="161" customWidth="1"/>
    <col min="8198" max="8198" width="10.125" style="161" customWidth="1"/>
    <col min="8199" max="8199" width="7" style="161" customWidth="1"/>
    <col min="8200" max="8200" width="11.75" style="161" customWidth="1"/>
    <col min="8201" max="8201" width="11.5" style="161" customWidth="1"/>
    <col min="8202" max="8202" width="9.75" style="161" customWidth="1"/>
    <col min="8203" max="8203" width="10.25" style="161" customWidth="1"/>
    <col min="8204" max="8204" width="9.25" style="161" customWidth="1"/>
    <col min="8205" max="8205" width="9.5" style="161" customWidth="1"/>
    <col min="8206" max="8206" width="10.125" style="161" customWidth="1"/>
    <col min="8207" max="8207" width="16.875" style="161" customWidth="1"/>
    <col min="8208" max="8212" width="9" style="161"/>
    <col min="8213" max="8213" width="11.75" style="161" customWidth="1"/>
    <col min="8214" max="8214" width="9.875" style="161" customWidth="1"/>
    <col min="8215" max="8215" width="10.625" style="161" customWidth="1"/>
    <col min="8216" max="8216" width="12.75" style="161" customWidth="1"/>
    <col min="8217" max="8217" width="11.75" style="161" customWidth="1"/>
    <col min="8218" max="8218" width="9.875" style="161" customWidth="1"/>
    <col min="8219" max="8219" width="10.625" style="161" customWidth="1"/>
    <col min="8220" max="8220" width="12.75" style="161" customWidth="1"/>
    <col min="8221" max="8221" width="12.125" style="161" customWidth="1"/>
    <col min="8222" max="8222" width="10.625" style="161" customWidth="1"/>
    <col min="8223" max="8223" width="10.875" style="161" customWidth="1"/>
    <col min="8224" max="8224" width="11.25" style="161" customWidth="1"/>
    <col min="8225" max="8446" width="9" style="161"/>
    <col min="8447" max="8447" width="15.875" style="161" customWidth="1"/>
    <col min="8448" max="8448" width="14" style="161" customWidth="1"/>
    <col min="8449" max="8449" width="12.75" style="161" customWidth="1"/>
    <col min="8450" max="8450" width="12.25" style="161" customWidth="1"/>
    <col min="8451" max="8451" width="13.75" style="161" customWidth="1"/>
    <col min="8452" max="8452" width="9.625" style="161" customWidth="1"/>
    <col min="8453" max="8453" width="10.25" style="161" customWidth="1"/>
    <col min="8454" max="8454" width="10.125" style="161" customWidth="1"/>
    <col min="8455" max="8455" width="7" style="161" customWidth="1"/>
    <col min="8456" max="8456" width="11.75" style="161" customWidth="1"/>
    <col min="8457" max="8457" width="11.5" style="161" customWidth="1"/>
    <col min="8458" max="8458" width="9.75" style="161" customWidth="1"/>
    <col min="8459" max="8459" width="10.25" style="161" customWidth="1"/>
    <col min="8460" max="8460" width="9.25" style="161" customWidth="1"/>
    <col min="8461" max="8461" width="9.5" style="161" customWidth="1"/>
    <col min="8462" max="8462" width="10.125" style="161" customWidth="1"/>
    <col min="8463" max="8463" width="16.875" style="161" customWidth="1"/>
    <col min="8464" max="8468" width="9" style="161"/>
    <col min="8469" max="8469" width="11.75" style="161" customWidth="1"/>
    <col min="8470" max="8470" width="9.875" style="161" customWidth="1"/>
    <col min="8471" max="8471" width="10.625" style="161" customWidth="1"/>
    <col min="8472" max="8472" width="12.75" style="161" customWidth="1"/>
    <col min="8473" max="8473" width="11.75" style="161" customWidth="1"/>
    <col min="8474" max="8474" width="9.875" style="161" customWidth="1"/>
    <col min="8475" max="8475" width="10.625" style="161" customWidth="1"/>
    <col min="8476" max="8476" width="12.75" style="161" customWidth="1"/>
    <col min="8477" max="8477" width="12.125" style="161" customWidth="1"/>
    <col min="8478" max="8478" width="10.625" style="161" customWidth="1"/>
    <col min="8479" max="8479" width="10.875" style="161" customWidth="1"/>
    <col min="8480" max="8480" width="11.25" style="161" customWidth="1"/>
    <col min="8481" max="8702" width="9" style="161"/>
    <col min="8703" max="8703" width="15.875" style="161" customWidth="1"/>
    <col min="8704" max="8704" width="14" style="161" customWidth="1"/>
    <col min="8705" max="8705" width="12.75" style="161" customWidth="1"/>
    <col min="8706" max="8706" width="12.25" style="161" customWidth="1"/>
    <col min="8707" max="8707" width="13.75" style="161" customWidth="1"/>
    <col min="8708" max="8708" width="9.625" style="161" customWidth="1"/>
    <col min="8709" max="8709" width="10.25" style="161" customWidth="1"/>
    <col min="8710" max="8710" width="10.125" style="161" customWidth="1"/>
    <col min="8711" max="8711" width="7" style="161" customWidth="1"/>
    <col min="8712" max="8712" width="11.75" style="161" customWidth="1"/>
    <col min="8713" max="8713" width="11.5" style="161" customWidth="1"/>
    <col min="8714" max="8714" width="9.75" style="161" customWidth="1"/>
    <col min="8715" max="8715" width="10.25" style="161" customWidth="1"/>
    <col min="8716" max="8716" width="9.25" style="161" customWidth="1"/>
    <col min="8717" max="8717" width="9.5" style="161" customWidth="1"/>
    <col min="8718" max="8718" width="10.125" style="161" customWidth="1"/>
    <col min="8719" max="8719" width="16.875" style="161" customWidth="1"/>
    <col min="8720" max="8724" width="9" style="161"/>
    <col min="8725" max="8725" width="11.75" style="161" customWidth="1"/>
    <col min="8726" max="8726" width="9.875" style="161" customWidth="1"/>
    <col min="8727" max="8727" width="10.625" style="161" customWidth="1"/>
    <col min="8728" max="8728" width="12.75" style="161" customWidth="1"/>
    <col min="8729" max="8729" width="11.75" style="161" customWidth="1"/>
    <col min="8730" max="8730" width="9.875" style="161" customWidth="1"/>
    <col min="8731" max="8731" width="10.625" style="161" customWidth="1"/>
    <col min="8732" max="8732" width="12.75" style="161" customWidth="1"/>
    <col min="8733" max="8733" width="12.125" style="161" customWidth="1"/>
    <col min="8734" max="8734" width="10.625" style="161" customWidth="1"/>
    <col min="8735" max="8735" width="10.875" style="161" customWidth="1"/>
    <col min="8736" max="8736" width="11.25" style="161" customWidth="1"/>
    <col min="8737" max="8958" width="9" style="161"/>
    <col min="8959" max="8959" width="15.875" style="161" customWidth="1"/>
    <col min="8960" max="8960" width="14" style="161" customWidth="1"/>
    <col min="8961" max="8961" width="12.75" style="161" customWidth="1"/>
    <col min="8962" max="8962" width="12.25" style="161" customWidth="1"/>
    <col min="8963" max="8963" width="13.75" style="161" customWidth="1"/>
    <col min="8964" max="8964" width="9.625" style="161" customWidth="1"/>
    <col min="8965" max="8965" width="10.25" style="161" customWidth="1"/>
    <col min="8966" max="8966" width="10.125" style="161" customWidth="1"/>
    <col min="8967" max="8967" width="7" style="161" customWidth="1"/>
    <col min="8968" max="8968" width="11.75" style="161" customWidth="1"/>
    <col min="8969" max="8969" width="11.5" style="161" customWidth="1"/>
    <col min="8970" max="8970" width="9.75" style="161" customWidth="1"/>
    <col min="8971" max="8971" width="10.25" style="161" customWidth="1"/>
    <col min="8972" max="8972" width="9.25" style="161" customWidth="1"/>
    <col min="8973" max="8973" width="9.5" style="161" customWidth="1"/>
    <col min="8974" max="8974" width="10.125" style="161" customWidth="1"/>
    <col min="8975" max="8975" width="16.875" style="161" customWidth="1"/>
    <col min="8976" max="8980" width="9" style="161"/>
    <col min="8981" max="8981" width="11.75" style="161" customWidth="1"/>
    <col min="8982" max="8982" width="9.875" style="161" customWidth="1"/>
    <col min="8983" max="8983" width="10.625" style="161" customWidth="1"/>
    <col min="8984" max="8984" width="12.75" style="161" customWidth="1"/>
    <col min="8985" max="8985" width="11.75" style="161" customWidth="1"/>
    <col min="8986" max="8986" width="9.875" style="161" customWidth="1"/>
    <col min="8987" max="8987" width="10.625" style="161" customWidth="1"/>
    <col min="8988" max="8988" width="12.75" style="161" customWidth="1"/>
    <col min="8989" max="8989" width="12.125" style="161" customWidth="1"/>
    <col min="8990" max="8990" width="10.625" style="161" customWidth="1"/>
    <col min="8991" max="8991" width="10.875" style="161" customWidth="1"/>
    <col min="8992" max="8992" width="11.25" style="161" customWidth="1"/>
    <col min="8993" max="9214" width="9" style="161"/>
    <col min="9215" max="9215" width="15.875" style="161" customWidth="1"/>
    <col min="9216" max="9216" width="14" style="161" customWidth="1"/>
    <col min="9217" max="9217" width="12.75" style="161" customWidth="1"/>
    <col min="9218" max="9218" width="12.25" style="161" customWidth="1"/>
    <col min="9219" max="9219" width="13.75" style="161" customWidth="1"/>
    <col min="9220" max="9220" width="9.625" style="161" customWidth="1"/>
    <col min="9221" max="9221" width="10.25" style="161" customWidth="1"/>
    <col min="9222" max="9222" width="10.125" style="161" customWidth="1"/>
    <col min="9223" max="9223" width="7" style="161" customWidth="1"/>
    <col min="9224" max="9224" width="11.75" style="161" customWidth="1"/>
    <col min="9225" max="9225" width="11.5" style="161" customWidth="1"/>
    <col min="9226" max="9226" width="9.75" style="161" customWidth="1"/>
    <col min="9227" max="9227" width="10.25" style="161" customWidth="1"/>
    <col min="9228" max="9228" width="9.25" style="161" customWidth="1"/>
    <col min="9229" max="9229" width="9.5" style="161" customWidth="1"/>
    <col min="9230" max="9230" width="10.125" style="161" customWidth="1"/>
    <col min="9231" max="9231" width="16.875" style="161" customWidth="1"/>
    <col min="9232" max="9236" width="9" style="161"/>
    <col min="9237" max="9237" width="11.75" style="161" customWidth="1"/>
    <col min="9238" max="9238" width="9.875" style="161" customWidth="1"/>
    <col min="9239" max="9239" width="10.625" style="161" customWidth="1"/>
    <col min="9240" max="9240" width="12.75" style="161" customWidth="1"/>
    <col min="9241" max="9241" width="11.75" style="161" customWidth="1"/>
    <col min="9242" max="9242" width="9.875" style="161" customWidth="1"/>
    <col min="9243" max="9243" width="10.625" style="161" customWidth="1"/>
    <col min="9244" max="9244" width="12.75" style="161" customWidth="1"/>
    <col min="9245" max="9245" width="12.125" style="161" customWidth="1"/>
    <col min="9246" max="9246" width="10.625" style="161" customWidth="1"/>
    <col min="9247" max="9247" width="10.875" style="161" customWidth="1"/>
    <col min="9248" max="9248" width="11.25" style="161" customWidth="1"/>
    <col min="9249" max="9470" width="9" style="161"/>
    <col min="9471" max="9471" width="15.875" style="161" customWidth="1"/>
    <col min="9472" max="9472" width="14" style="161" customWidth="1"/>
    <col min="9473" max="9473" width="12.75" style="161" customWidth="1"/>
    <col min="9474" max="9474" width="12.25" style="161" customWidth="1"/>
    <col min="9475" max="9475" width="13.75" style="161" customWidth="1"/>
    <col min="9476" max="9476" width="9.625" style="161" customWidth="1"/>
    <col min="9477" max="9477" width="10.25" style="161" customWidth="1"/>
    <col min="9478" max="9478" width="10.125" style="161" customWidth="1"/>
    <col min="9479" max="9479" width="7" style="161" customWidth="1"/>
    <col min="9480" max="9480" width="11.75" style="161" customWidth="1"/>
    <col min="9481" max="9481" width="11.5" style="161" customWidth="1"/>
    <col min="9482" max="9482" width="9.75" style="161" customWidth="1"/>
    <col min="9483" max="9483" width="10.25" style="161" customWidth="1"/>
    <col min="9484" max="9484" width="9.25" style="161" customWidth="1"/>
    <col min="9485" max="9485" width="9.5" style="161" customWidth="1"/>
    <col min="9486" max="9486" width="10.125" style="161" customWidth="1"/>
    <col min="9487" max="9487" width="16.875" style="161" customWidth="1"/>
    <col min="9488" max="9492" width="9" style="161"/>
    <col min="9493" max="9493" width="11.75" style="161" customWidth="1"/>
    <col min="9494" max="9494" width="9.875" style="161" customWidth="1"/>
    <col min="9495" max="9495" width="10.625" style="161" customWidth="1"/>
    <col min="9496" max="9496" width="12.75" style="161" customWidth="1"/>
    <col min="9497" max="9497" width="11.75" style="161" customWidth="1"/>
    <col min="9498" max="9498" width="9.875" style="161" customWidth="1"/>
    <col min="9499" max="9499" width="10.625" style="161" customWidth="1"/>
    <col min="9500" max="9500" width="12.75" style="161" customWidth="1"/>
    <col min="9501" max="9501" width="12.125" style="161" customWidth="1"/>
    <col min="9502" max="9502" width="10.625" style="161" customWidth="1"/>
    <col min="9503" max="9503" width="10.875" style="161" customWidth="1"/>
    <col min="9504" max="9504" width="11.25" style="161" customWidth="1"/>
    <col min="9505" max="9726" width="9" style="161"/>
    <col min="9727" max="9727" width="15.875" style="161" customWidth="1"/>
    <col min="9728" max="9728" width="14" style="161" customWidth="1"/>
    <col min="9729" max="9729" width="12.75" style="161" customWidth="1"/>
    <col min="9730" max="9730" width="12.25" style="161" customWidth="1"/>
    <col min="9731" max="9731" width="13.75" style="161" customWidth="1"/>
    <col min="9732" max="9732" width="9.625" style="161" customWidth="1"/>
    <col min="9733" max="9733" width="10.25" style="161" customWidth="1"/>
    <col min="9734" max="9734" width="10.125" style="161" customWidth="1"/>
    <col min="9735" max="9735" width="7" style="161" customWidth="1"/>
    <col min="9736" max="9736" width="11.75" style="161" customWidth="1"/>
    <col min="9737" max="9737" width="11.5" style="161" customWidth="1"/>
    <col min="9738" max="9738" width="9.75" style="161" customWidth="1"/>
    <col min="9739" max="9739" width="10.25" style="161" customWidth="1"/>
    <col min="9740" max="9740" width="9.25" style="161" customWidth="1"/>
    <col min="9741" max="9741" width="9.5" style="161" customWidth="1"/>
    <col min="9742" max="9742" width="10.125" style="161" customWidth="1"/>
    <col min="9743" max="9743" width="16.875" style="161" customWidth="1"/>
    <col min="9744" max="9748" width="9" style="161"/>
    <col min="9749" max="9749" width="11.75" style="161" customWidth="1"/>
    <col min="9750" max="9750" width="9.875" style="161" customWidth="1"/>
    <col min="9751" max="9751" width="10.625" style="161" customWidth="1"/>
    <col min="9752" max="9752" width="12.75" style="161" customWidth="1"/>
    <col min="9753" max="9753" width="11.75" style="161" customWidth="1"/>
    <col min="9754" max="9754" width="9.875" style="161" customWidth="1"/>
    <col min="9755" max="9755" width="10.625" style="161" customWidth="1"/>
    <col min="9756" max="9756" width="12.75" style="161" customWidth="1"/>
    <col min="9757" max="9757" width="12.125" style="161" customWidth="1"/>
    <col min="9758" max="9758" width="10.625" style="161" customWidth="1"/>
    <col min="9759" max="9759" width="10.875" style="161" customWidth="1"/>
    <col min="9760" max="9760" width="11.25" style="161" customWidth="1"/>
    <col min="9761" max="9982" width="9" style="161"/>
    <col min="9983" max="9983" width="15.875" style="161" customWidth="1"/>
    <col min="9984" max="9984" width="14" style="161" customWidth="1"/>
    <col min="9985" max="9985" width="12.75" style="161" customWidth="1"/>
    <col min="9986" max="9986" width="12.25" style="161" customWidth="1"/>
    <col min="9987" max="9987" width="13.75" style="161" customWidth="1"/>
    <col min="9988" max="9988" width="9.625" style="161" customWidth="1"/>
    <col min="9989" max="9989" width="10.25" style="161" customWidth="1"/>
    <col min="9990" max="9990" width="10.125" style="161" customWidth="1"/>
    <col min="9991" max="9991" width="7" style="161" customWidth="1"/>
    <col min="9992" max="9992" width="11.75" style="161" customWidth="1"/>
    <col min="9993" max="9993" width="11.5" style="161" customWidth="1"/>
    <col min="9994" max="9994" width="9.75" style="161" customWidth="1"/>
    <col min="9995" max="9995" width="10.25" style="161" customWidth="1"/>
    <col min="9996" max="9996" width="9.25" style="161" customWidth="1"/>
    <col min="9997" max="9997" width="9.5" style="161" customWidth="1"/>
    <col min="9998" max="9998" width="10.125" style="161" customWidth="1"/>
    <col min="9999" max="9999" width="16.875" style="161" customWidth="1"/>
    <col min="10000" max="10004" width="9" style="161"/>
    <col min="10005" max="10005" width="11.75" style="161" customWidth="1"/>
    <col min="10006" max="10006" width="9.875" style="161" customWidth="1"/>
    <col min="10007" max="10007" width="10.625" style="161" customWidth="1"/>
    <col min="10008" max="10008" width="12.75" style="161" customWidth="1"/>
    <col min="10009" max="10009" width="11.75" style="161" customWidth="1"/>
    <col min="10010" max="10010" width="9.875" style="161" customWidth="1"/>
    <col min="10011" max="10011" width="10.625" style="161" customWidth="1"/>
    <col min="10012" max="10012" width="12.75" style="161" customWidth="1"/>
    <col min="10013" max="10013" width="12.125" style="161" customWidth="1"/>
    <col min="10014" max="10014" width="10.625" style="161" customWidth="1"/>
    <col min="10015" max="10015" width="10.875" style="161" customWidth="1"/>
    <col min="10016" max="10016" width="11.25" style="161" customWidth="1"/>
    <col min="10017" max="10238" width="9" style="161"/>
    <col min="10239" max="10239" width="15.875" style="161" customWidth="1"/>
    <col min="10240" max="10240" width="14" style="161" customWidth="1"/>
    <col min="10241" max="10241" width="12.75" style="161" customWidth="1"/>
    <col min="10242" max="10242" width="12.25" style="161" customWidth="1"/>
    <col min="10243" max="10243" width="13.75" style="161" customWidth="1"/>
    <col min="10244" max="10244" width="9.625" style="161" customWidth="1"/>
    <col min="10245" max="10245" width="10.25" style="161" customWidth="1"/>
    <col min="10246" max="10246" width="10.125" style="161" customWidth="1"/>
    <col min="10247" max="10247" width="7" style="161" customWidth="1"/>
    <col min="10248" max="10248" width="11.75" style="161" customWidth="1"/>
    <col min="10249" max="10249" width="11.5" style="161" customWidth="1"/>
    <col min="10250" max="10250" width="9.75" style="161" customWidth="1"/>
    <col min="10251" max="10251" width="10.25" style="161" customWidth="1"/>
    <col min="10252" max="10252" width="9.25" style="161" customWidth="1"/>
    <col min="10253" max="10253" width="9.5" style="161" customWidth="1"/>
    <col min="10254" max="10254" width="10.125" style="161" customWidth="1"/>
    <col min="10255" max="10255" width="16.875" style="161" customWidth="1"/>
    <col min="10256" max="10260" width="9" style="161"/>
    <col min="10261" max="10261" width="11.75" style="161" customWidth="1"/>
    <col min="10262" max="10262" width="9.875" style="161" customWidth="1"/>
    <col min="10263" max="10263" width="10.625" style="161" customWidth="1"/>
    <col min="10264" max="10264" width="12.75" style="161" customWidth="1"/>
    <col min="10265" max="10265" width="11.75" style="161" customWidth="1"/>
    <col min="10266" max="10266" width="9.875" style="161" customWidth="1"/>
    <col min="10267" max="10267" width="10.625" style="161" customWidth="1"/>
    <col min="10268" max="10268" width="12.75" style="161" customWidth="1"/>
    <col min="10269" max="10269" width="12.125" style="161" customWidth="1"/>
    <col min="10270" max="10270" width="10.625" style="161" customWidth="1"/>
    <col min="10271" max="10271" width="10.875" style="161" customWidth="1"/>
    <col min="10272" max="10272" width="11.25" style="161" customWidth="1"/>
    <col min="10273" max="10494" width="9" style="161"/>
    <col min="10495" max="10495" width="15.875" style="161" customWidth="1"/>
    <col min="10496" max="10496" width="14" style="161" customWidth="1"/>
    <col min="10497" max="10497" width="12.75" style="161" customWidth="1"/>
    <col min="10498" max="10498" width="12.25" style="161" customWidth="1"/>
    <col min="10499" max="10499" width="13.75" style="161" customWidth="1"/>
    <col min="10500" max="10500" width="9.625" style="161" customWidth="1"/>
    <col min="10501" max="10501" width="10.25" style="161" customWidth="1"/>
    <col min="10502" max="10502" width="10.125" style="161" customWidth="1"/>
    <col min="10503" max="10503" width="7" style="161" customWidth="1"/>
    <col min="10504" max="10504" width="11.75" style="161" customWidth="1"/>
    <col min="10505" max="10505" width="11.5" style="161" customWidth="1"/>
    <col min="10506" max="10506" width="9.75" style="161" customWidth="1"/>
    <col min="10507" max="10507" width="10.25" style="161" customWidth="1"/>
    <col min="10508" max="10508" width="9.25" style="161" customWidth="1"/>
    <col min="10509" max="10509" width="9.5" style="161" customWidth="1"/>
    <col min="10510" max="10510" width="10.125" style="161" customWidth="1"/>
    <col min="10511" max="10511" width="16.875" style="161" customWidth="1"/>
    <col min="10512" max="10516" width="9" style="161"/>
    <col min="10517" max="10517" width="11.75" style="161" customWidth="1"/>
    <col min="10518" max="10518" width="9.875" style="161" customWidth="1"/>
    <col min="10519" max="10519" width="10.625" style="161" customWidth="1"/>
    <col min="10520" max="10520" width="12.75" style="161" customWidth="1"/>
    <col min="10521" max="10521" width="11.75" style="161" customWidth="1"/>
    <col min="10522" max="10522" width="9.875" style="161" customWidth="1"/>
    <col min="10523" max="10523" width="10.625" style="161" customWidth="1"/>
    <col min="10524" max="10524" width="12.75" style="161" customWidth="1"/>
    <col min="10525" max="10525" width="12.125" style="161" customWidth="1"/>
    <col min="10526" max="10526" width="10.625" style="161" customWidth="1"/>
    <col min="10527" max="10527" width="10.875" style="161" customWidth="1"/>
    <col min="10528" max="10528" width="11.25" style="161" customWidth="1"/>
    <col min="10529" max="10750" width="9" style="161"/>
    <col min="10751" max="10751" width="15.875" style="161" customWidth="1"/>
    <col min="10752" max="10752" width="14" style="161" customWidth="1"/>
    <col min="10753" max="10753" width="12.75" style="161" customWidth="1"/>
    <col min="10754" max="10754" width="12.25" style="161" customWidth="1"/>
    <col min="10755" max="10755" width="13.75" style="161" customWidth="1"/>
    <col min="10756" max="10756" width="9.625" style="161" customWidth="1"/>
    <col min="10757" max="10757" width="10.25" style="161" customWidth="1"/>
    <col min="10758" max="10758" width="10.125" style="161" customWidth="1"/>
    <col min="10759" max="10759" width="7" style="161" customWidth="1"/>
    <col min="10760" max="10760" width="11.75" style="161" customWidth="1"/>
    <col min="10761" max="10761" width="11.5" style="161" customWidth="1"/>
    <col min="10762" max="10762" width="9.75" style="161" customWidth="1"/>
    <col min="10763" max="10763" width="10.25" style="161" customWidth="1"/>
    <col min="10764" max="10764" width="9.25" style="161" customWidth="1"/>
    <col min="10765" max="10765" width="9.5" style="161" customWidth="1"/>
    <col min="10766" max="10766" width="10.125" style="161" customWidth="1"/>
    <col min="10767" max="10767" width="16.875" style="161" customWidth="1"/>
    <col min="10768" max="10772" width="9" style="161"/>
    <col min="10773" max="10773" width="11.75" style="161" customWidth="1"/>
    <col min="10774" max="10774" width="9.875" style="161" customWidth="1"/>
    <col min="10775" max="10775" width="10.625" style="161" customWidth="1"/>
    <col min="10776" max="10776" width="12.75" style="161" customWidth="1"/>
    <col min="10777" max="10777" width="11.75" style="161" customWidth="1"/>
    <col min="10778" max="10778" width="9.875" style="161" customWidth="1"/>
    <col min="10779" max="10779" width="10.625" style="161" customWidth="1"/>
    <col min="10780" max="10780" width="12.75" style="161" customWidth="1"/>
    <col min="10781" max="10781" width="12.125" style="161" customWidth="1"/>
    <col min="10782" max="10782" width="10.625" style="161" customWidth="1"/>
    <col min="10783" max="10783" width="10.875" style="161" customWidth="1"/>
    <col min="10784" max="10784" width="11.25" style="161" customWidth="1"/>
    <col min="10785" max="11006" width="9" style="161"/>
    <col min="11007" max="11007" width="15.875" style="161" customWidth="1"/>
    <col min="11008" max="11008" width="14" style="161" customWidth="1"/>
    <col min="11009" max="11009" width="12.75" style="161" customWidth="1"/>
    <col min="11010" max="11010" width="12.25" style="161" customWidth="1"/>
    <col min="11011" max="11011" width="13.75" style="161" customWidth="1"/>
    <col min="11012" max="11012" width="9.625" style="161" customWidth="1"/>
    <col min="11013" max="11013" width="10.25" style="161" customWidth="1"/>
    <col min="11014" max="11014" width="10.125" style="161" customWidth="1"/>
    <col min="11015" max="11015" width="7" style="161" customWidth="1"/>
    <col min="11016" max="11016" width="11.75" style="161" customWidth="1"/>
    <col min="11017" max="11017" width="11.5" style="161" customWidth="1"/>
    <col min="11018" max="11018" width="9.75" style="161" customWidth="1"/>
    <col min="11019" max="11019" width="10.25" style="161" customWidth="1"/>
    <col min="11020" max="11020" width="9.25" style="161" customWidth="1"/>
    <col min="11021" max="11021" width="9.5" style="161" customWidth="1"/>
    <col min="11022" max="11022" width="10.125" style="161" customWidth="1"/>
    <col min="11023" max="11023" width="16.875" style="161" customWidth="1"/>
    <col min="11024" max="11028" width="9" style="161"/>
    <col min="11029" max="11029" width="11.75" style="161" customWidth="1"/>
    <col min="11030" max="11030" width="9.875" style="161" customWidth="1"/>
    <col min="11031" max="11031" width="10.625" style="161" customWidth="1"/>
    <col min="11032" max="11032" width="12.75" style="161" customWidth="1"/>
    <col min="11033" max="11033" width="11.75" style="161" customWidth="1"/>
    <col min="11034" max="11034" width="9.875" style="161" customWidth="1"/>
    <col min="11035" max="11035" width="10.625" style="161" customWidth="1"/>
    <col min="11036" max="11036" width="12.75" style="161" customWidth="1"/>
    <col min="11037" max="11037" width="12.125" style="161" customWidth="1"/>
    <col min="11038" max="11038" width="10.625" style="161" customWidth="1"/>
    <col min="11039" max="11039" width="10.875" style="161" customWidth="1"/>
    <col min="11040" max="11040" width="11.25" style="161" customWidth="1"/>
    <col min="11041" max="11262" width="9" style="161"/>
    <col min="11263" max="11263" width="15.875" style="161" customWidth="1"/>
    <col min="11264" max="11264" width="14" style="161" customWidth="1"/>
    <col min="11265" max="11265" width="12.75" style="161" customWidth="1"/>
    <col min="11266" max="11266" width="12.25" style="161" customWidth="1"/>
    <col min="11267" max="11267" width="13.75" style="161" customWidth="1"/>
    <col min="11268" max="11268" width="9.625" style="161" customWidth="1"/>
    <col min="11269" max="11269" width="10.25" style="161" customWidth="1"/>
    <col min="11270" max="11270" width="10.125" style="161" customWidth="1"/>
    <col min="11271" max="11271" width="7" style="161" customWidth="1"/>
    <col min="11272" max="11272" width="11.75" style="161" customWidth="1"/>
    <col min="11273" max="11273" width="11.5" style="161" customWidth="1"/>
    <col min="11274" max="11274" width="9.75" style="161" customWidth="1"/>
    <col min="11275" max="11275" width="10.25" style="161" customWidth="1"/>
    <col min="11276" max="11276" width="9.25" style="161" customWidth="1"/>
    <col min="11277" max="11277" width="9.5" style="161" customWidth="1"/>
    <col min="11278" max="11278" width="10.125" style="161" customWidth="1"/>
    <col min="11279" max="11279" width="16.875" style="161" customWidth="1"/>
    <col min="11280" max="11284" width="9" style="161"/>
    <col min="11285" max="11285" width="11.75" style="161" customWidth="1"/>
    <col min="11286" max="11286" width="9.875" style="161" customWidth="1"/>
    <col min="11287" max="11287" width="10.625" style="161" customWidth="1"/>
    <col min="11288" max="11288" width="12.75" style="161" customWidth="1"/>
    <col min="11289" max="11289" width="11.75" style="161" customWidth="1"/>
    <col min="11290" max="11290" width="9.875" style="161" customWidth="1"/>
    <col min="11291" max="11291" width="10.625" style="161" customWidth="1"/>
    <col min="11292" max="11292" width="12.75" style="161" customWidth="1"/>
    <col min="11293" max="11293" width="12.125" style="161" customWidth="1"/>
    <col min="11294" max="11294" width="10.625" style="161" customWidth="1"/>
    <col min="11295" max="11295" width="10.875" style="161" customWidth="1"/>
    <col min="11296" max="11296" width="11.25" style="161" customWidth="1"/>
    <col min="11297" max="11518" width="9" style="161"/>
    <col min="11519" max="11519" width="15.875" style="161" customWidth="1"/>
    <col min="11520" max="11520" width="14" style="161" customWidth="1"/>
    <col min="11521" max="11521" width="12.75" style="161" customWidth="1"/>
    <col min="11522" max="11522" width="12.25" style="161" customWidth="1"/>
    <col min="11523" max="11523" width="13.75" style="161" customWidth="1"/>
    <col min="11524" max="11524" width="9.625" style="161" customWidth="1"/>
    <col min="11525" max="11525" width="10.25" style="161" customWidth="1"/>
    <col min="11526" max="11526" width="10.125" style="161" customWidth="1"/>
    <col min="11527" max="11527" width="7" style="161" customWidth="1"/>
    <col min="11528" max="11528" width="11.75" style="161" customWidth="1"/>
    <col min="11529" max="11529" width="11.5" style="161" customWidth="1"/>
    <col min="11530" max="11530" width="9.75" style="161" customWidth="1"/>
    <col min="11531" max="11531" width="10.25" style="161" customWidth="1"/>
    <col min="11532" max="11532" width="9.25" style="161" customWidth="1"/>
    <col min="11533" max="11533" width="9.5" style="161" customWidth="1"/>
    <col min="11534" max="11534" width="10.125" style="161" customWidth="1"/>
    <col min="11535" max="11535" width="16.875" style="161" customWidth="1"/>
    <col min="11536" max="11540" width="9" style="161"/>
    <col min="11541" max="11541" width="11.75" style="161" customWidth="1"/>
    <col min="11542" max="11542" width="9.875" style="161" customWidth="1"/>
    <col min="11543" max="11543" width="10.625" style="161" customWidth="1"/>
    <col min="11544" max="11544" width="12.75" style="161" customWidth="1"/>
    <col min="11545" max="11545" width="11.75" style="161" customWidth="1"/>
    <col min="11546" max="11546" width="9.875" style="161" customWidth="1"/>
    <col min="11547" max="11547" width="10.625" style="161" customWidth="1"/>
    <col min="11548" max="11548" width="12.75" style="161" customWidth="1"/>
    <col min="11549" max="11549" width="12.125" style="161" customWidth="1"/>
    <col min="11550" max="11550" width="10.625" style="161" customWidth="1"/>
    <col min="11551" max="11551" width="10.875" style="161" customWidth="1"/>
    <col min="11552" max="11552" width="11.25" style="161" customWidth="1"/>
    <col min="11553" max="11774" width="9" style="161"/>
    <col min="11775" max="11775" width="15.875" style="161" customWidth="1"/>
    <col min="11776" max="11776" width="14" style="161" customWidth="1"/>
    <col min="11777" max="11777" width="12.75" style="161" customWidth="1"/>
    <col min="11778" max="11778" width="12.25" style="161" customWidth="1"/>
    <col min="11779" max="11779" width="13.75" style="161" customWidth="1"/>
    <col min="11780" max="11780" width="9.625" style="161" customWidth="1"/>
    <col min="11781" max="11781" width="10.25" style="161" customWidth="1"/>
    <col min="11782" max="11782" width="10.125" style="161" customWidth="1"/>
    <col min="11783" max="11783" width="7" style="161" customWidth="1"/>
    <col min="11784" max="11784" width="11.75" style="161" customWidth="1"/>
    <col min="11785" max="11785" width="11.5" style="161" customWidth="1"/>
    <col min="11786" max="11786" width="9.75" style="161" customWidth="1"/>
    <col min="11787" max="11787" width="10.25" style="161" customWidth="1"/>
    <col min="11788" max="11788" width="9.25" style="161" customWidth="1"/>
    <col min="11789" max="11789" width="9.5" style="161" customWidth="1"/>
    <col min="11790" max="11790" width="10.125" style="161" customWidth="1"/>
    <col min="11791" max="11791" width="16.875" style="161" customWidth="1"/>
    <col min="11792" max="11796" width="9" style="161"/>
    <col min="11797" max="11797" width="11.75" style="161" customWidth="1"/>
    <col min="11798" max="11798" width="9.875" style="161" customWidth="1"/>
    <col min="11799" max="11799" width="10.625" style="161" customWidth="1"/>
    <col min="11800" max="11800" width="12.75" style="161" customWidth="1"/>
    <col min="11801" max="11801" width="11.75" style="161" customWidth="1"/>
    <col min="11802" max="11802" width="9.875" style="161" customWidth="1"/>
    <col min="11803" max="11803" width="10.625" style="161" customWidth="1"/>
    <col min="11804" max="11804" width="12.75" style="161" customWidth="1"/>
    <col min="11805" max="11805" width="12.125" style="161" customWidth="1"/>
    <col min="11806" max="11806" width="10.625" style="161" customWidth="1"/>
    <col min="11807" max="11807" width="10.875" style="161" customWidth="1"/>
    <col min="11808" max="11808" width="11.25" style="161" customWidth="1"/>
    <col min="11809" max="12030" width="9" style="161"/>
    <col min="12031" max="12031" width="15.875" style="161" customWidth="1"/>
    <col min="12032" max="12032" width="14" style="161" customWidth="1"/>
    <col min="12033" max="12033" width="12.75" style="161" customWidth="1"/>
    <col min="12034" max="12034" width="12.25" style="161" customWidth="1"/>
    <col min="12035" max="12035" width="13.75" style="161" customWidth="1"/>
    <col min="12036" max="12036" width="9.625" style="161" customWidth="1"/>
    <col min="12037" max="12037" width="10.25" style="161" customWidth="1"/>
    <col min="12038" max="12038" width="10.125" style="161" customWidth="1"/>
    <col min="12039" max="12039" width="7" style="161" customWidth="1"/>
    <col min="12040" max="12040" width="11.75" style="161" customWidth="1"/>
    <col min="12041" max="12041" width="11.5" style="161" customWidth="1"/>
    <col min="12042" max="12042" width="9.75" style="161" customWidth="1"/>
    <col min="12043" max="12043" width="10.25" style="161" customWidth="1"/>
    <col min="12044" max="12044" width="9.25" style="161" customWidth="1"/>
    <col min="12045" max="12045" width="9.5" style="161" customWidth="1"/>
    <col min="12046" max="12046" width="10.125" style="161" customWidth="1"/>
    <col min="12047" max="12047" width="16.875" style="161" customWidth="1"/>
    <col min="12048" max="12052" width="9" style="161"/>
    <col min="12053" max="12053" width="11.75" style="161" customWidth="1"/>
    <col min="12054" max="12054" width="9.875" style="161" customWidth="1"/>
    <col min="12055" max="12055" width="10.625" style="161" customWidth="1"/>
    <col min="12056" max="12056" width="12.75" style="161" customWidth="1"/>
    <col min="12057" max="12057" width="11.75" style="161" customWidth="1"/>
    <col min="12058" max="12058" width="9.875" style="161" customWidth="1"/>
    <col min="12059" max="12059" width="10.625" style="161" customWidth="1"/>
    <col min="12060" max="12060" width="12.75" style="161" customWidth="1"/>
    <col min="12061" max="12061" width="12.125" style="161" customWidth="1"/>
    <col min="12062" max="12062" width="10.625" style="161" customWidth="1"/>
    <col min="12063" max="12063" width="10.875" style="161" customWidth="1"/>
    <col min="12064" max="12064" width="11.25" style="161" customWidth="1"/>
    <col min="12065" max="12286" width="9" style="161"/>
    <col min="12287" max="12287" width="15.875" style="161" customWidth="1"/>
    <col min="12288" max="12288" width="14" style="161" customWidth="1"/>
    <col min="12289" max="12289" width="12.75" style="161" customWidth="1"/>
    <col min="12290" max="12290" width="12.25" style="161" customWidth="1"/>
    <col min="12291" max="12291" width="13.75" style="161" customWidth="1"/>
    <col min="12292" max="12292" width="9.625" style="161" customWidth="1"/>
    <col min="12293" max="12293" width="10.25" style="161" customWidth="1"/>
    <col min="12294" max="12294" width="10.125" style="161" customWidth="1"/>
    <col min="12295" max="12295" width="7" style="161" customWidth="1"/>
    <col min="12296" max="12296" width="11.75" style="161" customWidth="1"/>
    <col min="12297" max="12297" width="11.5" style="161" customWidth="1"/>
    <col min="12298" max="12298" width="9.75" style="161" customWidth="1"/>
    <col min="12299" max="12299" width="10.25" style="161" customWidth="1"/>
    <col min="12300" max="12300" width="9.25" style="161" customWidth="1"/>
    <col min="12301" max="12301" width="9.5" style="161" customWidth="1"/>
    <col min="12302" max="12302" width="10.125" style="161" customWidth="1"/>
    <col min="12303" max="12303" width="16.875" style="161" customWidth="1"/>
    <col min="12304" max="12308" width="9" style="161"/>
    <col min="12309" max="12309" width="11.75" style="161" customWidth="1"/>
    <col min="12310" max="12310" width="9.875" style="161" customWidth="1"/>
    <col min="12311" max="12311" width="10.625" style="161" customWidth="1"/>
    <col min="12312" max="12312" width="12.75" style="161" customWidth="1"/>
    <col min="12313" max="12313" width="11.75" style="161" customWidth="1"/>
    <col min="12314" max="12314" width="9.875" style="161" customWidth="1"/>
    <col min="12315" max="12315" width="10.625" style="161" customWidth="1"/>
    <col min="12316" max="12316" width="12.75" style="161" customWidth="1"/>
    <col min="12317" max="12317" width="12.125" style="161" customWidth="1"/>
    <col min="12318" max="12318" width="10.625" style="161" customWidth="1"/>
    <col min="12319" max="12319" width="10.875" style="161" customWidth="1"/>
    <col min="12320" max="12320" width="11.25" style="161" customWidth="1"/>
    <col min="12321" max="12542" width="9" style="161"/>
    <col min="12543" max="12543" width="15.875" style="161" customWidth="1"/>
    <col min="12544" max="12544" width="14" style="161" customWidth="1"/>
    <col min="12545" max="12545" width="12.75" style="161" customWidth="1"/>
    <col min="12546" max="12546" width="12.25" style="161" customWidth="1"/>
    <col min="12547" max="12547" width="13.75" style="161" customWidth="1"/>
    <col min="12548" max="12548" width="9.625" style="161" customWidth="1"/>
    <col min="12549" max="12549" width="10.25" style="161" customWidth="1"/>
    <col min="12550" max="12550" width="10.125" style="161" customWidth="1"/>
    <col min="12551" max="12551" width="7" style="161" customWidth="1"/>
    <col min="12552" max="12552" width="11.75" style="161" customWidth="1"/>
    <col min="12553" max="12553" width="11.5" style="161" customWidth="1"/>
    <col min="12554" max="12554" width="9.75" style="161" customWidth="1"/>
    <col min="12555" max="12555" width="10.25" style="161" customWidth="1"/>
    <col min="12556" max="12556" width="9.25" style="161" customWidth="1"/>
    <col min="12557" max="12557" width="9.5" style="161" customWidth="1"/>
    <col min="12558" max="12558" width="10.125" style="161" customWidth="1"/>
    <col min="12559" max="12559" width="16.875" style="161" customWidth="1"/>
    <col min="12560" max="12564" width="9" style="161"/>
    <col min="12565" max="12565" width="11.75" style="161" customWidth="1"/>
    <col min="12566" max="12566" width="9.875" style="161" customWidth="1"/>
    <col min="12567" max="12567" width="10.625" style="161" customWidth="1"/>
    <col min="12568" max="12568" width="12.75" style="161" customWidth="1"/>
    <col min="12569" max="12569" width="11.75" style="161" customWidth="1"/>
    <col min="12570" max="12570" width="9.875" style="161" customWidth="1"/>
    <col min="12571" max="12571" width="10.625" style="161" customWidth="1"/>
    <col min="12572" max="12572" width="12.75" style="161" customWidth="1"/>
    <col min="12573" max="12573" width="12.125" style="161" customWidth="1"/>
    <col min="12574" max="12574" width="10.625" style="161" customWidth="1"/>
    <col min="12575" max="12575" width="10.875" style="161" customWidth="1"/>
    <col min="12576" max="12576" width="11.25" style="161" customWidth="1"/>
    <col min="12577" max="12798" width="9" style="161"/>
    <col min="12799" max="12799" width="15.875" style="161" customWidth="1"/>
    <col min="12800" max="12800" width="14" style="161" customWidth="1"/>
    <col min="12801" max="12801" width="12.75" style="161" customWidth="1"/>
    <col min="12802" max="12802" width="12.25" style="161" customWidth="1"/>
    <col min="12803" max="12803" width="13.75" style="161" customWidth="1"/>
    <col min="12804" max="12804" width="9.625" style="161" customWidth="1"/>
    <col min="12805" max="12805" width="10.25" style="161" customWidth="1"/>
    <col min="12806" max="12806" width="10.125" style="161" customWidth="1"/>
    <col min="12807" max="12807" width="7" style="161" customWidth="1"/>
    <col min="12808" max="12808" width="11.75" style="161" customWidth="1"/>
    <col min="12809" max="12809" width="11.5" style="161" customWidth="1"/>
    <col min="12810" max="12810" width="9.75" style="161" customWidth="1"/>
    <col min="12811" max="12811" width="10.25" style="161" customWidth="1"/>
    <col min="12812" max="12812" width="9.25" style="161" customWidth="1"/>
    <col min="12813" max="12813" width="9.5" style="161" customWidth="1"/>
    <col min="12814" max="12814" width="10.125" style="161" customWidth="1"/>
    <col min="12815" max="12815" width="16.875" style="161" customWidth="1"/>
    <col min="12816" max="12820" width="9" style="161"/>
    <col min="12821" max="12821" width="11.75" style="161" customWidth="1"/>
    <col min="12822" max="12822" width="9.875" style="161" customWidth="1"/>
    <col min="12823" max="12823" width="10.625" style="161" customWidth="1"/>
    <col min="12824" max="12824" width="12.75" style="161" customWidth="1"/>
    <col min="12825" max="12825" width="11.75" style="161" customWidth="1"/>
    <col min="12826" max="12826" width="9.875" style="161" customWidth="1"/>
    <col min="12827" max="12827" width="10.625" style="161" customWidth="1"/>
    <col min="12828" max="12828" width="12.75" style="161" customWidth="1"/>
    <col min="12829" max="12829" width="12.125" style="161" customWidth="1"/>
    <col min="12830" max="12830" width="10.625" style="161" customWidth="1"/>
    <col min="12831" max="12831" width="10.875" style="161" customWidth="1"/>
    <col min="12832" max="12832" width="11.25" style="161" customWidth="1"/>
    <col min="12833" max="13054" width="9" style="161"/>
    <col min="13055" max="13055" width="15.875" style="161" customWidth="1"/>
    <col min="13056" max="13056" width="14" style="161" customWidth="1"/>
    <col min="13057" max="13057" width="12.75" style="161" customWidth="1"/>
    <col min="13058" max="13058" width="12.25" style="161" customWidth="1"/>
    <col min="13059" max="13059" width="13.75" style="161" customWidth="1"/>
    <col min="13060" max="13060" width="9.625" style="161" customWidth="1"/>
    <col min="13061" max="13061" width="10.25" style="161" customWidth="1"/>
    <col min="13062" max="13062" width="10.125" style="161" customWidth="1"/>
    <col min="13063" max="13063" width="7" style="161" customWidth="1"/>
    <col min="13064" max="13064" width="11.75" style="161" customWidth="1"/>
    <col min="13065" max="13065" width="11.5" style="161" customWidth="1"/>
    <col min="13066" max="13066" width="9.75" style="161" customWidth="1"/>
    <col min="13067" max="13067" width="10.25" style="161" customWidth="1"/>
    <col min="13068" max="13068" width="9.25" style="161" customWidth="1"/>
    <col min="13069" max="13069" width="9.5" style="161" customWidth="1"/>
    <col min="13070" max="13070" width="10.125" style="161" customWidth="1"/>
    <col min="13071" max="13071" width="16.875" style="161" customWidth="1"/>
    <col min="13072" max="13076" width="9" style="161"/>
    <col min="13077" max="13077" width="11.75" style="161" customWidth="1"/>
    <col min="13078" max="13078" width="9.875" style="161" customWidth="1"/>
    <col min="13079" max="13079" width="10.625" style="161" customWidth="1"/>
    <col min="13080" max="13080" width="12.75" style="161" customWidth="1"/>
    <col min="13081" max="13081" width="11.75" style="161" customWidth="1"/>
    <col min="13082" max="13082" width="9.875" style="161" customWidth="1"/>
    <col min="13083" max="13083" width="10.625" style="161" customWidth="1"/>
    <col min="13084" max="13084" width="12.75" style="161" customWidth="1"/>
    <col min="13085" max="13085" width="12.125" style="161" customWidth="1"/>
    <col min="13086" max="13086" width="10.625" style="161" customWidth="1"/>
    <col min="13087" max="13087" width="10.875" style="161" customWidth="1"/>
    <col min="13088" max="13088" width="11.25" style="161" customWidth="1"/>
    <col min="13089" max="13310" width="9" style="161"/>
    <col min="13311" max="13311" width="15.875" style="161" customWidth="1"/>
    <col min="13312" max="13312" width="14" style="161" customWidth="1"/>
    <col min="13313" max="13313" width="12.75" style="161" customWidth="1"/>
    <col min="13314" max="13314" width="12.25" style="161" customWidth="1"/>
    <col min="13315" max="13315" width="13.75" style="161" customWidth="1"/>
    <col min="13316" max="13316" width="9.625" style="161" customWidth="1"/>
    <col min="13317" max="13317" width="10.25" style="161" customWidth="1"/>
    <col min="13318" max="13318" width="10.125" style="161" customWidth="1"/>
    <col min="13319" max="13319" width="7" style="161" customWidth="1"/>
    <col min="13320" max="13320" width="11.75" style="161" customWidth="1"/>
    <col min="13321" max="13321" width="11.5" style="161" customWidth="1"/>
    <col min="13322" max="13322" width="9.75" style="161" customWidth="1"/>
    <col min="13323" max="13323" width="10.25" style="161" customWidth="1"/>
    <col min="13324" max="13324" width="9.25" style="161" customWidth="1"/>
    <col min="13325" max="13325" width="9.5" style="161" customWidth="1"/>
    <col min="13326" max="13326" width="10.125" style="161" customWidth="1"/>
    <col min="13327" max="13327" width="16.875" style="161" customWidth="1"/>
    <col min="13328" max="13332" width="9" style="161"/>
    <col min="13333" max="13333" width="11.75" style="161" customWidth="1"/>
    <col min="13334" max="13334" width="9.875" style="161" customWidth="1"/>
    <col min="13335" max="13335" width="10.625" style="161" customWidth="1"/>
    <col min="13336" max="13336" width="12.75" style="161" customWidth="1"/>
    <col min="13337" max="13337" width="11.75" style="161" customWidth="1"/>
    <col min="13338" max="13338" width="9.875" style="161" customWidth="1"/>
    <col min="13339" max="13339" width="10.625" style="161" customWidth="1"/>
    <col min="13340" max="13340" width="12.75" style="161" customWidth="1"/>
    <col min="13341" max="13341" width="12.125" style="161" customWidth="1"/>
    <col min="13342" max="13342" width="10.625" style="161" customWidth="1"/>
    <col min="13343" max="13343" width="10.875" style="161" customWidth="1"/>
    <col min="13344" max="13344" width="11.25" style="161" customWidth="1"/>
    <col min="13345" max="13566" width="9" style="161"/>
    <col min="13567" max="13567" width="15.875" style="161" customWidth="1"/>
    <col min="13568" max="13568" width="14" style="161" customWidth="1"/>
    <col min="13569" max="13569" width="12.75" style="161" customWidth="1"/>
    <col min="13570" max="13570" width="12.25" style="161" customWidth="1"/>
    <col min="13571" max="13571" width="13.75" style="161" customWidth="1"/>
    <col min="13572" max="13572" width="9.625" style="161" customWidth="1"/>
    <col min="13573" max="13573" width="10.25" style="161" customWidth="1"/>
    <col min="13574" max="13574" width="10.125" style="161" customWidth="1"/>
    <col min="13575" max="13575" width="7" style="161" customWidth="1"/>
    <col min="13576" max="13576" width="11.75" style="161" customWidth="1"/>
    <col min="13577" max="13577" width="11.5" style="161" customWidth="1"/>
    <col min="13578" max="13578" width="9.75" style="161" customWidth="1"/>
    <col min="13579" max="13579" width="10.25" style="161" customWidth="1"/>
    <col min="13580" max="13580" width="9.25" style="161" customWidth="1"/>
    <col min="13581" max="13581" width="9.5" style="161" customWidth="1"/>
    <col min="13582" max="13582" width="10.125" style="161" customWidth="1"/>
    <col min="13583" max="13583" width="16.875" style="161" customWidth="1"/>
    <col min="13584" max="13588" width="9" style="161"/>
    <col min="13589" max="13589" width="11.75" style="161" customWidth="1"/>
    <col min="13590" max="13590" width="9.875" style="161" customWidth="1"/>
    <col min="13591" max="13591" width="10.625" style="161" customWidth="1"/>
    <col min="13592" max="13592" width="12.75" style="161" customWidth="1"/>
    <col min="13593" max="13593" width="11.75" style="161" customWidth="1"/>
    <col min="13594" max="13594" width="9.875" style="161" customWidth="1"/>
    <col min="13595" max="13595" width="10.625" style="161" customWidth="1"/>
    <col min="13596" max="13596" width="12.75" style="161" customWidth="1"/>
    <col min="13597" max="13597" width="12.125" style="161" customWidth="1"/>
    <col min="13598" max="13598" width="10.625" style="161" customWidth="1"/>
    <col min="13599" max="13599" width="10.875" style="161" customWidth="1"/>
    <col min="13600" max="13600" width="11.25" style="161" customWidth="1"/>
    <col min="13601" max="13822" width="9" style="161"/>
    <col min="13823" max="13823" width="15.875" style="161" customWidth="1"/>
    <col min="13824" max="13824" width="14" style="161" customWidth="1"/>
    <col min="13825" max="13825" width="12.75" style="161" customWidth="1"/>
    <col min="13826" max="13826" width="12.25" style="161" customWidth="1"/>
    <col min="13827" max="13827" width="13.75" style="161" customWidth="1"/>
    <col min="13828" max="13828" width="9.625" style="161" customWidth="1"/>
    <col min="13829" max="13829" width="10.25" style="161" customWidth="1"/>
    <col min="13830" max="13830" width="10.125" style="161" customWidth="1"/>
    <col min="13831" max="13831" width="7" style="161" customWidth="1"/>
    <col min="13832" max="13832" width="11.75" style="161" customWidth="1"/>
    <col min="13833" max="13833" width="11.5" style="161" customWidth="1"/>
    <col min="13834" max="13834" width="9.75" style="161" customWidth="1"/>
    <col min="13835" max="13835" width="10.25" style="161" customWidth="1"/>
    <col min="13836" max="13836" width="9.25" style="161" customWidth="1"/>
    <col min="13837" max="13837" width="9.5" style="161" customWidth="1"/>
    <col min="13838" max="13838" width="10.125" style="161" customWidth="1"/>
    <col min="13839" max="13839" width="16.875" style="161" customWidth="1"/>
    <col min="13840" max="13844" width="9" style="161"/>
    <col min="13845" max="13845" width="11.75" style="161" customWidth="1"/>
    <col min="13846" max="13846" width="9.875" style="161" customWidth="1"/>
    <col min="13847" max="13847" width="10.625" style="161" customWidth="1"/>
    <col min="13848" max="13848" width="12.75" style="161" customWidth="1"/>
    <col min="13849" max="13849" width="11.75" style="161" customWidth="1"/>
    <col min="13850" max="13850" width="9.875" style="161" customWidth="1"/>
    <col min="13851" max="13851" width="10.625" style="161" customWidth="1"/>
    <col min="13852" max="13852" width="12.75" style="161" customWidth="1"/>
    <col min="13853" max="13853" width="12.125" style="161" customWidth="1"/>
    <col min="13854" max="13854" width="10.625" style="161" customWidth="1"/>
    <col min="13855" max="13855" width="10.875" style="161" customWidth="1"/>
    <col min="13856" max="13856" width="11.25" style="161" customWidth="1"/>
    <col min="13857" max="14078" width="9" style="161"/>
    <col min="14079" max="14079" width="15.875" style="161" customWidth="1"/>
    <col min="14080" max="14080" width="14" style="161" customWidth="1"/>
    <col min="14081" max="14081" width="12.75" style="161" customWidth="1"/>
    <col min="14082" max="14082" width="12.25" style="161" customWidth="1"/>
    <col min="14083" max="14083" width="13.75" style="161" customWidth="1"/>
    <col min="14084" max="14084" width="9.625" style="161" customWidth="1"/>
    <col min="14085" max="14085" width="10.25" style="161" customWidth="1"/>
    <col min="14086" max="14086" width="10.125" style="161" customWidth="1"/>
    <col min="14087" max="14087" width="7" style="161" customWidth="1"/>
    <col min="14088" max="14088" width="11.75" style="161" customWidth="1"/>
    <col min="14089" max="14089" width="11.5" style="161" customWidth="1"/>
    <col min="14090" max="14090" width="9.75" style="161" customWidth="1"/>
    <col min="14091" max="14091" width="10.25" style="161" customWidth="1"/>
    <col min="14092" max="14092" width="9.25" style="161" customWidth="1"/>
    <col min="14093" max="14093" width="9.5" style="161" customWidth="1"/>
    <col min="14094" max="14094" width="10.125" style="161" customWidth="1"/>
    <col min="14095" max="14095" width="16.875" style="161" customWidth="1"/>
    <col min="14096" max="14100" width="9" style="161"/>
    <col min="14101" max="14101" width="11.75" style="161" customWidth="1"/>
    <col min="14102" max="14102" width="9.875" style="161" customWidth="1"/>
    <col min="14103" max="14103" width="10.625" style="161" customWidth="1"/>
    <col min="14104" max="14104" width="12.75" style="161" customWidth="1"/>
    <col min="14105" max="14105" width="11.75" style="161" customWidth="1"/>
    <col min="14106" max="14106" width="9.875" style="161" customWidth="1"/>
    <col min="14107" max="14107" width="10.625" style="161" customWidth="1"/>
    <col min="14108" max="14108" width="12.75" style="161" customWidth="1"/>
    <col min="14109" max="14109" width="12.125" style="161" customWidth="1"/>
    <col min="14110" max="14110" width="10.625" style="161" customWidth="1"/>
    <col min="14111" max="14111" width="10.875" style="161" customWidth="1"/>
    <col min="14112" max="14112" width="11.25" style="161" customWidth="1"/>
    <col min="14113" max="14334" width="9" style="161"/>
    <col min="14335" max="14335" width="15.875" style="161" customWidth="1"/>
    <col min="14336" max="14336" width="14" style="161" customWidth="1"/>
    <col min="14337" max="14337" width="12.75" style="161" customWidth="1"/>
    <col min="14338" max="14338" width="12.25" style="161" customWidth="1"/>
    <col min="14339" max="14339" width="13.75" style="161" customWidth="1"/>
    <col min="14340" max="14340" width="9.625" style="161" customWidth="1"/>
    <col min="14341" max="14341" width="10.25" style="161" customWidth="1"/>
    <col min="14342" max="14342" width="10.125" style="161" customWidth="1"/>
    <col min="14343" max="14343" width="7" style="161" customWidth="1"/>
    <col min="14344" max="14344" width="11.75" style="161" customWidth="1"/>
    <col min="14345" max="14345" width="11.5" style="161" customWidth="1"/>
    <col min="14346" max="14346" width="9.75" style="161" customWidth="1"/>
    <col min="14347" max="14347" width="10.25" style="161" customWidth="1"/>
    <col min="14348" max="14348" width="9.25" style="161" customWidth="1"/>
    <col min="14349" max="14349" width="9.5" style="161" customWidth="1"/>
    <col min="14350" max="14350" width="10.125" style="161" customWidth="1"/>
    <col min="14351" max="14351" width="16.875" style="161" customWidth="1"/>
    <col min="14352" max="14356" width="9" style="161"/>
    <col min="14357" max="14357" width="11.75" style="161" customWidth="1"/>
    <col min="14358" max="14358" width="9.875" style="161" customWidth="1"/>
    <col min="14359" max="14359" width="10.625" style="161" customWidth="1"/>
    <col min="14360" max="14360" width="12.75" style="161" customWidth="1"/>
    <col min="14361" max="14361" width="11.75" style="161" customWidth="1"/>
    <col min="14362" max="14362" width="9.875" style="161" customWidth="1"/>
    <col min="14363" max="14363" width="10.625" style="161" customWidth="1"/>
    <col min="14364" max="14364" width="12.75" style="161" customWidth="1"/>
    <col min="14365" max="14365" width="12.125" style="161" customWidth="1"/>
    <col min="14366" max="14366" width="10.625" style="161" customWidth="1"/>
    <col min="14367" max="14367" width="10.875" style="161" customWidth="1"/>
    <col min="14368" max="14368" width="11.25" style="161" customWidth="1"/>
    <col min="14369" max="14590" width="9" style="161"/>
    <col min="14591" max="14591" width="15.875" style="161" customWidth="1"/>
    <col min="14592" max="14592" width="14" style="161" customWidth="1"/>
    <col min="14593" max="14593" width="12.75" style="161" customWidth="1"/>
    <col min="14594" max="14594" width="12.25" style="161" customWidth="1"/>
    <col min="14595" max="14595" width="13.75" style="161" customWidth="1"/>
    <col min="14596" max="14596" width="9.625" style="161" customWidth="1"/>
    <col min="14597" max="14597" width="10.25" style="161" customWidth="1"/>
    <col min="14598" max="14598" width="10.125" style="161" customWidth="1"/>
    <col min="14599" max="14599" width="7" style="161" customWidth="1"/>
    <col min="14600" max="14600" width="11.75" style="161" customWidth="1"/>
    <col min="14601" max="14601" width="11.5" style="161" customWidth="1"/>
    <col min="14602" max="14602" width="9.75" style="161" customWidth="1"/>
    <col min="14603" max="14603" width="10.25" style="161" customWidth="1"/>
    <col min="14604" max="14604" width="9.25" style="161" customWidth="1"/>
    <col min="14605" max="14605" width="9.5" style="161" customWidth="1"/>
    <col min="14606" max="14606" width="10.125" style="161" customWidth="1"/>
    <col min="14607" max="14607" width="16.875" style="161" customWidth="1"/>
    <col min="14608" max="14612" width="9" style="161"/>
    <col min="14613" max="14613" width="11.75" style="161" customWidth="1"/>
    <col min="14614" max="14614" width="9.875" style="161" customWidth="1"/>
    <col min="14615" max="14615" width="10.625" style="161" customWidth="1"/>
    <col min="14616" max="14616" width="12.75" style="161" customWidth="1"/>
    <col min="14617" max="14617" width="11.75" style="161" customWidth="1"/>
    <col min="14618" max="14618" width="9.875" style="161" customWidth="1"/>
    <col min="14619" max="14619" width="10.625" style="161" customWidth="1"/>
    <col min="14620" max="14620" width="12.75" style="161" customWidth="1"/>
    <col min="14621" max="14621" width="12.125" style="161" customWidth="1"/>
    <col min="14622" max="14622" width="10.625" style="161" customWidth="1"/>
    <col min="14623" max="14623" width="10.875" style="161" customWidth="1"/>
    <col min="14624" max="14624" width="11.25" style="161" customWidth="1"/>
    <col min="14625" max="14846" width="9" style="161"/>
    <col min="14847" max="14847" width="15.875" style="161" customWidth="1"/>
    <col min="14848" max="14848" width="14" style="161" customWidth="1"/>
    <col min="14849" max="14849" width="12.75" style="161" customWidth="1"/>
    <col min="14850" max="14850" width="12.25" style="161" customWidth="1"/>
    <col min="14851" max="14851" width="13.75" style="161" customWidth="1"/>
    <col min="14852" max="14852" width="9.625" style="161" customWidth="1"/>
    <col min="14853" max="14853" width="10.25" style="161" customWidth="1"/>
    <col min="14854" max="14854" width="10.125" style="161" customWidth="1"/>
    <col min="14855" max="14855" width="7" style="161" customWidth="1"/>
    <col min="14856" max="14856" width="11.75" style="161" customWidth="1"/>
    <col min="14857" max="14857" width="11.5" style="161" customWidth="1"/>
    <col min="14858" max="14858" width="9.75" style="161" customWidth="1"/>
    <col min="14859" max="14859" width="10.25" style="161" customWidth="1"/>
    <col min="14860" max="14860" width="9.25" style="161" customWidth="1"/>
    <col min="14861" max="14861" width="9.5" style="161" customWidth="1"/>
    <col min="14862" max="14862" width="10.125" style="161" customWidth="1"/>
    <col min="14863" max="14863" width="16.875" style="161" customWidth="1"/>
    <col min="14864" max="14868" width="9" style="161"/>
    <col min="14869" max="14869" width="11.75" style="161" customWidth="1"/>
    <col min="14870" max="14870" width="9.875" style="161" customWidth="1"/>
    <col min="14871" max="14871" width="10.625" style="161" customWidth="1"/>
    <col min="14872" max="14872" width="12.75" style="161" customWidth="1"/>
    <col min="14873" max="14873" width="11.75" style="161" customWidth="1"/>
    <col min="14874" max="14874" width="9.875" style="161" customWidth="1"/>
    <col min="14875" max="14875" width="10.625" style="161" customWidth="1"/>
    <col min="14876" max="14876" width="12.75" style="161" customWidth="1"/>
    <col min="14877" max="14877" width="12.125" style="161" customWidth="1"/>
    <col min="14878" max="14878" width="10.625" style="161" customWidth="1"/>
    <col min="14879" max="14879" width="10.875" style="161" customWidth="1"/>
    <col min="14880" max="14880" width="11.25" style="161" customWidth="1"/>
    <col min="14881" max="15102" width="9" style="161"/>
    <col min="15103" max="15103" width="15.875" style="161" customWidth="1"/>
    <col min="15104" max="15104" width="14" style="161" customWidth="1"/>
    <col min="15105" max="15105" width="12.75" style="161" customWidth="1"/>
    <col min="15106" max="15106" width="12.25" style="161" customWidth="1"/>
    <col min="15107" max="15107" width="13.75" style="161" customWidth="1"/>
    <col min="15108" max="15108" width="9.625" style="161" customWidth="1"/>
    <col min="15109" max="15109" width="10.25" style="161" customWidth="1"/>
    <col min="15110" max="15110" width="10.125" style="161" customWidth="1"/>
    <col min="15111" max="15111" width="7" style="161" customWidth="1"/>
    <col min="15112" max="15112" width="11.75" style="161" customWidth="1"/>
    <col min="15113" max="15113" width="11.5" style="161" customWidth="1"/>
    <col min="15114" max="15114" width="9.75" style="161" customWidth="1"/>
    <col min="15115" max="15115" width="10.25" style="161" customWidth="1"/>
    <col min="15116" max="15116" width="9.25" style="161" customWidth="1"/>
    <col min="15117" max="15117" width="9.5" style="161" customWidth="1"/>
    <col min="15118" max="15118" width="10.125" style="161" customWidth="1"/>
    <col min="15119" max="15119" width="16.875" style="161" customWidth="1"/>
    <col min="15120" max="15124" width="9" style="161"/>
    <col min="15125" max="15125" width="11.75" style="161" customWidth="1"/>
    <col min="15126" max="15126" width="9.875" style="161" customWidth="1"/>
    <col min="15127" max="15127" width="10.625" style="161" customWidth="1"/>
    <col min="15128" max="15128" width="12.75" style="161" customWidth="1"/>
    <col min="15129" max="15129" width="11.75" style="161" customWidth="1"/>
    <col min="15130" max="15130" width="9.875" style="161" customWidth="1"/>
    <col min="15131" max="15131" width="10.625" style="161" customWidth="1"/>
    <col min="15132" max="15132" width="12.75" style="161" customWidth="1"/>
    <col min="15133" max="15133" width="12.125" style="161" customWidth="1"/>
    <col min="15134" max="15134" width="10.625" style="161" customWidth="1"/>
    <col min="15135" max="15135" width="10.875" style="161" customWidth="1"/>
    <col min="15136" max="15136" width="11.25" style="161" customWidth="1"/>
    <col min="15137" max="15358" width="9" style="161"/>
    <col min="15359" max="15359" width="15.875" style="161" customWidth="1"/>
    <col min="15360" max="15360" width="14" style="161" customWidth="1"/>
    <col min="15361" max="15361" width="12.75" style="161" customWidth="1"/>
    <col min="15362" max="15362" width="12.25" style="161" customWidth="1"/>
    <col min="15363" max="15363" width="13.75" style="161" customWidth="1"/>
    <col min="15364" max="15364" width="9.625" style="161" customWidth="1"/>
    <col min="15365" max="15365" width="10.25" style="161" customWidth="1"/>
    <col min="15366" max="15366" width="10.125" style="161" customWidth="1"/>
    <col min="15367" max="15367" width="7" style="161" customWidth="1"/>
    <col min="15368" max="15368" width="11.75" style="161" customWidth="1"/>
    <col min="15369" max="15369" width="11.5" style="161" customWidth="1"/>
    <col min="15370" max="15370" width="9.75" style="161" customWidth="1"/>
    <col min="15371" max="15371" width="10.25" style="161" customWidth="1"/>
    <col min="15372" max="15372" width="9.25" style="161" customWidth="1"/>
    <col min="15373" max="15373" width="9.5" style="161" customWidth="1"/>
    <col min="15374" max="15374" width="10.125" style="161" customWidth="1"/>
    <col min="15375" max="15375" width="16.875" style="161" customWidth="1"/>
    <col min="15376" max="15380" width="9" style="161"/>
    <col min="15381" max="15381" width="11.75" style="161" customWidth="1"/>
    <col min="15382" max="15382" width="9.875" style="161" customWidth="1"/>
    <col min="15383" max="15383" width="10.625" style="161" customWidth="1"/>
    <col min="15384" max="15384" width="12.75" style="161" customWidth="1"/>
    <col min="15385" max="15385" width="11.75" style="161" customWidth="1"/>
    <col min="15386" max="15386" width="9.875" style="161" customWidth="1"/>
    <col min="15387" max="15387" width="10.625" style="161" customWidth="1"/>
    <col min="15388" max="15388" width="12.75" style="161" customWidth="1"/>
    <col min="15389" max="15389" width="12.125" style="161" customWidth="1"/>
    <col min="15390" max="15390" width="10.625" style="161" customWidth="1"/>
    <col min="15391" max="15391" width="10.875" style="161" customWidth="1"/>
    <col min="15392" max="15392" width="11.25" style="161" customWidth="1"/>
    <col min="15393" max="15614" width="9" style="161"/>
    <col min="15615" max="15615" width="15.875" style="161" customWidth="1"/>
    <col min="15616" max="15616" width="14" style="161" customWidth="1"/>
    <col min="15617" max="15617" width="12.75" style="161" customWidth="1"/>
    <col min="15618" max="15618" width="12.25" style="161" customWidth="1"/>
    <col min="15619" max="15619" width="13.75" style="161" customWidth="1"/>
    <col min="15620" max="15620" width="9.625" style="161" customWidth="1"/>
    <col min="15621" max="15621" width="10.25" style="161" customWidth="1"/>
    <col min="15622" max="15622" width="10.125" style="161" customWidth="1"/>
    <col min="15623" max="15623" width="7" style="161" customWidth="1"/>
    <col min="15624" max="15624" width="11.75" style="161" customWidth="1"/>
    <col min="15625" max="15625" width="11.5" style="161" customWidth="1"/>
    <col min="15626" max="15626" width="9.75" style="161" customWidth="1"/>
    <col min="15627" max="15627" width="10.25" style="161" customWidth="1"/>
    <col min="15628" max="15628" width="9.25" style="161" customWidth="1"/>
    <col min="15629" max="15629" width="9.5" style="161" customWidth="1"/>
    <col min="15630" max="15630" width="10.125" style="161" customWidth="1"/>
    <col min="15631" max="15631" width="16.875" style="161" customWidth="1"/>
    <col min="15632" max="15636" width="9" style="161"/>
    <col min="15637" max="15637" width="11.75" style="161" customWidth="1"/>
    <col min="15638" max="15638" width="9.875" style="161" customWidth="1"/>
    <col min="15639" max="15639" width="10.625" style="161" customWidth="1"/>
    <col min="15640" max="15640" width="12.75" style="161" customWidth="1"/>
    <col min="15641" max="15641" width="11.75" style="161" customWidth="1"/>
    <col min="15642" max="15642" width="9.875" style="161" customWidth="1"/>
    <col min="15643" max="15643" width="10.625" style="161" customWidth="1"/>
    <col min="15644" max="15644" width="12.75" style="161" customWidth="1"/>
    <col min="15645" max="15645" width="12.125" style="161" customWidth="1"/>
    <col min="15646" max="15646" width="10.625" style="161" customWidth="1"/>
    <col min="15647" max="15647" width="10.875" style="161" customWidth="1"/>
    <col min="15648" max="15648" width="11.25" style="161" customWidth="1"/>
    <col min="15649" max="15870" width="9" style="161"/>
    <col min="15871" max="15871" width="15.875" style="161" customWidth="1"/>
    <col min="15872" max="15872" width="14" style="161" customWidth="1"/>
    <col min="15873" max="15873" width="12.75" style="161" customWidth="1"/>
    <col min="15874" max="15874" width="12.25" style="161" customWidth="1"/>
    <col min="15875" max="15875" width="13.75" style="161" customWidth="1"/>
    <col min="15876" max="15876" width="9.625" style="161" customWidth="1"/>
    <col min="15877" max="15877" width="10.25" style="161" customWidth="1"/>
    <col min="15878" max="15878" width="10.125" style="161" customWidth="1"/>
    <col min="15879" max="15879" width="7" style="161" customWidth="1"/>
    <col min="15880" max="15880" width="11.75" style="161" customWidth="1"/>
    <col min="15881" max="15881" width="11.5" style="161" customWidth="1"/>
    <col min="15882" max="15882" width="9.75" style="161" customWidth="1"/>
    <col min="15883" max="15883" width="10.25" style="161" customWidth="1"/>
    <col min="15884" max="15884" width="9.25" style="161" customWidth="1"/>
    <col min="15885" max="15885" width="9.5" style="161" customWidth="1"/>
    <col min="15886" max="15886" width="10.125" style="161" customWidth="1"/>
    <col min="15887" max="15887" width="16.875" style="161" customWidth="1"/>
    <col min="15888" max="15892" width="9" style="161"/>
    <col min="15893" max="15893" width="11.75" style="161" customWidth="1"/>
    <col min="15894" max="15894" width="9.875" style="161" customWidth="1"/>
    <col min="15895" max="15895" width="10.625" style="161" customWidth="1"/>
    <col min="15896" max="15896" width="12.75" style="161" customWidth="1"/>
    <col min="15897" max="15897" width="11.75" style="161" customWidth="1"/>
    <col min="15898" max="15898" width="9.875" style="161" customWidth="1"/>
    <col min="15899" max="15899" width="10.625" style="161" customWidth="1"/>
    <col min="15900" max="15900" width="12.75" style="161" customWidth="1"/>
    <col min="15901" max="15901" width="12.125" style="161" customWidth="1"/>
    <col min="15902" max="15902" width="10.625" style="161" customWidth="1"/>
    <col min="15903" max="15903" width="10.875" style="161" customWidth="1"/>
    <col min="15904" max="15904" width="11.25" style="161" customWidth="1"/>
    <col min="15905" max="16126" width="9" style="161"/>
    <col min="16127" max="16127" width="15.875" style="161" customWidth="1"/>
    <col min="16128" max="16128" width="14" style="161" customWidth="1"/>
    <col min="16129" max="16129" width="12.75" style="161" customWidth="1"/>
    <col min="16130" max="16130" width="12.25" style="161" customWidth="1"/>
    <col min="16131" max="16131" width="13.75" style="161" customWidth="1"/>
    <col min="16132" max="16132" width="9.625" style="161" customWidth="1"/>
    <col min="16133" max="16133" width="10.25" style="161" customWidth="1"/>
    <col min="16134" max="16134" width="10.125" style="161" customWidth="1"/>
    <col min="16135" max="16135" width="7" style="161" customWidth="1"/>
    <col min="16136" max="16136" width="11.75" style="161" customWidth="1"/>
    <col min="16137" max="16137" width="11.5" style="161" customWidth="1"/>
    <col min="16138" max="16138" width="9.75" style="161" customWidth="1"/>
    <col min="16139" max="16139" width="10.25" style="161" customWidth="1"/>
    <col min="16140" max="16140" width="9.25" style="161" customWidth="1"/>
    <col min="16141" max="16141" width="9.5" style="161" customWidth="1"/>
    <col min="16142" max="16142" width="10.125" style="161" customWidth="1"/>
    <col min="16143" max="16143" width="16.875" style="161" customWidth="1"/>
    <col min="16144" max="16148" width="9" style="161"/>
    <col min="16149" max="16149" width="11.75" style="161" customWidth="1"/>
    <col min="16150" max="16150" width="9.875" style="161" customWidth="1"/>
    <col min="16151" max="16151" width="10.625" style="161" customWidth="1"/>
    <col min="16152" max="16152" width="12.75" style="161" customWidth="1"/>
    <col min="16153" max="16153" width="11.75" style="161" customWidth="1"/>
    <col min="16154" max="16154" width="9.875" style="161" customWidth="1"/>
    <col min="16155" max="16155" width="10.625" style="161" customWidth="1"/>
    <col min="16156" max="16156" width="12.75" style="161" customWidth="1"/>
    <col min="16157" max="16157" width="12.125" style="161" customWidth="1"/>
    <col min="16158" max="16158" width="10.625" style="161" customWidth="1"/>
    <col min="16159" max="16159" width="10.875" style="161" customWidth="1"/>
    <col min="16160" max="16160" width="11.25" style="161" customWidth="1"/>
    <col min="16161" max="16384" width="9" style="161"/>
  </cols>
  <sheetData>
    <row r="1" spans="1:32" s="160" customFormat="1" ht="32.25">
      <c r="A1" s="695" t="s">
        <v>175</v>
      </c>
      <c r="B1" s="696"/>
      <c r="C1" s="696"/>
      <c r="D1" s="696"/>
      <c r="E1" s="696"/>
      <c r="F1" s="696"/>
      <c r="G1" s="696"/>
      <c r="H1" s="696"/>
      <c r="I1" s="696"/>
      <c r="J1" s="696"/>
      <c r="K1" s="696"/>
      <c r="L1" s="696"/>
      <c r="M1" s="696"/>
      <c r="N1" s="161"/>
      <c r="O1" s="198"/>
      <c r="P1" s="198"/>
      <c r="Q1" s="198"/>
      <c r="R1" s="198"/>
      <c r="S1" s="198"/>
      <c r="T1" s="198"/>
      <c r="U1" s="198"/>
      <c r="V1" s="198"/>
      <c r="W1" s="198"/>
      <c r="X1" s="198"/>
      <c r="Y1" s="198"/>
      <c r="Z1" s="198"/>
      <c r="AA1" s="198"/>
      <c r="AB1" s="198"/>
      <c r="AC1" s="198"/>
    </row>
    <row r="2" spans="1:32" s="160" customFormat="1" ht="17.25">
      <c r="A2" s="163" t="s">
        <v>176</v>
      </c>
      <c r="B2" s="697" t="s">
        <v>177</v>
      </c>
      <c r="C2" s="698"/>
      <c r="D2" s="698"/>
      <c r="E2" s="698"/>
      <c r="F2" s="698"/>
      <c r="G2" s="699" t="s">
        <v>178</v>
      </c>
      <c r="H2" s="699"/>
      <c r="I2" s="699"/>
      <c r="J2" s="699"/>
      <c r="K2" s="699"/>
      <c r="L2" s="699"/>
      <c r="M2" s="699"/>
      <c r="N2" s="161"/>
      <c r="O2" s="161"/>
      <c r="P2" s="161"/>
      <c r="Q2" s="161"/>
      <c r="R2" s="161"/>
      <c r="S2" s="161"/>
      <c r="T2" s="161"/>
      <c r="U2" s="161"/>
      <c r="V2" s="161"/>
      <c r="W2" s="161"/>
      <c r="X2" s="161"/>
      <c r="Y2" s="161"/>
      <c r="Z2" s="161"/>
      <c r="AA2" s="161"/>
      <c r="AB2" s="161"/>
      <c r="AC2" s="161"/>
    </row>
    <row r="3" spans="1:32" s="160" customFormat="1" ht="57">
      <c r="A3" s="164" t="s">
        <v>179</v>
      </c>
      <c r="B3" s="165" t="str">
        <f t="shared" ref="B3" si="0">B5&amp;"层板灯"</f>
        <v>760mm层板灯</v>
      </c>
      <c r="C3" s="165" t="str">
        <f>C5&amp;"层板灯"</f>
        <v>960mm层板灯</v>
      </c>
      <c r="D3" s="165" t="str">
        <f>D5&amp;"层板灯"</f>
        <v>1110mm层板灯</v>
      </c>
      <c r="E3" s="165" t="str">
        <f>E5&amp;"层板灯"</f>
        <v>1160mm层板灯</v>
      </c>
      <c r="F3" s="165" t="str">
        <f>F5&amp;"层板灯"</f>
        <v>1210mm层板灯</v>
      </c>
      <c r="G3" s="166" t="s">
        <v>180</v>
      </c>
      <c r="H3" s="166" t="s">
        <v>181</v>
      </c>
      <c r="I3" s="166" t="s">
        <v>182</v>
      </c>
      <c r="J3" s="166" t="s">
        <v>183</v>
      </c>
      <c r="K3" s="166" t="s">
        <v>184</v>
      </c>
      <c r="L3" s="166" t="s">
        <v>185</v>
      </c>
      <c r="M3" s="199" t="s">
        <v>186</v>
      </c>
      <c r="N3" s="161"/>
      <c r="O3" s="161"/>
      <c r="P3" s="161"/>
      <c r="Q3" s="161"/>
      <c r="R3" s="161"/>
      <c r="S3" s="161"/>
      <c r="T3" s="161"/>
      <c r="U3" s="161"/>
      <c r="V3" s="161"/>
      <c r="W3" s="161"/>
      <c r="X3" s="161"/>
      <c r="Y3" s="161"/>
      <c r="Z3" s="161"/>
    </row>
    <row r="4" spans="1:32" s="160" customFormat="1" ht="28.5">
      <c r="A4" s="164" t="s">
        <v>187</v>
      </c>
      <c r="B4" s="167" t="s">
        <v>188</v>
      </c>
      <c r="C4" s="167" t="s">
        <v>188</v>
      </c>
      <c r="D4" s="167" t="s">
        <v>188</v>
      </c>
      <c r="E4" s="167" t="s">
        <v>188</v>
      </c>
      <c r="F4" s="167" t="s">
        <v>188</v>
      </c>
      <c r="G4" s="168" t="s">
        <v>189</v>
      </c>
      <c r="H4" s="168" t="s">
        <v>190</v>
      </c>
      <c r="I4" s="168" t="s">
        <v>191</v>
      </c>
      <c r="J4" s="168" t="s">
        <v>192</v>
      </c>
      <c r="K4" s="168" t="s">
        <v>193</v>
      </c>
      <c r="L4" s="168" t="s">
        <v>194</v>
      </c>
      <c r="M4" s="171" t="s">
        <v>195</v>
      </c>
      <c r="N4" s="161"/>
      <c r="O4" s="161"/>
      <c r="P4" s="161"/>
      <c r="Q4" s="161"/>
      <c r="R4" s="161"/>
      <c r="S4" s="161"/>
      <c r="T4" s="161"/>
      <c r="U4" s="161"/>
      <c r="V4" s="161"/>
      <c r="W4" s="161"/>
      <c r="X4" s="161"/>
      <c r="Y4" s="161"/>
      <c r="Z4" s="161"/>
    </row>
    <row r="5" spans="1:32" s="160" customFormat="1" ht="17.25">
      <c r="A5" s="164" t="s">
        <v>196</v>
      </c>
      <c r="B5" s="169" t="s">
        <v>197</v>
      </c>
      <c r="C5" s="170" t="s">
        <v>198</v>
      </c>
      <c r="D5" s="170" t="s">
        <v>199</v>
      </c>
      <c r="E5" s="169" t="s">
        <v>200</v>
      </c>
      <c r="F5" s="169" t="s">
        <v>201</v>
      </c>
      <c r="G5" s="171" t="s">
        <v>202</v>
      </c>
      <c r="H5" s="168" t="s">
        <v>203</v>
      </c>
      <c r="I5" s="168" t="s">
        <v>204</v>
      </c>
      <c r="J5" s="168" t="s">
        <v>205</v>
      </c>
      <c r="K5" s="168" t="s">
        <v>206</v>
      </c>
      <c r="L5" s="168" t="s">
        <v>207</v>
      </c>
      <c r="M5" s="171" t="s">
        <v>208</v>
      </c>
      <c r="N5" s="161"/>
      <c r="O5" s="161"/>
      <c r="P5" s="161"/>
      <c r="Q5" s="161"/>
      <c r="R5" s="161"/>
      <c r="S5" s="161"/>
      <c r="T5" s="161"/>
      <c r="U5" s="161"/>
      <c r="V5" s="161"/>
      <c r="W5" s="161"/>
      <c r="X5" s="161"/>
      <c r="Y5" s="161"/>
      <c r="Z5" s="161"/>
    </row>
    <row r="6" spans="1:32" s="160" customFormat="1" ht="17.25">
      <c r="A6" s="164" t="s">
        <v>209</v>
      </c>
      <c r="B6" s="168"/>
      <c r="C6" s="168"/>
      <c r="D6" s="168"/>
      <c r="E6" s="172"/>
      <c r="F6" s="171"/>
      <c r="G6" s="168" t="s">
        <v>210</v>
      </c>
      <c r="H6" s="168" t="s">
        <v>211</v>
      </c>
      <c r="I6" s="168" t="s">
        <v>211</v>
      </c>
      <c r="J6" s="168" t="s">
        <v>211</v>
      </c>
      <c r="K6" s="168" t="s">
        <v>211</v>
      </c>
      <c r="L6" s="168" t="s">
        <v>211</v>
      </c>
      <c r="M6" s="168" t="s">
        <v>211</v>
      </c>
      <c r="N6" s="161"/>
      <c r="O6" s="161"/>
      <c r="P6" s="161"/>
      <c r="Q6" s="161"/>
      <c r="R6" s="161"/>
      <c r="S6" s="161"/>
      <c r="T6" s="161"/>
      <c r="U6" s="161"/>
      <c r="V6" s="161"/>
      <c r="W6" s="161"/>
      <c r="X6" s="161"/>
      <c r="Y6" s="161"/>
      <c r="Z6" s="161"/>
    </row>
    <row r="7" spans="1:32" s="160" customFormat="1" ht="17.25" hidden="1">
      <c r="A7" s="173" t="s">
        <v>212</v>
      </c>
      <c r="B7" s="700">
        <v>162</v>
      </c>
      <c r="C7" s="701"/>
      <c r="D7" s="701"/>
      <c r="E7" s="701"/>
      <c r="F7" s="702"/>
      <c r="G7" s="174">
        <v>635</v>
      </c>
      <c r="H7" s="703">
        <v>33</v>
      </c>
      <c r="I7" s="703"/>
      <c r="J7" s="703"/>
      <c r="K7" s="703"/>
      <c r="L7" s="703"/>
      <c r="M7" s="703"/>
      <c r="N7" s="161"/>
      <c r="O7" s="161"/>
      <c r="P7" s="161"/>
      <c r="Q7" s="161"/>
      <c r="R7" s="161"/>
      <c r="S7" s="161"/>
      <c r="T7" s="161"/>
      <c r="U7" s="161"/>
      <c r="V7" s="161"/>
      <c r="W7" s="161"/>
      <c r="X7" s="161"/>
      <c r="Y7" s="161"/>
      <c r="Z7" s="161"/>
    </row>
    <row r="8" spans="1:32" s="160" customFormat="1" ht="17.25" hidden="1">
      <c r="A8" s="173" t="s">
        <v>213</v>
      </c>
      <c r="B8" s="700">
        <v>189.54</v>
      </c>
      <c r="C8" s="701"/>
      <c r="D8" s="701"/>
      <c r="E8" s="701"/>
      <c r="F8" s="702"/>
      <c r="G8" s="175">
        <v>742.95</v>
      </c>
      <c r="H8" s="704">
        <v>38.61</v>
      </c>
      <c r="I8" s="704"/>
      <c r="J8" s="704"/>
      <c r="K8" s="704"/>
      <c r="L8" s="704"/>
      <c r="M8" s="704"/>
      <c r="N8" s="161"/>
      <c r="O8" s="161"/>
      <c r="P8" s="161"/>
      <c r="Q8" s="161"/>
      <c r="R8" s="161"/>
      <c r="S8" s="161"/>
      <c r="T8" s="161"/>
      <c r="U8" s="161"/>
      <c r="V8" s="161"/>
      <c r="W8" s="161"/>
      <c r="X8" s="161"/>
      <c r="Y8" s="161"/>
      <c r="Z8" s="161"/>
    </row>
    <row r="9" spans="1:32" s="160" customFormat="1" ht="17.25" hidden="1">
      <c r="A9" s="173" t="s">
        <v>214</v>
      </c>
      <c r="B9" s="176">
        <f>0.76*$B$7</f>
        <v>123.12</v>
      </c>
      <c r="C9" s="176">
        <f>0.96*$B$7</f>
        <v>155.51999999999998</v>
      </c>
      <c r="D9" s="176">
        <f>1.11*$B$7</f>
        <v>179.82000000000002</v>
      </c>
      <c r="E9" s="176">
        <f>1.16*$B$7</f>
        <v>187.92</v>
      </c>
      <c r="F9" s="176">
        <f>1.21*$B$7</f>
        <v>196.01999999999998</v>
      </c>
      <c r="G9" s="176">
        <v>635</v>
      </c>
      <c r="H9" s="176">
        <v>37.950000000000003</v>
      </c>
      <c r="I9" s="176">
        <v>34.65</v>
      </c>
      <c r="J9" s="176">
        <v>36.630000000000003</v>
      </c>
      <c r="K9" s="176">
        <v>25.08</v>
      </c>
      <c r="L9" s="176">
        <v>42.9</v>
      </c>
      <c r="M9" s="176">
        <v>52.8</v>
      </c>
      <c r="N9" s="161"/>
      <c r="O9" s="161"/>
      <c r="P9" s="161"/>
      <c r="Q9" s="161"/>
      <c r="R9" s="161"/>
      <c r="S9" s="161"/>
      <c r="T9" s="161"/>
      <c r="U9" s="161"/>
      <c r="V9" s="161"/>
      <c r="W9" s="161"/>
      <c r="X9" s="161"/>
      <c r="Y9" s="161"/>
      <c r="Z9" s="161"/>
    </row>
    <row r="10" spans="1:32" s="160" customFormat="1" ht="17.25" hidden="1">
      <c r="A10" s="173" t="s">
        <v>215</v>
      </c>
      <c r="B10" s="176">
        <f t="shared" ref="B10" si="1">B9*1.17</f>
        <v>144.0504</v>
      </c>
      <c r="C10" s="176">
        <f t="shared" ref="C10:M10" si="2">C9*1.17</f>
        <v>181.95839999999995</v>
      </c>
      <c r="D10" s="176">
        <f t="shared" si="2"/>
        <v>210.38940000000002</v>
      </c>
      <c r="E10" s="176">
        <f t="shared" si="2"/>
        <v>219.86639999999997</v>
      </c>
      <c r="F10" s="176">
        <f t="shared" si="2"/>
        <v>229.34339999999997</v>
      </c>
      <c r="G10" s="176">
        <f t="shared" si="2"/>
        <v>742.94999999999993</v>
      </c>
      <c r="H10" s="176">
        <f t="shared" si="2"/>
        <v>44.401499999999999</v>
      </c>
      <c r="I10" s="176">
        <f t="shared" si="2"/>
        <v>40.540499999999994</v>
      </c>
      <c r="J10" s="176">
        <f t="shared" si="2"/>
        <v>42.857100000000003</v>
      </c>
      <c r="K10" s="176">
        <f t="shared" si="2"/>
        <v>29.343599999999995</v>
      </c>
      <c r="L10" s="176">
        <f t="shared" si="2"/>
        <v>50.192999999999998</v>
      </c>
      <c r="M10" s="176">
        <f t="shared" si="2"/>
        <v>61.775999999999996</v>
      </c>
      <c r="N10" s="161"/>
      <c r="O10" s="161"/>
      <c r="P10" s="161"/>
      <c r="Q10" s="161"/>
      <c r="R10" s="161"/>
      <c r="S10" s="161"/>
      <c r="T10" s="161"/>
      <c r="U10" s="161"/>
      <c r="V10" s="161"/>
      <c r="W10" s="161"/>
      <c r="X10" s="161"/>
      <c r="Y10" s="161"/>
      <c r="Z10" s="161"/>
    </row>
    <row r="11" spans="1:32" s="160" customFormat="1" ht="17.25" hidden="1">
      <c r="A11" s="164" t="s">
        <v>216</v>
      </c>
      <c r="B11" s="168">
        <f>7+8+12</f>
        <v>27</v>
      </c>
      <c r="C11" s="168">
        <v>0</v>
      </c>
      <c r="D11" s="168">
        <v>0</v>
      </c>
      <c r="E11" s="168">
        <f>32+14</f>
        <v>46</v>
      </c>
      <c r="F11" s="168"/>
      <c r="G11" s="168">
        <v>3</v>
      </c>
      <c r="H11" s="168">
        <v>7</v>
      </c>
      <c r="I11" s="168"/>
      <c r="J11" s="168">
        <v>7</v>
      </c>
      <c r="K11" s="168"/>
      <c r="L11" s="168"/>
      <c r="M11" s="171"/>
      <c r="N11" s="161"/>
      <c r="O11" s="161"/>
      <c r="P11" s="161"/>
      <c r="Q11" s="161"/>
      <c r="R11" s="161"/>
      <c r="S11" s="161"/>
      <c r="T11" s="161"/>
      <c r="U11" s="161"/>
      <c r="V11" s="161"/>
      <c r="W11" s="161"/>
      <c r="X11" s="161"/>
      <c r="Y11" s="161"/>
      <c r="Z11" s="161"/>
    </row>
    <row r="12" spans="1:32" s="160" customFormat="1" ht="17.25" hidden="1">
      <c r="A12" s="177" t="s">
        <v>217</v>
      </c>
      <c r="B12" s="178">
        <f t="shared" ref="B12" si="3">B11*B9</f>
        <v>3324.2400000000002</v>
      </c>
      <c r="C12" s="178">
        <f t="shared" ref="C12:M12" si="4">C11*C9</f>
        <v>0</v>
      </c>
      <c r="D12" s="178">
        <f t="shared" si="4"/>
        <v>0</v>
      </c>
      <c r="E12" s="178">
        <f t="shared" si="4"/>
        <v>8644.32</v>
      </c>
      <c r="F12" s="178">
        <f t="shared" si="4"/>
        <v>0</v>
      </c>
      <c r="G12" s="178">
        <f t="shared" si="4"/>
        <v>1905</v>
      </c>
      <c r="H12" s="178">
        <f t="shared" si="4"/>
        <v>265.65000000000003</v>
      </c>
      <c r="I12" s="178">
        <f t="shared" si="4"/>
        <v>0</v>
      </c>
      <c r="J12" s="178">
        <f t="shared" si="4"/>
        <v>256.41000000000003</v>
      </c>
      <c r="K12" s="178">
        <f t="shared" si="4"/>
        <v>0</v>
      </c>
      <c r="L12" s="178">
        <f t="shared" si="4"/>
        <v>0</v>
      </c>
      <c r="M12" s="178">
        <f t="shared" si="4"/>
        <v>0</v>
      </c>
      <c r="N12" s="200">
        <f>SUM(B12:M12)</f>
        <v>14395.619999999999</v>
      </c>
      <c r="O12" s="161"/>
      <c r="P12" s="161"/>
      <c r="Q12" s="161"/>
      <c r="R12" s="161"/>
      <c r="S12" s="161"/>
      <c r="T12" s="161"/>
      <c r="U12" s="161"/>
      <c r="V12" s="161"/>
      <c r="W12" s="161"/>
      <c r="X12" s="161"/>
      <c r="Y12" s="161"/>
      <c r="Z12" s="161"/>
    </row>
    <row r="13" spans="1:32" s="160" customFormat="1" ht="17.25">
      <c r="A13" s="164" t="s">
        <v>218</v>
      </c>
      <c r="B13" s="705" t="s">
        <v>219</v>
      </c>
      <c r="C13" s="706"/>
      <c r="D13" s="706"/>
      <c r="E13" s="706"/>
      <c r="F13" s="706"/>
      <c r="G13" s="179"/>
      <c r="H13" s="179"/>
      <c r="I13" s="179"/>
      <c r="J13" s="179"/>
      <c r="K13" s="179"/>
      <c r="L13" s="201"/>
      <c r="M13" s="202"/>
      <c r="N13" s="161"/>
      <c r="O13" s="161"/>
      <c r="P13" s="161"/>
      <c r="Q13" s="161"/>
      <c r="R13" s="161"/>
      <c r="S13" s="161"/>
      <c r="T13" s="161"/>
      <c r="U13" s="161"/>
      <c r="V13" s="161"/>
      <c r="W13" s="161"/>
      <c r="X13" s="161"/>
      <c r="Y13" s="161"/>
      <c r="Z13" s="161"/>
      <c r="AA13" s="161"/>
      <c r="AB13" s="161"/>
      <c r="AC13" s="161"/>
    </row>
    <row r="14" spans="1:32" s="160" customFormat="1" ht="17.25">
      <c r="A14" s="180" t="s">
        <v>220</v>
      </c>
      <c r="B14" s="707"/>
      <c r="C14" s="707"/>
      <c r="D14" s="707"/>
      <c r="E14" s="707"/>
      <c r="F14" s="707"/>
      <c r="G14" s="181"/>
      <c r="H14" s="707"/>
      <c r="I14" s="707"/>
      <c r="J14" s="707"/>
      <c r="K14" s="707"/>
      <c r="L14" s="707"/>
      <c r="M14" s="707"/>
      <c r="N14" s="161"/>
      <c r="O14" s="161"/>
      <c r="P14" s="161"/>
      <c r="Q14" s="161"/>
      <c r="R14" s="161"/>
      <c r="S14" s="161"/>
      <c r="T14" s="161"/>
      <c r="U14" s="161"/>
      <c r="V14" s="161"/>
      <c r="W14" s="161"/>
      <c r="X14" s="161"/>
      <c r="Y14" s="161"/>
      <c r="Z14" s="161"/>
      <c r="AA14" s="161"/>
      <c r="AB14" s="161"/>
      <c r="AC14" s="161"/>
      <c r="AD14" s="161"/>
      <c r="AE14" s="161"/>
      <c r="AF14" s="161"/>
    </row>
    <row r="15" spans="1:32" s="160" customFormat="1" ht="17.25">
      <c r="A15" s="182"/>
      <c r="B15" s="183"/>
      <c r="C15" s="183"/>
      <c r="D15" s="183"/>
      <c r="E15" s="183"/>
      <c r="F15" s="183"/>
      <c r="G15" s="183"/>
      <c r="H15" s="183"/>
      <c r="I15" s="183"/>
      <c r="J15" s="183"/>
      <c r="K15" s="183"/>
      <c r="L15" s="183"/>
      <c r="M15" s="183"/>
      <c r="N15" s="183"/>
      <c r="O15" s="183"/>
      <c r="P15" s="183"/>
      <c r="Q15" s="183"/>
      <c r="R15" s="183"/>
      <c r="S15" s="183"/>
      <c r="T15" s="183"/>
      <c r="U15" s="193"/>
      <c r="V15" s="193"/>
      <c r="W15" s="193"/>
      <c r="X15" s="212"/>
      <c r="Y15" s="213"/>
      <c r="Z15" s="213"/>
      <c r="AA15" s="213"/>
      <c r="AB15" s="213"/>
      <c r="AC15" s="214"/>
      <c r="AD15" s="214"/>
      <c r="AE15" s="214"/>
      <c r="AF15" s="214"/>
    </row>
    <row r="16" spans="1:32">
      <c r="A16" s="161" t="s">
        <v>221</v>
      </c>
      <c r="B16" s="184" t="s">
        <v>425</v>
      </c>
      <c r="E16" s="161" t="s">
        <v>426</v>
      </c>
      <c r="H16" s="161" t="s">
        <v>261</v>
      </c>
      <c r="J16" s="161" t="s">
        <v>261</v>
      </c>
    </row>
    <row r="17" spans="1:15">
      <c r="E17" s="161" t="s">
        <v>222</v>
      </c>
    </row>
    <row r="18" spans="1:15">
      <c r="A18" s="708"/>
      <c r="B18" s="708"/>
      <c r="C18" s="708"/>
      <c r="D18" s="708"/>
      <c r="E18" s="708"/>
      <c r="F18" s="709"/>
      <c r="G18" s="709"/>
      <c r="H18" s="709"/>
      <c r="I18" s="709"/>
      <c r="J18" s="709"/>
      <c r="K18" s="709"/>
      <c r="L18" s="709"/>
      <c r="M18" s="709"/>
      <c r="N18" s="709"/>
    </row>
    <row r="19" spans="1:15">
      <c r="A19" s="186" t="s">
        <v>176</v>
      </c>
      <c r="B19" s="710" t="s">
        <v>223</v>
      </c>
      <c r="C19" s="710"/>
      <c r="D19" s="710"/>
      <c r="E19" s="710"/>
      <c r="F19" s="711" t="s">
        <v>224</v>
      </c>
      <c r="G19" s="711"/>
      <c r="H19" s="711"/>
      <c r="I19" s="711"/>
      <c r="J19" s="711" t="s">
        <v>225</v>
      </c>
      <c r="K19" s="711"/>
      <c r="L19" s="711"/>
    </row>
    <row r="20" spans="1:15" ht="57">
      <c r="A20" s="164" t="s">
        <v>179</v>
      </c>
      <c r="B20" s="187" t="s">
        <v>226</v>
      </c>
      <c r="C20" s="187" t="s">
        <v>227</v>
      </c>
      <c r="D20" s="187" t="s">
        <v>228</v>
      </c>
      <c r="E20" s="187" t="s">
        <v>229</v>
      </c>
      <c r="F20" s="712" t="s">
        <v>230</v>
      </c>
      <c r="G20" s="712"/>
      <c r="H20" s="712" t="s">
        <v>231</v>
      </c>
      <c r="I20" s="712"/>
      <c r="J20" s="203" t="s">
        <v>232</v>
      </c>
      <c r="K20" s="203" t="s">
        <v>233</v>
      </c>
      <c r="L20" s="188" t="s">
        <v>234</v>
      </c>
    </row>
    <row r="21" spans="1:15">
      <c r="A21" s="164" t="s">
        <v>187</v>
      </c>
      <c r="B21" s="168" t="s">
        <v>235</v>
      </c>
      <c r="C21" s="168" t="s">
        <v>236</v>
      </c>
      <c r="D21" s="168" t="s">
        <v>237</v>
      </c>
      <c r="E21" s="168" t="s">
        <v>238</v>
      </c>
      <c r="F21" s="713" t="s">
        <v>239</v>
      </c>
      <c r="G21" s="713"/>
      <c r="H21" s="713" t="s">
        <v>240</v>
      </c>
      <c r="I21" s="713"/>
      <c r="J21" s="202" t="s">
        <v>188</v>
      </c>
      <c r="K21" s="202" t="s">
        <v>188</v>
      </c>
      <c r="L21" s="168" t="s">
        <v>188</v>
      </c>
    </row>
    <row r="22" spans="1:15" ht="28.5">
      <c r="A22" s="164" t="s">
        <v>196</v>
      </c>
      <c r="B22" s="168" t="s">
        <v>241</v>
      </c>
      <c r="C22" s="168" t="s">
        <v>241</v>
      </c>
      <c r="D22" s="168" t="s">
        <v>241</v>
      </c>
      <c r="E22" s="168" t="s">
        <v>241</v>
      </c>
      <c r="F22" s="713" t="s">
        <v>242</v>
      </c>
      <c r="G22" s="713"/>
      <c r="H22" s="713" t="s">
        <v>242</v>
      </c>
      <c r="I22" s="713"/>
      <c r="J22" s="202" t="s">
        <v>243</v>
      </c>
      <c r="K22" s="202" t="s">
        <v>244</v>
      </c>
      <c r="L22" s="204" t="s">
        <v>245</v>
      </c>
    </row>
    <row r="23" spans="1:15">
      <c r="A23" s="164" t="s">
        <v>209</v>
      </c>
      <c r="B23" s="168" t="s">
        <v>246</v>
      </c>
      <c r="C23" s="168" t="s">
        <v>246</v>
      </c>
      <c r="D23" s="168" t="s">
        <v>246</v>
      </c>
      <c r="E23" s="168" t="s">
        <v>246</v>
      </c>
      <c r="F23" s="713" t="s">
        <v>247</v>
      </c>
      <c r="G23" s="713"/>
      <c r="H23" s="713" t="s">
        <v>247</v>
      </c>
      <c r="I23" s="713"/>
      <c r="J23" s="202"/>
      <c r="K23" s="205"/>
      <c r="L23" s="205"/>
    </row>
    <row r="24" spans="1:15" ht="30" hidden="1">
      <c r="A24" s="173" t="s">
        <v>248</v>
      </c>
      <c r="B24" s="714">
        <v>1367.52</v>
      </c>
      <c r="C24" s="715"/>
      <c r="D24" s="715"/>
      <c r="E24" s="716"/>
      <c r="F24" s="704">
        <v>72.5</v>
      </c>
      <c r="G24" s="704"/>
      <c r="H24" s="704"/>
      <c r="I24" s="704"/>
      <c r="J24" s="206">
        <v>500</v>
      </c>
      <c r="K24" s="206">
        <v>235</v>
      </c>
      <c r="L24" s="189">
        <v>162</v>
      </c>
    </row>
    <row r="25" spans="1:15" ht="30" hidden="1">
      <c r="A25" s="173" t="s">
        <v>249</v>
      </c>
      <c r="B25" s="717">
        <v>1600</v>
      </c>
      <c r="C25" s="718"/>
      <c r="D25" s="718"/>
      <c r="E25" s="719"/>
      <c r="F25" s="704">
        <v>84.83</v>
      </c>
      <c r="G25" s="704"/>
      <c r="H25" s="704"/>
      <c r="I25" s="704"/>
      <c r="J25" s="206">
        <f t="shared" ref="J25" si="5">J24*1.17</f>
        <v>585</v>
      </c>
      <c r="K25" s="206">
        <f>K24*1.17</f>
        <v>274.95</v>
      </c>
      <c r="L25" s="189">
        <f>L24*1.17</f>
        <v>189.54</v>
      </c>
    </row>
    <row r="26" spans="1:15" hidden="1">
      <c r="A26" s="164" t="s">
        <v>216</v>
      </c>
      <c r="B26" s="168">
        <v>0</v>
      </c>
      <c r="C26" s="168">
        <v>0</v>
      </c>
      <c r="D26" s="168">
        <v>0</v>
      </c>
      <c r="E26" s="168">
        <v>0</v>
      </c>
      <c r="F26" s="720">
        <f>2*3</f>
        <v>6</v>
      </c>
      <c r="G26" s="720"/>
      <c r="H26" s="720">
        <f>1.75*5+1.2*2</f>
        <v>11.15</v>
      </c>
      <c r="I26" s="720"/>
      <c r="J26" s="206"/>
      <c r="K26" s="206"/>
      <c r="L26" s="189"/>
    </row>
    <row r="27" spans="1:15" hidden="1">
      <c r="A27" s="177" t="s">
        <v>217</v>
      </c>
      <c r="B27" s="190">
        <f t="shared" ref="B27" si="6">B26*B24</f>
        <v>0</v>
      </c>
      <c r="C27" s="190">
        <f>C26*C24</f>
        <v>0</v>
      </c>
      <c r="D27" s="190">
        <f>D26*D24</f>
        <v>0</v>
      </c>
      <c r="E27" s="190">
        <f>E26*E24</f>
        <v>0</v>
      </c>
      <c r="F27" s="725">
        <f>F26*F24</f>
        <v>435</v>
      </c>
      <c r="G27" s="725"/>
      <c r="H27" s="725">
        <f>H26*F24</f>
        <v>808.375</v>
      </c>
      <c r="I27" s="725"/>
      <c r="J27" s="207">
        <f t="shared" ref="J27" si="7">J24*J26</f>
        <v>0</v>
      </c>
      <c r="K27" s="207">
        <f>K24*K26</f>
        <v>0</v>
      </c>
      <c r="L27" s="191">
        <f>L24*L26</f>
        <v>0</v>
      </c>
      <c r="N27" s="200">
        <f>SUM(F27:L27)</f>
        <v>1243.375</v>
      </c>
    </row>
    <row r="28" spans="1:15">
      <c r="A28" s="164" t="s">
        <v>218</v>
      </c>
      <c r="B28" s="726" t="s">
        <v>250</v>
      </c>
      <c r="C28" s="727"/>
      <c r="D28" s="727"/>
      <c r="E28" s="728"/>
      <c r="F28" s="729" t="s">
        <v>251</v>
      </c>
      <c r="G28" s="729"/>
      <c r="H28" s="730" t="s">
        <v>252</v>
      </c>
      <c r="I28" s="730"/>
      <c r="J28" s="205"/>
      <c r="K28" s="205"/>
      <c r="L28" s="205"/>
    </row>
    <row r="29" spans="1:15">
      <c r="A29" s="180" t="s">
        <v>220</v>
      </c>
      <c r="B29" s="721"/>
      <c r="C29" s="722"/>
      <c r="D29" s="722"/>
      <c r="E29" s="723"/>
      <c r="F29" s="724"/>
      <c r="G29" s="724"/>
      <c r="H29" s="724"/>
      <c r="I29" s="724"/>
      <c r="J29" s="724"/>
      <c r="K29" s="724"/>
      <c r="L29" s="208"/>
    </row>
    <row r="30" spans="1:15">
      <c r="A30" s="192"/>
      <c r="B30" s="193"/>
      <c r="C30" s="193"/>
      <c r="D30" s="193"/>
      <c r="E30" s="193"/>
      <c r="F30" s="185" t="s">
        <v>253</v>
      </c>
      <c r="G30" s="185"/>
      <c r="H30" s="185" t="s">
        <v>427</v>
      </c>
      <c r="I30" s="185"/>
      <c r="J30" s="185"/>
      <c r="K30" s="185"/>
      <c r="L30" s="185"/>
      <c r="M30" s="193"/>
      <c r="N30" s="193"/>
    </row>
    <row r="31" spans="1:15">
      <c r="A31" s="194" t="s">
        <v>221</v>
      </c>
      <c r="B31" s="194"/>
      <c r="C31" s="194"/>
      <c r="D31" s="194"/>
      <c r="E31" s="194"/>
      <c r="F31" s="194"/>
      <c r="G31" s="194"/>
      <c r="H31" s="194"/>
      <c r="I31" s="194"/>
      <c r="J31" s="194"/>
      <c r="K31" s="194"/>
      <c r="L31" s="194"/>
      <c r="M31" s="194"/>
      <c r="N31" s="209">
        <f>N12+N27</f>
        <v>15638.994999999999</v>
      </c>
      <c r="O31" s="210"/>
    </row>
    <row r="32" spans="1:15">
      <c r="A32" s="192"/>
      <c r="B32" s="193"/>
      <c r="C32" s="193"/>
      <c r="D32" s="193"/>
      <c r="E32" s="193"/>
      <c r="F32" s="185"/>
      <c r="G32" s="185"/>
      <c r="H32" s="185"/>
      <c r="I32" s="185"/>
      <c r="J32" s="185"/>
      <c r="K32" s="185"/>
      <c r="L32" s="185"/>
      <c r="M32" s="193"/>
      <c r="N32" s="193"/>
    </row>
    <row r="33" spans="1:14">
      <c r="A33" s="195"/>
      <c r="N33" s="193"/>
    </row>
    <row r="34" spans="1:14">
      <c r="A34" s="196"/>
      <c r="N34" s="211"/>
    </row>
    <row r="35" spans="1:14">
      <c r="A35" s="196"/>
    </row>
    <row r="36" spans="1:14">
      <c r="A36" s="197"/>
    </row>
  </sheetData>
  <sheetProtection algorithmName="SHA-512" hashValue="9nmqdhQ0S7jPqe24ufQe6NAHXaKhNudwXUQHtrVYV3S5jhdoYkZ/ETtVjaAvlblXTCQD53BvQeGGI5TcdM7Utw==" saltValue="jTh5I+2VsYytU6I4xuCUtg==" spinCount="100000" sheet="1" objects="1" scenarios="1"/>
  <mergeCells count="36">
    <mergeCell ref="B29:E29"/>
    <mergeCell ref="F29:I29"/>
    <mergeCell ref="J29:K29"/>
    <mergeCell ref="F27:G27"/>
    <mergeCell ref="H27:I27"/>
    <mergeCell ref="B28:E28"/>
    <mergeCell ref="F28:G28"/>
    <mergeCell ref="H28:I28"/>
    <mergeCell ref="B24:E24"/>
    <mergeCell ref="F24:I24"/>
    <mergeCell ref="B25:E25"/>
    <mergeCell ref="F25:I25"/>
    <mergeCell ref="F26:G26"/>
    <mergeCell ref="H26:I26"/>
    <mergeCell ref="F21:G21"/>
    <mergeCell ref="H21:I21"/>
    <mergeCell ref="F22:G22"/>
    <mergeCell ref="H22:I22"/>
    <mergeCell ref="F23:G23"/>
    <mergeCell ref="H23:I23"/>
    <mergeCell ref="A18:N18"/>
    <mergeCell ref="B19:E19"/>
    <mergeCell ref="F19:I19"/>
    <mergeCell ref="J19:L19"/>
    <mergeCell ref="F20:G20"/>
    <mergeCell ref="H20:I20"/>
    <mergeCell ref="B8:F8"/>
    <mergeCell ref="H8:M8"/>
    <mergeCell ref="B13:F13"/>
    <mergeCell ref="B14:F14"/>
    <mergeCell ref="H14:M14"/>
    <mergeCell ref="A1:M1"/>
    <mergeCell ref="B2:F2"/>
    <mergeCell ref="G2:M2"/>
    <mergeCell ref="B7:F7"/>
    <mergeCell ref="H7:M7"/>
  </mergeCells>
  <phoneticPr fontId="29" type="noConversion"/>
  <pageMargins left="0.69930555555555596" right="0.69930555555555596"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8"/>
  <sheetViews>
    <sheetView zoomScale="80" zoomScaleNormal="80" workbookViewId="0">
      <selection activeCell="D16" sqref="D16"/>
    </sheetView>
  </sheetViews>
  <sheetFormatPr defaultColWidth="9" defaultRowHeight="14.25"/>
  <cols>
    <col min="1" max="1" width="4.5" style="215" customWidth="1"/>
    <col min="2" max="2" width="25.5" style="215" customWidth="1"/>
    <col min="3" max="3" width="36.75" style="218" customWidth="1"/>
    <col min="4" max="4" width="13" style="219" customWidth="1"/>
    <col min="5" max="5" width="14.375" style="220" hidden="1" customWidth="1"/>
    <col min="6" max="6" width="12.625" style="221" customWidth="1"/>
    <col min="7" max="7" width="10.875" style="222" hidden="1" customWidth="1"/>
    <col min="8" max="8" width="64.25" style="223" hidden="1" customWidth="1"/>
    <col min="9" max="16384" width="9" style="218"/>
  </cols>
  <sheetData>
    <row r="1" spans="1:8" s="215" customFormat="1">
      <c r="D1" s="220"/>
      <c r="E1" s="220"/>
      <c r="F1" s="221"/>
      <c r="G1" s="224"/>
      <c r="H1" s="225"/>
    </row>
    <row r="2" spans="1:8" s="215" customFormat="1" ht="17.25">
      <c r="A2" s="731" t="s">
        <v>31</v>
      </c>
      <c r="B2" s="731"/>
      <c r="C2" s="731"/>
      <c r="D2" s="731"/>
      <c r="E2" s="731"/>
      <c r="F2" s="731"/>
      <c r="G2" s="731"/>
      <c r="H2" s="731"/>
    </row>
    <row r="3" spans="1:8" s="216" customFormat="1">
      <c r="A3" s="226" t="s">
        <v>32</v>
      </c>
      <c r="B3" s="227" t="s">
        <v>33</v>
      </c>
      <c r="C3" s="228" t="s">
        <v>34</v>
      </c>
      <c r="D3" s="228" t="s">
        <v>35</v>
      </c>
      <c r="E3" s="228" t="s">
        <v>36</v>
      </c>
      <c r="F3" s="229" t="s">
        <v>37</v>
      </c>
      <c r="G3" s="230" t="s">
        <v>38</v>
      </c>
      <c r="H3" s="228" t="s">
        <v>39</v>
      </c>
    </row>
    <row r="4" spans="1:8" s="216" customFormat="1" ht="16.5">
      <c r="A4" s="231">
        <v>1</v>
      </c>
      <c r="B4" s="37" t="s">
        <v>40</v>
      </c>
      <c r="C4" s="37" t="s">
        <v>41</v>
      </c>
      <c r="D4" s="37" t="s">
        <v>42</v>
      </c>
      <c r="E4" s="37">
        <v>56.354999999999997</v>
      </c>
      <c r="F4" s="38">
        <f>1.119*0.105*1*5</f>
        <v>0.58747499999999997</v>
      </c>
      <c r="G4" s="232">
        <f>E4*F4</f>
        <v>33.107153624999995</v>
      </c>
      <c r="H4" s="233" t="s">
        <v>43</v>
      </c>
    </row>
    <row r="5" spans="1:8" s="216" customFormat="1" ht="16.5">
      <c r="A5" s="231"/>
      <c r="B5" s="37"/>
      <c r="C5" s="37" t="s">
        <v>41</v>
      </c>
      <c r="D5" s="37" t="s">
        <v>42</v>
      </c>
      <c r="E5" s="37">
        <v>56.354999999999997</v>
      </c>
      <c r="F5" s="38">
        <f>1.119*0.118*1*5</f>
        <v>0.66020999999999996</v>
      </c>
      <c r="G5" s="232">
        <f t="shared" ref="G5" si="0">E5*F5</f>
        <v>37.206134549999994</v>
      </c>
      <c r="H5" s="233" t="s">
        <v>44</v>
      </c>
    </row>
    <row r="6" spans="1:8" s="216" customFormat="1" ht="16.5">
      <c r="A6" s="231"/>
      <c r="B6" s="37"/>
      <c r="C6" s="37" t="s">
        <v>41</v>
      </c>
      <c r="D6" s="37" t="s">
        <v>42</v>
      </c>
      <c r="E6" s="37">
        <v>56.354999999999997</v>
      </c>
      <c r="F6" s="38">
        <f>1.376*0.555*1*5</f>
        <v>3.8184</v>
      </c>
      <c r="G6" s="232">
        <f t="shared" ref="G6:G37" si="1">E6*F6</f>
        <v>215.18593199999998</v>
      </c>
      <c r="H6" s="233" t="s">
        <v>45</v>
      </c>
    </row>
    <row r="7" spans="1:8" s="216" customFormat="1" ht="16.5">
      <c r="A7" s="231"/>
      <c r="B7" s="37"/>
      <c r="C7" s="37" t="s">
        <v>41</v>
      </c>
      <c r="D7" s="37" t="s">
        <v>42</v>
      </c>
      <c r="E7" s="37">
        <v>56.354999999999997</v>
      </c>
      <c r="F7" s="38">
        <f>0.384*0.069*2*5</f>
        <v>0.26496000000000003</v>
      </c>
      <c r="G7" s="232">
        <f t="shared" si="1"/>
        <v>14.931820800000001</v>
      </c>
      <c r="H7" s="233" t="s">
        <v>46</v>
      </c>
    </row>
    <row r="8" spans="1:8" s="216" customFormat="1" ht="33">
      <c r="A8" s="231"/>
      <c r="B8" s="37"/>
      <c r="C8" s="37" t="s">
        <v>47</v>
      </c>
      <c r="D8" s="37" t="s">
        <v>42</v>
      </c>
      <c r="E8" s="37">
        <v>30</v>
      </c>
      <c r="F8" s="38">
        <f>1.119*0.105*1*5+1.119*0.118*1*5+1.376*0.555*1*5+0.384*0.069*2*5</f>
        <v>5.3310450000000005</v>
      </c>
      <c r="G8" s="232">
        <f t="shared" si="1"/>
        <v>159.93135000000001</v>
      </c>
      <c r="H8" s="233" t="s">
        <v>48</v>
      </c>
    </row>
    <row r="9" spans="1:8" s="216" customFormat="1" ht="16.5">
      <c r="A9" s="234">
        <v>2</v>
      </c>
      <c r="B9" s="235" t="s">
        <v>49</v>
      </c>
      <c r="C9" s="73" t="s">
        <v>50</v>
      </c>
      <c r="D9" s="73" t="s">
        <v>51</v>
      </c>
      <c r="E9" s="73">
        <v>9.4700000000000006</v>
      </c>
      <c r="F9" s="236">
        <f>0.505*1*10</f>
        <v>5.05</v>
      </c>
      <c r="G9" s="237">
        <f t="shared" si="1"/>
        <v>47.823500000000003</v>
      </c>
      <c r="H9" s="238" t="s">
        <v>52</v>
      </c>
    </row>
    <row r="10" spans="1:8" s="216" customFormat="1" ht="16.5">
      <c r="A10" s="234"/>
      <c r="B10" s="239"/>
      <c r="C10" s="73" t="s">
        <v>50</v>
      </c>
      <c r="D10" s="73" t="s">
        <v>51</v>
      </c>
      <c r="E10" s="73">
        <v>9.4700000000000006</v>
      </c>
      <c r="F10" s="236">
        <f>0.375*1*10</f>
        <v>3.75</v>
      </c>
      <c r="G10" s="237">
        <f t="shared" si="1"/>
        <v>35.512500000000003</v>
      </c>
      <c r="H10" s="238" t="s">
        <v>53</v>
      </c>
    </row>
    <row r="11" spans="1:8" s="216" customFormat="1" ht="16.5">
      <c r="A11" s="231"/>
      <c r="B11" s="240"/>
      <c r="C11" s="37" t="s">
        <v>54</v>
      </c>
      <c r="D11" s="37" t="s">
        <v>55</v>
      </c>
      <c r="E11" s="37">
        <v>0.5</v>
      </c>
      <c r="F11" s="38">
        <f>6*10</f>
        <v>60</v>
      </c>
      <c r="G11" s="232">
        <f t="shared" si="1"/>
        <v>30</v>
      </c>
      <c r="H11" s="233" t="s">
        <v>56</v>
      </c>
    </row>
    <row r="12" spans="1:8" s="216" customFormat="1" ht="16.5">
      <c r="A12" s="231"/>
      <c r="B12" s="240"/>
      <c r="C12" s="37" t="s">
        <v>47</v>
      </c>
      <c r="D12" s="37" t="s">
        <v>42</v>
      </c>
      <c r="E12" s="37">
        <v>30</v>
      </c>
      <c r="F12" s="38">
        <f>0.505*1*6+0.375*1*10</f>
        <v>6.78</v>
      </c>
      <c r="G12" s="232">
        <f t="shared" si="1"/>
        <v>203.4</v>
      </c>
      <c r="H12" s="233" t="s">
        <v>262</v>
      </c>
    </row>
    <row r="13" spans="1:8" s="216" customFormat="1" ht="16.5">
      <c r="A13" s="231">
        <v>3</v>
      </c>
      <c r="B13" s="240" t="s">
        <v>57</v>
      </c>
      <c r="C13" s="37" t="s">
        <v>41</v>
      </c>
      <c r="D13" s="37" t="s">
        <v>42</v>
      </c>
      <c r="E13" s="37">
        <v>56.354999999999997</v>
      </c>
      <c r="F13" s="38">
        <f>1.403*0.065*2*5</f>
        <v>0.91195000000000004</v>
      </c>
      <c r="G13" s="232">
        <f t="shared" si="1"/>
        <v>51.392942249999997</v>
      </c>
      <c r="H13" s="233" t="s">
        <v>58</v>
      </c>
    </row>
    <row r="14" spans="1:8" s="216" customFormat="1" ht="16.5">
      <c r="A14" s="231"/>
      <c r="B14" s="240"/>
      <c r="C14" s="37" t="s">
        <v>41</v>
      </c>
      <c r="D14" s="37" t="s">
        <v>42</v>
      </c>
      <c r="E14" s="37">
        <v>56.354999999999997</v>
      </c>
      <c r="F14" s="38">
        <f>1.403*0.158*1*5</f>
        <v>1.1083700000000001</v>
      </c>
      <c r="G14" s="232">
        <f t="shared" si="1"/>
        <v>62.462191349999998</v>
      </c>
      <c r="H14" s="233" t="s">
        <v>59</v>
      </c>
    </row>
    <row r="15" spans="1:8" s="216" customFormat="1" ht="16.5">
      <c r="A15" s="231"/>
      <c r="B15" s="240"/>
      <c r="C15" s="37" t="s">
        <v>41</v>
      </c>
      <c r="D15" s="37" t="s">
        <v>42</v>
      </c>
      <c r="E15" s="37">
        <v>56.354999999999997</v>
      </c>
      <c r="F15" s="38">
        <f>1.403*0.069*2*5</f>
        <v>0.96806999999999999</v>
      </c>
      <c r="G15" s="232">
        <f t="shared" si="1"/>
        <v>54.555584849999995</v>
      </c>
      <c r="H15" s="233" t="s">
        <v>60</v>
      </c>
    </row>
    <row r="16" spans="1:8" s="216" customFormat="1" ht="16.5">
      <c r="A16" s="231"/>
      <c r="B16" s="240"/>
      <c r="C16" s="37" t="s">
        <v>41</v>
      </c>
      <c r="D16" s="37" t="s">
        <v>42</v>
      </c>
      <c r="E16" s="37">
        <v>56.354999999999997</v>
      </c>
      <c r="F16" s="38">
        <f>1.533*1.381*1*5</f>
        <v>10.585364999999999</v>
      </c>
      <c r="G16" s="232">
        <f t="shared" si="1"/>
        <v>596.53824457499991</v>
      </c>
      <c r="H16" s="233" t="s">
        <v>61</v>
      </c>
    </row>
    <row r="17" spans="1:8" s="216" customFormat="1" ht="33">
      <c r="A17" s="231"/>
      <c r="B17" s="240"/>
      <c r="C17" s="37" t="s">
        <v>47</v>
      </c>
      <c r="D17" s="37" t="s">
        <v>42</v>
      </c>
      <c r="E17" s="37">
        <v>30</v>
      </c>
      <c r="F17" s="38">
        <f>1.403*0.065*2*5+1.403*0.158*1*5+1.403*0.069*2*5+1.533*1.381*1*5</f>
        <v>13.573754999999998</v>
      </c>
      <c r="G17" s="232">
        <f t="shared" si="1"/>
        <v>407.21264999999994</v>
      </c>
      <c r="H17" s="233" t="s">
        <v>62</v>
      </c>
    </row>
    <row r="18" spans="1:8" s="216" customFormat="1" ht="16.5">
      <c r="A18" s="231"/>
      <c r="B18" s="235" t="s">
        <v>263</v>
      </c>
      <c r="C18" s="73" t="s">
        <v>50</v>
      </c>
      <c r="D18" s="73" t="s">
        <v>51</v>
      </c>
      <c r="E18" s="73">
        <v>9.4700000000000006</v>
      </c>
      <c r="F18" s="236">
        <f>(1.44*3+1.197)*5</f>
        <v>27.585000000000001</v>
      </c>
      <c r="G18" s="237">
        <f t="shared" si="1"/>
        <v>261.22995000000003</v>
      </c>
      <c r="H18" s="238" t="s">
        <v>264</v>
      </c>
    </row>
    <row r="19" spans="1:8" s="216" customFormat="1" ht="16.5">
      <c r="A19" s="231"/>
      <c r="B19" s="240"/>
      <c r="C19" s="37" t="s">
        <v>47</v>
      </c>
      <c r="D19" s="37" t="s">
        <v>42</v>
      </c>
      <c r="E19" s="37">
        <v>30</v>
      </c>
      <c r="F19" s="38">
        <f>(1.44*3*0.16+1.197*0.16)*5</f>
        <v>4.4136000000000006</v>
      </c>
      <c r="G19" s="38">
        <f t="shared" si="1"/>
        <v>132.40800000000002</v>
      </c>
      <c r="H19" s="233" t="s">
        <v>265</v>
      </c>
    </row>
    <row r="20" spans="1:8" s="216" customFormat="1" ht="16.5">
      <c r="A20" s="231">
        <v>4</v>
      </c>
      <c r="B20" s="240" t="s">
        <v>63</v>
      </c>
      <c r="C20" s="37" t="s">
        <v>41</v>
      </c>
      <c r="D20" s="37" t="s">
        <v>42</v>
      </c>
      <c r="E20" s="37">
        <v>56.354999999999997</v>
      </c>
      <c r="F20" s="38">
        <f>0.605*0.535*1</f>
        <v>0.32367499999999999</v>
      </c>
      <c r="G20" s="232">
        <f t="shared" si="1"/>
        <v>18.240704624999999</v>
      </c>
      <c r="H20" s="233" t="s">
        <v>64</v>
      </c>
    </row>
    <row r="21" spans="1:8" s="216" customFormat="1" ht="16.5">
      <c r="A21" s="231"/>
      <c r="B21" s="240"/>
      <c r="C21" s="37" t="s">
        <v>41</v>
      </c>
      <c r="D21" s="37" t="s">
        <v>42</v>
      </c>
      <c r="E21" s="37">
        <v>56.354999999999997</v>
      </c>
      <c r="F21" s="38">
        <f>0.405*0.069*1</f>
        <v>2.7945000000000005E-2</v>
      </c>
      <c r="G21" s="232">
        <f t="shared" si="1"/>
        <v>1.5748404750000002</v>
      </c>
      <c r="H21" s="233" t="s">
        <v>65</v>
      </c>
    </row>
    <row r="22" spans="1:8" s="216" customFormat="1" ht="16.5">
      <c r="A22" s="231"/>
      <c r="B22" s="240"/>
      <c r="C22" s="37" t="s">
        <v>41</v>
      </c>
      <c r="D22" s="37" t="s">
        <v>42</v>
      </c>
      <c r="E22" s="37">
        <v>56.354999999999997</v>
      </c>
      <c r="F22" s="38">
        <f>0.462*0.118*1</f>
        <v>5.4516000000000002E-2</v>
      </c>
      <c r="G22" s="232">
        <f t="shared" si="1"/>
        <v>3.07224918</v>
      </c>
      <c r="H22" s="233" t="s">
        <v>66</v>
      </c>
    </row>
    <row r="23" spans="1:8" s="216" customFormat="1" ht="16.5">
      <c r="A23" s="231"/>
      <c r="B23" s="240"/>
      <c r="C23" s="37" t="s">
        <v>47</v>
      </c>
      <c r="D23" s="37" t="s">
        <v>42</v>
      </c>
      <c r="E23" s="37">
        <v>30</v>
      </c>
      <c r="F23" s="38">
        <f>0.605*0.535*1+0.405*0.069*1+0.462*0.118*1</f>
        <v>0.406136</v>
      </c>
      <c r="G23" s="232">
        <f t="shared" si="1"/>
        <v>12.18408</v>
      </c>
      <c r="H23" s="233" t="s">
        <v>67</v>
      </c>
    </row>
    <row r="24" spans="1:8" s="216" customFormat="1" ht="16.5">
      <c r="A24" s="231">
        <v>5</v>
      </c>
      <c r="B24" s="240" t="s">
        <v>68</v>
      </c>
      <c r="C24" s="37" t="s">
        <v>41</v>
      </c>
      <c r="D24" s="37" t="s">
        <v>42</v>
      </c>
      <c r="E24" s="37">
        <v>56.354999999999997</v>
      </c>
      <c r="F24" s="38">
        <f>0.605*0.535*1</f>
        <v>0.32367499999999999</v>
      </c>
      <c r="G24" s="232">
        <f t="shared" si="1"/>
        <v>18.240704624999999</v>
      </c>
      <c r="H24" s="233" t="s">
        <v>64</v>
      </c>
    </row>
    <row r="25" spans="1:8" s="216" customFormat="1" ht="16.5">
      <c r="A25" s="231"/>
      <c r="B25" s="240"/>
      <c r="C25" s="37" t="s">
        <v>41</v>
      </c>
      <c r="D25" s="37" t="s">
        <v>42</v>
      </c>
      <c r="E25" s="37">
        <v>56.354999999999997</v>
      </c>
      <c r="F25" s="38">
        <f>0.405*0.069*1</f>
        <v>2.7945000000000005E-2</v>
      </c>
      <c r="G25" s="232">
        <f t="shared" si="1"/>
        <v>1.5748404750000002</v>
      </c>
      <c r="H25" s="233" t="s">
        <v>65</v>
      </c>
    </row>
    <row r="26" spans="1:8" s="216" customFormat="1" ht="16.5">
      <c r="A26" s="231"/>
      <c r="B26" s="240"/>
      <c r="C26" s="37" t="s">
        <v>41</v>
      </c>
      <c r="D26" s="37" t="s">
        <v>42</v>
      </c>
      <c r="E26" s="37">
        <v>56.354999999999997</v>
      </c>
      <c r="F26" s="38">
        <f>0.462*0.118*1</f>
        <v>5.4516000000000002E-2</v>
      </c>
      <c r="G26" s="232">
        <f t="shared" si="1"/>
        <v>3.07224918</v>
      </c>
      <c r="H26" s="233" t="s">
        <v>66</v>
      </c>
    </row>
    <row r="27" spans="1:8" s="216" customFormat="1" ht="16.5">
      <c r="A27" s="231"/>
      <c r="B27" s="240"/>
      <c r="C27" s="37" t="s">
        <v>47</v>
      </c>
      <c r="D27" s="37" t="s">
        <v>42</v>
      </c>
      <c r="E27" s="37">
        <v>30</v>
      </c>
      <c r="F27" s="38">
        <f>0.605*0.535*10.405*0.069*10.462*0.118*1</f>
        <v>0.28687787479525345</v>
      </c>
      <c r="G27" s="232">
        <f t="shared" si="1"/>
        <v>8.6063362438576032</v>
      </c>
      <c r="H27" s="233" t="s">
        <v>69</v>
      </c>
    </row>
    <row r="28" spans="1:8" s="216" customFormat="1" ht="16.5">
      <c r="A28" s="231">
        <v>6</v>
      </c>
      <c r="B28" s="240" t="s">
        <v>70</v>
      </c>
      <c r="C28" s="37" t="s">
        <v>41</v>
      </c>
      <c r="D28" s="37" t="s">
        <v>42</v>
      </c>
      <c r="E28" s="37">
        <v>56.354999999999997</v>
      </c>
      <c r="F28" s="38">
        <f>0.869*0.464*1</f>
        <v>0.40321600000000002</v>
      </c>
      <c r="G28" s="232">
        <f t="shared" si="1"/>
        <v>22.72323768</v>
      </c>
      <c r="H28" s="233" t="s">
        <v>71</v>
      </c>
    </row>
    <row r="29" spans="1:8" s="216" customFormat="1" ht="16.5">
      <c r="A29" s="231"/>
      <c r="B29" s="240"/>
      <c r="C29" s="37" t="s">
        <v>47</v>
      </c>
      <c r="D29" s="37" t="s">
        <v>42</v>
      </c>
      <c r="E29" s="37">
        <v>30</v>
      </c>
      <c r="F29" s="38">
        <f>0.869*0.464*1</f>
        <v>0.40321600000000002</v>
      </c>
      <c r="G29" s="232">
        <f t="shared" si="1"/>
        <v>12.09648</v>
      </c>
      <c r="H29" s="233" t="s">
        <v>71</v>
      </c>
    </row>
    <row r="30" spans="1:8" s="216" customFormat="1" ht="16.5">
      <c r="A30" s="234">
        <v>7</v>
      </c>
      <c r="B30" s="235" t="s">
        <v>72</v>
      </c>
      <c r="C30" s="73" t="s">
        <v>50</v>
      </c>
      <c r="D30" s="73" t="s">
        <v>51</v>
      </c>
      <c r="E30" s="73">
        <v>9.4700000000000006</v>
      </c>
      <c r="F30" s="236">
        <f>0.505*1*2</f>
        <v>1.01</v>
      </c>
      <c r="G30" s="237">
        <f t="shared" si="1"/>
        <v>9.5647000000000002</v>
      </c>
      <c r="H30" s="238" t="s">
        <v>73</v>
      </c>
    </row>
    <row r="31" spans="1:8" s="216" customFormat="1" ht="16.5">
      <c r="A31" s="234"/>
      <c r="B31" s="239"/>
      <c r="C31" s="73" t="s">
        <v>50</v>
      </c>
      <c r="D31" s="73" t="s">
        <v>51</v>
      </c>
      <c r="E31" s="73">
        <v>9.4700000000000006</v>
      </c>
      <c r="F31" s="236">
        <f>0.375*1*2</f>
        <v>0.75</v>
      </c>
      <c r="G31" s="237">
        <f t="shared" si="1"/>
        <v>7.1025000000000009</v>
      </c>
      <c r="H31" s="238" t="s">
        <v>74</v>
      </c>
    </row>
    <row r="32" spans="1:8" s="216" customFormat="1" ht="16.5">
      <c r="A32" s="231"/>
      <c r="B32" s="240"/>
      <c r="C32" s="37" t="s">
        <v>54</v>
      </c>
      <c r="D32" s="37" t="s">
        <v>55</v>
      </c>
      <c r="E32" s="37">
        <v>0.5</v>
      </c>
      <c r="F32" s="38">
        <f>6*2</f>
        <v>12</v>
      </c>
      <c r="G32" s="232">
        <f t="shared" si="1"/>
        <v>6</v>
      </c>
      <c r="H32" s="233" t="s">
        <v>75</v>
      </c>
    </row>
    <row r="33" spans="1:8" s="216" customFormat="1" ht="16.5">
      <c r="A33" s="231"/>
      <c r="B33" s="240"/>
      <c r="C33" s="37" t="s">
        <v>47</v>
      </c>
      <c r="D33" s="37" t="s">
        <v>42</v>
      </c>
      <c r="E33" s="37">
        <v>30</v>
      </c>
      <c r="F33" s="38">
        <f>0.505*1*2+0.375*1*2</f>
        <v>1.76</v>
      </c>
      <c r="G33" s="232">
        <f t="shared" si="1"/>
        <v>52.8</v>
      </c>
      <c r="H33" s="233" t="s">
        <v>76</v>
      </c>
    </row>
    <row r="34" spans="1:8" s="216" customFormat="1" ht="16.5">
      <c r="A34" s="231">
        <v>8</v>
      </c>
      <c r="B34" s="240" t="s">
        <v>77</v>
      </c>
      <c r="C34" s="37" t="s">
        <v>41</v>
      </c>
      <c r="D34" s="37" t="s">
        <v>42</v>
      </c>
      <c r="E34" s="37">
        <v>56.354999999999997</v>
      </c>
      <c r="F34" s="38">
        <f>1.533*0.61*1</f>
        <v>0.93512999999999991</v>
      </c>
      <c r="G34" s="232">
        <f t="shared" si="1"/>
        <v>52.699251149999995</v>
      </c>
      <c r="H34" s="233" t="s">
        <v>78</v>
      </c>
    </row>
    <row r="35" spans="1:8" s="216" customFormat="1" ht="16.5">
      <c r="A35" s="231"/>
      <c r="B35" s="240"/>
      <c r="C35" s="37" t="s">
        <v>41</v>
      </c>
      <c r="D35" s="37" t="s">
        <v>42</v>
      </c>
      <c r="E35" s="37">
        <v>56.354999999999997</v>
      </c>
      <c r="F35" s="38">
        <f>1.403*0.069*1</f>
        <v>9.6807000000000004E-2</v>
      </c>
      <c r="G35" s="232">
        <f t="shared" si="1"/>
        <v>5.4555584850000001</v>
      </c>
      <c r="H35" s="233" t="s">
        <v>79</v>
      </c>
    </row>
    <row r="36" spans="1:8" s="216" customFormat="1" ht="16.5">
      <c r="A36" s="231"/>
      <c r="B36" s="240"/>
      <c r="C36" s="37" t="s">
        <v>41</v>
      </c>
      <c r="D36" s="37" t="s">
        <v>42</v>
      </c>
      <c r="E36" s="37">
        <v>56.354999999999997</v>
      </c>
      <c r="F36" s="38">
        <f>1.403*0.065*1</f>
        <v>9.1194999999999998E-2</v>
      </c>
      <c r="G36" s="232">
        <f t="shared" si="1"/>
        <v>5.1392942249999995</v>
      </c>
      <c r="H36" s="233" t="s">
        <v>80</v>
      </c>
    </row>
    <row r="37" spans="1:8" s="216" customFormat="1" ht="16.5">
      <c r="A37" s="231"/>
      <c r="B37" s="240"/>
      <c r="C37" s="37" t="s">
        <v>47</v>
      </c>
      <c r="D37" s="37" t="s">
        <v>42</v>
      </c>
      <c r="E37" s="37">
        <v>30</v>
      </c>
      <c r="F37" s="38">
        <f>1.533*0.61*1+1.403*0.069*1+1.403*0.065*1</f>
        <v>1.1231319999999998</v>
      </c>
      <c r="G37" s="232">
        <f t="shared" si="1"/>
        <v>33.693959999999997</v>
      </c>
      <c r="H37" s="233" t="s">
        <v>81</v>
      </c>
    </row>
    <row r="38" spans="1:8" s="216" customFormat="1" ht="16.5">
      <c r="A38" s="231">
        <v>9</v>
      </c>
      <c r="B38" s="240" t="s">
        <v>82</v>
      </c>
      <c r="C38" s="37" t="s">
        <v>41</v>
      </c>
      <c r="D38" s="37" t="s">
        <v>42</v>
      </c>
      <c r="E38" s="37">
        <v>56.354999999999997</v>
      </c>
      <c r="F38" s="38">
        <f>1.533*0.61*1</f>
        <v>0.93512999999999991</v>
      </c>
      <c r="G38" s="232">
        <f t="shared" ref="G38:G68" si="2">E38*F38</f>
        <v>52.699251149999995</v>
      </c>
      <c r="H38" s="233" t="s">
        <v>78</v>
      </c>
    </row>
    <row r="39" spans="1:8" s="216" customFormat="1" ht="16.5">
      <c r="A39" s="231"/>
      <c r="B39" s="240"/>
      <c r="C39" s="37" t="s">
        <v>41</v>
      </c>
      <c r="D39" s="37" t="s">
        <v>42</v>
      </c>
      <c r="E39" s="37">
        <v>56.354999999999997</v>
      </c>
      <c r="F39" s="38">
        <f>1.403*0.069*1</f>
        <v>9.6807000000000004E-2</v>
      </c>
      <c r="G39" s="232">
        <f t="shared" si="2"/>
        <v>5.4555584850000001</v>
      </c>
      <c r="H39" s="233" t="s">
        <v>79</v>
      </c>
    </row>
    <row r="40" spans="1:8" s="216" customFormat="1" ht="16.5">
      <c r="A40" s="231"/>
      <c r="B40" s="240"/>
      <c r="C40" s="37" t="s">
        <v>41</v>
      </c>
      <c r="D40" s="37" t="s">
        <v>42</v>
      </c>
      <c r="E40" s="37">
        <v>56.354999999999997</v>
      </c>
      <c r="F40" s="38">
        <f>1.403*0.065*1</f>
        <v>9.1194999999999998E-2</v>
      </c>
      <c r="G40" s="232">
        <f t="shared" si="2"/>
        <v>5.1392942249999995</v>
      </c>
      <c r="H40" s="233" t="s">
        <v>80</v>
      </c>
    </row>
    <row r="41" spans="1:8" s="216" customFormat="1" ht="16.5">
      <c r="A41" s="231"/>
      <c r="B41" s="240"/>
      <c r="C41" s="37" t="s">
        <v>47</v>
      </c>
      <c r="D41" s="37" t="s">
        <v>42</v>
      </c>
      <c r="E41" s="37">
        <v>30</v>
      </c>
      <c r="F41" s="38">
        <f>1.533*0.61*1+1.403*0.069*1+1.403*0.065*1</f>
        <v>1.1231319999999998</v>
      </c>
      <c r="G41" s="232">
        <f t="shared" si="2"/>
        <v>33.693959999999997</v>
      </c>
      <c r="H41" s="233" t="s">
        <v>81</v>
      </c>
    </row>
    <row r="42" spans="1:8" s="216" customFormat="1" ht="16.5">
      <c r="A42" s="231">
        <v>10</v>
      </c>
      <c r="B42" s="240" t="s">
        <v>83</v>
      </c>
      <c r="C42" s="37" t="s">
        <v>41</v>
      </c>
      <c r="D42" s="37" t="s">
        <v>42</v>
      </c>
      <c r="E42" s="37">
        <v>56.354999999999997</v>
      </c>
      <c r="F42" s="38">
        <f>1.503*0.871*1</f>
        <v>1.309113</v>
      </c>
      <c r="G42" s="232">
        <f t="shared" si="2"/>
        <v>73.775063114999995</v>
      </c>
      <c r="H42" s="233" t="s">
        <v>84</v>
      </c>
    </row>
    <row r="43" spans="1:8" s="216" customFormat="1" ht="16.5">
      <c r="A43" s="231"/>
      <c r="B43" s="240"/>
      <c r="C43" s="37" t="s">
        <v>41</v>
      </c>
      <c r="D43" s="37" t="s">
        <v>42</v>
      </c>
      <c r="E43" s="37">
        <v>56.354999999999997</v>
      </c>
      <c r="F43" s="38">
        <f>1.397*0.104*1</f>
        <v>0.145288</v>
      </c>
      <c r="G43" s="232">
        <f t="shared" si="2"/>
        <v>8.1877052399999997</v>
      </c>
      <c r="H43" s="233" t="s">
        <v>85</v>
      </c>
    </row>
    <row r="44" spans="1:8" s="216" customFormat="1" ht="16.5">
      <c r="A44" s="231"/>
      <c r="B44" s="240"/>
      <c r="C44" s="37" t="s">
        <v>47</v>
      </c>
      <c r="D44" s="37" t="s">
        <v>42</v>
      </c>
      <c r="E44" s="37">
        <v>30</v>
      </c>
      <c r="F44" s="38">
        <f>1.503*0.871*1+1.397*0.104*1</f>
        <v>1.4544010000000001</v>
      </c>
      <c r="G44" s="232">
        <f t="shared" si="2"/>
        <v>43.63203</v>
      </c>
      <c r="H44" s="233" t="s">
        <v>86</v>
      </c>
    </row>
    <row r="45" spans="1:8" s="216" customFormat="1" ht="16.5">
      <c r="A45" s="231"/>
      <c r="B45" s="240" t="s">
        <v>266</v>
      </c>
      <c r="C45" s="73" t="s">
        <v>50</v>
      </c>
      <c r="D45" s="73" t="s">
        <v>51</v>
      </c>
      <c r="E45" s="73">
        <v>17.5</v>
      </c>
      <c r="F45" s="236">
        <f>1.44*3+1.66</f>
        <v>5.98</v>
      </c>
      <c r="G45" s="237">
        <f t="shared" si="2"/>
        <v>104.65</v>
      </c>
      <c r="H45" s="238" t="s">
        <v>267</v>
      </c>
    </row>
    <row r="46" spans="1:8" s="216" customFormat="1" ht="16.5">
      <c r="A46" s="231"/>
      <c r="B46" s="240"/>
      <c r="C46" s="37" t="s">
        <v>47</v>
      </c>
      <c r="D46" s="37" t="s">
        <v>42</v>
      </c>
      <c r="E46" s="37">
        <v>30</v>
      </c>
      <c r="F46" s="38">
        <f>1.44*3*0.16+1.66*0.16</f>
        <v>0.95680000000000009</v>
      </c>
      <c r="G46" s="232">
        <f t="shared" si="2"/>
        <v>28.704000000000004</v>
      </c>
      <c r="H46" s="233" t="s">
        <v>268</v>
      </c>
    </row>
    <row r="47" spans="1:8" s="216" customFormat="1" ht="16.5">
      <c r="A47" s="231"/>
      <c r="B47" s="240" t="s">
        <v>269</v>
      </c>
      <c r="C47" s="241" t="s">
        <v>270</v>
      </c>
      <c r="D47" s="37" t="s">
        <v>51</v>
      </c>
      <c r="E47" s="37">
        <v>4.9000000000000004</v>
      </c>
      <c r="F47" s="38">
        <f>(0.183+0.224+0.3)*5</f>
        <v>3.5350000000000001</v>
      </c>
      <c r="G47" s="232">
        <f t="shared" si="2"/>
        <v>17.3215</v>
      </c>
      <c r="H47" s="233" t="s">
        <v>271</v>
      </c>
    </row>
    <row r="48" spans="1:8" s="216" customFormat="1" ht="16.5">
      <c r="A48" s="231"/>
      <c r="B48" s="240"/>
      <c r="C48" s="37" t="s">
        <v>47</v>
      </c>
      <c r="D48" s="37" t="s">
        <v>42</v>
      </c>
      <c r="E48" s="37">
        <v>30</v>
      </c>
      <c r="F48" s="38">
        <f>(0.025*4*(0.183+0.224+0.3))*5</f>
        <v>0.35350000000000004</v>
      </c>
      <c r="G48" s="232">
        <f t="shared" si="2"/>
        <v>10.605</v>
      </c>
      <c r="H48" s="233" t="s">
        <v>272</v>
      </c>
    </row>
    <row r="49" spans="1:8" s="216" customFormat="1" ht="16.5">
      <c r="A49" s="231"/>
      <c r="B49" s="240"/>
      <c r="C49" s="23" t="s">
        <v>88</v>
      </c>
      <c r="D49" s="37" t="s">
        <v>42</v>
      </c>
      <c r="E49" s="37">
        <v>91.034999999999997</v>
      </c>
      <c r="F49" s="38">
        <f>(0.071*0.085+0.071*0.1+0.1*0.051)*5</f>
        <v>9.1175000000000006E-2</v>
      </c>
      <c r="G49" s="232">
        <f t="shared" si="2"/>
        <v>8.3001161250000006</v>
      </c>
      <c r="H49" s="233" t="s">
        <v>273</v>
      </c>
    </row>
    <row r="50" spans="1:8" s="216" customFormat="1" ht="16.5">
      <c r="A50" s="231"/>
      <c r="B50" s="240"/>
      <c r="C50" s="37" t="s">
        <v>47</v>
      </c>
      <c r="D50" s="37" t="s">
        <v>42</v>
      </c>
      <c r="E50" s="37">
        <v>30</v>
      </c>
      <c r="F50" s="38">
        <f>(0.071*0.085+0.071*0.1+0.1*0.051)*5</f>
        <v>9.1175000000000006E-2</v>
      </c>
      <c r="G50" s="232">
        <f t="shared" si="2"/>
        <v>2.7352500000000002</v>
      </c>
      <c r="H50" s="233" t="s">
        <v>273</v>
      </c>
    </row>
    <row r="51" spans="1:8" s="216" customFormat="1" ht="16.5">
      <c r="A51" s="231"/>
      <c r="B51" s="240" t="s">
        <v>87</v>
      </c>
      <c r="C51" s="23" t="s">
        <v>88</v>
      </c>
      <c r="D51" s="37" t="s">
        <v>42</v>
      </c>
      <c r="E51" s="37">
        <v>91.034999999999997</v>
      </c>
      <c r="F51" s="38">
        <f>0.07*0.063*5*2</f>
        <v>4.4100000000000007E-2</v>
      </c>
      <c r="G51" s="232">
        <f t="shared" si="2"/>
        <v>4.0146435000000009</v>
      </c>
      <c r="H51" s="233" t="s">
        <v>89</v>
      </c>
    </row>
    <row r="52" spans="1:8" s="216" customFormat="1" ht="16.5">
      <c r="A52" s="231"/>
      <c r="B52" s="240"/>
      <c r="C52" s="37" t="s">
        <v>47</v>
      </c>
      <c r="D52" s="37" t="s">
        <v>42</v>
      </c>
      <c r="E52" s="37">
        <v>30</v>
      </c>
      <c r="F52" s="38">
        <f>0.07*0.063*5*2*2</f>
        <v>8.8200000000000014E-2</v>
      </c>
      <c r="G52" s="232">
        <f t="shared" si="2"/>
        <v>2.6460000000000004</v>
      </c>
      <c r="H52" s="233" t="s">
        <v>90</v>
      </c>
    </row>
    <row r="53" spans="1:8" s="216" customFormat="1" ht="16.5">
      <c r="A53" s="231"/>
      <c r="B53" s="240" t="s">
        <v>91</v>
      </c>
      <c r="C53" s="37" t="s">
        <v>88</v>
      </c>
      <c r="D53" s="37" t="s">
        <v>42</v>
      </c>
      <c r="E53" s="37">
        <v>91.034999999999997</v>
      </c>
      <c r="F53" s="38">
        <f>0.235*0.071*5*2</f>
        <v>0.16685</v>
      </c>
      <c r="G53" s="232">
        <f t="shared" si="2"/>
        <v>15.189189749999999</v>
      </c>
      <c r="H53" s="233" t="s">
        <v>92</v>
      </c>
    </row>
    <row r="54" spans="1:8" s="216" customFormat="1" ht="16.5">
      <c r="A54" s="231"/>
      <c r="B54" s="240"/>
      <c r="C54" s="37" t="s">
        <v>47</v>
      </c>
      <c r="D54" s="37" t="s">
        <v>42</v>
      </c>
      <c r="E54" s="37">
        <v>30</v>
      </c>
      <c r="F54" s="38">
        <f>0.235*0.071*5*2*2</f>
        <v>0.3337</v>
      </c>
      <c r="G54" s="232">
        <f t="shared" si="2"/>
        <v>10.010999999999999</v>
      </c>
      <c r="H54" s="233" t="s">
        <v>93</v>
      </c>
    </row>
    <row r="55" spans="1:8" s="216" customFormat="1" ht="16.5">
      <c r="A55" s="231"/>
      <c r="B55" s="240" t="s">
        <v>94</v>
      </c>
      <c r="C55" s="37" t="s">
        <v>88</v>
      </c>
      <c r="D55" s="37" t="s">
        <v>42</v>
      </c>
      <c r="E55" s="37">
        <v>91.034999999999997</v>
      </c>
      <c r="F55" s="38">
        <f>(0.11*0.125+0.045*0.03)*5*2</f>
        <v>0.151</v>
      </c>
      <c r="G55" s="232">
        <f t="shared" si="2"/>
        <v>13.746284999999999</v>
      </c>
      <c r="H55" s="233" t="s">
        <v>95</v>
      </c>
    </row>
    <row r="56" spans="1:8" s="216" customFormat="1" ht="16.5">
      <c r="A56" s="231"/>
      <c r="B56" s="240"/>
      <c r="C56" s="37" t="s">
        <v>47</v>
      </c>
      <c r="D56" s="37" t="s">
        <v>42</v>
      </c>
      <c r="E56" s="37">
        <v>30</v>
      </c>
      <c r="F56" s="38">
        <f>(0.11*0.125+0.045*0.03)*5*2*2</f>
        <v>0.30199999999999999</v>
      </c>
      <c r="G56" s="232">
        <f t="shared" si="2"/>
        <v>9.06</v>
      </c>
      <c r="H56" s="233" t="s">
        <v>96</v>
      </c>
    </row>
    <row r="57" spans="1:8" s="216" customFormat="1" ht="16.5">
      <c r="A57" s="231"/>
      <c r="B57" s="37" t="s">
        <v>97</v>
      </c>
      <c r="C57" s="37" t="s">
        <v>98</v>
      </c>
      <c r="D57" s="37" t="s">
        <v>51</v>
      </c>
      <c r="E57" s="37">
        <v>2.91</v>
      </c>
      <c r="F57" s="38">
        <f>0.232*1*84</f>
        <v>19.488</v>
      </c>
      <c r="G57" s="232">
        <f t="shared" si="2"/>
        <v>56.710080000000005</v>
      </c>
      <c r="H57" s="233" t="s">
        <v>274</v>
      </c>
    </row>
    <row r="58" spans="1:8" s="216" customFormat="1" ht="16.5">
      <c r="A58" s="231"/>
      <c r="B58" s="37"/>
      <c r="C58" s="37" t="s">
        <v>88</v>
      </c>
      <c r="D58" s="37" t="s">
        <v>42</v>
      </c>
      <c r="E58" s="37">
        <v>91.034999999999997</v>
      </c>
      <c r="F58" s="38">
        <f>0.095*0.245*1*84</f>
        <v>1.9551000000000001</v>
      </c>
      <c r="G58" s="232">
        <f t="shared" si="2"/>
        <v>177.9825285</v>
      </c>
      <c r="H58" s="233" t="s">
        <v>275</v>
      </c>
    </row>
    <row r="59" spans="1:8" s="216" customFormat="1" ht="16.5">
      <c r="A59" s="231"/>
      <c r="B59" s="37"/>
      <c r="C59" s="37" t="s">
        <v>88</v>
      </c>
      <c r="D59" s="37" t="s">
        <v>42</v>
      </c>
      <c r="E59" s="37">
        <v>91.034999999999997</v>
      </c>
      <c r="F59" s="38">
        <f>0.048*0.036*1*84</f>
        <v>0.145152</v>
      </c>
      <c r="G59" s="232">
        <f t="shared" si="2"/>
        <v>13.21391232</v>
      </c>
      <c r="H59" s="233" t="s">
        <v>276</v>
      </c>
    </row>
    <row r="60" spans="1:8" s="216" customFormat="1" ht="16.5">
      <c r="A60" s="231"/>
      <c r="B60" s="37"/>
      <c r="C60" s="37" t="s">
        <v>88</v>
      </c>
      <c r="D60" s="37" t="s">
        <v>42</v>
      </c>
      <c r="E60" s="37">
        <v>91.034999999999997</v>
      </c>
      <c r="F60" s="38">
        <f>0.041*0.023*1*84</f>
        <v>7.9212000000000005E-2</v>
      </c>
      <c r="G60" s="232">
        <f t="shared" si="2"/>
        <v>7.2110644200000005</v>
      </c>
      <c r="H60" s="233" t="s">
        <v>277</v>
      </c>
    </row>
    <row r="61" spans="1:8" s="216" customFormat="1" ht="16.5">
      <c r="A61" s="231"/>
      <c r="B61" s="37"/>
      <c r="C61" s="37" t="s">
        <v>88</v>
      </c>
      <c r="D61" s="37" t="s">
        <v>42</v>
      </c>
      <c r="E61" s="37">
        <v>91.034999999999997</v>
      </c>
      <c r="F61" s="38">
        <f>0.025*0.015*1*84</f>
        <v>3.15E-2</v>
      </c>
      <c r="G61" s="232">
        <f t="shared" si="2"/>
        <v>2.8676024999999998</v>
      </c>
      <c r="H61" s="233" t="s">
        <v>278</v>
      </c>
    </row>
    <row r="62" spans="1:8" s="216" customFormat="1" ht="33">
      <c r="A62" s="231"/>
      <c r="B62" s="37"/>
      <c r="C62" s="37" t="s">
        <v>47</v>
      </c>
      <c r="D62" s="37" t="s">
        <v>42</v>
      </c>
      <c r="E62" s="37">
        <v>30</v>
      </c>
      <c r="F62" s="38">
        <f>0.232*1*84+0.095*0.245*1*84+0.048*0.036*1*84+0.041*0.023*1*84+0.025*0.015*1*84</f>
        <v>21.698964</v>
      </c>
      <c r="G62" s="232">
        <f t="shared" si="2"/>
        <v>650.96892000000003</v>
      </c>
      <c r="H62" s="233" t="s">
        <v>279</v>
      </c>
    </row>
    <row r="63" spans="1:8" s="216" customFormat="1" ht="16.5">
      <c r="A63" s="231"/>
      <c r="B63" s="37" t="s">
        <v>99</v>
      </c>
      <c r="C63" s="37" t="s">
        <v>100</v>
      </c>
      <c r="D63" s="37" t="s">
        <v>101</v>
      </c>
      <c r="E63" s="37">
        <v>21.524999999999999</v>
      </c>
      <c r="F63" s="38">
        <f>1.165*0.074*1*0.5*1.4*31.5</f>
        <v>1.9009304999999996</v>
      </c>
      <c r="G63" s="232">
        <f t="shared" si="2"/>
        <v>40.91752901249999</v>
      </c>
      <c r="H63" s="233" t="s">
        <v>280</v>
      </c>
    </row>
    <row r="64" spans="1:8" s="216" customFormat="1" ht="16.5">
      <c r="A64" s="231"/>
      <c r="B64" s="37"/>
      <c r="C64" s="37" t="s">
        <v>102</v>
      </c>
      <c r="D64" s="37" t="s">
        <v>42</v>
      </c>
      <c r="E64" s="37">
        <v>47.66</v>
      </c>
      <c r="F64" s="38">
        <f>1.165*0.04*1*31.5</f>
        <v>1.4679</v>
      </c>
      <c r="G64" s="232">
        <f t="shared" si="2"/>
        <v>69.96011399999999</v>
      </c>
      <c r="H64" s="233" t="s">
        <v>281</v>
      </c>
    </row>
    <row r="65" spans="1:8" s="216" customFormat="1" ht="16.5">
      <c r="A65" s="231"/>
      <c r="B65" s="37"/>
      <c r="C65" s="37" t="s">
        <v>103</v>
      </c>
      <c r="D65" s="37" t="s">
        <v>101</v>
      </c>
      <c r="E65" s="37">
        <v>28.14</v>
      </c>
      <c r="F65" s="38">
        <f>1.165*0.04*1*2*1.2*31.5</f>
        <v>3.5229600000000003</v>
      </c>
      <c r="G65" s="232">
        <f t="shared" si="2"/>
        <v>99.136094400000005</v>
      </c>
      <c r="H65" s="233" t="s">
        <v>282</v>
      </c>
    </row>
    <row r="66" spans="1:8" s="216" customFormat="1" ht="16.5">
      <c r="A66" s="231"/>
      <c r="B66" s="37"/>
      <c r="C66" s="37" t="s">
        <v>103</v>
      </c>
      <c r="D66" s="37" t="s">
        <v>101</v>
      </c>
      <c r="E66" s="37">
        <v>28.14</v>
      </c>
      <c r="F66" s="38">
        <f>1.165*0.035*1*2*1.2*31.5</f>
        <v>3.0825900000000006</v>
      </c>
      <c r="G66" s="232">
        <f t="shared" si="2"/>
        <v>86.744082600000013</v>
      </c>
      <c r="H66" s="233" t="s">
        <v>283</v>
      </c>
    </row>
    <row r="67" spans="1:8" s="216" customFormat="1" ht="16.5">
      <c r="A67" s="231"/>
      <c r="B67" s="37"/>
      <c r="C67" s="37" t="s">
        <v>103</v>
      </c>
      <c r="D67" s="37" t="s">
        <v>101</v>
      </c>
      <c r="E67" s="37">
        <v>28.14</v>
      </c>
      <c r="F67" s="38">
        <f>1.165*0.011*1*2*1.2*31.5</f>
        <v>0.96881399999999995</v>
      </c>
      <c r="G67" s="232">
        <f t="shared" si="2"/>
        <v>27.262425959999998</v>
      </c>
      <c r="H67" s="233" t="s">
        <v>284</v>
      </c>
    </row>
    <row r="68" spans="1:8" s="216" customFormat="1" ht="16.5">
      <c r="A68" s="231"/>
      <c r="B68" s="37"/>
      <c r="C68" s="37" t="s">
        <v>103</v>
      </c>
      <c r="D68" s="37" t="s">
        <v>101</v>
      </c>
      <c r="E68" s="37">
        <v>28.14</v>
      </c>
      <c r="F68" s="38">
        <f>1.165*0.0095*1*5*1.2*31.5</f>
        <v>2.0917574999999999</v>
      </c>
      <c r="G68" s="232">
        <f t="shared" si="2"/>
        <v>58.86205605</v>
      </c>
      <c r="H68" s="233" t="s">
        <v>285</v>
      </c>
    </row>
    <row r="69" spans="1:8" s="216" customFormat="1" ht="16.5">
      <c r="A69" s="231"/>
      <c r="B69" s="37"/>
      <c r="C69" s="37" t="s">
        <v>104</v>
      </c>
      <c r="D69" s="37" t="s">
        <v>101</v>
      </c>
      <c r="E69" s="37">
        <v>28.14</v>
      </c>
      <c r="F69" s="38">
        <f>1.165*0.045*1*2*1.2*31.5</f>
        <v>3.9633299999999996</v>
      </c>
      <c r="G69" s="232">
        <f t="shared" ref="G69" si="3">E69*F69</f>
        <v>111.5281062</v>
      </c>
      <c r="H69" s="233" t="s">
        <v>286</v>
      </c>
    </row>
    <row r="70" spans="1:8" s="216" customFormat="1" ht="16.5">
      <c r="A70" s="231"/>
      <c r="B70" s="37"/>
      <c r="C70" s="37" t="s">
        <v>104</v>
      </c>
      <c r="D70" s="37" t="s">
        <v>101</v>
      </c>
      <c r="E70" s="37">
        <v>28.14</v>
      </c>
      <c r="F70" s="38">
        <f>1.165*0.04*1*2*1.2*31.5</f>
        <v>3.5229600000000003</v>
      </c>
      <c r="G70" s="232">
        <f t="shared" ref="G70:G87" si="4">E70*F70</f>
        <v>99.136094400000005</v>
      </c>
      <c r="H70" s="233" t="s">
        <v>287</v>
      </c>
    </row>
    <row r="71" spans="1:8" s="216" customFormat="1" ht="16.5">
      <c r="A71" s="231"/>
      <c r="B71" s="37"/>
      <c r="C71" s="37" t="s">
        <v>104</v>
      </c>
      <c r="D71" s="37" t="s">
        <v>101</v>
      </c>
      <c r="E71" s="37">
        <v>28.14</v>
      </c>
      <c r="F71" s="38">
        <f>1.165*0.016*1*2*1.2*31.5</f>
        <v>1.409184</v>
      </c>
      <c r="G71" s="232">
        <f t="shared" si="4"/>
        <v>39.65443776</v>
      </c>
      <c r="H71" s="233" t="s">
        <v>288</v>
      </c>
    </row>
    <row r="72" spans="1:8" s="216" customFormat="1" ht="16.5">
      <c r="A72" s="231"/>
      <c r="B72" s="37"/>
      <c r="C72" s="37" t="s">
        <v>104</v>
      </c>
      <c r="D72" s="37" t="s">
        <v>101</v>
      </c>
      <c r="E72" s="37">
        <v>28.14</v>
      </c>
      <c r="F72" s="38">
        <f>1.165*0.0085*1*2*1.2*31.5</f>
        <v>0.7486290000000001</v>
      </c>
      <c r="G72" s="232">
        <f t="shared" si="4"/>
        <v>21.066420060000002</v>
      </c>
      <c r="H72" s="233" t="s">
        <v>289</v>
      </c>
    </row>
    <row r="73" spans="1:8" s="216" customFormat="1" ht="16.5">
      <c r="A73" s="231"/>
      <c r="B73" s="37"/>
      <c r="C73" s="37" t="s">
        <v>104</v>
      </c>
      <c r="D73" s="37" t="s">
        <v>101</v>
      </c>
      <c r="E73" s="37">
        <v>28.14</v>
      </c>
      <c r="F73" s="38">
        <f>1.165*0.023*1*2*1.2*31.5</f>
        <v>2.0257019999999999</v>
      </c>
      <c r="G73" s="232">
        <f t="shared" si="4"/>
        <v>57.00325428</v>
      </c>
      <c r="H73" s="233" t="s">
        <v>290</v>
      </c>
    </row>
    <row r="74" spans="1:8" s="216" customFormat="1" ht="16.5">
      <c r="A74" s="231"/>
      <c r="B74" s="37"/>
      <c r="C74" s="37" t="s">
        <v>104</v>
      </c>
      <c r="D74" s="37" t="s">
        <v>101</v>
      </c>
      <c r="E74" s="37">
        <v>28.14</v>
      </c>
      <c r="F74" s="38">
        <f>1.165*0.037*1*2*1.2*31.5</f>
        <v>3.2587379999999997</v>
      </c>
      <c r="G74" s="232">
        <f t="shared" si="4"/>
        <v>91.700887319999993</v>
      </c>
      <c r="H74" s="233" t="s">
        <v>291</v>
      </c>
    </row>
    <row r="75" spans="1:8" s="216" customFormat="1" ht="16.5">
      <c r="A75" s="231"/>
      <c r="B75" s="37"/>
      <c r="C75" s="37" t="s">
        <v>104</v>
      </c>
      <c r="D75" s="37" t="s">
        <v>101</v>
      </c>
      <c r="E75" s="37">
        <v>28.14</v>
      </c>
      <c r="F75" s="38">
        <f>1.165*0.01*5*5*1.2*31.5</f>
        <v>11.00925</v>
      </c>
      <c r="G75" s="232">
        <f t="shared" si="4"/>
        <v>309.80029500000001</v>
      </c>
      <c r="H75" s="233" t="s">
        <v>292</v>
      </c>
    </row>
    <row r="76" spans="1:8" s="216" customFormat="1" ht="16.5">
      <c r="A76" s="231"/>
      <c r="B76" s="37"/>
      <c r="C76" s="37" t="s">
        <v>103</v>
      </c>
      <c r="D76" s="37" t="s">
        <v>101</v>
      </c>
      <c r="E76" s="37">
        <v>28.14</v>
      </c>
      <c r="F76" s="38">
        <f>1.165*0.04*1*2*1.2*31.5</f>
        <v>3.5229600000000003</v>
      </c>
      <c r="G76" s="232">
        <f t="shared" si="4"/>
        <v>99.136094400000005</v>
      </c>
      <c r="H76" s="233" t="s">
        <v>287</v>
      </c>
    </row>
    <row r="77" spans="1:8" s="216" customFormat="1" ht="16.5">
      <c r="A77" s="231"/>
      <c r="B77" s="37"/>
      <c r="C77" s="37" t="s">
        <v>103</v>
      </c>
      <c r="D77" s="37" t="s">
        <v>101</v>
      </c>
      <c r="E77" s="37">
        <v>28.14</v>
      </c>
      <c r="F77" s="38">
        <f>1.165*0.032*1*2*1.2*31.5</f>
        <v>2.818368</v>
      </c>
      <c r="G77" s="232">
        <f t="shared" si="4"/>
        <v>79.308875520000001</v>
      </c>
      <c r="H77" s="233" t="s">
        <v>293</v>
      </c>
    </row>
    <row r="78" spans="1:8" s="216" customFormat="1" ht="16.5">
      <c r="A78" s="231"/>
      <c r="B78" s="37"/>
      <c r="C78" s="37" t="s">
        <v>103</v>
      </c>
      <c r="D78" s="37" t="s">
        <v>101</v>
      </c>
      <c r="E78" s="37">
        <v>28.14</v>
      </c>
      <c r="F78" s="38">
        <f>1.165*0.014*1*2*1.2*31.5</f>
        <v>1.2330360000000002</v>
      </c>
      <c r="G78" s="232">
        <f t="shared" si="4"/>
        <v>34.697633040000007</v>
      </c>
      <c r="H78" s="233" t="s">
        <v>294</v>
      </c>
    </row>
    <row r="79" spans="1:8" s="216" customFormat="1" ht="16.5">
      <c r="A79" s="231"/>
      <c r="B79" s="37"/>
      <c r="C79" s="37" t="s">
        <v>103</v>
      </c>
      <c r="D79" s="37" t="s">
        <v>101</v>
      </c>
      <c r="E79" s="37">
        <v>28.14</v>
      </c>
      <c r="F79" s="38">
        <f>1.165*0.01*1*2*1.2*31.5</f>
        <v>0.88074000000000008</v>
      </c>
      <c r="G79" s="232">
        <f t="shared" si="4"/>
        <v>24.784023600000001</v>
      </c>
      <c r="H79" s="233" t="s">
        <v>295</v>
      </c>
    </row>
    <row r="80" spans="1:8" s="216" customFormat="1" ht="16.5">
      <c r="A80" s="231"/>
      <c r="B80" s="37"/>
      <c r="C80" s="37" t="s">
        <v>103</v>
      </c>
      <c r="D80" s="37" t="s">
        <v>101</v>
      </c>
      <c r="E80" s="37">
        <v>28.14</v>
      </c>
      <c r="F80" s="38">
        <f>1.165*0.0085*1*2*1.2*31.5</f>
        <v>0.7486290000000001</v>
      </c>
      <c r="G80" s="232">
        <f t="shared" si="4"/>
        <v>21.066420060000002</v>
      </c>
      <c r="H80" s="233" t="s">
        <v>289</v>
      </c>
    </row>
    <row r="81" spans="1:8" s="216" customFormat="1" ht="16.5">
      <c r="A81" s="231"/>
      <c r="B81" s="37"/>
      <c r="C81" s="37" t="s">
        <v>105</v>
      </c>
      <c r="D81" s="37" t="s">
        <v>51</v>
      </c>
      <c r="E81" s="37">
        <v>1.5</v>
      </c>
      <c r="F81" s="38">
        <f>1.165*1*31.5</f>
        <v>36.697499999999998</v>
      </c>
      <c r="G81" s="232">
        <f t="shared" si="4"/>
        <v>55.046250000000001</v>
      </c>
      <c r="H81" s="233" t="s">
        <v>296</v>
      </c>
    </row>
    <row r="82" spans="1:8" s="216" customFormat="1" ht="16.5">
      <c r="A82" s="231"/>
      <c r="B82" s="37"/>
      <c r="C82" s="37" t="s">
        <v>106</v>
      </c>
      <c r="D82" s="37" t="s">
        <v>42</v>
      </c>
      <c r="E82" s="37">
        <v>246.78</v>
      </c>
      <c r="F82" s="38">
        <f>0.017*0.04*3*31.5</f>
        <v>6.4260000000000012E-2</v>
      </c>
      <c r="G82" s="232">
        <f t="shared" si="4"/>
        <v>15.858082800000004</v>
      </c>
      <c r="H82" s="233" t="s">
        <v>297</v>
      </c>
    </row>
    <row r="83" spans="1:8" s="216" customFormat="1" ht="16.5">
      <c r="A83" s="231"/>
      <c r="B83" s="73"/>
      <c r="C83" s="73" t="s">
        <v>107</v>
      </c>
      <c r="D83" s="73" t="s">
        <v>55</v>
      </c>
      <c r="E83" s="73">
        <v>0.9</v>
      </c>
      <c r="F83" s="236">
        <f>3*32</f>
        <v>96</v>
      </c>
      <c r="G83" s="237">
        <f t="shared" si="4"/>
        <v>86.4</v>
      </c>
      <c r="H83" s="238" t="s">
        <v>298</v>
      </c>
    </row>
    <row r="84" spans="1:8" s="216" customFormat="1" ht="16.5">
      <c r="A84" s="231"/>
      <c r="B84" s="37"/>
      <c r="C84" s="37" t="s">
        <v>108</v>
      </c>
      <c r="D84" s="37" t="s">
        <v>42</v>
      </c>
      <c r="E84" s="37">
        <v>40</v>
      </c>
      <c r="F84" s="38">
        <f>1.2*0.07*4.5*7</f>
        <v>2.6459999999999999</v>
      </c>
      <c r="G84" s="232">
        <f t="shared" si="4"/>
        <v>105.84</v>
      </c>
      <c r="H84" s="233" t="s">
        <v>299</v>
      </c>
    </row>
    <row r="85" spans="1:8" s="216" customFormat="1" ht="16.5">
      <c r="A85" s="231"/>
      <c r="B85" s="37" t="s">
        <v>109</v>
      </c>
      <c r="C85" s="37" t="s">
        <v>110</v>
      </c>
      <c r="D85" s="37" t="s">
        <v>42</v>
      </c>
      <c r="E85" s="37">
        <v>190</v>
      </c>
      <c r="F85" s="38">
        <f>1.19*0.27*18+0.635*0.27+1.105*0.27*6</f>
        <v>7.7449500000000002</v>
      </c>
      <c r="G85" s="232">
        <f t="shared" si="4"/>
        <v>1471.5405000000001</v>
      </c>
      <c r="H85" s="233" t="s">
        <v>300</v>
      </c>
    </row>
    <row r="86" spans="1:8" s="216" customFormat="1" ht="16.5">
      <c r="A86" s="231"/>
      <c r="B86" s="37" t="s">
        <v>301</v>
      </c>
      <c r="C86" s="242" t="s">
        <v>302</v>
      </c>
      <c r="D86" s="242" t="s">
        <v>42</v>
      </c>
      <c r="E86" s="243">
        <v>41.118000000000002</v>
      </c>
      <c r="F86" s="38">
        <f>1.189*0.38*1*4.5</f>
        <v>2.0331899999999998</v>
      </c>
      <c r="G86" s="232">
        <f t="shared" si="4"/>
        <v>83.600706419999995</v>
      </c>
      <c r="H86" s="233" t="s">
        <v>303</v>
      </c>
    </row>
    <row r="87" spans="1:8" s="216" customFormat="1" ht="16.5">
      <c r="A87" s="231"/>
      <c r="B87" s="37"/>
      <c r="C87" s="37" t="s">
        <v>304</v>
      </c>
      <c r="D87" s="37" t="s">
        <v>42</v>
      </c>
      <c r="E87" s="37">
        <v>20.286000000000001</v>
      </c>
      <c r="F87" s="38">
        <f>1.189*0.02*2*4.5</f>
        <v>0.21402000000000002</v>
      </c>
      <c r="G87" s="232">
        <f t="shared" si="4"/>
        <v>4.341609720000001</v>
      </c>
      <c r="H87" s="233" t="s">
        <v>305</v>
      </c>
    </row>
    <row r="88" spans="1:8" s="216" customFormat="1" ht="16.5">
      <c r="A88" s="231"/>
      <c r="B88" s="46" t="s">
        <v>111</v>
      </c>
      <c r="C88" s="244" t="s">
        <v>112</v>
      </c>
      <c r="D88" s="37" t="s">
        <v>42</v>
      </c>
      <c r="E88" s="37">
        <v>230</v>
      </c>
      <c r="F88" s="245">
        <f>(0.044+0.016+0.044)*1.07*2</f>
        <v>0.22256000000000001</v>
      </c>
      <c r="G88" s="232">
        <f t="shared" ref="G88" si="5">E88*F88</f>
        <v>51.188800000000001</v>
      </c>
      <c r="H88" s="246" t="s">
        <v>306</v>
      </c>
    </row>
    <row r="89" spans="1:8" s="216" customFormat="1" ht="16.5">
      <c r="A89" s="231"/>
      <c r="B89" s="46"/>
      <c r="C89" s="23" t="s">
        <v>113</v>
      </c>
      <c r="D89" s="37" t="s">
        <v>101</v>
      </c>
      <c r="E89" s="247">
        <v>26.59</v>
      </c>
      <c r="F89" s="245">
        <f>0.038*1.07*1.2*10*2</f>
        <v>0.97584000000000004</v>
      </c>
      <c r="G89" s="232">
        <f t="shared" ref="G89:G120" si="6">E89*F89</f>
        <v>25.9475856</v>
      </c>
      <c r="H89" s="246" t="s">
        <v>307</v>
      </c>
    </row>
    <row r="90" spans="1:8" s="216" customFormat="1" ht="16.5">
      <c r="A90" s="231"/>
      <c r="B90" s="46"/>
      <c r="C90" s="248" t="s">
        <v>114</v>
      </c>
      <c r="D90" s="37" t="s">
        <v>42</v>
      </c>
      <c r="E90" s="37">
        <v>80</v>
      </c>
      <c r="F90" s="245">
        <f>(0.008+0.008+0.02)*1.07*2+0.038*1.07*1.2*10*2</f>
        <v>1.05288</v>
      </c>
      <c r="G90" s="232">
        <f t="shared" si="6"/>
        <v>84.230400000000003</v>
      </c>
      <c r="H90" s="246" t="s">
        <v>308</v>
      </c>
    </row>
    <row r="91" spans="1:8" s="216" customFormat="1" ht="16.5">
      <c r="A91" s="231"/>
      <c r="B91" s="46" t="s">
        <v>115</v>
      </c>
      <c r="C91" s="37" t="s">
        <v>88</v>
      </c>
      <c r="D91" s="37" t="s">
        <v>42</v>
      </c>
      <c r="E91" s="37">
        <v>91.034999999999997</v>
      </c>
      <c r="F91" s="245">
        <f>0.08*0.04*2*2</f>
        <v>1.2800000000000001E-2</v>
      </c>
      <c r="G91" s="232">
        <f t="shared" si="6"/>
        <v>1.1652480000000001</v>
      </c>
      <c r="H91" s="246" t="s">
        <v>116</v>
      </c>
    </row>
    <row r="92" spans="1:8" s="216" customFormat="1" ht="16.5">
      <c r="A92" s="231"/>
      <c r="B92" s="46"/>
      <c r="C92" s="37" t="s">
        <v>117</v>
      </c>
      <c r="D92" s="37" t="s">
        <v>42</v>
      </c>
      <c r="E92" s="249">
        <v>136.55760000000001</v>
      </c>
      <c r="F92" s="245">
        <f>0.01*0.06*2*2</f>
        <v>2.3999999999999998E-3</v>
      </c>
      <c r="G92" s="232">
        <f t="shared" si="6"/>
        <v>0.32773824000000001</v>
      </c>
      <c r="H92" s="246" t="s">
        <v>118</v>
      </c>
    </row>
    <row r="93" spans="1:8" s="216" customFormat="1" ht="16.5">
      <c r="A93" s="231"/>
      <c r="B93" s="46"/>
      <c r="C93" s="241" t="s">
        <v>98</v>
      </c>
      <c r="D93" s="37" t="s">
        <v>51</v>
      </c>
      <c r="E93" s="247">
        <v>2.91</v>
      </c>
      <c r="F93" s="245">
        <f>0.3*2*2</f>
        <v>1.2</v>
      </c>
      <c r="G93" s="232">
        <f t="shared" si="6"/>
        <v>3.492</v>
      </c>
      <c r="H93" s="246" t="s">
        <v>119</v>
      </c>
    </row>
    <row r="94" spans="1:8" s="216" customFormat="1" ht="16.5">
      <c r="A94" s="231"/>
      <c r="B94" s="46"/>
      <c r="C94" s="37" t="s">
        <v>47</v>
      </c>
      <c r="D94" s="37" t="s">
        <v>42</v>
      </c>
      <c r="E94" s="37">
        <v>30</v>
      </c>
      <c r="F94" s="245">
        <f>0.291*0.06*2*2+0.08*0.04*2*2+0.01*0.06*2*2</f>
        <v>8.5040000000000004E-2</v>
      </c>
      <c r="G94" s="232">
        <f t="shared" si="6"/>
        <v>2.5512000000000001</v>
      </c>
      <c r="H94" s="246" t="s">
        <v>120</v>
      </c>
    </row>
    <row r="95" spans="1:8" s="216" customFormat="1" ht="16.5">
      <c r="A95" s="231"/>
      <c r="B95" s="46" t="s">
        <v>121</v>
      </c>
      <c r="C95" s="37" t="s">
        <v>88</v>
      </c>
      <c r="D95" s="37" t="s">
        <v>42</v>
      </c>
      <c r="E95" s="37">
        <v>91.034999999999997</v>
      </c>
      <c r="F95" s="245">
        <f>0.098*0.03*8*2</f>
        <v>4.7039999999999998E-2</v>
      </c>
      <c r="G95" s="232">
        <f t="shared" si="6"/>
        <v>4.2822863999999994</v>
      </c>
      <c r="H95" s="246" t="s">
        <v>258</v>
      </c>
    </row>
    <row r="96" spans="1:8" s="216" customFormat="1" ht="16.5">
      <c r="A96" s="231"/>
      <c r="B96" s="46"/>
      <c r="C96" s="37" t="s">
        <v>47</v>
      </c>
      <c r="D96" s="37" t="s">
        <v>42</v>
      </c>
      <c r="E96" s="37">
        <v>30</v>
      </c>
      <c r="F96" s="245">
        <f>0.098*0.03*8</f>
        <v>2.3519999999999999E-2</v>
      </c>
      <c r="G96" s="232">
        <f t="shared" si="6"/>
        <v>0.7056</v>
      </c>
      <c r="H96" s="246" t="s">
        <v>259</v>
      </c>
    </row>
    <row r="97" spans="1:8" s="216" customFormat="1" ht="16.5">
      <c r="A97" s="231"/>
      <c r="B97" s="46" t="s">
        <v>122</v>
      </c>
      <c r="C97" s="37" t="s">
        <v>88</v>
      </c>
      <c r="D97" s="37" t="s">
        <v>42</v>
      </c>
      <c r="E97" s="37">
        <v>91.034999999999997</v>
      </c>
      <c r="F97" s="245">
        <f>(0.032+0.015+0.032)*0.04*124</f>
        <v>0.39184000000000002</v>
      </c>
      <c r="G97" s="232">
        <f t="shared" si="6"/>
        <v>35.671154399999999</v>
      </c>
      <c r="H97" s="246" t="s">
        <v>428</v>
      </c>
    </row>
    <row r="98" spans="1:8" s="216" customFormat="1" ht="16.5">
      <c r="A98" s="231"/>
      <c r="B98" s="46"/>
      <c r="C98" s="250" t="s">
        <v>123</v>
      </c>
      <c r="D98" s="73" t="s">
        <v>51</v>
      </c>
      <c r="E98" s="73">
        <v>1.3</v>
      </c>
      <c r="F98" s="236">
        <f>0.38*2*144</f>
        <v>109.44</v>
      </c>
      <c r="G98" s="232">
        <f t="shared" si="6"/>
        <v>142.27199999999999</v>
      </c>
      <c r="H98" s="238" t="s">
        <v>310</v>
      </c>
    </row>
    <row r="99" spans="1:8" s="216" customFormat="1" ht="33">
      <c r="A99" s="231"/>
      <c r="B99" s="46"/>
      <c r="C99" s="241" t="s">
        <v>47</v>
      </c>
      <c r="D99" s="37" t="s">
        <v>42</v>
      </c>
      <c r="E99" s="247">
        <v>30</v>
      </c>
      <c r="F99" s="245">
        <f>(0.032+0.015+0.032)*0.04*144+0.005*3.14*0.38*2*144+(0.032+0.035+0.233)*0.04*34</f>
        <v>2.581248</v>
      </c>
      <c r="G99" s="232">
        <f t="shared" si="6"/>
        <v>77.437439999999995</v>
      </c>
      <c r="H99" s="246" t="s">
        <v>311</v>
      </c>
    </row>
    <row r="100" spans="1:8" s="216" customFormat="1" ht="16.5">
      <c r="A100" s="231"/>
      <c r="B100" s="46"/>
      <c r="C100" s="241" t="s">
        <v>124</v>
      </c>
      <c r="D100" s="37" t="s">
        <v>51</v>
      </c>
      <c r="E100" s="247">
        <v>1.87</v>
      </c>
      <c r="F100" s="245">
        <f>(0.032+0.035+0.233)*32</f>
        <v>9.6000000000000014</v>
      </c>
      <c r="G100" s="232">
        <f t="shared" si="6"/>
        <v>17.952000000000005</v>
      </c>
      <c r="H100" s="246" t="s">
        <v>429</v>
      </c>
    </row>
    <row r="101" spans="1:8" s="216" customFormat="1" ht="16.5">
      <c r="A101" s="231"/>
      <c r="B101" s="46"/>
      <c r="C101" s="250" t="s">
        <v>125</v>
      </c>
      <c r="D101" s="73" t="s">
        <v>55</v>
      </c>
      <c r="E101" s="73">
        <v>1</v>
      </c>
      <c r="F101" s="236">
        <f>34*2</f>
        <v>68</v>
      </c>
      <c r="G101" s="232">
        <f t="shared" si="6"/>
        <v>68</v>
      </c>
      <c r="H101" s="238" t="s">
        <v>313</v>
      </c>
    </row>
    <row r="102" spans="1:8" s="216" customFormat="1" ht="16.5">
      <c r="A102" s="231"/>
      <c r="B102" s="46"/>
      <c r="C102" s="241" t="s">
        <v>126</v>
      </c>
      <c r="D102" s="46" t="s">
        <v>51</v>
      </c>
      <c r="E102" s="247">
        <v>6</v>
      </c>
      <c r="F102" s="245">
        <f>2*8</f>
        <v>16</v>
      </c>
      <c r="G102" s="232">
        <f t="shared" si="6"/>
        <v>96</v>
      </c>
      <c r="H102" s="246" t="s">
        <v>314</v>
      </c>
    </row>
    <row r="103" spans="1:8" s="216" customFormat="1" ht="16.5">
      <c r="A103" s="231"/>
      <c r="B103" s="46"/>
      <c r="C103" s="251" t="s">
        <v>128</v>
      </c>
      <c r="D103" s="252" t="s">
        <v>101</v>
      </c>
      <c r="E103" s="253">
        <v>24.99</v>
      </c>
      <c r="F103" s="254">
        <f>(0.0389+0.012+0.005+0.05+0.012+0.012)*2*1.4*2*8</f>
        <v>5.8195199999999989</v>
      </c>
      <c r="G103" s="232">
        <f t="shared" si="6"/>
        <v>145.42980479999997</v>
      </c>
      <c r="H103" s="246" t="s">
        <v>315</v>
      </c>
    </row>
    <row r="104" spans="1:8" s="216" customFormat="1" ht="16.5">
      <c r="A104" s="231"/>
      <c r="B104" s="46" t="s">
        <v>129</v>
      </c>
      <c r="C104" s="244" t="s">
        <v>130</v>
      </c>
      <c r="D104" s="37" t="s">
        <v>51</v>
      </c>
      <c r="E104" s="37">
        <v>3.95</v>
      </c>
      <c r="F104" s="245">
        <f>1.71*10</f>
        <v>17.100000000000001</v>
      </c>
      <c r="G104" s="232">
        <f t="shared" si="6"/>
        <v>67.545000000000002</v>
      </c>
      <c r="H104" s="246" t="s">
        <v>316</v>
      </c>
    </row>
    <row r="105" spans="1:8" s="216" customFormat="1" ht="16.5">
      <c r="A105" s="231"/>
      <c r="B105" s="46"/>
      <c r="C105" s="23" t="s">
        <v>47</v>
      </c>
      <c r="D105" s="37" t="s">
        <v>42</v>
      </c>
      <c r="E105" s="247">
        <v>30</v>
      </c>
      <c r="F105" s="245">
        <f>0.08*1.71*10</f>
        <v>1.3680000000000001</v>
      </c>
      <c r="G105" s="232">
        <f t="shared" si="6"/>
        <v>41.040000000000006</v>
      </c>
      <c r="H105" s="246" t="s">
        <v>317</v>
      </c>
    </row>
    <row r="106" spans="1:8" s="216" customFormat="1" ht="16.5">
      <c r="A106" s="231"/>
      <c r="B106" s="46"/>
      <c r="C106" s="23" t="s">
        <v>131</v>
      </c>
      <c r="D106" s="37" t="s">
        <v>132</v>
      </c>
      <c r="E106" s="247">
        <v>1</v>
      </c>
      <c r="F106" s="245">
        <v>20</v>
      </c>
      <c r="G106" s="232">
        <f t="shared" si="6"/>
        <v>20</v>
      </c>
      <c r="H106" s="246">
        <v>20</v>
      </c>
    </row>
    <row r="107" spans="1:8" s="216" customFormat="1" ht="16.5">
      <c r="A107" s="231"/>
      <c r="B107" s="46" t="s">
        <v>133</v>
      </c>
      <c r="C107" s="248" t="s">
        <v>88</v>
      </c>
      <c r="D107" s="37" t="s">
        <v>42</v>
      </c>
      <c r="E107" s="37">
        <v>91.034999999999997</v>
      </c>
      <c r="F107" s="245">
        <f>0.052*0.064*32</f>
        <v>0.10649599999999999</v>
      </c>
      <c r="G107" s="232">
        <f t="shared" si="6"/>
        <v>9.6948633599999994</v>
      </c>
      <c r="H107" s="246" t="s">
        <v>318</v>
      </c>
    </row>
    <row r="108" spans="1:8" s="216" customFormat="1" ht="16.5">
      <c r="A108" s="231"/>
      <c r="B108" s="46" t="s">
        <v>319</v>
      </c>
      <c r="C108" s="37" t="s">
        <v>104</v>
      </c>
      <c r="D108" s="37" t="s">
        <v>101</v>
      </c>
      <c r="E108" s="37">
        <v>28.14</v>
      </c>
      <c r="F108" s="245">
        <f>0.12*1.72*3*1.2</f>
        <v>0.74303999999999992</v>
      </c>
      <c r="G108" s="232">
        <f t="shared" si="6"/>
        <v>20.909145599999999</v>
      </c>
      <c r="H108" s="246" t="s">
        <v>320</v>
      </c>
    </row>
    <row r="109" spans="1:8" s="216" customFormat="1" ht="16.5">
      <c r="A109" s="231"/>
      <c r="B109" s="46"/>
      <c r="C109" s="37" t="s">
        <v>104</v>
      </c>
      <c r="D109" s="37" t="s">
        <v>101</v>
      </c>
      <c r="E109" s="37">
        <v>28.14</v>
      </c>
      <c r="F109" s="245">
        <f>(0.008+0.008+0.011+0.011)*1.72*5*1.2</f>
        <v>0.39215999999999995</v>
      </c>
      <c r="G109" s="232">
        <f t="shared" si="6"/>
        <v>11.0353824</v>
      </c>
      <c r="H109" s="246" t="s">
        <v>321</v>
      </c>
    </row>
    <row r="110" spans="1:8" s="216" customFormat="1" ht="16.5">
      <c r="A110" s="231"/>
      <c r="B110" s="46"/>
      <c r="C110" s="37" t="s">
        <v>322</v>
      </c>
      <c r="D110" s="37" t="s">
        <v>101</v>
      </c>
      <c r="E110" s="37">
        <v>28.14</v>
      </c>
      <c r="F110" s="245">
        <f>0.012*1.72*8*1.2</f>
        <v>0.19814399999999999</v>
      </c>
      <c r="G110" s="232">
        <f t="shared" si="6"/>
        <v>5.5757721599999996</v>
      </c>
      <c r="H110" s="246" t="s">
        <v>323</v>
      </c>
    </row>
    <row r="111" spans="1:8" s="216" customFormat="1" ht="16.5">
      <c r="A111" s="231"/>
      <c r="B111" s="46"/>
      <c r="C111" s="248" t="s">
        <v>324</v>
      </c>
      <c r="D111" s="37" t="s">
        <v>42</v>
      </c>
      <c r="E111" s="247">
        <v>169.5</v>
      </c>
      <c r="F111" s="245">
        <f t="shared" ref="F111" si="7">0.11*1.72</f>
        <v>0.18920000000000001</v>
      </c>
      <c r="G111" s="232">
        <f t="shared" si="6"/>
        <v>32.069400000000002</v>
      </c>
      <c r="H111" s="233" t="s">
        <v>325</v>
      </c>
    </row>
    <row r="112" spans="1:8" s="216" customFormat="1" ht="16.5">
      <c r="A112" s="231"/>
      <c r="B112" s="46"/>
      <c r="C112" s="248" t="s">
        <v>326</v>
      </c>
      <c r="D112" s="37" t="s">
        <v>42</v>
      </c>
      <c r="E112" s="247">
        <v>15.45</v>
      </c>
      <c r="F112" s="245">
        <f>0.11*1.72</f>
        <v>0.18920000000000001</v>
      </c>
      <c r="G112" s="232">
        <f t="shared" si="6"/>
        <v>2.9231400000000001</v>
      </c>
      <c r="H112" s="233" t="s">
        <v>325</v>
      </c>
    </row>
    <row r="113" spans="1:8" s="216" customFormat="1" ht="16.5">
      <c r="A113" s="231"/>
      <c r="B113" s="46"/>
      <c r="C113" s="37" t="s">
        <v>104</v>
      </c>
      <c r="D113" s="37" t="s">
        <v>101</v>
      </c>
      <c r="E113" s="37">
        <v>28.14</v>
      </c>
      <c r="F113" s="245">
        <f>0.11*1.72</f>
        <v>0.18920000000000001</v>
      </c>
      <c r="G113" s="232">
        <f t="shared" si="6"/>
        <v>5.3240880000000006</v>
      </c>
      <c r="H113" s="233" t="s">
        <v>325</v>
      </c>
    </row>
    <row r="114" spans="1:8" s="216" customFormat="1" ht="16.5">
      <c r="A114" s="231"/>
      <c r="B114" s="37"/>
      <c r="C114" s="37" t="s">
        <v>108</v>
      </c>
      <c r="D114" s="37" t="s">
        <v>42</v>
      </c>
      <c r="E114" s="37">
        <v>40</v>
      </c>
      <c r="F114" s="38">
        <f>0.11*1.72</f>
        <v>0.18920000000000001</v>
      </c>
      <c r="G114" s="232">
        <f t="shared" si="6"/>
        <v>7.5680000000000005</v>
      </c>
      <c r="H114" s="233" t="s">
        <v>325</v>
      </c>
    </row>
    <row r="115" spans="1:8" s="216" customFormat="1" ht="16.5">
      <c r="A115" s="231"/>
      <c r="B115" s="46" t="s">
        <v>327</v>
      </c>
      <c r="C115" s="37" t="s">
        <v>104</v>
      </c>
      <c r="D115" s="37" t="s">
        <v>101</v>
      </c>
      <c r="E115" s="37">
        <v>28.14</v>
      </c>
      <c r="F115" s="245">
        <f>(0.015+0.018)*0.08*2*1.2*2</f>
        <v>1.2671999999999999E-2</v>
      </c>
      <c r="G115" s="232">
        <f t="shared" si="6"/>
        <v>0.35659007999999998</v>
      </c>
      <c r="H115" s="233" t="s">
        <v>328</v>
      </c>
    </row>
    <row r="116" spans="1:8" s="216" customFormat="1" ht="16.5">
      <c r="A116" s="231"/>
      <c r="B116" s="46"/>
      <c r="C116" s="37" t="s">
        <v>322</v>
      </c>
      <c r="D116" s="37" t="s">
        <v>101</v>
      </c>
      <c r="E116" s="37">
        <v>28.14</v>
      </c>
      <c r="F116" s="245">
        <f>0.08*0.006*8*1.2*2</f>
        <v>9.2160000000000002E-3</v>
      </c>
      <c r="G116" s="232">
        <f t="shared" si="6"/>
        <v>0.25933824</v>
      </c>
      <c r="H116" s="246" t="s">
        <v>329</v>
      </c>
    </row>
    <row r="117" spans="1:8" s="216" customFormat="1" ht="16.5">
      <c r="A117" s="231"/>
      <c r="B117" s="37" t="s">
        <v>330</v>
      </c>
      <c r="C117" s="37" t="s">
        <v>98</v>
      </c>
      <c r="D117" s="37" t="s">
        <v>51</v>
      </c>
      <c r="E117" s="37">
        <v>2.91</v>
      </c>
      <c r="F117" s="38">
        <f>0.232*1*2</f>
        <v>0.46400000000000002</v>
      </c>
      <c r="G117" s="232">
        <f t="shared" si="6"/>
        <v>1.3502400000000001</v>
      </c>
      <c r="H117" s="233" t="s">
        <v>331</v>
      </c>
    </row>
    <row r="118" spans="1:8" s="216" customFormat="1" ht="16.5">
      <c r="A118" s="231"/>
      <c r="B118" s="37"/>
      <c r="C118" s="37" t="s">
        <v>88</v>
      </c>
      <c r="D118" s="37" t="s">
        <v>42</v>
      </c>
      <c r="E118" s="37">
        <v>91.034999999999997</v>
      </c>
      <c r="F118" s="38">
        <f>0.095*0.245*1*2</f>
        <v>4.6550000000000001E-2</v>
      </c>
      <c r="G118" s="232">
        <f t="shared" si="6"/>
        <v>4.2376792500000002</v>
      </c>
      <c r="H118" s="233" t="s">
        <v>332</v>
      </c>
    </row>
    <row r="119" spans="1:8" s="216" customFormat="1" ht="16.5">
      <c r="A119" s="231"/>
      <c r="B119" s="37"/>
      <c r="C119" s="37" t="s">
        <v>88</v>
      </c>
      <c r="D119" s="37" t="s">
        <v>42</v>
      </c>
      <c r="E119" s="37">
        <v>91.034999999999997</v>
      </c>
      <c r="F119" s="38">
        <f>0.048*0.036*1*2</f>
        <v>3.4559999999999999E-3</v>
      </c>
      <c r="G119" s="232">
        <f t="shared" si="6"/>
        <v>0.31461696</v>
      </c>
      <c r="H119" s="233" t="s">
        <v>333</v>
      </c>
    </row>
    <row r="120" spans="1:8" s="216" customFormat="1" ht="16.5">
      <c r="A120" s="231"/>
      <c r="B120" s="37"/>
      <c r="C120" s="37" t="s">
        <v>88</v>
      </c>
      <c r="D120" s="37" t="s">
        <v>42</v>
      </c>
      <c r="E120" s="37">
        <v>91.034999999999997</v>
      </c>
      <c r="F120" s="38">
        <f>0.041*0.023*1*2</f>
        <v>1.8860000000000001E-3</v>
      </c>
      <c r="G120" s="232">
        <f t="shared" si="6"/>
        <v>0.17169201000000001</v>
      </c>
      <c r="H120" s="233" t="s">
        <v>334</v>
      </c>
    </row>
    <row r="121" spans="1:8" s="216" customFormat="1" ht="16.5">
      <c r="A121" s="231"/>
      <c r="B121" s="37"/>
      <c r="C121" s="37" t="s">
        <v>88</v>
      </c>
      <c r="D121" s="37" t="s">
        <v>42</v>
      </c>
      <c r="E121" s="37">
        <v>91.034999999999997</v>
      </c>
      <c r="F121" s="38">
        <f>0.025*0.015*1*2</f>
        <v>7.5000000000000002E-4</v>
      </c>
      <c r="G121" s="232">
        <f t="shared" ref="G121:G151" si="8">E121*F121</f>
        <v>6.8276249999999997E-2</v>
      </c>
      <c r="H121" s="233" t="s">
        <v>335</v>
      </c>
    </row>
    <row r="122" spans="1:8" s="216" customFormat="1" ht="33">
      <c r="A122" s="231"/>
      <c r="B122" s="37"/>
      <c r="C122" s="37" t="s">
        <v>47</v>
      </c>
      <c r="D122" s="37" t="s">
        <v>42</v>
      </c>
      <c r="E122" s="37">
        <v>30</v>
      </c>
      <c r="F122" s="38">
        <f>0.232*1*2+0.095*0.245*1*2+0.048*0.036*1*2+0.041*0.023*1*2+0.025*0.015*1*2</f>
        <v>0.51664200000000016</v>
      </c>
      <c r="G122" s="232">
        <f t="shared" si="8"/>
        <v>15.499260000000005</v>
      </c>
      <c r="H122" s="233" t="s">
        <v>336</v>
      </c>
    </row>
    <row r="123" spans="1:8" s="216" customFormat="1" ht="16.5">
      <c r="A123" s="231"/>
      <c r="B123" s="240" t="s">
        <v>337</v>
      </c>
      <c r="C123" s="37" t="s">
        <v>88</v>
      </c>
      <c r="D123" s="37" t="s">
        <v>42</v>
      </c>
      <c r="E123" s="37">
        <v>91.034999999999997</v>
      </c>
      <c r="F123" s="38">
        <f>0.014*(0.049+0.059)*4</f>
        <v>6.0480000000000004E-3</v>
      </c>
      <c r="G123" s="232">
        <f t="shared" si="8"/>
        <v>0.55057968000000002</v>
      </c>
      <c r="H123" s="233" t="s">
        <v>338</v>
      </c>
    </row>
    <row r="124" spans="1:8" s="216" customFormat="1" ht="16.5">
      <c r="A124" s="231"/>
      <c r="B124" s="240"/>
      <c r="C124" s="37" t="s">
        <v>47</v>
      </c>
      <c r="D124" s="37" t="s">
        <v>42</v>
      </c>
      <c r="E124" s="37">
        <v>30</v>
      </c>
      <c r="F124" s="38">
        <f>0.014*(0.049+0.059)*4*2</f>
        <v>1.2096000000000001E-2</v>
      </c>
      <c r="G124" s="232">
        <f t="shared" si="8"/>
        <v>0.36288000000000004</v>
      </c>
      <c r="H124" s="233" t="s">
        <v>339</v>
      </c>
    </row>
    <row r="125" spans="1:8" s="216" customFormat="1" ht="16.5">
      <c r="A125" s="231"/>
      <c r="B125" s="240" t="s">
        <v>340</v>
      </c>
      <c r="C125" s="251" t="s">
        <v>141</v>
      </c>
      <c r="D125" s="37" t="s">
        <v>42</v>
      </c>
      <c r="E125" s="37">
        <v>25.515000000000001</v>
      </c>
      <c r="F125" s="38">
        <f>1.73*0.365</f>
        <v>0.63144999999999996</v>
      </c>
      <c r="G125" s="232">
        <f t="shared" si="8"/>
        <v>16.111446749999999</v>
      </c>
      <c r="H125" s="233" t="s">
        <v>341</v>
      </c>
    </row>
    <row r="126" spans="1:8" s="216" customFormat="1" ht="16.5">
      <c r="A126" s="231"/>
      <c r="B126" s="240"/>
      <c r="C126" s="255" t="s">
        <v>142</v>
      </c>
      <c r="D126" s="37" t="s">
        <v>51</v>
      </c>
      <c r="E126" s="37">
        <v>1.6</v>
      </c>
      <c r="F126" s="38">
        <f>1.73+0.365+0.365+1.73</f>
        <v>4.1899999999999995</v>
      </c>
      <c r="G126" s="232">
        <f t="shared" si="8"/>
        <v>6.7039999999999997</v>
      </c>
      <c r="H126" s="233" t="s">
        <v>342</v>
      </c>
    </row>
    <row r="127" spans="1:8" s="216" customFormat="1" ht="16.5">
      <c r="A127" s="231"/>
      <c r="B127" s="240" t="s">
        <v>135</v>
      </c>
      <c r="C127" s="37" t="s">
        <v>136</v>
      </c>
      <c r="D127" s="37" t="s">
        <v>42</v>
      </c>
      <c r="E127" s="249">
        <v>47.685000000000002</v>
      </c>
      <c r="F127" s="38">
        <f>(0.05+0.05+0.01+0.01)*2*3</f>
        <v>0.72</v>
      </c>
      <c r="G127" s="232">
        <f t="shared" si="8"/>
        <v>34.333199999999998</v>
      </c>
      <c r="H127" s="233" t="s">
        <v>430</v>
      </c>
    </row>
    <row r="128" spans="1:8" s="216" customFormat="1" ht="16.5">
      <c r="A128" s="231"/>
      <c r="B128" s="240"/>
      <c r="C128" s="37" t="s">
        <v>47</v>
      </c>
      <c r="D128" s="37" t="s">
        <v>42</v>
      </c>
      <c r="E128" s="37">
        <v>30</v>
      </c>
      <c r="F128" s="38">
        <f>(0.05+0.05+0.01+0.01)*2*3</f>
        <v>0.72</v>
      </c>
      <c r="G128" s="232">
        <f t="shared" si="8"/>
        <v>21.599999999999998</v>
      </c>
      <c r="H128" s="233" t="s">
        <v>430</v>
      </c>
    </row>
    <row r="129" spans="1:8" s="216" customFormat="1" ht="16.5">
      <c r="A129" s="231"/>
      <c r="B129" s="37" t="s">
        <v>137</v>
      </c>
      <c r="C129" s="46" t="s">
        <v>138</v>
      </c>
      <c r="D129" s="46" t="s">
        <v>139</v>
      </c>
      <c r="E129" s="247">
        <v>1.55</v>
      </c>
      <c r="F129" s="245">
        <v>15</v>
      </c>
      <c r="G129" s="28">
        <f t="shared" si="8"/>
        <v>23.25</v>
      </c>
      <c r="H129" s="246" t="s">
        <v>431</v>
      </c>
    </row>
    <row r="130" spans="1:8" s="216" customFormat="1" ht="16.5">
      <c r="A130" s="231"/>
      <c r="B130" s="240"/>
      <c r="C130" s="37" t="s">
        <v>88</v>
      </c>
      <c r="D130" s="37" t="s">
        <v>42</v>
      </c>
      <c r="E130" s="37">
        <v>91.034999999999997</v>
      </c>
      <c r="F130" s="38">
        <f>0.07*(0.03+0.056+0.045)*3*5</f>
        <v>0.13755000000000001</v>
      </c>
      <c r="G130" s="232">
        <f t="shared" si="8"/>
        <v>12.52186425</v>
      </c>
      <c r="H130" s="233" t="s">
        <v>432</v>
      </c>
    </row>
    <row r="131" spans="1:8" s="216" customFormat="1" ht="16.5">
      <c r="A131" s="231"/>
      <c r="B131" s="240"/>
      <c r="C131" s="37" t="s">
        <v>47</v>
      </c>
      <c r="D131" s="37" t="s">
        <v>42</v>
      </c>
      <c r="E131" s="37">
        <v>30</v>
      </c>
      <c r="F131" s="38">
        <f>0.07*(0.03+0.056+0.045)*3*5</f>
        <v>0.13755000000000001</v>
      </c>
      <c r="G131" s="232">
        <f t="shared" si="8"/>
        <v>4.1265000000000001</v>
      </c>
      <c r="H131" s="233" t="s">
        <v>432</v>
      </c>
    </row>
    <row r="132" spans="1:8" s="216" customFormat="1" ht="16.5">
      <c r="A132" s="231"/>
      <c r="B132" s="37" t="s">
        <v>347</v>
      </c>
      <c r="C132" s="37" t="s">
        <v>88</v>
      </c>
      <c r="D132" s="37" t="s">
        <v>42</v>
      </c>
      <c r="E132" s="37">
        <v>91.034999999999997</v>
      </c>
      <c r="F132" s="38">
        <f>(0.049+0.039)*0.01*5*2</f>
        <v>8.7999999999999988E-3</v>
      </c>
      <c r="G132" s="232">
        <f t="shared" si="8"/>
        <v>0.80110799999999982</v>
      </c>
      <c r="H132" s="233" t="s">
        <v>348</v>
      </c>
    </row>
    <row r="133" spans="1:8" s="216" customFormat="1" ht="16.5">
      <c r="A133" s="231"/>
      <c r="B133" s="240"/>
      <c r="C133" s="37" t="s">
        <v>47</v>
      </c>
      <c r="D133" s="37" t="s">
        <v>42</v>
      </c>
      <c r="E133" s="37">
        <v>30</v>
      </c>
      <c r="F133" s="38">
        <f>(0.049+0.039)*0.01*5</f>
        <v>4.3999999999999994E-3</v>
      </c>
      <c r="G133" s="232">
        <f t="shared" si="8"/>
        <v>0.13199999999999998</v>
      </c>
      <c r="H133" s="233" t="s">
        <v>349</v>
      </c>
    </row>
    <row r="134" spans="1:8" s="216" customFormat="1" ht="16.5">
      <c r="A134" s="231"/>
      <c r="B134" s="240" t="s">
        <v>350</v>
      </c>
      <c r="C134" s="251" t="s">
        <v>141</v>
      </c>
      <c r="D134" s="37" t="s">
        <v>42</v>
      </c>
      <c r="E134" s="249">
        <v>25.515000000000001</v>
      </c>
      <c r="F134" s="38">
        <f>0.365*1.73</f>
        <v>0.63144999999999996</v>
      </c>
      <c r="G134" s="232">
        <f t="shared" si="8"/>
        <v>16.111446749999999</v>
      </c>
      <c r="H134" s="233" t="s">
        <v>433</v>
      </c>
    </row>
    <row r="135" spans="1:8" s="216" customFormat="1" ht="16.5">
      <c r="A135" s="231"/>
      <c r="B135" s="240"/>
      <c r="C135" s="251" t="s">
        <v>141</v>
      </c>
      <c r="D135" s="37" t="s">
        <v>42</v>
      </c>
      <c r="E135" s="249">
        <v>25.515000000000001</v>
      </c>
      <c r="F135" s="38">
        <f>0.07*1.73</f>
        <v>0.12110000000000001</v>
      </c>
      <c r="G135" s="232">
        <f t="shared" si="8"/>
        <v>3.0898665000000003</v>
      </c>
      <c r="H135" s="233" t="s">
        <v>352</v>
      </c>
    </row>
    <row r="136" spans="1:8" s="216" customFormat="1" ht="16.5">
      <c r="A136" s="231"/>
      <c r="B136" s="240"/>
      <c r="C136" s="37" t="s">
        <v>146</v>
      </c>
      <c r="D136" s="37" t="s">
        <v>42</v>
      </c>
      <c r="E136" s="249">
        <v>57.6</v>
      </c>
      <c r="F136" s="38">
        <f>0.07*1.73</f>
        <v>0.12110000000000001</v>
      </c>
      <c r="G136" s="232">
        <f t="shared" si="8"/>
        <v>6.9753600000000011</v>
      </c>
      <c r="H136" s="233" t="s">
        <v>352</v>
      </c>
    </row>
    <row r="137" spans="1:8" s="216" customFormat="1" ht="16.5">
      <c r="A137" s="231"/>
      <c r="B137" s="240"/>
      <c r="C137" s="255" t="s">
        <v>142</v>
      </c>
      <c r="D137" s="37" t="s">
        <v>51</v>
      </c>
      <c r="E137" s="256">
        <v>1.6</v>
      </c>
      <c r="F137" s="38">
        <f>1.73+1.73+0.365+0.365</f>
        <v>4.1900000000000004</v>
      </c>
      <c r="G137" s="232">
        <f t="shared" si="8"/>
        <v>6.7040000000000006</v>
      </c>
      <c r="H137" s="233" t="s">
        <v>353</v>
      </c>
    </row>
    <row r="138" spans="1:8" s="216" customFormat="1" ht="16.5">
      <c r="A138" s="231"/>
      <c r="B138" s="240" t="s">
        <v>354</v>
      </c>
      <c r="C138" s="251" t="s">
        <v>141</v>
      </c>
      <c r="D138" s="37" t="s">
        <v>42</v>
      </c>
      <c r="E138" s="249">
        <v>25.515000000000001</v>
      </c>
      <c r="F138" s="38">
        <f>0.365*2.4</f>
        <v>0.876</v>
      </c>
      <c r="G138" s="232">
        <f t="shared" si="8"/>
        <v>22.351140000000001</v>
      </c>
      <c r="H138" s="233" t="s">
        <v>434</v>
      </c>
    </row>
    <row r="139" spans="1:8" s="216" customFormat="1" ht="16.5">
      <c r="A139" s="231"/>
      <c r="B139" s="240"/>
      <c r="C139" s="251" t="s">
        <v>141</v>
      </c>
      <c r="D139" s="37" t="s">
        <v>42</v>
      </c>
      <c r="E139" s="249">
        <v>25.515000000000001</v>
      </c>
      <c r="F139" s="38">
        <f t="shared" ref="F139" si="9">0.07*2.4</f>
        <v>0.16800000000000001</v>
      </c>
      <c r="G139" s="232">
        <f t="shared" si="8"/>
        <v>4.2865200000000003</v>
      </c>
      <c r="H139" s="233" t="s">
        <v>356</v>
      </c>
    </row>
    <row r="140" spans="1:8" s="216" customFormat="1" ht="16.5">
      <c r="A140" s="231"/>
      <c r="B140" s="240"/>
      <c r="C140" s="37" t="s">
        <v>146</v>
      </c>
      <c r="D140" s="37" t="s">
        <v>42</v>
      </c>
      <c r="E140" s="249">
        <v>57.6</v>
      </c>
      <c r="F140" s="38">
        <f>0.07*2.4</f>
        <v>0.16800000000000001</v>
      </c>
      <c r="G140" s="232">
        <f t="shared" si="8"/>
        <v>9.6768000000000001</v>
      </c>
      <c r="H140" s="233" t="s">
        <v>356</v>
      </c>
    </row>
    <row r="141" spans="1:8" s="216" customFormat="1" ht="16.5">
      <c r="A141" s="231"/>
      <c r="B141" s="240"/>
      <c r="C141" s="255" t="s">
        <v>142</v>
      </c>
      <c r="D141" s="37" t="s">
        <v>51</v>
      </c>
      <c r="E141" s="256">
        <v>1.6</v>
      </c>
      <c r="F141" s="38">
        <f>2.4+0.365+0.356+2.4</f>
        <v>5.520999999999999</v>
      </c>
      <c r="G141" s="232">
        <f t="shared" si="8"/>
        <v>8.8335999999999988</v>
      </c>
      <c r="H141" s="233" t="s">
        <v>357</v>
      </c>
    </row>
    <row r="142" spans="1:8" s="216" customFormat="1" ht="16.5">
      <c r="A142" s="231"/>
      <c r="B142" s="240" t="s">
        <v>358</v>
      </c>
      <c r="C142" s="251" t="s">
        <v>141</v>
      </c>
      <c r="D142" s="37" t="s">
        <v>42</v>
      </c>
      <c r="E142" s="249">
        <v>25.515000000000001</v>
      </c>
      <c r="F142" s="38">
        <f>0.365*2.4</f>
        <v>0.876</v>
      </c>
      <c r="G142" s="232">
        <f t="shared" si="8"/>
        <v>22.351140000000001</v>
      </c>
      <c r="H142" s="233" t="s">
        <v>434</v>
      </c>
    </row>
    <row r="143" spans="1:8" s="216" customFormat="1" ht="16.5">
      <c r="A143" s="231"/>
      <c r="B143" s="240"/>
      <c r="C143" s="251" t="s">
        <v>141</v>
      </c>
      <c r="D143" s="37" t="s">
        <v>42</v>
      </c>
      <c r="E143" s="249">
        <v>25.515000000000001</v>
      </c>
      <c r="F143" s="38">
        <f>0.07*2.4</f>
        <v>0.16800000000000001</v>
      </c>
      <c r="G143" s="232">
        <f t="shared" si="8"/>
        <v>4.2865200000000003</v>
      </c>
      <c r="H143" s="233" t="s">
        <v>356</v>
      </c>
    </row>
    <row r="144" spans="1:8" s="216" customFormat="1" ht="16.5">
      <c r="A144" s="231"/>
      <c r="B144" s="240"/>
      <c r="C144" s="37" t="s">
        <v>146</v>
      </c>
      <c r="D144" s="37" t="s">
        <v>42</v>
      </c>
      <c r="E144" s="249">
        <v>57.6</v>
      </c>
      <c r="F144" s="38">
        <f>0.07*2.4</f>
        <v>0.16800000000000001</v>
      </c>
      <c r="G144" s="232">
        <f t="shared" si="8"/>
        <v>9.6768000000000001</v>
      </c>
      <c r="H144" s="233" t="s">
        <v>356</v>
      </c>
    </row>
    <row r="145" spans="1:8" s="216" customFormat="1" ht="16.5">
      <c r="A145" s="231"/>
      <c r="B145" s="240"/>
      <c r="C145" s="255" t="s">
        <v>142</v>
      </c>
      <c r="D145" s="37" t="s">
        <v>51</v>
      </c>
      <c r="E145" s="256">
        <v>1.6</v>
      </c>
      <c r="F145" s="38">
        <f>2.4+0.365+0.356+2.4</f>
        <v>5.520999999999999</v>
      </c>
      <c r="G145" s="232">
        <f t="shared" si="8"/>
        <v>8.8335999999999988</v>
      </c>
      <c r="H145" s="233" t="s">
        <v>357</v>
      </c>
    </row>
    <row r="146" spans="1:8" s="216" customFormat="1" ht="16.5">
      <c r="A146" s="231"/>
      <c r="B146" s="240" t="s">
        <v>359</v>
      </c>
      <c r="C146" s="251" t="s">
        <v>141</v>
      </c>
      <c r="D146" s="37" t="s">
        <v>42</v>
      </c>
      <c r="E146" s="249">
        <v>25.515000000000001</v>
      </c>
      <c r="F146" s="38">
        <f>0.365*0.585</f>
        <v>0.21352499999999999</v>
      </c>
      <c r="G146" s="232">
        <f t="shared" si="8"/>
        <v>5.4480903749999996</v>
      </c>
      <c r="H146" s="233" t="s">
        <v>435</v>
      </c>
    </row>
    <row r="147" spans="1:8" s="216" customFormat="1" ht="16.5">
      <c r="A147" s="231"/>
      <c r="B147" s="240"/>
      <c r="C147" s="251" t="s">
        <v>141</v>
      </c>
      <c r="D147" s="37" t="s">
        <v>42</v>
      </c>
      <c r="E147" s="249">
        <v>25.515000000000001</v>
      </c>
      <c r="F147" s="38">
        <f>0.07*0.585</f>
        <v>4.095E-2</v>
      </c>
      <c r="G147" s="232">
        <f t="shared" si="8"/>
        <v>1.0448392500000001</v>
      </c>
      <c r="H147" s="233" t="s">
        <v>361</v>
      </c>
    </row>
    <row r="148" spans="1:8" s="216" customFormat="1" ht="16.5">
      <c r="A148" s="231"/>
      <c r="B148" s="240"/>
      <c r="C148" s="37" t="s">
        <v>146</v>
      </c>
      <c r="D148" s="37" t="s">
        <v>42</v>
      </c>
      <c r="E148" s="249">
        <v>57.6</v>
      </c>
      <c r="F148" s="38">
        <f>0.07*0.585</f>
        <v>4.095E-2</v>
      </c>
      <c r="G148" s="232">
        <f t="shared" si="8"/>
        <v>2.3587199999999999</v>
      </c>
      <c r="H148" s="233" t="s">
        <v>361</v>
      </c>
    </row>
    <row r="149" spans="1:8" s="216" customFormat="1" ht="16.5">
      <c r="A149" s="231"/>
      <c r="B149" s="240"/>
      <c r="C149" s="255" t="s">
        <v>142</v>
      </c>
      <c r="D149" s="37" t="s">
        <v>51</v>
      </c>
      <c r="E149" s="256">
        <v>1.6</v>
      </c>
      <c r="F149" s="38">
        <f>0.565+0.365+0.356+0.585</f>
        <v>1.871</v>
      </c>
      <c r="G149" s="232">
        <f t="shared" si="8"/>
        <v>2.9936000000000003</v>
      </c>
      <c r="H149" s="233" t="s">
        <v>362</v>
      </c>
    </row>
    <row r="150" spans="1:8" s="216" customFormat="1" ht="16.5">
      <c r="A150" s="231"/>
      <c r="B150" s="240" t="s">
        <v>143</v>
      </c>
      <c r="C150" s="23" t="s">
        <v>363</v>
      </c>
      <c r="D150" s="37" t="s">
        <v>42</v>
      </c>
      <c r="E150" s="37">
        <v>31.5</v>
      </c>
      <c r="F150" s="38">
        <f>0.45*2.4*2</f>
        <v>2.16</v>
      </c>
      <c r="G150" s="232">
        <f t="shared" si="8"/>
        <v>68.040000000000006</v>
      </c>
      <c r="H150" s="233" t="s">
        <v>364</v>
      </c>
    </row>
    <row r="151" spans="1:8" s="216" customFormat="1" ht="16.5">
      <c r="A151" s="231"/>
      <c r="B151" s="240"/>
      <c r="C151" s="23" t="s">
        <v>144</v>
      </c>
      <c r="D151" s="37" t="s">
        <v>42</v>
      </c>
      <c r="E151" s="37">
        <v>42</v>
      </c>
      <c r="F151" s="38">
        <f t="shared" ref="F151" si="10">0.45*2.4</f>
        <v>1.08</v>
      </c>
      <c r="G151" s="232">
        <f t="shared" si="8"/>
        <v>45.36</v>
      </c>
      <c r="H151" s="233" t="s">
        <v>365</v>
      </c>
    </row>
    <row r="152" spans="1:8" s="216" customFormat="1" ht="16.5">
      <c r="A152" s="231"/>
      <c r="B152" s="240"/>
      <c r="C152" s="23" t="s">
        <v>145</v>
      </c>
      <c r="D152" s="37" t="s">
        <v>42</v>
      </c>
      <c r="E152" s="37">
        <v>68.25</v>
      </c>
      <c r="F152" s="38">
        <f>0.45*2.4</f>
        <v>1.08</v>
      </c>
      <c r="G152" s="232">
        <f t="shared" ref="G152" si="11">E152*F152</f>
        <v>73.710000000000008</v>
      </c>
      <c r="H152" s="233" t="s">
        <v>365</v>
      </c>
    </row>
    <row r="153" spans="1:8" s="216" customFormat="1" ht="16.5">
      <c r="A153" s="231"/>
      <c r="B153" s="240"/>
      <c r="C153" s="37" t="s">
        <v>146</v>
      </c>
      <c r="D153" s="37" t="s">
        <v>42</v>
      </c>
      <c r="E153" s="249">
        <v>57.6</v>
      </c>
      <c r="F153" s="38">
        <f>0.45*2.4</f>
        <v>1.08</v>
      </c>
      <c r="G153" s="232">
        <f t="shared" ref="G153:G199" si="12">E153*F153</f>
        <v>62.208000000000006</v>
      </c>
      <c r="H153" s="233" t="s">
        <v>365</v>
      </c>
    </row>
    <row r="154" spans="1:8" s="216" customFormat="1" ht="16.5">
      <c r="A154" s="231"/>
      <c r="B154" s="240" t="s">
        <v>147</v>
      </c>
      <c r="C154" s="23" t="s">
        <v>148</v>
      </c>
      <c r="D154" s="37" t="s">
        <v>42</v>
      </c>
      <c r="E154" s="249">
        <v>52.5</v>
      </c>
      <c r="F154" s="245">
        <f>0.45*2.4</f>
        <v>1.08</v>
      </c>
      <c r="G154" s="28">
        <f t="shared" si="12"/>
        <v>56.7</v>
      </c>
      <c r="H154" s="246" t="s">
        <v>365</v>
      </c>
    </row>
    <row r="155" spans="1:8" s="216" customFormat="1" ht="16.5">
      <c r="A155" s="231"/>
      <c r="B155" s="240"/>
      <c r="C155" s="23" t="s">
        <v>368</v>
      </c>
      <c r="D155" s="37" t="s">
        <v>42</v>
      </c>
      <c r="E155" s="37">
        <v>43</v>
      </c>
      <c r="F155" s="38">
        <f>0.45*2.4+0.03*2.4</f>
        <v>1.1520000000000001</v>
      </c>
      <c r="G155" s="232">
        <f t="shared" si="12"/>
        <v>49.536000000000008</v>
      </c>
      <c r="H155" s="233" t="s">
        <v>369</v>
      </c>
    </row>
    <row r="156" spans="1:8" s="216" customFormat="1" ht="16.5">
      <c r="A156" s="231"/>
      <c r="B156" s="240"/>
      <c r="C156" s="23" t="s">
        <v>145</v>
      </c>
      <c r="D156" s="37" t="s">
        <v>42</v>
      </c>
      <c r="E156" s="37">
        <v>68.25</v>
      </c>
      <c r="F156" s="38">
        <f>0.45*2.4</f>
        <v>1.08</v>
      </c>
      <c r="G156" s="232">
        <f t="shared" si="12"/>
        <v>73.710000000000008</v>
      </c>
      <c r="H156" s="233" t="s">
        <v>365</v>
      </c>
    </row>
    <row r="157" spans="1:8" s="216" customFormat="1" ht="16.5">
      <c r="A157" s="231"/>
      <c r="B157" s="240" t="s">
        <v>370</v>
      </c>
      <c r="C157" s="23" t="s">
        <v>363</v>
      </c>
      <c r="D157" s="37" t="s">
        <v>42</v>
      </c>
      <c r="E157" s="37">
        <v>31.5</v>
      </c>
      <c r="F157" s="38">
        <f>0.45*2.1*2</f>
        <v>1.8900000000000001</v>
      </c>
      <c r="G157" s="232">
        <f t="shared" si="12"/>
        <v>59.535000000000004</v>
      </c>
      <c r="H157" s="233" t="s">
        <v>371</v>
      </c>
    </row>
    <row r="158" spans="1:8" s="216" customFormat="1" ht="16.5">
      <c r="A158" s="231"/>
      <c r="B158" s="240"/>
      <c r="C158" s="23" t="s">
        <v>144</v>
      </c>
      <c r="D158" s="37" t="s">
        <v>42</v>
      </c>
      <c r="E158" s="37">
        <v>42</v>
      </c>
      <c r="F158" s="38">
        <f>0.45*2.1</f>
        <v>0.94500000000000006</v>
      </c>
      <c r="G158" s="232">
        <f t="shared" si="12"/>
        <v>39.690000000000005</v>
      </c>
      <c r="H158" s="233" t="s">
        <v>372</v>
      </c>
    </row>
    <row r="159" spans="1:8" s="216" customFormat="1" ht="16.5">
      <c r="A159" s="231"/>
      <c r="B159" s="240"/>
      <c r="C159" s="23" t="s">
        <v>145</v>
      </c>
      <c r="D159" s="37" t="s">
        <v>42</v>
      </c>
      <c r="E159" s="37">
        <v>68.25</v>
      </c>
      <c r="F159" s="38">
        <f>0.45*2.1*2</f>
        <v>1.8900000000000001</v>
      </c>
      <c r="G159" s="232">
        <f t="shared" si="12"/>
        <v>128.99250000000001</v>
      </c>
      <c r="H159" s="233" t="s">
        <v>371</v>
      </c>
    </row>
    <row r="160" spans="1:8" s="216" customFormat="1" ht="16.5">
      <c r="A160" s="231"/>
      <c r="B160" s="240"/>
      <c r="C160" s="37" t="s">
        <v>146</v>
      </c>
      <c r="D160" s="37" t="s">
        <v>42</v>
      </c>
      <c r="E160" s="249">
        <v>57.6</v>
      </c>
      <c r="F160" s="38">
        <f>0.035*1.9</f>
        <v>6.6500000000000004E-2</v>
      </c>
      <c r="G160" s="232">
        <f t="shared" si="12"/>
        <v>3.8304000000000005</v>
      </c>
      <c r="H160" s="233" t="s">
        <v>373</v>
      </c>
    </row>
    <row r="161" spans="1:8" s="216" customFormat="1" ht="16.5">
      <c r="A161" s="231"/>
      <c r="B161" s="240" t="s">
        <v>374</v>
      </c>
      <c r="C161" s="257" t="s">
        <v>255</v>
      </c>
      <c r="D161" s="37" t="s">
        <v>42</v>
      </c>
      <c r="E161" s="37">
        <v>350</v>
      </c>
      <c r="F161" s="38">
        <f>(0.4+0.1+0.1+0.054+0.054)*2.4</f>
        <v>1.6992</v>
      </c>
      <c r="G161" s="232">
        <f t="shared" si="12"/>
        <v>594.72</v>
      </c>
      <c r="H161" s="233" t="s">
        <v>375</v>
      </c>
    </row>
    <row r="162" spans="1:8" s="216" customFormat="1" ht="16.5">
      <c r="A162" s="231"/>
      <c r="B162" s="240"/>
      <c r="C162" s="37" t="s">
        <v>47</v>
      </c>
      <c r="D162" s="37" t="s">
        <v>42</v>
      </c>
      <c r="E162" s="37">
        <v>30</v>
      </c>
      <c r="F162" s="38">
        <f>(0.4+0.1+0.1+0.054+0.054)*2.4</f>
        <v>1.6992</v>
      </c>
      <c r="G162" s="232">
        <f t="shared" si="12"/>
        <v>50.975999999999999</v>
      </c>
      <c r="H162" s="233" t="s">
        <v>375</v>
      </c>
    </row>
    <row r="163" spans="1:8" s="216" customFormat="1" ht="16.5">
      <c r="A163" s="231"/>
      <c r="B163" s="240"/>
      <c r="C163" s="23" t="s">
        <v>363</v>
      </c>
      <c r="D163" s="37" t="s">
        <v>42</v>
      </c>
      <c r="E163" s="37">
        <v>31.5</v>
      </c>
      <c r="F163" s="38">
        <f>(1.657+0.095+0.4+0.4+1.66)*0.07</f>
        <v>0.29483999999999999</v>
      </c>
      <c r="G163" s="232">
        <f t="shared" si="12"/>
        <v>9.2874599999999994</v>
      </c>
      <c r="H163" s="233" t="s">
        <v>376</v>
      </c>
    </row>
    <row r="164" spans="1:8" s="216" customFormat="1" ht="16.5">
      <c r="A164" s="231"/>
      <c r="B164" s="240"/>
      <c r="C164" s="258" t="s">
        <v>377</v>
      </c>
      <c r="D164" s="73" t="s">
        <v>42</v>
      </c>
      <c r="E164" s="73">
        <v>33</v>
      </c>
      <c r="F164" s="236">
        <f>0.22*1.752</f>
        <v>0.38544</v>
      </c>
      <c r="G164" s="237">
        <f t="shared" si="12"/>
        <v>12.719519999999999</v>
      </c>
      <c r="H164" s="238" t="s">
        <v>378</v>
      </c>
    </row>
    <row r="165" spans="1:8" s="216" customFormat="1" ht="16.5">
      <c r="A165" s="231"/>
      <c r="B165" s="240"/>
      <c r="C165" s="37" t="s">
        <v>104</v>
      </c>
      <c r="D165" s="37" t="s">
        <v>101</v>
      </c>
      <c r="E165" s="37">
        <v>28.14</v>
      </c>
      <c r="F165" s="38">
        <f>0.22*1.657*3*1.2</f>
        <v>1.312344</v>
      </c>
      <c r="G165" s="232">
        <f t="shared" si="12"/>
        <v>36.929360160000002</v>
      </c>
      <c r="H165" s="233" t="s">
        <v>379</v>
      </c>
    </row>
    <row r="166" spans="1:8" s="216" customFormat="1" ht="16.5">
      <c r="A166" s="231"/>
      <c r="B166" s="240"/>
      <c r="C166" s="258" t="s">
        <v>380</v>
      </c>
      <c r="D166" s="73" t="s">
        <v>101</v>
      </c>
      <c r="E166" s="73">
        <v>26.61</v>
      </c>
      <c r="F166" s="236">
        <f>0.22*1.657*15*1.2</f>
        <v>6.5617200000000002</v>
      </c>
      <c r="G166" s="237">
        <f t="shared" si="12"/>
        <v>174.60736919999999</v>
      </c>
      <c r="H166" s="238" t="s">
        <v>381</v>
      </c>
    </row>
    <row r="167" spans="1:8" s="216" customFormat="1" ht="16.5">
      <c r="A167" s="231"/>
      <c r="B167" s="240"/>
      <c r="C167" s="248" t="s">
        <v>134</v>
      </c>
      <c r="D167" s="37" t="s">
        <v>42</v>
      </c>
      <c r="E167" s="37">
        <v>500</v>
      </c>
      <c r="F167" s="38">
        <f>0.22*1.657</f>
        <v>0.36454000000000003</v>
      </c>
      <c r="G167" s="232">
        <f t="shared" si="12"/>
        <v>182.27</v>
      </c>
      <c r="H167" s="233" t="s">
        <v>382</v>
      </c>
    </row>
    <row r="168" spans="1:8" s="216" customFormat="1" ht="16.5">
      <c r="A168" s="231"/>
      <c r="B168" s="240" t="s">
        <v>383</v>
      </c>
      <c r="C168" s="37" t="s">
        <v>104</v>
      </c>
      <c r="D168" s="37" t="s">
        <v>101</v>
      </c>
      <c r="E168" s="37">
        <v>28.14</v>
      </c>
      <c r="F168" s="38">
        <f>0.739*0.4*5*1.2</f>
        <v>1.7736000000000003</v>
      </c>
      <c r="G168" s="232">
        <f t="shared" si="12"/>
        <v>49.909104000000006</v>
      </c>
      <c r="H168" s="233" t="s">
        <v>384</v>
      </c>
    </row>
    <row r="169" spans="1:8" s="216" customFormat="1" ht="16.5">
      <c r="A169" s="231"/>
      <c r="B169" s="240"/>
      <c r="C169" s="37" t="s">
        <v>103</v>
      </c>
      <c r="D169" s="37" t="s">
        <v>101</v>
      </c>
      <c r="E169" s="37">
        <v>28.14</v>
      </c>
      <c r="F169" s="38">
        <f>0.739*0.4*5*1.2+0.1*0.649*3*1.2+0.1*0.739*3*1.2+0.392*0.1*3*1.2*2</f>
        <v>2.55552</v>
      </c>
      <c r="G169" s="232">
        <f t="shared" si="12"/>
        <v>71.912332800000001</v>
      </c>
      <c r="H169" s="233" t="s">
        <v>385</v>
      </c>
    </row>
    <row r="170" spans="1:8" s="216" customFormat="1" ht="16.5">
      <c r="A170" s="231"/>
      <c r="B170" s="240"/>
      <c r="C170" s="248" t="s">
        <v>386</v>
      </c>
      <c r="D170" s="37" t="s">
        <v>42</v>
      </c>
      <c r="E170" s="249">
        <v>86.4</v>
      </c>
      <c r="F170" s="38">
        <f>0.649*0.01*2*1.2+0.739*0.01*2*1.2</f>
        <v>3.3311999999999994E-2</v>
      </c>
      <c r="G170" s="232">
        <f t="shared" si="12"/>
        <v>2.8781567999999997</v>
      </c>
      <c r="H170" s="233" t="s">
        <v>387</v>
      </c>
    </row>
    <row r="171" spans="1:8" s="216" customFormat="1" ht="16.5">
      <c r="A171" s="231"/>
      <c r="B171" s="240"/>
      <c r="C171" s="37" t="s">
        <v>388</v>
      </c>
      <c r="D171" s="37" t="s">
        <v>42</v>
      </c>
      <c r="E171" s="249">
        <v>57.6</v>
      </c>
      <c r="F171" s="38">
        <f>0.649*0.01*2*1.2+0.739*0.01*2*1.2</f>
        <v>3.3311999999999994E-2</v>
      </c>
      <c r="G171" s="232">
        <f t="shared" si="12"/>
        <v>1.9187711999999997</v>
      </c>
      <c r="H171" s="233" t="s">
        <v>387</v>
      </c>
    </row>
    <row r="172" spans="1:8" s="216" customFormat="1" ht="16.5">
      <c r="A172" s="231"/>
      <c r="B172" s="240"/>
      <c r="C172" s="37" t="s">
        <v>108</v>
      </c>
      <c r="D172" s="37" t="s">
        <v>42</v>
      </c>
      <c r="E172" s="37">
        <v>40</v>
      </c>
      <c r="F172" s="38">
        <f>0.739*0.4</f>
        <v>0.29560000000000003</v>
      </c>
      <c r="G172" s="232">
        <f t="shared" si="12"/>
        <v>11.824000000000002</v>
      </c>
      <c r="H172" s="233" t="s">
        <v>389</v>
      </c>
    </row>
    <row r="173" spans="1:8" s="216" customFormat="1" ht="16.5">
      <c r="A173" s="231"/>
      <c r="B173" s="240" t="s">
        <v>390</v>
      </c>
      <c r="C173" s="257" t="s">
        <v>255</v>
      </c>
      <c r="D173" s="37" t="s">
        <v>42</v>
      </c>
      <c r="E173" s="37">
        <v>350</v>
      </c>
      <c r="F173" s="38">
        <f>1.2*(0.4+0.1+0.1+0.054+0.054)*2</f>
        <v>1.6992</v>
      </c>
      <c r="G173" s="232">
        <f t="shared" si="12"/>
        <v>594.72</v>
      </c>
      <c r="H173" s="233" t="s">
        <v>391</v>
      </c>
    </row>
    <row r="174" spans="1:8" s="216" customFormat="1" ht="16.5">
      <c r="A174" s="231"/>
      <c r="B174" s="240"/>
      <c r="C174" s="37" t="s">
        <v>47</v>
      </c>
      <c r="D174" s="37" t="s">
        <v>42</v>
      </c>
      <c r="E174" s="37">
        <v>30</v>
      </c>
      <c r="F174" s="38">
        <f>1.2*(0.4+0.1+0.1+0.054+0.054)*2</f>
        <v>1.6992</v>
      </c>
      <c r="G174" s="232">
        <f t="shared" si="12"/>
        <v>50.975999999999999</v>
      </c>
      <c r="H174" s="233" t="s">
        <v>391</v>
      </c>
    </row>
    <row r="175" spans="1:8" s="216" customFormat="1" ht="16.5">
      <c r="A175" s="231"/>
      <c r="B175" s="240"/>
      <c r="C175" s="23" t="s">
        <v>363</v>
      </c>
      <c r="D175" s="37" t="s">
        <v>42</v>
      </c>
      <c r="E175" s="37">
        <v>31.5</v>
      </c>
      <c r="F175" s="38">
        <f>(0.054*0.092*2+0.392*0.054*2)*3*2</f>
        <v>0.31363200000000002</v>
      </c>
      <c r="G175" s="232">
        <f t="shared" si="12"/>
        <v>9.8794080000000015</v>
      </c>
      <c r="H175" s="233" t="s">
        <v>392</v>
      </c>
    </row>
    <row r="176" spans="1:8" s="216" customFormat="1" ht="16.5">
      <c r="A176" s="231"/>
      <c r="B176" s="240"/>
      <c r="C176" s="73" t="s">
        <v>377</v>
      </c>
      <c r="D176" s="73" t="s">
        <v>42</v>
      </c>
      <c r="E176" s="73">
        <v>33</v>
      </c>
      <c r="F176" s="236">
        <f>0.22*0.7</f>
        <v>0.154</v>
      </c>
      <c r="G176" s="237">
        <f t="shared" si="12"/>
        <v>5.0819999999999999</v>
      </c>
      <c r="H176" s="238" t="s">
        <v>393</v>
      </c>
    </row>
    <row r="177" spans="1:8" s="216" customFormat="1" ht="16.5">
      <c r="A177" s="231"/>
      <c r="B177" s="240"/>
      <c r="C177" s="258" t="s">
        <v>380</v>
      </c>
      <c r="D177" s="73" t="s">
        <v>101</v>
      </c>
      <c r="E177" s="73">
        <v>26.61</v>
      </c>
      <c r="F177" s="236">
        <f>0.1*0.7*15*1.2</f>
        <v>1.2599999999999998</v>
      </c>
      <c r="G177" s="237">
        <f t="shared" si="12"/>
        <v>33.52859999999999</v>
      </c>
      <c r="H177" s="238" t="s">
        <v>394</v>
      </c>
    </row>
    <row r="178" spans="1:8" s="216" customFormat="1" ht="16.5">
      <c r="A178" s="231"/>
      <c r="B178" s="240"/>
      <c r="C178" s="37" t="s">
        <v>104</v>
      </c>
      <c r="D178" s="37" t="s">
        <v>101</v>
      </c>
      <c r="E178" s="37">
        <v>28.14</v>
      </c>
      <c r="F178" s="38">
        <f>0.2*0.7*15*1.2</f>
        <v>2.5199999999999996</v>
      </c>
      <c r="G178" s="232">
        <f t="shared" si="12"/>
        <v>70.91279999999999</v>
      </c>
      <c r="H178" s="233" t="s">
        <v>395</v>
      </c>
    </row>
    <row r="179" spans="1:8" s="216" customFormat="1" ht="16.5">
      <c r="A179" s="231"/>
      <c r="B179" s="240"/>
      <c r="C179" s="248" t="s">
        <v>134</v>
      </c>
      <c r="D179" s="37" t="s">
        <v>42</v>
      </c>
      <c r="E179" s="37">
        <v>500</v>
      </c>
      <c r="F179" s="38">
        <f>0.1*0.7</f>
        <v>6.9999999999999993E-2</v>
      </c>
      <c r="G179" s="232">
        <f t="shared" si="12"/>
        <v>34.999999999999993</v>
      </c>
      <c r="H179" s="233" t="s">
        <v>396</v>
      </c>
    </row>
    <row r="180" spans="1:8" s="216" customFormat="1" ht="16.5">
      <c r="A180" s="231"/>
      <c r="B180" s="240" t="s">
        <v>397</v>
      </c>
      <c r="C180" s="23" t="s">
        <v>363</v>
      </c>
      <c r="D180" s="37" t="s">
        <v>42</v>
      </c>
      <c r="E180" s="37">
        <v>31.5</v>
      </c>
      <c r="F180" s="38">
        <f>(0.05*0.092*2+0.392*0.05*2)*6</f>
        <v>0.29040000000000005</v>
      </c>
      <c r="G180" s="232">
        <f t="shared" si="12"/>
        <v>9.1476000000000006</v>
      </c>
      <c r="H180" s="233" t="s">
        <v>398</v>
      </c>
    </row>
    <row r="181" spans="1:8" s="216" customFormat="1" ht="16.5">
      <c r="A181" s="231"/>
      <c r="B181" s="240"/>
      <c r="C181" s="257" t="s">
        <v>255</v>
      </c>
      <c r="D181" s="37" t="s">
        <v>42</v>
      </c>
      <c r="E181" s="37">
        <v>350</v>
      </c>
      <c r="F181" s="38">
        <f>(0.4+0.1+0.1+0.054+0.054)*2.4</f>
        <v>1.6992</v>
      </c>
      <c r="G181" s="232">
        <f t="shared" si="12"/>
        <v>594.72</v>
      </c>
      <c r="H181" s="233" t="s">
        <v>375</v>
      </c>
    </row>
    <row r="182" spans="1:8" s="216" customFormat="1" ht="16.5">
      <c r="A182" s="231"/>
      <c r="B182" s="240"/>
      <c r="C182" s="37" t="s">
        <v>47</v>
      </c>
      <c r="D182" s="37" t="s">
        <v>42</v>
      </c>
      <c r="E182" s="37">
        <v>30</v>
      </c>
      <c r="F182" s="38">
        <f>(0.4+0.1+0.1+0.054+0.054)*2.4</f>
        <v>1.6992</v>
      </c>
      <c r="G182" s="232">
        <f t="shared" si="12"/>
        <v>50.975999999999999</v>
      </c>
      <c r="H182" s="233" t="s">
        <v>375</v>
      </c>
    </row>
    <row r="183" spans="1:8" s="216" customFormat="1" ht="16.5">
      <c r="A183" s="231"/>
      <c r="B183" s="240"/>
      <c r="C183" s="258" t="s">
        <v>377</v>
      </c>
      <c r="D183" s="73" t="s">
        <v>42</v>
      </c>
      <c r="E183" s="73">
        <v>33</v>
      </c>
      <c r="F183" s="236">
        <f>0.292*1.6</f>
        <v>0.4672</v>
      </c>
      <c r="G183" s="237">
        <f t="shared" si="12"/>
        <v>15.4176</v>
      </c>
      <c r="H183" s="238" t="s">
        <v>399</v>
      </c>
    </row>
    <row r="184" spans="1:8" s="216" customFormat="1" ht="16.5">
      <c r="A184" s="231"/>
      <c r="B184" s="240"/>
      <c r="C184" s="258" t="s">
        <v>380</v>
      </c>
      <c r="D184" s="73" t="s">
        <v>101</v>
      </c>
      <c r="E184" s="73">
        <v>26.61</v>
      </c>
      <c r="F184" s="236">
        <f>0.1*1.6*15*1.2</f>
        <v>2.8800000000000003</v>
      </c>
      <c r="G184" s="237">
        <f t="shared" si="12"/>
        <v>76.636800000000008</v>
      </c>
      <c r="H184" s="238" t="s">
        <v>400</v>
      </c>
    </row>
    <row r="185" spans="1:8" s="216" customFormat="1" ht="16.5">
      <c r="A185" s="231"/>
      <c r="B185" s="240"/>
      <c r="C185" s="37" t="s">
        <v>104</v>
      </c>
      <c r="D185" s="37" t="s">
        <v>101</v>
      </c>
      <c r="E185" s="37">
        <v>28.14</v>
      </c>
      <c r="F185" s="38">
        <f>0.2*1.6*3*1.2</f>
        <v>1.1520000000000001</v>
      </c>
      <c r="G185" s="232">
        <f t="shared" si="12"/>
        <v>32.417280000000005</v>
      </c>
      <c r="H185" s="233" t="s">
        <v>401</v>
      </c>
    </row>
    <row r="186" spans="1:8" s="216" customFormat="1" ht="16.5">
      <c r="A186" s="231"/>
      <c r="B186" s="240"/>
      <c r="C186" s="248" t="s">
        <v>134</v>
      </c>
      <c r="D186" s="37" t="s">
        <v>42</v>
      </c>
      <c r="E186" s="37">
        <v>500</v>
      </c>
      <c r="F186" s="38">
        <f>0.1*1.6</f>
        <v>0.16000000000000003</v>
      </c>
      <c r="G186" s="232">
        <f t="shared" si="12"/>
        <v>80.000000000000014</v>
      </c>
      <c r="H186" s="233" t="s">
        <v>402</v>
      </c>
    </row>
    <row r="187" spans="1:8" s="216" customFormat="1" ht="16.5">
      <c r="A187" s="231"/>
      <c r="B187" s="240" t="s">
        <v>403</v>
      </c>
      <c r="C187" s="37" t="s">
        <v>404</v>
      </c>
      <c r="D187" s="37" t="s">
        <v>51</v>
      </c>
      <c r="E187" s="37">
        <v>3.89</v>
      </c>
      <c r="F187" s="38">
        <f>(0.269+0.32+0.269+0.32)*7</f>
        <v>8.2459999999999987</v>
      </c>
      <c r="G187" s="232">
        <f t="shared" si="12"/>
        <v>32.076939999999993</v>
      </c>
      <c r="H187" s="233" t="s">
        <v>405</v>
      </c>
    </row>
    <row r="188" spans="1:8" s="216" customFormat="1" ht="16.5">
      <c r="A188" s="231"/>
      <c r="B188" s="240"/>
      <c r="C188" s="37" t="s">
        <v>88</v>
      </c>
      <c r="D188" s="37" t="s">
        <v>42</v>
      </c>
      <c r="E188" s="37">
        <v>91.034999999999997</v>
      </c>
      <c r="F188" s="38">
        <f>0.073*0.032*2*7</f>
        <v>3.2703999999999997E-2</v>
      </c>
      <c r="G188" s="232">
        <f t="shared" si="12"/>
        <v>2.9772086399999997</v>
      </c>
      <c r="H188" s="233" t="s">
        <v>406</v>
      </c>
    </row>
    <row r="189" spans="1:8" s="216" customFormat="1" ht="16.5">
      <c r="A189" s="231"/>
      <c r="B189" s="240"/>
      <c r="C189" s="37" t="s">
        <v>88</v>
      </c>
      <c r="D189" s="37" t="s">
        <v>42</v>
      </c>
      <c r="E189" s="37">
        <v>91.034999999999997</v>
      </c>
      <c r="F189" s="38">
        <f>0.056*0.32*7</f>
        <v>0.12544000000000002</v>
      </c>
      <c r="G189" s="232">
        <f t="shared" si="12"/>
        <v>11.419430400000001</v>
      </c>
      <c r="H189" s="233" t="s">
        <v>407</v>
      </c>
    </row>
    <row r="190" spans="1:8" s="216" customFormat="1" ht="16.5">
      <c r="A190" s="231"/>
      <c r="B190" s="240"/>
      <c r="C190" s="37" t="s">
        <v>47</v>
      </c>
      <c r="D190" s="37" t="s">
        <v>42</v>
      </c>
      <c r="E190" s="37">
        <v>30</v>
      </c>
      <c r="F190" s="38">
        <f>(0.073*0.032*2*7+0.056*0.32*7)</f>
        <v>0.15814400000000001</v>
      </c>
      <c r="G190" s="232">
        <f t="shared" si="12"/>
        <v>4.7443200000000001</v>
      </c>
      <c r="H190" s="233" t="s">
        <v>408</v>
      </c>
    </row>
    <row r="191" spans="1:8" s="216" customFormat="1" ht="16.5">
      <c r="A191" s="231"/>
      <c r="B191" s="240" t="s">
        <v>409</v>
      </c>
      <c r="C191" s="37" t="s">
        <v>404</v>
      </c>
      <c r="D191" s="37" t="s">
        <v>51</v>
      </c>
      <c r="E191" s="37">
        <v>3.89</v>
      </c>
      <c r="F191" s="38">
        <f>(0.27+0.32+0.27+0.32)</f>
        <v>1.1800000000000002</v>
      </c>
      <c r="G191" s="232">
        <f t="shared" si="12"/>
        <v>4.5902000000000012</v>
      </c>
      <c r="H191" s="233" t="s">
        <v>410</v>
      </c>
    </row>
    <row r="192" spans="1:8" s="216" customFormat="1" ht="16.5">
      <c r="A192" s="231"/>
      <c r="B192" s="240"/>
      <c r="C192" s="37" t="s">
        <v>88</v>
      </c>
      <c r="D192" s="37" t="s">
        <v>42</v>
      </c>
      <c r="E192" s="37">
        <v>91.034999999999997</v>
      </c>
      <c r="F192" s="38">
        <f>0.073*0.032</f>
        <v>2.336E-3</v>
      </c>
      <c r="G192" s="232">
        <f t="shared" si="12"/>
        <v>0.21265776</v>
      </c>
      <c r="H192" s="233" t="s">
        <v>411</v>
      </c>
    </row>
    <row r="193" spans="1:8" s="216" customFormat="1" ht="16.5">
      <c r="A193" s="231"/>
      <c r="B193" s="240"/>
      <c r="C193" s="37" t="s">
        <v>88</v>
      </c>
      <c r="D193" s="37" t="s">
        <v>42</v>
      </c>
      <c r="E193" s="37">
        <v>91.034999999999997</v>
      </c>
      <c r="F193" s="38">
        <f>0.056*0.32</f>
        <v>1.7920000000000002E-2</v>
      </c>
      <c r="G193" s="232">
        <f t="shared" si="12"/>
        <v>1.6313472000000002</v>
      </c>
      <c r="H193" s="233" t="s">
        <v>412</v>
      </c>
    </row>
    <row r="194" spans="1:8" s="216" customFormat="1" ht="16.5">
      <c r="A194" s="231"/>
      <c r="B194" s="240"/>
      <c r="C194" s="37" t="s">
        <v>47</v>
      </c>
      <c r="D194" s="37" t="s">
        <v>42</v>
      </c>
      <c r="E194" s="37">
        <v>30</v>
      </c>
      <c r="F194" s="38">
        <f>0.073*0.032*2*7+0.056*0.32*2</f>
        <v>6.8543999999999994E-2</v>
      </c>
      <c r="G194" s="232">
        <f t="shared" si="12"/>
        <v>2.0563199999999999</v>
      </c>
      <c r="H194" s="233" t="s">
        <v>413</v>
      </c>
    </row>
    <row r="195" spans="1:8" s="216" customFormat="1" ht="16.5">
      <c r="A195" s="231"/>
      <c r="B195" s="240" t="s">
        <v>414</v>
      </c>
      <c r="C195" s="73" t="s">
        <v>415</v>
      </c>
      <c r="D195" s="73" t="s">
        <v>51</v>
      </c>
      <c r="E195" s="73">
        <v>7.2</v>
      </c>
      <c r="F195" s="236">
        <f>1.73*2+2.4*4+0.51*2</f>
        <v>14.079999999999998</v>
      </c>
      <c r="G195" s="237">
        <f t="shared" si="12"/>
        <v>101.37599999999999</v>
      </c>
      <c r="H195" s="238" t="s">
        <v>416</v>
      </c>
    </row>
    <row r="196" spans="1:8" s="216" customFormat="1" ht="16.5">
      <c r="A196" s="231"/>
      <c r="B196" s="240"/>
      <c r="C196" s="37" t="s">
        <v>47</v>
      </c>
      <c r="D196" s="37" t="s">
        <v>42</v>
      </c>
      <c r="E196" s="37">
        <v>30</v>
      </c>
      <c r="F196" s="245">
        <f>0.03*14.8</f>
        <v>0.44400000000000001</v>
      </c>
      <c r="G196" s="28">
        <f t="shared" si="12"/>
        <v>13.32</v>
      </c>
      <c r="H196" s="246" t="s">
        <v>417</v>
      </c>
    </row>
    <row r="197" spans="1:8" s="216" customFormat="1" ht="16.5">
      <c r="A197" s="231"/>
      <c r="B197" s="240" t="s">
        <v>418</v>
      </c>
      <c r="C197" s="37" t="s">
        <v>88</v>
      </c>
      <c r="D197" s="37" t="s">
        <v>42</v>
      </c>
      <c r="E197" s="37">
        <v>91.034999999999997</v>
      </c>
      <c r="F197" s="38">
        <f>0.043*0.043*12</f>
        <v>2.2187999999999996E-2</v>
      </c>
      <c r="G197" s="232">
        <f t="shared" si="12"/>
        <v>2.0198845799999994</v>
      </c>
      <c r="H197" s="233" t="s">
        <v>419</v>
      </c>
    </row>
    <row r="198" spans="1:8" s="216" customFormat="1" ht="16.5">
      <c r="A198" s="231"/>
      <c r="B198" s="240"/>
      <c r="C198" s="37" t="s">
        <v>47</v>
      </c>
      <c r="D198" s="37" t="s">
        <v>42</v>
      </c>
      <c r="E198" s="37">
        <v>30</v>
      </c>
      <c r="F198" s="38">
        <f>0.043*0.043*12*2</f>
        <v>4.4375999999999992E-2</v>
      </c>
      <c r="G198" s="232">
        <f t="shared" si="12"/>
        <v>1.3312799999999998</v>
      </c>
      <c r="H198" s="233" t="s">
        <v>420</v>
      </c>
    </row>
    <row r="199" spans="1:8" s="216" customFormat="1" ht="16.5">
      <c r="A199" s="231"/>
      <c r="B199" s="240" t="s">
        <v>421</v>
      </c>
      <c r="C199" s="73" t="s">
        <v>422</v>
      </c>
      <c r="D199" s="73" t="s">
        <v>42</v>
      </c>
      <c r="E199" s="73">
        <v>5.28</v>
      </c>
      <c r="F199" s="236">
        <f>0.269*7</f>
        <v>1.883</v>
      </c>
      <c r="G199" s="237">
        <f t="shared" si="12"/>
        <v>9.94224</v>
      </c>
      <c r="H199" s="238" t="s">
        <v>423</v>
      </c>
    </row>
    <row r="200" spans="1:8" s="216" customFormat="1">
      <c r="A200" s="226"/>
      <c r="B200" s="259"/>
      <c r="C200" s="259"/>
      <c r="D200" s="260"/>
      <c r="E200" s="261"/>
      <c r="F200" s="262"/>
      <c r="G200" s="263"/>
      <c r="H200" s="264"/>
    </row>
    <row r="201" spans="1:8" s="217" customFormat="1">
      <c r="A201" s="265">
        <v>1</v>
      </c>
      <c r="B201" s="266" t="s">
        <v>149</v>
      </c>
      <c r="C201" s="267"/>
      <c r="D201" s="267"/>
      <c r="E201" s="268"/>
      <c r="F201" s="269"/>
      <c r="G201" s="270">
        <f>SUM(G4:G200)</f>
        <v>12136.138141321369</v>
      </c>
      <c r="H201" s="271"/>
    </row>
    <row r="202" spans="1:8" s="217" customFormat="1">
      <c r="A202" s="265">
        <v>2</v>
      </c>
      <c r="B202" s="228" t="s">
        <v>150</v>
      </c>
      <c r="C202" s="272"/>
      <c r="D202" s="273"/>
      <c r="E202" s="274"/>
      <c r="F202" s="275"/>
      <c r="G202" s="230">
        <f t="shared" ref="G202" si="13">$G$201*H202</f>
        <v>1213.6138141321369</v>
      </c>
      <c r="H202" s="276">
        <v>0.1</v>
      </c>
    </row>
    <row r="203" spans="1:8" s="217" customFormat="1">
      <c r="A203" s="265">
        <v>3</v>
      </c>
      <c r="B203" s="228" t="s">
        <v>151</v>
      </c>
      <c r="C203" s="272"/>
      <c r="D203" s="273"/>
      <c r="E203" s="274"/>
      <c r="F203" s="275"/>
      <c r="G203" s="230">
        <f>$G$201*H203</f>
        <v>1213.6138141321369</v>
      </c>
      <c r="H203" s="276">
        <v>0.1</v>
      </c>
    </row>
    <row r="204" spans="1:8" s="217" customFormat="1">
      <c r="A204" s="265">
        <v>4</v>
      </c>
      <c r="B204" s="228" t="s">
        <v>152</v>
      </c>
      <c r="C204" s="272"/>
      <c r="D204" s="273"/>
      <c r="E204" s="274"/>
      <c r="F204" s="275"/>
      <c r="G204" s="230">
        <f>$G$201*H204</f>
        <v>4247.648349462479</v>
      </c>
      <c r="H204" s="276">
        <v>0.35</v>
      </c>
    </row>
    <row r="205" spans="1:8" s="217" customFormat="1">
      <c r="A205" s="265">
        <v>5</v>
      </c>
      <c r="B205" s="228" t="s">
        <v>153</v>
      </c>
      <c r="C205" s="272" t="s">
        <v>154</v>
      </c>
      <c r="D205" s="273"/>
      <c r="E205" s="274"/>
      <c r="F205" s="275"/>
      <c r="G205" s="230">
        <f>$G$201*H205</f>
        <v>2063.1434840246329</v>
      </c>
      <c r="H205" s="276">
        <v>0.17</v>
      </c>
    </row>
    <row r="206" spans="1:8" s="217" customFormat="1" ht="15.75">
      <c r="A206" s="265">
        <v>6</v>
      </c>
      <c r="B206" s="228" t="s">
        <v>155</v>
      </c>
      <c r="C206" s="272" t="s">
        <v>156</v>
      </c>
      <c r="D206" s="273"/>
      <c r="E206" s="274"/>
      <c r="F206" s="275"/>
      <c r="G206" s="230">
        <v>0</v>
      </c>
      <c r="H206" s="277" t="s">
        <v>157</v>
      </c>
    </row>
    <row r="207" spans="1:8" s="217" customFormat="1">
      <c r="A207" s="265">
        <v>7</v>
      </c>
      <c r="B207" s="228" t="s">
        <v>158</v>
      </c>
      <c r="C207" s="272"/>
      <c r="D207" s="273"/>
      <c r="E207" s="274"/>
      <c r="F207" s="275"/>
      <c r="G207" s="230">
        <f>$G$201*H207</f>
        <v>1577.697958371778</v>
      </c>
      <c r="H207" s="276">
        <v>0.13</v>
      </c>
    </row>
    <row r="208" spans="1:8" s="217" customFormat="1">
      <c r="A208" s="265">
        <v>8</v>
      </c>
      <c r="B208" s="228" t="s">
        <v>159</v>
      </c>
      <c r="C208" s="272"/>
      <c r="D208" s="273"/>
      <c r="E208" s="274"/>
      <c r="F208" s="275"/>
      <c r="G208" s="230">
        <f>$G$201*H208</f>
        <v>1456.3365769585644</v>
      </c>
      <c r="H208" s="276">
        <v>0.12</v>
      </c>
    </row>
    <row r="209" spans="1:8" s="217" customFormat="1">
      <c r="A209" s="265">
        <v>9</v>
      </c>
      <c r="B209" s="228" t="s">
        <v>160</v>
      </c>
      <c r="C209" s="272"/>
      <c r="D209" s="273"/>
      <c r="E209" s="274"/>
      <c r="F209" s="275"/>
      <c r="G209" s="230">
        <f>'[11]lighting detail'!N31</f>
        <v>3832.9</v>
      </c>
      <c r="H209" s="278"/>
    </row>
    <row r="210" spans="1:8" s="217" customFormat="1">
      <c r="A210" s="265">
        <v>10</v>
      </c>
      <c r="B210" s="228" t="s">
        <v>161</v>
      </c>
      <c r="C210" s="272"/>
      <c r="D210" s="273"/>
      <c r="E210" s="274"/>
      <c r="F210" s="275"/>
      <c r="G210" s="230">
        <f>G209*0.6</f>
        <v>2299.7399999999998</v>
      </c>
      <c r="H210" s="278"/>
    </row>
    <row r="211" spans="1:8" s="217" customFormat="1">
      <c r="A211" s="265">
        <v>11</v>
      </c>
      <c r="B211" s="226" t="s">
        <v>162</v>
      </c>
      <c r="C211" s="272"/>
      <c r="D211" s="273"/>
      <c r="E211" s="274"/>
      <c r="F211" s="275"/>
      <c r="G211" s="230">
        <f>SUM(G201:G210)</f>
        <v>30040.832138403101</v>
      </c>
      <c r="H211" s="279"/>
    </row>
    <row r="212" spans="1:8" s="217" customFormat="1" ht="16.5">
      <c r="A212" s="39">
        <v>12</v>
      </c>
      <c r="B212" s="280" t="s">
        <v>163</v>
      </c>
      <c r="C212" s="47"/>
      <c r="D212" s="49"/>
      <c r="E212" s="281"/>
      <c r="F212" s="49"/>
      <c r="G212" s="282">
        <f>G211*H212</f>
        <v>2493.3890674874574</v>
      </c>
      <c r="H212" s="283">
        <v>8.3000000000000004E-2</v>
      </c>
    </row>
    <row r="213" spans="1:8" s="217" customFormat="1" ht="16.5">
      <c r="A213" s="39">
        <v>13</v>
      </c>
      <c r="B213" s="280" t="s">
        <v>164</v>
      </c>
      <c r="C213" s="47"/>
      <c r="D213" s="49"/>
      <c r="E213" s="281"/>
      <c r="F213" s="49"/>
      <c r="G213" s="282">
        <f>G212+G211</f>
        <v>32534.221205890557</v>
      </c>
      <c r="H213" s="284"/>
    </row>
    <row r="214" spans="1:8" s="217" customFormat="1">
      <c r="A214" s="265">
        <v>13</v>
      </c>
      <c r="B214" s="228" t="s">
        <v>165</v>
      </c>
      <c r="C214" s="285"/>
      <c r="D214" s="273"/>
      <c r="E214" s="274"/>
      <c r="F214" s="275"/>
      <c r="G214" s="230">
        <f>G213*H214</f>
        <v>5530.8176050013953</v>
      </c>
      <c r="H214" s="276">
        <v>0.17</v>
      </c>
    </row>
    <row r="215" spans="1:8" s="217" customFormat="1">
      <c r="A215" s="265">
        <v>14</v>
      </c>
      <c r="B215" s="228" t="s">
        <v>166</v>
      </c>
      <c r="C215" s="272"/>
      <c r="D215" s="273"/>
      <c r="E215" s="274"/>
      <c r="F215" s="275"/>
      <c r="G215" s="230">
        <f>SUM(G213:G214)</f>
        <v>38065.038810891951</v>
      </c>
      <c r="H215" s="278">
        <f>G215</f>
        <v>38065.038810891951</v>
      </c>
    </row>
    <row r="216" spans="1:8" s="217" customFormat="1">
      <c r="A216" s="286"/>
      <c r="B216" s="287"/>
      <c r="C216" s="287"/>
      <c r="D216" s="287"/>
      <c r="E216" s="288"/>
      <c r="F216" s="289"/>
      <c r="G216" s="290"/>
      <c r="H216" s="291"/>
    </row>
    <row r="217" spans="1:8" s="217" customFormat="1">
      <c r="A217" s="286"/>
      <c r="B217" s="287" t="s">
        <v>167</v>
      </c>
      <c r="C217" s="287"/>
      <c r="D217" s="287"/>
      <c r="E217" s="288"/>
      <c r="F217" s="289"/>
      <c r="G217" s="310"/>
      <c r="H217" s="291"/>
    </row>
    <row r="218" spans="1:8" s="217" customFormat="1">
      <c r="A218" s="286"/>
      <c r="B218" s="287"/>
      <c r="C218" s="287"/>
      <c r="D218" s="287"/>
      <c r="E218" s="288"/>
      <c r="F218" s="289"/>
      <c r="G218" s="290"/>
      <c r="H218" s="291"/>
    </row>
    <row r="219" spans="1:8" s="217" customFormat="1">
      <c r="A219" s="286"/>
      <c r="B219" s="291"/>
      <c r="C219" s="291"/>
      <c r="D219" s="291"/>
      <c r="E219" s="291"/>
      <c r="F219" s="293"/>
      <c r="G219" s="311"/>
      <c r="H219" s="291"/>
    </row>
    <row r="220" spans="1:8" s="217" customFormat="1">
      <c r="A220" s="286"/>
      <c r="B220" s="288"/>
      <c r="C220" s="291"/>
      <c r="D220" s="291"/>
      <c r="E220" s="291"/>
      <c r="F220" s="293"/>
      <c r="G220" s="294"/>
      <c r="H220" s="294"/>
    </row>
    <row r="221" spans="1:8" s="217" customFormat="1">
      <c r="A221" s="286"/>
      <c r="B221" s="732" t="s">
        <v>168</v>
      </c>
      <c r="C221" s="733"/>
      <c r="D221" s="733"/>
      <c r="E221" s="288"/>
      <c r="F221" s="289"/>
      <c r="G221" s="289"/>
      <c r="H221" s="291"/>
    </row>
    <row r="222" spans="1:8" s="217" customFormat="1">
      <c r="A222" s="286"/>
      <c r="B222" s="295" t="s">
        <v>169</v>
      </c>
      <c r="C222" s="296" t="s">
        <v>170</v>
      </c>
      <c r="D222" s="295" t="s">
        <v>171</v>
      </c>
      <c r="E222" s="216"/>
      <c r="F222" s="297"/>
      <c r="G222" s="298"/>
      <c r="H222" s="299"/>
    </row>
    <row r="223" spans="1:8" s="217" customFormat="1" ht="16.5">
      <c r="A223" s="286"/>
      <c r="B223" s="73" t="s">
        <v>50</v>
      </c>
      <c r="C223" s="300">
        <f t="shared" ref="C223" ca="1" si="14">SUMIF($C$4:$G$200,B223,$G$4:$G$200)</f>
        <v>465.88315000000011</v>
      </c>
      <c r="D223" s="301">
        <f t="shared" ref="D223" ca="1" si="15">C223/$G$201</f>
        <v>3.8388088910569641E-2</v>
      </c>
      <c r="E223" s="216"/>
      <c r="F223" s="297"/>
      <c r="G223" s="298"/>
      <c r="H223" s="299"/>
    </row>
    <row r="224" spans="1:8" s="217" customFormat="1" ht="16.5">
      <c r="A224" s="286"/>
      <c r="B224" s="73" t="s">
        <v>107</v>
      </c>
      <c r="C224" s="300">
        <f t="shared" ref="C224:C230" ca="1" si="16">SUMIF($C$4:$G$200,B224,$G$4:$G$200)</f>
        <v>86.4</v>
      </c>
      <c r="D224" s="301">
        <f t="shared" ref="D224:D230" ca="1" si="17">C224/$G$201</f>
        <v>7.119233399776782E-3</v>
      </c>
      <c r="E224" s="216"/>
      <c r="F224" s="297"/>
      <c r="G224" s="298"/>
      <c r="H224" s="299"/>
    </row>
    <row r="225" spans="1:8" s="217" customFormat="1" ht="16.5">
      <c r="A225" s="286"/>
      <c r="B225" s="250" t="s">
        <v>123</v>
      </c>
      <c r="C225" s="300">
        <f t="shared" ca="1" si="16"/>
        <v>142.27199999999999</v>
      </c>
      <c r="D225" s="301">
        <f t="shared" ca="1" si="17"/>
        <v>1.1723004331632432E-2</v>
      </c>
      <c r="E225" s="216"/>
      <c r="F225" s="297"/>
      <c r="G225" s="298"/>
      <c r="H225" s="299"/>
    </row>
    <row r="226" spans="1:8" s="217" customFormat="1" ht="16.5">
      <c r="A226" s="286"/>
      <c r="B226" s="250" t="s">
        <v>424</v>
      </c>
      <c r="C226" s="300">
        <f t="shared" ca="1" si="16"/>
        <v>0</v>
      </c>
      <c r="D226" s="301">
        <f t="shared" ca="1" si="17"/>
        <v>0</v>
      </c>
      <c r="E226" s="216"/>
      <c r="F226" s="297"/>
      <c r="G226" s="298"/>
      <c r="H226" s="299"/>
    </row>
    <row r="227" spans="1:8" s="217" customFormat="1" ht="16.5">
      <c r="A227" s="286"/>
      <c r="B227" s="258" t="s">
        <v>377</v>
      </c>
      <c r="C227" s="300">
        <f t="shared" ca="1" si="16"/>
        <v>33.219120000000004</v>
      </c>
      <c r="D227" s="301">
        <f t="shared" ca="1" si="17"/>
        <v>2.7372068126758436E-3</v>
      </c>
      <c r="E227" s="216"/>
      <c r="F227" s="297"/>
      <c r="G227" s="298"/>
      <c r="H227" s="299"/>
    </row>
    <row r="228" spans="1:8" s="217" customFormat="1" ht="16.5">
      <c r="A228" s="286"/>
      <c r="B228" s="258" t="s">
        <v>380</v>
      </c>
      <c r="C228" s="300">
        <f t="shared" ca="1" si="16"/>
        <v>284.77276919999997</v>
      </c>
      <c r="D228" s="301">
        <f t="shared" ca="1" si="17"/>
        <v>2.3464858910133848E-2</v>
      </c>
      <c r="E228" s="216"/>
      <c r="F228" s="297"/>
      <c r="G228" s="298"/>
      <c r="H228" s="299"/>
    </row>
    <row r="229" spans="1:8" s="217" customFormat="1" ht="16.5">
      <c r="A229" s="286"/>
      <c r="B229" s="73" t="s">
        <v>415</v>
      </c>
      <c r="C229" s="300">
        <f t="shared" ca="1" si="16"/>
        <v>101.37599999999999</v>
      </c>
      <c r="D229" s="301">
        <f t="shared" ca="1" si="17"/>
        <v>8.3532338557380896E-3</v>
      </c>
      <c r="E229" s="216"/>
      <c r="F229" s="297"/>
      <c r="G229" s="298"/>
      <c r="H229" s="299"/>
    </row>
    <row r="230" spans="1:8" s="217" customFormat="1" ht="16.5">
      <c r="A230" s="286"/>
      <c r="B230" s="73" t="s">
        <v>422</v>
      </c>
      <c r="C230" s="300">
        <f t="shared" ca="1" si="16"/>
        <v>9.94224</v>
      </c>
      <c r="D230" s="301">
        <f t="shared" ca="1" si="17"/>
        <v>8.1922600783098038E-4</v>
      </c>
      <c r="E230" s="216"/>
      <c r="F230" s="297"/>
      <c r="G230" s="298"/>
      <c r="H230" s="299"/>
    </row>
    <row r="231" spans="1:8" s="217" customFormat="1">
      <c r="A231" s="286"/>
      <c r="B231" s="302"/>
      <c r="C231" s="300"/>
      <c r="D231" s="301"/>
      <c r="E231" s="216"/>
      <c r="F231" s="297"/>
      <c r="G231" s="298"/>
      <c r="H231" s="299"/>
    </row>
    <row r="232" spans="1:8" s="217" customFormat="1">
      <c r="A232" s="286"/>
      <c r="B232" s="303" t="s">
        <v>172</v>
      </c>
      <c r="C232" s="304">
        <f ca="1">SUBTOTAL(9,C223:C231)</f>
        <v>1123.8652792000003</v>
      </c>
      <c r="D232" s="305">
        <f ca="1">SUM(D223:D231)</f>
        <v>9.2604852228357626E-2</v>
      </c>
      <c r="E232" s="216"/>
      <c r="F232" s="297"/>
      <c r="G232" s="298"/>
      <c r="H232" s="299"/>
    </row>
    <row r="233" spans="1:8" s="217" customFormat="1">
      <c r="A233" s="286"/>
      <c r="B233" s="291"/>
      <c r="C233" s="306"/>
      <c r="D233" s="307"/>
      <c r="E233" s="216"/>
      <c r="F233" s="297"/>
      <c r="G233" s="298"/>
      <c r="H233" s="299"/>
    </row>
    <row r="234" spans="1:8" s="217" customFormat="1">
      <c r="A234" s="286"/>
      <c r="B234" s="291"/>
      <c r="C234" s="306"/>
      <c r="D234" s="307"/>
      <c r="E234" s="216"/>
      <c r="F234" s="297"/>
      <c r="G234" s="298"/>
      <c r="H234" s="299"/>
    </row>
    <row r="235" spans="1:8" s="217" customFormat="1">
      <c r="A235" s="286"/>
      <c r="B235" s="291"/>
      <c r="C235" s="306"/>
      <c r="D235" s="307"/>
      <c r="E235" s="216"/>
      <c r="F235" s="297"/>
      <c r="G235" s="298"/>
      <c r="H235" s="299"/>
    </row>
    <row r="236" spans="1:8" s="217" customFormat="1">
      <c r="A236" s="286"/>
      <c r="B236" s="291"/>
      <c r="C236" s="306"/>
      <c r="D236" s="307"/>
      <c r="E236" s="216"/>
      <c r="F236" s="297"/>
      <c r="G236" s="298"/>
      <c r="H236" s="299"/>
    </row>
    <row r="237" spans="1:8" s="217" customFormat="1">
      <c r="A237" s="286"/>
      <c r="B237" s="286"/>
      <c r="C237" s="217" t="s">
        <v>173</v>
      </c>
      <c r="D237" s="308"/>
      <c r="E237" s="216"/>
      <c r="F237" s="297"/>
      <c r="G237" s="298"/>
      <c r="H237" s="309">
        <v>42065</v>
      </c>
    </row>
    <row r="238" spans="1:8" s="217" customFormat="1">
      <c r="A238" s="286"/>
      <c r="B238" s="286"/>
      <c r="D238" s="308"/>
      <c r="E238" s="216"/>
      <c r="F238" s="297"/>
      <c r="G238" s="298"/>
      <c r="H238" s="299" t="s">
        <v>174</v>
      </c>
    </row>
  </sheetData>
  <sheetProtection algorithmName="SHA-512" hashValue="MN48KmTj7mPptSuBZYBT2B7Vmvi3ayf+YlP6IPEvXt41Ka7qrkxeOa+nUgzkbfIDtYf1Zhok+I/a744Tn7b+SQ==" saltValue="jNmzp1vzxSZxNFoSVVx84w==" spinCount="100000" sheet="1" objects="1" scenarios="1"/>
  <mergeCells count="2">
    <mergeCell ref="A2:H2"/>
    <mergeCell ref="B221:D221"/>
  </mergeCells>
  <phoneticPr fontId="29" type="noConversion"/>
  <conditionalFormatting sqref="D31:D40 D29 D4:D18 F47:F83 D47:D83 D98 D102 F102 F97:F98 F100 D85:D87 F85:F95 F181:F182 D200 F200 F4:F41 D20:D26 F123:F177 D153:D161">
    <cfRule type="cellIs" dxfId="317" priority="1" stopIfTrue="1" operator="notEqual">
      <formula>""</formula>
    </cfRule>
    <cfRule type="cellIs" dxfId="316" priority="2" stopIfTrue="1" operator="equal">
      <formula>""</formula>
    </cfRule>
  </conditionalFormatting>
  <conditionalFormatting sqref="D42">
    <cfRule type="cellIs" dxfId="315" priority="3" stopIfTrue="1" operator="notEqual">
      <formula>""</formula>
    </cfRule>
    <cfRule type="cellIs" dxfId="314" priority="4" stopIfTrue="1" operator="equal">
      <formula>""</formula>
    </cfRule>
  </conditionalFormatting>
  <conditionalFormatting sqref="F42">
    <cfRule type="cellIs" dxfId="313" priority="5" stopIfTrue="1" operator="notEqual">
      <formula>""</formula>
    </cfRule>
    <cfRule type="cellIs" dxfId="312" priority="6" stopIfTrue="1" operator="equal">
      <formula>""</formula>
    </cfRule>
  </conditionalFormatting>
  <conditionalFormatting sqref="D27">
    <cfRule type="cellIs" dxfId="311" priority="7" stopIfTrue="1" operator="notEqual">
      <formula>""</formula>
    </cfRule>
    <cfRule type="cellIs" dxfId="310" priority="8" stopIfTrue="1" operator="equal">
      <formula>""</formula>
    </cfRule>
  </conditionalFormatting>
  <conditionalFormatting sqref="D28">
    <cfRule type="cellIs" dxfId="309" priority="9" stopIfTrue="1" operator="notEqual">
      <formula>""</formula>
    </cfRule>
    <cfRule type="cellIs" dxfId="308" priority="10" stopIfTrue="1" operator="equal">
      <formula>""</formula>
    </cfRule>
  </conditionalFormatting>
  <conditionalFormatting sqref="D30">
    <cfRule type="cellIs" dxfId="307" priority="11" stopIfTrue="1" operator="notEqual">
      <formula>""</formula>
    </cfRule>
    <cfRule type="cellIs" dxfId="306" priority="12" stopIfTrue="1" operator="equal">
      <formula>""</formula>
    </cfRule>
  </conditionalFormatting>
  <conditionalFormatting sqref="D41">
    <cfRule type="cellIs" dxfId="305" priority="13" stopIfTrue="1" operator="notEqual">
      <formula>""</formula>
    </cfRule>
    <cfRule type="cellIs" dxfId="304" priority="14" stopIfTrue="1" operator="equal">
      <formula>""</formula>
    </cfRule>
  </conditionalFormatting>
  <conditionalFormatting sqref="D43">
    <cfRule type="cellIs" dxfId="303" priority="15" stopIfTrue="1" operator="notEqual">
      <formula>""</formula>
    </cfRule>
    <cfRule type="cellIs" dxfId="302" priority="16" stopIfTrue="1" operator="equal">
      <formula>""</formula>
    </cfRule>
  </conditionalFormatting>
  <conditionalFormatting sqref="F43">
    <cfRule type="cellIs" dxfId="301" priority="17" stopIfTrue="1" operator="notEqual">
      <formula>""</formula>
    </cfRule>
    <cfRule type="cellIs" dxfId="300" priority="18" stopIfTrue="1" operator="equal">
      <formula>""</formula>
    </cfRule>
  </conditionalFormatting>
  <conditionalFormatting sqref="F44 D44">
    <cfRule type="cellIs" dxfId="299" priority="19" stopIfTrue="1" operator="notEqual">
      <formula>""</formula>
    </cfRule>
    <cfRule type="cellIs" dxfId="298" priority="20" stopIfTrue="1" operator="equal">
      <formula>""</formula>
    </cfRule>
  </conditionalFormatting>
  <conditionalFormatting sqref="D88:D89">
    <cfRule type="cellIs" dxfId="297" priority="21" stopIfTrue="1" operator="notEqual">
      <formula>""</formula>
    </cfRule>
    <cfRule type="cellIs" dxfId="296" priority="22" stopIfTrue="1" operator="equal">
      <formula>""</formula>
    </cfRule>
  </conditionalFormatting>
  <conditionalFormatting sqref="F45:F46 D45">
    <cfRule type="cellIs" dxfId="295" priority="23" stopIfTrue="1" operator="notEqual">
      <formula>""</formula>
    </cfRule>
    <cfRule type="cellIs" dxfId="294" priority="24" stopIfTrue="1" operator="equal">
      <formula>""</formula>
    </cfRule>
  </conditionalFormatting>
  <conditionalFormatting sqref="D90:D95">
    <cfRule type="cellIs" dxfId="293" priority="25" stopIfTrue="1" operator="notEqual">
      <formula>""</formula>
    </cfRule>
    <cfRule type="cellIs" dxfId="292" priority="26" stopIfTrue="1" operator="equal">
      <formula>""</formula>
    </cfRule>
  </conditionalFormatting>
  <conditionalFormatting sqref="D107:D108">
    <cfRule type="cellIs" dxfId="291" priority="27" stopIfTrue="1" operator="notEqual">
      <formula>""</formula>
    </cfRule>
    <cfRule type="cellIs" dxfId="290" priority="28" stopIfTrue="1" operator="equal">
      <formula>""</formula>
    </cfRule>
  </conditionalFormatting>
  <conditionalFormatting sqref="D97">
    <cfRule type="cellIs" dxfId="289" priority="29" stopIfTrue="1" operator="notEqual">
      <formula>""</formula>
    </cfRule>
    <cfRule type="cellIs" dxfId="288" priority="30" stopIfTrue="1" operator="equal">
      <formula>""</formula>
    </cfRule>
  </conditionalFormatting>
  <conditionalFormatting sqref="F104:F108 F112:F113 F115:F116">
    <cfRule type="cellIs" dxfId="287" priority="31" stopIfTrue="1" operator="notEqual">
      <formula>""</formula>
    </cfRule>
    <cfRule type="cellIs" dxfId="286" priority="32" stopIfTrue="1" operator="equal">
      <formula>""</formula>
    </cfRule>
  </conditionalFormatting>
  <conditionalFormatting sqref="D104:D106">
    <cfRule type="cellIs" dxfId="285" priority="33" stopIfTrue="1" operator="notEqual">
      <formula>""</formula>
    </cfRule>
    <cfRule type="cellIs" dxfId="284" priority="34" stopIfTrue="1" operator="equal">
      <formula>""</formula>
    </cfRule>
  </conditionalFormatting>
  <conditionalFormatting sqref="F101 D101">
    <cfRule type="cellIs" dxfId="283" priority="35" stopIfTrue="1" operator="notEqual">
      <formula>""</formula>
    </cfRule>
    <cfRule type="cellIs" dxfId="282" priority="36" stopIfTrue="1" operator="equal">
      <formula>""</formula>
    </cfRule>
  </conditionalFormatting>
  <conditionalFormatting sqref="F96">
    <cfRule type="cellIs" dxfId="281" priority="37" stopIfTrue="1" operator="notEqual">
      <formula>""</formula>
    </cfRule>
    <cfRule type="cellIs" dxfId="280" priority="38" stopIfTrue="1" operator="equal">
      <formula>""</formula>
    </cfRule>
  </conditionalFormatting>
  <conditionalFormatting sqref="F111">
    <cfRule type="cellIs" dxfId="279" priority="39" stopIfTrue="1" operator="notEqual">
      <formula>""</formula>
    </cfRule>
    <cfRule type="cellIs" dxfId="278" priority="40" stopIfTrue="1" operator="equal">
      <formula>""</formula>
    </cfRule>
  </conditionalFormatting>
  <conditionalFormatting sqref="F99">
    <cfRule type="cellIs" dxfId="277" priority="41" stopIfTrue="1" operator="notEqual">
      <formula>""</formula>
    </cfRule>
    <cfRule type="cellIs" dxfId="276" priority="42" stopIfTrue="1" operator="equal">
      <formula>""</formula>
    </cfRule>
  </conditionalFormatting>
  <conditionalFormatting sqref="D124">
    <cfRule type="cellIs" dxfId="275" priority="43" stopIfTrue="1" operator="notEqual">
      <formula>""</formula>
    </cfRule>
    <cfRule type="cellIs" dxfId="274" priority="44" stopIfTrue="1" operator="equal">
      <formula>""</formula>
    </cfRule>
  </conditionalFormatting>
  <conditionalFormatting sqref="D123">
    <cfRule type="cellIs" dxfId="273" priority="45" stopIfTrue="1" operator="notEqual">
      <formula>""</formula>
    </cfRule>
    <cfRule type="cellIs" dxfId="272" priority="46" stopIfTrue="1" operator="equal">
      <formula>""</formula>
    </cfRule>
  </conditionalFormatting>
  <conditionalFormatting sqref="D96">
    <cfRule type="cellIs" dxfId="271" priority="47" stopIfTrue="1" operator="notEqual">
      <formula>""</formula>
    </cfRule>
    <cfRule type="cellIs" dxfId="270" priority="48" stopIfTrue="1" operator="equal">
      <formula>""</formula>
    </cfRule>
  </conditionalFormatting>
  <conditionalFormatting sqref="D166">
    <cfRule type="cellIs" dxfId="269" priority="49" stopIfTrue="1" operator="notEqual">
      <formula>""</formula>
    </cfRule>
    <cfRule type="cellIs" dxfId="268" priority="50" stopIfTrue="1" operator="equal">
      <formula>""</formula>
    </cfRule>
  </conditionalFormatting>
  <conditionalFormatting sqref="D171">
    <cfRule type="cellIs" dxfId="267" priority="51" stopIfTrue="1" operator="notEqual">
      <formula>""</formula>
    </cfRule>
    <cfRule type="cellIs" dxfId="266" priority="52" stopIfTrue="1" operator="equal">
      <formula>""</formula>
    </cfRule>
  </conditionalFormatting>
  <conditionalFormatting sqref="D109">
    <cfRule type="cellIs" dxfId="265" priority="53" stopIfTrue="1" operator="notEqual">
      <formula>""</formula>
    </cfRule>
    <cfRule type="cellIs" dxfId="264" priority="54" stopIfTrue="1" operator="equal">
      <formula>""</formula>
    </cfRule>
  </conditionalFormatting>
  <conditionalFormatting sqref="F109">
    <cfRule type="cellIs" dxfId="263" priority="55" stopIfTrue="1" operator="notEqual">
      <formula>""</formula>
    </cfRule>
    <cfRule type="cellIs" dxfId="262" priority="56" stopIfTrue="1" operator="equal">
      <formula>""</formula>
    </cfRule>
  </conditionalFormatting>
  <conditionalFormatting sqref="F114">
    <cfRule type="cellIs" dxfId="261" priority="57" stopIfTrue="1" operator="notEqual">
      <formula>""</formula>
    </cfRule>
    <cfRule type="cellIs" dxfId="260" priority="58" stopIfTrue="1" operator="equal">
      <formula>""</formula>
    </cfRule>
  </conditionalFormatting>
  <conditionalFormatting sqref="F110">
    <cfRule type="cellIs" dxfId="259" priority="59" stopIfTrue="1" operator="notEqual">
      <formula>""</formula>
    </cfRule>
    <cfRule type="cellIs" dxfId="258" priority="60" stopIfTrue="1" operator="equal">
      <formula>""</formula>
    </cfRule>
  </conditionalFormatting>
  <conditionalFormatting sqref="F84 D84">
    <cfRule type="cellIs" dxfId="257" priority="61" stopIfTrue="1" operator="notEqual">
      <formula>""</formula>
    </cfRule>
    <cfRule type="cellIs" dxfId="256" priority="62" stopIfTrue="1" operator="equal">
      <formula>""</formula>
    </cfRule>
  </conditionalFormatting>
  <conditionalFormatting sqref="D116">
    <cfRule type="cellIs" dxfId="255" priority="63" stopIfTrue="1" operator="notEqual">
      <formula>""</formula>
    </cfRule>
    <cfRule type="cellIs" dxfId="254" priority="64" stopIfTrue="1" operator="equal">
      <formula>""</formula>
    </cfRule>
  </conditionalFormatting>
  <conditionalFormatting sqref="D115">
    <cfRule type="cellIs" dxfId="253" priority="65" stopIfTrue="1" operator="notEqual">
      <formula>""</formula>
    </cfRule>
    <cfRule type="cellIs" dxfId="252" priority="66" stopIfTrue="1" operator="equal">
      <formula>""</formula>
    </cfRule>
  </conditionalFormatting>
  <conditionalFormatting sqref="F117:F122 D117:D122">
    <cfRule type="cellIs" dxfId="251" priority="67" stopIfTrue="1" operator="notEqual">
      <formula>""</formula>
    </cfRule>
    <cfRule type="cellIs" dxfId="250" priority="68" stopIfTrue="1" operator="equal">
      <formula>""</formula>
    </cfRule>
  </conditionalFormatting>
  <conditionalFormatting sqref="D170">
    <cfRule type="cellIs" dxfId="249" priority="69" stopIfTrue="1" operator="notEqual">
      <formula>""</formula>
    </cfRule>
    <cfRule type="cellIs" dxfId="248" priority="70" stopIfTrue="1" operator="equal">
      <formula>""</formula>
    </cfRule>
  </conditionalFormatting>
  <conditionalFormatting sqref="D132:D133">
    <cfRule type="cellIs" dxfId="247" priority="71" stopIfTrue="1" operator="notEqual">
      <formula>""</formula>
    </cfRule>
    <cfRule type="cellIs" dxfId="246" priority="72" stopIfTrue="1" operator="equal">
      <formula>""</formula>
    </cfRule>
  </conditionalFormatting>
  <conditionalFormatting sqref="D130:D131">
    <cfRule type="cellIs" dxfId="245" priority="73" stopIfTrue="1" operator="notEqual">
      <formula>""</formula>
    </cfRule>
    <cfRule type="cellIs" dxfId="244" priority="74" stopIfTrue="1" operator="equal">
      <formula>""</formula>
    </cfRule>
  </conditionalFormatting>
  <conditionalFormatting sqref="D162">
    <cfRule type="cellIs" dxfId="243" priority="75" stopIfTrue="1" operator="notEqual">
      <formula>""</formula>
    </cfRule>
    <cfRule type="cellIs" dxfId="242" priority="76" stopIfTrue="1" operator="equal">
      <formula>""</formula>
    </cfRule>
  </conditionalFormatting>
  <conditionalFormatting sqref="D163">
    <cfRule type="cellIs" dxfId="241" priority="77" stopIfTrue="1" operator="notEqual">
      <formula>""</formula>
    </cfRule>
    <cfRule type="cellIs" dxfId="240" priority="78" stopIfTrue="1" operator="equal">
      <formula>""</formula>
    </cfRule>
  </conditionalFormatting>
  <conditionalFormatting sqref="D164">
    <cfRule type="cellIs" dxfId="239" priority="79" stopIfTrue="1" operator="notEqual">
      <formula>""</formula>
    </cfRule>
    <cfRule type="cellIs" dxfId="238" priority="80" stopIfTrue="1" operator="equal">
      <formula>""</formula>
    </cfRule>
  </conditionalFormatting>
  <conditionalFormatting sqref="D172">
    <cfRule type="cellIs" dxfId="237" priority="81" stopIfTrue="1" operator="notEqual">
      <formula>""</formula>
    </cfRule>
    <cfRule type="cellIs" dxfId="236" priority="82" stopIfTrue="1" operator="equal">
      <formula>""</formula>
    </cfRule>
  </conditionalFormatting>
  <conditionalFormatting sqref="D173">
    <cfRule type="cellIs" dxfId="235" priority="83" stopIfTrue="1" operator="notEqual">
      <formula>""</formula>
    </cfRule>
    <cfRule type="cellIs" dxfId="234" priority="84" stopIfTrue="1" operator="equal">
      <formula>""</formula>
    </cfRule>
  </conditionalFormatting>
  <conditionalFormatting sqref="D174">
    <cfRule type="cellIs" dxfId="233" priority="85" stopIfTrue="1" operator="notEqual">
      <formula>""</formula>
    </cfRule>
    <cfRule type="cellIs" dxfId="232" priority="86" stopIfTrue="1" operator="equal">
      <formula>""</formula>
    </cfRule>
  </conditionalFormatting>
  <conditionalFormatting sqref="D168">
    <cfRule type="cellIs" dxfId="231" priority="87" stopIfTrue="1" operator="notEqual">
      <formula>""</formula>
    </cfRule>
    <cfRule type="cellIs" dxfId="230" priority="88" stopIfTrue="1" operator="equal">
      <formula>""</formula>
    </cfRule>
  </conditionalFormatting>
  <conditionalFormatting sqref="D169">
    <cfRule type="cellIs" dxfId="229" priority="89" stopIfTrue="1" operator="notEqual">
      <formula>""</formula>
    </cfRule>
    <cfRule type="cellIs" dxfId="228" priority="90" stopIfTrue="1" operator="equal">
      <formula>""</formula>
    </cfRule>
  </conditionalFormatting>
  <conditionalFormatting sqref="D175">
    <cfRule type="cellIs" dxfId="227" priority="91" stopIfTrue="1" operator="notEqual">
      <formula>""</formula>
    </cfRule>
    <cfRule type="cellIs" dxfId="226" priority="92" stopIfTrue="1" operator="equal">
      <formula>""</formula>
    </cfRule>
  </conditionalFormatting>
  <conditionalFormatting sqref="D176">
    <cfRule type="cellIs" dxfId="225" priority="93" stopIfTrue="1" operator="notEqual">
      <formula>""</formula>
    </cfRule>
    <cfRule type="cellIs" dxfId="224" priority="94" stopIfTrue="1" operator="equal">
      <formula>""</formula>
    </cfRule>
  </conditionalFormatting>
  <conditionalFormatting sqref="D165">
    <cfRule type="cellIs" dxfId="223" priority="95" stopIfTrue="1" operator="notEqual">
      <formula>""</formula>
    </cfRule>
    <cfRule type="cellIs" dxfId="222" priority="96" stopIfTrue="1" operator="equal">
      <formula>""</formula>
    </cfRule>
  </conditionalFormatting>
  <conditionalFormatting sqref="F180">
    <cfRule type="cellIs" dxfId="221" priority="97" stopIfTrue="1" operator="notEqual">
      <formula>""</formula>
    </cfRule>
    <cfRule type="cellIs" dxfId="220" priority="98" stopIfTrue="1" operator="equal">
      <formula>""</formula>
    </cfRule>
  </conditionalFormatting>
  <conditionalFormatting sqref="D180">
    <cfRule type="cellIs" dxfId="219" priority="99" stopIfTrue="1" operator="notEqual">
      <formula>""</formula>
    </cfRule>
    <cfRule type="cellIs" dxfId="218" priority="100" stopIfTrue="1" operator="equal">
      <formula>""</formula>
    </cfRule>
  </conditionalFormatting>
  <conditionalFormatting sqref="D181">
    <cfRule type="cellIs" dxfId="217" priority="101" stopIfTrue="1" operator="notEqual">
      <formula>""</formula>
    </cfRule>
    <cfRule type="cellIs" dxfId="216" priority="102" stopIfTrue="1" operator="equal">
      <formula>""</formula>
    </cfRule>
  </conditionalFormatting>
  <conditionalFormatting sqref="D182">
    <cfRule type="cellIs" dxfId="215" priority="103" stopIfTrue="1" operator="notEqual">
      <formula>""</formula>
    </cfRule>
    <cfRule type="cellIs" dxfId="214" priority="104" stopIfTrue="1" operator="equal">
      <formula>""</formula>
    </cfRule>
  </conditionalFormatting>
  <conditionalFormatting sqref="D185 D187:D195 D197:D199">
    <cfRule type="cellIs" dxfId="213" priority="105" stopIfTrue="1" operator="notEqual">
      <formula>""</formula>
    </cfRule>
    <cfRule type="cellIs" dxfId="212" priority="106" stopIfTrue="1" operator="equal">
      <formula>""</formula>
    </cfRule>
  </conditionalFormatting>
  <conditionalFormatting sqref="F183:F185 F187:F199">
    <cfRule type="cellIs" dxfId="211" priority="107" stopIfTrue="1" operator="notEqual">
      <formula>""</formula>
    </cfRule>
    <cfRule type="cellIs" dxfId="210" priority="108" stopIfTrue="1" operator="equal">
      <formula>""</formula>
    </cfRule>
  </conditionalFormatting>
  <conditionalFormatting sqref="D167">
    <cfRule type="cellIs" dxfId="209" priority="109" stopIfTrue="1" operator="notEqual">
      <formula>""</formula>
    </cfRule>
    <cfRule type="cellIs" dxfId="208" priority="110" stopIfTrue="1" operator="equal">
      <formula>""</formula>
    </cfRule>
  </conditionalFormatting>
  <conditionalFormatting sqref="F178">
    <cfRule type="cellIs" dxfId="207" priority="111" stopIfTrue="1" operator="notEqual">
      <formula>""</formula>
    </cfRule>
    <cfRule type="cellIs" dxfId="206" priority="112" stopIfTrue="1" operator="equal">
      <formula>""</formula>
    </cfRule>
  </conditionalFormatting>
  <conditionalFormatting sqref="D178">
    <cfRule type="cellIs" dxfId="205" priority="113" stopIfTrue="1" operator="notEqual">
      <formula>""</formula>
    </cfRule>
    <cfRule type="cellIs" dxfId="204" priority="114" stopIfTrue="1" operator="equal">
      <formula>""</formula>
    </cfRule>
  </conditionalFormatting>
  <conditionalFormatting sqref="D183">
    <cfRule type="cellIs" dxfId="203" priority="115" stopIfTrue="1" operator="notEqual">
      <formula>""</formula>
    </cfRule>
    <cfRule type="cellIs" dxfId="202" priority="116" stopIfTrue="1" operator="equal">
      <formula>""</formula>
    </cfRule>
  </conditionalFormatting>
  <conditionalFormatting sqref="D184">
    <cfRule type="cellIs" dxfId="201" priority="117" stopIfTrue="1" operator="notEqual">
      <formula>""</formula>
    </cfRule>
    <cfRule type="cellIs" dxfId="200" priority="118" stopIfTrue="1" operator="equal">
      <formula>""</formula>
    </cfRule>
  </conditionalFormatting>
  <conditionalFormatting sqref="D19">
    <cfRule type="cellIs" dxfId="199" priority="119" stopIfTrue="1" operator="notEqual">
      <formula>""</formula>
    </cfRule>
    <cfRule type="cellIs" dxfId="198" priority="120" stopIfTrue="1" operator="equal">
      <formula>""</formula>
    </cfRule>
  </conditionalFormatting>
  <conditionalFormatting sqref="D46">
    <cfRule type="cellIs" dxfId="197" priority="121" stopIfTrue="1" operator="notEqual">
      <formula>""</formula>
    </cfRule>
    <cfRule type="cellIs" dxfId="196" priority="122" stopIfTrue="1" operator="equal">
      <formula>""</formula>
    </cfRule>
  </conditionalFormatting>
  <conditionalFormatting sqref="D99:D100">
    <cfRule type="cellIs" dxfId="195" priority="123" stopIfTrue="1" operator="notEqual">
      <formula>""</formula>
    </cfRule>
    <cfRule type="cellIs" dxfId="194" priority="124" stopIfTrue="1" operator="equal">
      <formula>""</formula>
    </cfRule>
  </conditionalFormatting>
  <conditionalFormatting sqref="D127">
    <cfRule type="cellIs" dxfId="193" priority="125" stopIfTrue="1" operator="notEqual">
      <formula>""</formula>
    </cfRule>
    <cfRule type="cellIs" dxfId="192" priority="126" stopIfTrue="1" operator="equal">
      <formula>""</formula>
    </cfRule>
  </conditionalFormatting>
  <conditionalFormatting sqref="D128">
    <cfRule type="cellIs" dxfId="191" priority="127" stopIfTrue="1" operator="notEqual">
      <formula>""</formula>
    </cfRule>
    <cfRule type="cellIs" dxfId="190" priority="128" stopIfTrue="1" operator="equal">
      <formula>""</formula>
    </cfRule>
  </conditionalFormatting>
  <conditionalFormatting sqref="D177">
    <cfRule type="cellIs" dxfId="189" priority="129" stopIfTrue="1" operator="notEqual">
      <formula>""</formula>
    </cfRule>
    <cfRule type="cellIs" dxfId="188" priority="130" stopIfTrue="1" operator="equal">
      <formula>""</formula>
    </cfRule>
  </conditionalFormatting>
  <conditionalFormatting sqref="D134:D136 D138:D140">
    <cfRule type="cellIs" dxfId="187" priority="131" stopIfTrue="1" operator="notEqual">
      <formula>""</formula>
    </cfRule>
    <cfRule type="cellIs" dxfId="186" priority="132" stopIfTrue="1" operator="equal">
      <formula>""</formula>
    </cfRule>
  </conditionalFormatting>
  <conditionalFormatting sqref="D110:D114">
    <cfRule type="cellIs" dxfId="185" priority="133" stopIfTrue="1" operator="notEqual">
      <formula>""</formula>
    </cfRule>
    <cfRule type="cellIs" dxfId="184" priority="134" stopIfTrue="1" operator="equal">
      <formula>""</formula>
    </cfRule>
  </conditionalFormatting>
  <conditionalFormatting sqref="F179">
    <cfRule type="cellIs" dxfId="183" priority="135" stopIfTrue="1" operator="notEqual">
      <formula>""</formula>
    </cfRule>
    <cfRule type="cellIs" dxfId="182" priority="136" stopIfTrue="1" operator="equal">
      <formula>""</formula>
    </cfRule>
  </conditionalFormatting>
  <conditionalFormatting sqref="D179">
    <cfRule type="cellIs" dxfId="181" priority="137" stopIfTrue="1" operator="notEqual">
      <formula>""</formula>
    </cfRule>
    <cfRule type="cellIs" dxfId="180" priority="138" stopIfTrue="1" operator="equal">
      <formula>""</formula>
    </cfRule>
  </conditionalFormatting>
  <conditionalFormatting sqref="F186">
    <cfRule type="cellIs" dxfId="179" priority="139" stopIfTrue="1" operator="notEqual">
      <formula>""</formula>
    </cfRule>
    <cfRule type="cellIs" dxfId="178" priority="140" stopIfTrue="1" operator="equal">
      <formula>""</formula>
    </cfRule>
  </conditionalFormatting>
  <conditionalFormatting sqref="D186">
    <cfRule type="cellIs" dxfId="177" priority="141" stopIfTrue="1" operator="notEqual">
      <formula>""</formula>
    </cfRule>
    <cfRule type="cellIs" dxfId="176" priority="142" stopIfTrue="1" operator="equal">
      <formula>""</formula>
    </cfRule>
  </conditionalFormatting>
  <conditionalFormatting sqref="D129">
    <cfRule type="cellIs" dxfId="175" priority="143" stopIfTrue="1" operator="notEqual">
      <formula>""</formula>
    </cfRule>
    <cfRule type="cellIs" dxfId="174" priority="144" stopIfTrue="1" operator="equal">
      <formula>""</formula>
    </cfRule>
  </conditionalFormatting>
  <conditionalFormatting sqref="D141:D152">
    <cfRule type="cellIs" dxfId="173" priority="145" stopIfTrue="1" operator="notEqual">
      <formula>""</formula>
    </cfRule>
    <cfRule type="cellIs" dxfId="172" priority="146" stopIfTrue="1" operator="equal">
      <formula>""</formula>
    </cfRule>
  </conditionalFormatting>
  <conditionalFormatting sqref="D125:D126">
    <cfRule type="cellIs" dxfId="171" priority="147" stopIfTrue="1" operator="notEqual">
      <formula>""</formula>
    </cfRule>
    <cfRule type="cellIs" dxfId="170" priority="148" stopIfTrue="1" operator="equal">
      <formula>""</formula>
    </cfRule>
  </conditionalFormatting>
  <conditionalFormatting sqref="D196">
    <cfRule type="cellIs" dxfId="169" priority="149" stopIfTrue="1" operator="notEqual">
      <formula>""</formula>
    </cfRule>
    <cfRule type="cellIs" dxfId="168" priority="150" stopIfTrue="1" operator="equal">
      <formula>""</formula>
    </cfRule>
  </conditionalFormatting>
  <conditionalFormatting sqref="D103">
    <cfRule type="cellIs" dxfId="167" priority="151" stopIfTrue="1" operator="notEqual">
      <formula>""</formula>
    </cfRule>
    <cfRule type="cellIs" dxfId="166" priority="152" stopIfTrue="1" operator="equal">
      <formula>""</formula>
    </cfRule>
  </conditionalFormatting>
  <conditionalFormatting sqref="F103">
    <cfRule type="cellIs" dxfId="165" priority="153" stopIfTrue="1" operator="notEqual">
      <formula>""</formula>
    </cfRule>
    <cfRule type="cellIs" dxfId="164" priority="154" stopIfTrue="1" operator="equal">
      <formula>""</formula>
    </cfRule>
  </conditionalFormatting>
  <conditionalFormatting sqref="D137">
    <cfRule type="cellIs" dxfId="163" priority="155" stopIfTrue="1" operator="notEqual">
      <formula>""</formula>
    </cfRule>
    <cfRule type="cellIs" dxfId="162" priority="156" stopIfTrue="1" operator="equal">
      <formula>""</formula>
    </cfRule>
  </conditionalFormatting>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zoomScale="80" zoomScaleNormal="80" workbookViewId="0">
      <selection activeCell="D16" sqref="D16"/>
    </sheetView>
  </sheetViews>
  <sheetFormatPr defaultColWidth="9" defaultRowHeight="16.5"/>
  <cols>
    <col min="1" max="1" width="21" style="161" customWidth="1"/>
    <col min="2" max="2" width="14" style="162" customWidth="1"/>
    <col min="3" max="3" width="12.75" style="161" customWidth="1"/>
    <col min="4" max="4" width="12.25" style="161" customWidth="1"/>
    <col min="5" max="5" width="13.75" style="161" customWidth="1"/>
    <col min="6" max="6" width="12.25" style="161" customWidth="1"/>
    <col min="7" max="9" width="10.25" style="161" customWidth="1"/>
    <col min="10" max="11" width="10.125" style="161" customWidth="1"/>
    <col min="12" max="12" width="10.75" style="161" customWidth="1"/>
    <col min="13" max="13" width="11.75" style="161" customWidth="1"/>
    <col min="14" max="14" width="11.5" style="161" customWidth="1"/>
    <col min="15" max="15" width="16.875" style="161" customWidth="1"/>
    <col min="16" max="20" width="9" style="161"/>
    <col min="21" max="21" width="11.75" style="161" customWidth="1"/>
    <col min="22" max="22" width="9.875" style="161" customWidth="1"/>
    <col min="23" max="23" width="10.625" style="161" customWidth="1"/>
    <col min="24" max="24" width="12.75" style="161" customWidth="1"/>
    <col min="25" max="25" width="11.75" style="161" customWidth="1"/>
    <col min="26" max="26" width="9.875" style="161" customWidth="1"/>
    <col min="27" max="27" width="10.625" style="161" customWidth="1"/>
    <col min="28" max="28" width="12.75" style="161" customWidth="1"/>
    <col min="29" max="29" width="12.125" style="161" customWidth="1"/>
    <col min="30" max="30" width="10.625" style="161" customWidth="1"/>
    <col min="31" max="31" width="10.875" style="161" customWidth="1"/>
    <col min="32" max="32" width="11.25" style="161" customWidth="1"/>
    <col min="33" max="254" width="9" style="161"/>
    <col min="255" max="255" width="15.875" style="161" customWidth="1"/>
    <col min="256" max="256" width="14" style="161" customWidth="1"/>
    <col min="257" max="257" width="12.75" style="161" customWidth="1"/>
    <col min="258" max="258" width="12.25" style="161" customWidth="1"/>
    <col min="259" max="259" width="13.75" style="161" customWidth="1"/>
    <col min="260" max="260" width="9.625" style="161" customWidth="1"/>
    <col min="261" max="261" width="10.25" style="161" customWidth="1"/>
    <col min="262" max="262" width="10.125" style="161" customWidth="1"/>
    <col min="263" max="263" width="7" style="161" customWidth="1"/>
    <col min="264" max="264" width="11.75" style="161" customWidth="1"/>
    <col min="265" max="265" width="11.5" style="161" customWidth="1"/>
    <col min="266" max="266" width="9.75" style="161" customWidth="1"/>
    <col min="267" max="267" width="10.25" style="161" customWidth="1"/>
    <col min="268" max="268" width="9.25" style="161" customWidth="1"/>
    <col min="269" max="269" width="9.5" style="161" customWidth="1"/>
    <col min="270" max="270" width="10.125" style="161" customWidth="1"/>
    <col min="271" max="271" width="16.875" style="161" customWidth="1"/>
    <col min="272" max="276" width="9" style="161"/>
    <col min="277" max="277" width="11.75" style="161" customWidth="1"/>
    <col min="278" max="278" width="9.875" style="161" customWidth="1"/>
    <col min="279" max="279" width="10.625" style="161" customWidth="1"/>
    <col min="280" max="280" width="12.75" style="161" customWidth="1"/>
    <col min="281" max="281" width="11.75" style="161" customWidth="1"/>
    <col min="282" max="282" width="9.875" style="161" customWidth="1"/>
    <col min="283" max="283" width="10.625" style="161" customWidth="1"/>
    <col min="284" max="284" width="12.75" style="161" customWidth="1"/>
    <col min="285" max="285" width="12.125" style="161" customWidth="1"/>
    <col min="286" max="286" width="10.625" style="161" customWidth="1"/>
    <col min="287" max="287" width="10.875" style="161" customWidth="1"/>
    <col min="288" max="288" width="11.25" style="161" customWidth="1"/>
    <col min="289" max="510" width="9" style="161"/>
    <col min="511" max="511" width="15.875" style="161" customWidth="1"/>
    <col min="512" max="512" width="14" style="161" customWidth="1"/>
    <col min="513" max="513" width="12.75" style="161" customWidth="1"/>
    <col min="514" max="514" width="12.25" style="161" customWidth="1"/>
    <col min="515" max="515" width="13.75" style="161" customWidth="1"/>
    <col min="516" max="516" width="9.625" style="161" customWidth="1"/>
    <col min="517" max="517" width="10.25" style="161" customWidth="1"/>
    <col min="518" max="518" width="10.125" style="161" customWidth="1"/>
    <col min="519" max="519" width="7" style="161" customWidth="1"/>
    <col min="520" max="520" width="11.75" style="161" customWidth="1"/>
    <col min="521" max="521" width="11.5" style="161" customWidth="1"/>
    <col min="522" max="522" width="9.75" style="161" customWidth="1"/>
    <col min="523" max="523" width="10.25" style="161" customWidth="1"/>
    <col min="524" max="524" width="9.25" style="161" customWidth="1"/>
    <col min="525" max="525" width="9.5" style="161" customWidth="1"/>
    <col min="526" max="526" width="10.125" style="161" customWidth="1"/>
    <col min="527" max="527" width="16.875" style="161" customWidth="1"/>
    <col min="528" max="532" width="9" style="161"/>
    <col min="533" max="533" width="11.75" style="161" customWidth="1"/>
    <col min="534" max="534" width="9.875" style="161" customWidth="1"/>
    <col min="535" max="535" width="10.625" style="161" customWidth="1"/>
    <col min="536" max="536" width="12.75" style="161" customWidth="1"/>
    <col min="537" max="537" width="11.75" style="161" customWidth="1"/>
    <col min="538" max="538" width="9.875" style="161" customWidth="1"/>
    <col min="539" max="539" width="10.625" style="161" customWidth="1"/>
    <col min="540" max="540" width="12.75" style="161" customWidth="1"/>
    <col min="541" max="541" width="12.125" style="161" customWidth="1"/>
    <col min="542" max="542" width="10.625" style="161" customWidth="1"/>
    <col min="543" max="543" width="10.875" style="161" customWidth="1"/>
    <col min="544" max="544" width="11.25" style="161" customWidth="1"/>
    <col min="545" max="766" width="9" style="161"/>
    <col min="767" max="767" width="15.875" style="161" customWidth="1"/>
    <col min="768" max="768" width="14" style="161" customWidth="1"/>
    <col min="769" max="769" width="12.75" style="161" customWidth="1"/>
    <col min="770" max="770" width="12.25" style="161" customWidth="1"/>
    <col min="771" max="771" width="13.75" style="161" customWidth="1"/>
    <col min="772" max="772" width="9.625" style="161" customWidth="1"/>
    <col min="773" max="773" width="10.25" style="161" customWidth="1"/>
    <col min="774" max="774" width="10.125" style="161" customWidth="1"/>
    <col min="775" max="775" width="7" style="161" customWidth="1"/>
    <col min="776" max="776" width="11.75" style="161" customWidth="1"/>
    <col min="777" max="777" width="11.5" style="161" customWidth="1"/>
    <col min="778" max="778" width="9.75" style="161" customWidth="1"/>
    <col min="779" max="779" width="10.25" style="161" customWidth="1"/>
    <col min="780" max="780" width="9.25" style="161" customWidth="1"/>
    <col min="781" max="781" width="9.5" style="161" customWidth="1"/>
    <col min="782" max="782" width="10.125" style="161" customWidth="1"/>
    <col min="783" max="783" width="16.875" style="161" customWidth="1"/>
    <col min="784" max="788" width="9" style="161"/>
    <col min="789" max="789" width="11.75" style="161" customWidth="1"/>
    <col min="790" max="790" width="9.875" style="161" customWidth="1"/>
    <col min="791" max="791" width="10.625" style="161" customWidth="1"/>
    <col min="792" max="792" width="12.75" style="161" customWidth="1"/>
    <col min="793" max="793" width="11.75" style="161" customWidth="1"/>
    <col min="794" max="794" width="9.875" style="161" customWidth="1"/>
    <col min="795" max="795" width="10.625" style="161" customWidth="1"/>
    <col min="796" max="796" width="12.75" style="161" customWidth="1"/>
    <col min="797" max="797" width="12.125" style="161" customWidth="1"/>
    <col min="798" max="798" width="10.625" style="161" customWidth="1"/>
    <col min="799" max="799" width="10.875" style="161" customWidth="1"/>
    <col min="800" max="800" width="11.25" style="161" customWidth="1"/>
    <col min="801" max="1022" width="9" style="161"/>
    <col min="1023" max="1023" width="15.875" style="161" customWidth="1"/>
    <col min="1024" max="1024" width="14" style="161" customWidth="1"/>
    <col min="1025" max="1025" width="12.75" style="161" customWidth="1"/>
    <col min="1026" max="1026" width="12.25" style="161" customWidth="1"/>
    <col min="1027" max="1027" width="13.75" style="161" customWidth="1"/>
    <col min="1028" max="1028" width="9.625" style="161" customWidth="1"/>
    <col min="1029" max="1029" width="10.25" style="161" customWidth="1"/>
    <col min="1030" max="1030" width="10.125" style="161" customWidth="1"/>
    <col min="1031" max="1031" width="7" style="161" customWidth="1"/>
    <col min="1032" max="1032" width="11.75" style="161" customWidth="1"/>
    <col min="1033" max="1033" width="11.5" style="161" customWidth="1"/>
    <col min="1034" max="1034" width="9.75" style="161" customWidth="1"/>
    <col min="1035" max="1035" width="10.25" style="161" customWidth="1"/>
    <col min="1036" max="1036" width="9.25" style="161" customWidth="1"/>
    <col min="1037" max="1037" width="9.5" style="161" customWidth="1"/>
    <col min="1038" max="1038" width="10.125" style="161" customWidth="1"/>
    <col min="1039" max="1039" width="16.875" style="161" customWidth="1"/>
    <col min="1040" max="1044" width="9" style="161"/>
    <col min="1045" max="1045" width="11.75" style="161" customWidth="1"/>
    <col min="1046" max="1046" width="9.875" style="161" customWidth="1"/>
    <col min="1047" max="1047" width="10.625" style="161" customWidth="1"/>
    <col min="1048" max="1048" width="12.75" style="161" customWidth="1"/>
    <col min="1049" max="1049" width="11.75" style="161" customWidth="1"/>
    <col min="1050" max="1050" width="9.875" style="161" customWidth="1"/>
    <col min="1051" max="1051" width="10.625" style="161" customWidth="1"/>
    <col min="1052" max="1052" width="12.75" style="161" customWidth="1"/>
    <col min="1053" max="1053" width="12.125" style="161" customWidth="1"/>
    <col min="1054" max="1054" width="10.625" style="161" customWidth="1"/>
    <col min="1055" max="1055" width="10.875" style="161" customWidth="1"/>
    <col min="1056" max="1056" width="11.25" style="161" customWidth="1"/>
    <col min="1057" max="1278" width="9" style="161"/>
    <col min="1279" max="1279" width="15.875" style="161" customWidth="1"/>
    <col min="1280" max="1280" width="14" style="161" customWidth="1"/>
    <col min="1281" max="1281" width="12.75" style="161" customWidth="1"/>
    <col min="1282" max="1282" width="12.25" style="161" customWidth="1"/>
    <col min="1283" max="1283" width="13.75" style="161" customWidth="1"/>
    <col min="1284" max="1284" width="9.625" style="161" customWidth="1"/>
    <col min="1285" max="1285" width="10.25" style="161" customWidth="1"/>
    <col min="1286" max="1286" width="10.125" style="161" customWidth="1"/>
    <col min="1287" max="1287" width="7" style="161" customWidth="1"/>
    <col min="1288" max="1288" width="11.75" style="161" customWidth="1"/>
    <col min="1289" max="1289" width="11.5" style="161" customWidth="1"/>
    <col min="1290" max="1290" width="9.75" style="161" customWidth="1"/>
    <col min="1291" max="1291" width="10.25" style="161" customWidth="1"/>
    <col min="1292" max="1292" width="9.25" style="161" customWidth="1"/>
    <col min="1293" max="1293" width="9.5" style="161" customWidth="1"/>
    <col min="1294" max="1294" width="10.125" style="161" customWidth="1"/>
    <col min="1295" max="1295" width="16.875" style="161" customWidth="1"/>
    <col min="1296" max="1300" width="9" style="161"/>
    <col min="1301" max="1301" width="11.75" style="161" customWidth="1"/>
    <col min="1302" max="1302" width="9.875" style="161" customWidth="1"/>
    <col min="1303" max="1303" width="10.625" style="161" customWidth="1"/>
    <col min="1304" max="1304" width="12.75" style="161" customWidth="1"/>
    <col min="1305" max="1305" width="11.75" style="161" customWidth="1"/>
    <col min="1306" max="1306" width="9.875" style="161" customWidth="1"/>
    <col min="1307" max="1307" width="10.625" style="161" customWidth="1"/>
    <col min="1308" max="1308" width="12.75" style="161" customWidth="1"/>
    <col min="1309" max="1309" width="12.125" style="161" customWidth="1"/>
    <col min="1310" max="1310" width="10.625" style="161" customWidth="1"/>
    <col min="1311" max="1311" width="10.875" style="161" customWidth="1"/>
    <col min="1312" max="1312" width="11.25" style="161" customWidth="1"/>
    <col min="1313" max="1534" width="9" style="161"/>
    <col min="1535" max="1535" width="15.875" style="161" customWidth="1"/>
    <col min="1536" max="1536" width="14" style="161" customWidth="1"/>
    <col min="1537" max="1537" width="12.75" style="161" customWidth="1"/>
    <col min="1538" max="1538" width="12.25" style="161" customWidth="1"/>
    <col min="1539" max="1539" width="13.75" style="161" customWidth="1"/>
    <col min="1540" max="1540" width="9.625" style="161" customWidth="1"/>
    <col min="1541" max="1541" width="10.25" style="161" customWidth="1"/>
    <col min="1542" max="1542" width="10.125" style="161" customWidth="1"/>
    <col min="1543" max="1543" width="7" style="161" customWidth="1"/>
    <col min="1544" max="1544" width="11.75" style="161" customWidth="1"/>
    <col min="1545" max="1545" width="11.5" style="161" customWidth="1"/>
    <col min="1546" max="1546" width="9.75" style="161" customWidth="1"/>
    <col min="1547" max="1547" width="10.25" style="161" customWidth="1"/>
    <col min="1548" max="1548" width="9.25" style="161" customWidth="1"/>
    <col min="1549" max="1549" width="9.5" style="161" customWidth="1"/>
    <col min="1550" max="1550" width="10.125" style="161" customWidth="1"/>
    <col min="1551" max="1551" width="16.875" style="161" customWidth="1"/>
    <col min="1552" max="1556" width="9" style="161"/>
    <col min="1557" max="1557" width="11.75" style="161" customWidth="1"/>
    <col min="1558" max="1558" width="9.875" style="161" customWidth="1"/>
    <col min="1559" max="1559" width="10.625" style="161" customWidth="1"/>
    <col min="1560" max="1560" width="12.75" style="161" customWidth="1"/>
    <col min="1561" max="1561" width="11.75" style="161" customWidth="1"/>
    <col min="1562" max="1562" width="9.875" style="161" customWidth="1"/>
    <col min="1563" max="1563" width="10.625" style="161" customWidth="1"/>
    <col min="1564" max="1564" width="12.75" style="161" customWidth="1"/>
    <col min="1565" max="1565" width="12.125" style="161" customWidth="1"/>
    <col min="1566" max="1566" width="10.625" style="161" customWidth="1"/>
    <col min="1567" max="1567" width="10.875" style="161" customWidth="1"/>
    <col min="1568" max="1568" width="11.25" style="161" customWidth="1"/>
    <col min="1569" max="1790" width="9" style="161"/>
    <col min="1791" max="1791" width="15.875" style="161" customWidth="1"/>
    <col min="1792" max="1792" width="14" style="161" customWidth="1"/>
    <col min="1793" max="1793" width="12.75" style="161" customWidth="1"/>
    <col min="1794" max="1794" width="12.25" style="161" customWidth="1"/>
    <col min="1795" max="1795" width="13.75" style="161" customWidth="1"/>
    <col min="1796" max="1796" width="9.625" style="161" customWidth="1"/>
    <col min="1797" max="1797" width="10.25" style="161" customWidth="1"/>
    <col min="1798" max="1798" width="10.125" style="161" customWidth="1"/>
    <col min="1799" max="1799" width="7" style="161" customWidth="1"/>
    <col min="1800" max="1800" width="11.75" style="161" customWidth="1"/>
    <col min="1801" max="1801" width="11.5" style="161" customWidth="1"/>
    <col min="1802" max="1802" width="9.75" style="161" customWidth="1"/>
    <col min="1803" max="1803" width="10.25" style="161" customWidth="1"/>
    <col min="1804" max="1804" width="9.25" style="161" customWidth="1"/>
    <col min="1805" max="1805" width="9.5" style="161" customWidth="1"/>
    <col min="1806" max="1806" width="10.125" style="161" customWidth="1"/>
    <col min="1807" max="1807" width="16.875" style="161" customWidth="1"/>
    <col min="1808" max="1812" width="9" style="161"/>
    <col min="1813" max="1813" width="11.75" style="161" customWidth="1"/>
    <col min="1814" max="1814" width="9.875" style="161" customWidth="1"/>
    <col min="1815" max="1815" width="10.625" style="161" customWidth="1"/>
    <col min="1816" max="1816" width="12.75" style="161" customWidth="1"/>
    <col min="1817" max="1817" width="11.75" style="161" customWidth="1"/>
    <col min="1818" max="1818" width="9.875" style="161" customWidth="1"/>
    <col min="1819" max="1819" width="10.625" style="161" customWidth="1"/>
    <col min="1820" max="1820" width="12.75" style="161" customWidth="1"/>
    <col min="1821" max="1821" width="12.125" style="161" customWidth="1"/>
    <col min="1822" max="1822" width="10.625" style="161" customWidth="1"/>
    <col min="1823" max="1823" width="10.875" style="161" customWidth="1"/>
    <col min="1824" max="1824" width="11.25" style="161" customWidth="1"/>
    <col min="1825" max="2046" width="9" style="161"/>
    <col min="2047" max="2047" width="15.875" style="161" customWidth="1"/>
    <col min="2048" max="2048" width="14" style="161" customWidth="1"/>
    <col min="2049" max="2049" width="12.75" style="161" customWidth="1"/>
    <col min="2050" max="2050" width="12.25" style="161" customWidth="1"/>
    <col min="2051" max="2051" width="13.75" style="161" customWidth="1"/>
    <col min="2052" max="2052" width="9.625" style="161" customWidth="1"/>
    <col min="2053" max="2053" width="10.25" style="161" customWidth="1"/>
    <col min="2054" max="2054" width="10.125" style="161" customWidth="1"/>
    <col min="2055" max="2055" width="7" style="161" customWidth="1"/>
    <col min="2056" max="2056" width="11.75" style="161" customWidth="1"/>
    <col min="2057" max="2057" width="11.5" style="161" customWidth="1"/>
    <col min="2058" max="2058" width="9.75" style="161" customWidth="1"/>
    <col min="2059" max="2059" width="10.25" style="161" customWidth="1"/>
    <col min="2060" max="2060" width="9.25" style="161" customWidth="1"/>
    <col min="2061" max="2061" width="9.5" style="161" customWidth="1"/>
    <col min="2062" max="2062" width="10.125" style="161" customWidth="1"/>
    <col min="2063" max="2063" width="16.875" style="161" customWidth="1"/>
    <col min="2064" max="2068" width="9" style="161"/>
    <col min="2069" max="2069" width="11.75" style="161" customWidth="1"/>
    <col min="2070" max="2070" width="9.875" style="161" customWidth="1"/>
    <col min="2071" max="2071" width="10.625" style="161" customWidth="1"/>
    <col min="2072" max="2072" width="12.75" style="161" customWidth="1"/>
    <col min="2073" max="2073" width="11.75" style="161" customWidth="1"/>
    <col min="2074" max="2074" width="9.875" style="161" customWidth="1"/>
    <col min="2075" max="2075" width="10.625" style="161" customWidth="1"/>
    <col min="2076" max="2076" width="12.75" style="161" customWidth="1"/>
    <col min="2077" max="2077" width="12.125" style="161" customWidth="1"/>
    <col min="2078" max="2078" width="10.625" style="161" customWidth="1"/>
    <col min="2079" max="2079" width="10.875" style="161" customWidth="1"/>
    <col min="2080" max="2080" width="11.25" style="161" customWidth="1"/>
    <col min="2081" max="2302" width="9" style="161"/>
    <col min="2303" max="2303" width="15.875" style="161" customWidth="1"/>
    <col min="2304" max="2304" width="14" style="161" customWidth="1"/>
    <col min="2305" max="2305" width="12.75" style="161" customWidth="1"/>
    <col min="2306" max="2306" width="12.25" style="161" customWidth="1"/>
    <col min="2307" max="2307" width="13.75" style="161" customWidth="1"/>
    <col min="2308" max="2308" width="9.625" style="161" customWidth="1"/>
    <col min="2309" max="2309" width="10.25" style="161" customWidth="1"/>
    <col min="2310" max="2310" width="10.125" style="161" customWidth="1"/>
    <col min="2311" max="2311" width="7" style="161" customWidth="1"/>
    <col min="2312" max="2312" width="11.75" style="161" customWidth="1"/>
    <col min="2313" max="2313" width="11.5" style="161" customWidth="1"/>
    <col min="2314" max="2314" width="9.75" style="161" customWidth="1"/>
    <col min="2315" max="2315" width="10.25" style="161" customWidth="1"/>
    <col min="2316" max="2316" width="9.25" style="161" customWidth="1"/>
    <col min="2317" max="2317" width="9.5" style="161" customWidth="1"/>
    <col min="2318" max="2318" width="10.125" style="161" customWidth="1"/>
    <col min="2319" max="2319" width="16.875" style="161" customWidth="1"/>
    <col min="2320" max="2324" width="9" style="161"/>
    <col min="2325" max="2325" width="11.75" style="161" customWidth="1"/>
    <col min="2326" max="2326" width="9.875" style="161" customWidth="1"/>
    <col min="2327" max="2327" width="10.625" style="161" customWidth="1"/>
    <col min="2328" max="2328" width="12.75" style="161" customWidth="1"/>
    <col min="2329" max="2329" width="11.75" style="161" customWidth="1"/>
    <col min="2330" max="2330" width="9.875" style="161" customWidth="1"/>
    <col min="2331" max="2331" width="10.625" style="161" customWidth="1"/>
    <col min="2332" max="2332" width="12.75" style="161" customWidth="1"/>
    <col min="2333" max="2333" width="12.125" style="161" customWidth="1"/>
    <col min="2334" max="2334" width="10.625" style="161" customWidth="1"/>
    <col min="2335" max="2335" width="10.875" style="161" customWidth="1"/>
    <col min="2336" max="2336" width="11.25" style="161" customWidth="1"/>
    <col min="2337" max="2558" width="9" style="161"/>
    <col min="2559" max="2559" width="15.875" style="161" customWidth="1"/>
    <col min="2560" max="2560" width="14" style="161" customWidth="1"/>
    <col min="2561" max="2561" width="12.75" style="161" customWidth="1"/>
    <col min="2562" max="2562" width="12.25" style="161" customWidth="1"/>
    <col min="2563" max="2563" width="13.75" style="161" customWidth="1"/>
    <col min="2564" max="2564" width="9.625" style="161" customWidth="1"/>
    <col min="2565" max="2565" width="10.25" style="161" customWidth="1"/>
    <col min="2566" max="2566" width="10.125" style="161" customWidth="1"/>
    <col min="2567" max="2567" width="7" style="161" customWidth="1"/>
    <col min="2568" max="2568" width="11.75" style="161" customWidth="1"/>
    <col min="2569" max="2569" width="11.5" style="161" customWidth="1"/>
    <col min="2570" max="2570" width="9.75" style="161" customWidth="1"/>
    <col min="2571" max="2571" width="10.25" style="161" customWidth="1"/>
    <col min="2572" max="2572" width="9.25" style="161" customWidth="1"/>
    <col min="2573" max="2573" width="9.5" style="161" customWidth="1"/>
    <col min="2574" max="2574" width="10.125" style="161" customWidth="1"/>
    <col min="2575" max="2575" width="16.875" style="161" customWidth="1"/>
    <col min="2576" max="2580" width="9" style="161"/>
    <col min="2581" max="2581" width="11.75" style="161" customWidth="1"/>
    <col min="2582" max="2582" width="9.875" style="161" customWidth="1"/>
    <col min="2583" max="2583" width="10.625" style="161" customWidth="1"/>
    <col min="2584" max="2584" width="12.75" style="161" customWidth="1"/>
    <col min="2585" max="2585" width="11.75" style="161" customWidth="1"/>
    <col min="2586" max="2586" width="9.875" style="161" customWidth="1"/>
    <col min="2587" max="2587" width="10.625" style="161" customWidth="1"/>
    <col min="2588" max="2588" width="12.75" style="161" customWidth="1"/>
    <col min="2589" max="2589" width="12.125" style="161" customWidth="1"/>
    <col min="2590" max="2590" width="10.625" style="161" customWidth="1"/>
    <col min="2591" max="2591" width="10.875" style="161" customWidth="1"/>
    <col min="2592" max="2592" width="11.25" style="161" customWidth="1"/>
    <col min="2593" max="2814" width="9" style="161"/>
    <col min="2815" max="2815" width="15.875" style="161" customWidth="1"/>
    <col min="2816" max="2816" width="14" style="161" customWidth="1"/>
    <col min="2817" max="2817" width="12.75" style="161" customWidth="1"/>
    <col min="2818" max="2818" width="12.25" style="161" customWidth="1"/>
    <col min="2819" max="2819" width="13.75" style="161" customWidth="1"/>
    <col min="2820" max="2820" width="9.625" style="161" customWidth="1"/>
    <col min="2821" max="2821" width="10.25" style="161" customWidth="1"/>
    <col min="2822" max="2822" width="10.125" style="161" customWidth="1"/>
    <col min="2823" max="2823" width="7" style="161" customWidth="1"/>
    <col min="2824" max="2824" width="11.75" style="161" customWidth="1"/>
    <col min="2825" max="2825" width="11.5" style="161" customWidth="1"/>
    <col min="2826" max="2826" width="9.75" style="161" customWidth="1"/>
    <col min="2827" max="2827" width="10.25" style="161" customWidth="1"/>
    <col min="2828" max="2828" width="9.25" style="161" customWidth="1"/>
    <col min="2829" max="2829" width="9.5" style="161" customWidth="1"/>
    <col min="2830" max="2830" width="10.125" style="161" customWidth="1"/>
    <col min="2831" max="2831" width="16.875" style="161" customWidth="1"/>
    <col min="2832" max="2836" width="9" style="161"/>
    <col min="2837" max="2837" width="11.75" style="161" customWidth="1"/>
    <col min="2838" max="2838" width="9.875" style="161" customWidth="1"/>
    <col min="2839" max="2839" width="10.625" style="161" customWidth="1"/>
    <col min="2840" max="2840" width="12.75" style="161" customWidth="1"/>
    <col min="2841" max="2841" width="11.75" style="161" customWidth="1"/>
    <col min="2842" max="2842" width="9.875" style="161" customWidth="1"/>
    <col min="2843" max="2843" width="10.625" style="161" customWidth="1"/>
    <col min="2844" max="2844" width="12.75" style="161" customWidth="1"/>
    <col min="2845" max="2845" width="12.125" style="161" customWidth="1"/>
    <col min="2846" max="2846" width="10.625" style="161" customWidth="1"/>
    <col min="2847" max="2847" width="10.875" style="161" customWidth="1"/>
    <col min="2848" max="2848" width="11.25" style="161" customWidth="1"/>
    <col min="2849" max="3070" width="9" style="161"/>
    <col min="3071" max="3071" width="15.875" style="161" customWidth="1"/>
    <col min="3072" max="3072" width="14" style="161" customWidth="1"/>
    <col min="3073" max="3073" width="12.75" style="161" customWidth="1"/>
    <col min="3074" max="3074" width="12.25" style="161" customWidth="1"/>
    <col min="3075" max="3075" width="13.75" style="161" customWidth="1"/>
    <col min="3076" max="3076" width="9.625" style="161" customWidth="1"/>
    <col min="3077" max="3077" width="10.25" style="161" customWidth="1"/>
    <col min="3078" max="3078" width="10.125" style="161" customWidth="1"/>
    <col min="3079" max="3079" width="7" style="161" customWidth="1"/>
    <col min="3080" max="3080" width="11.75" style="161" customWidth="1"/>
    <col min="3081" max="3081" width="11.5" style="161" customWidth="1"/>
    <col min="3082" max="3082" width="9.75" style="161" customWidth="1"/>
    <col min="3083" max="3083" width="10.25" style="161" customWidth="1"/>
    <col min="3084" max="3084" width="9.25" style="161" customWidth="1"/>
    <col min="3085" max="3085" width="9.5" style="161" customWidth="1"/>
    <col min="3086" max="3086" width="10.125" style="161" customWidth="1"/>
    <col min="3087" max="3087" width="16.875" style="161" customWidth="1"/>
    <col min="3088" max="3092" width="9" style="161"/>
    <col min="3093" max="3093" width="11.75" style="161" customWidth="1"/>
    <col min="3094" max="3094" width="9.875" style="161" customWidth="1"/>
    <col min="3095" max="3095" width="10.625" style="161" customWidth="1"/>
    <col min="3096" max="3096" width="12.75" style="161" customWidth="1"/>
    <col min="3097" max="3097" width="11.75" style="161" customWidth="1"/>
    <col min="3098" max="3098" width="9.875" style="161" customWidth="1"/>
    <col min="3099" max="3099" width="10.625" style="161" customWidth="1"/>
    <col min="3100" max="3100" width="12.75" style="161" customWidth="1"/>
    <col min="3101" max="3101" width="12.125" style="161" customWidth="1"/>
    <col min="3102" max="3102" width="10.625" style="161" customWidth="1"/>
    <col min="3103" max="3103" width="10.875" style="161" customWidth="1"/>
    <col min="3104" max="3104" width="11.25" style="161" customWidth="1"/>
    <col min="3105" max="3326" width="9" style="161"/>
    <col min="3327" max="3327" width="15.875" style="161" customWidth="1"/>
    <col min="3328" max="3328" width="14" style="161" customWidth="1"/>
    <col min="3329" max="3329" width="12.75" style="161" customWidth="1"/>
    <col min="3330" max="3330" width="12.25" style="161" customWidth="1"/>
    <col min="3331" max="3331" width="13.75" style="161" customWidth="1"/>
    <col min="3332" max="3332" width="9.625" style="161" customWidth="1"/>
    <col min="3333" max="3333" width="10.25" style="161" customWidth="1"/>
    <col min="3334" max="3334" width="10.125" style="161" customWidth="1"/>
    <col min="3335" max="3335" width="7" style="161" customWidth="1"/>
    <col min="3336" max="3336" width="11.75" style="161" customWidth="1"/>
    <col min="3337" max="3337" width="11.5" style="161" customWidth="1"/>
    <col min="3338" max="3338" width="9.75" style="161" customWidth="1"/>
    <col min="3339" max="3339" width="10.25" style="161" customWidth="1"/>
    <col min="3340" max="3340" width="9.25" style="161" customWidth="1"/>
    <col min="3341" max="3341" width="9.5" style="161" customWidth="1"/>
    <col min="3342" max="3342" width="10.125" style="161" customWidth="1"/>
    <col min="3343" max="3343" width="16.875" style="161" customWidth="1"/>
    <col min="3344" max="3348" width="9" style="161"/>
    <col min="3349" max="3349" width="11.75" style="161" customWidth="1"/>
    <col min="3350" max="3350" width="9.875" style="161" customWidth="1"/>
    <col min="3351" max="3351" width="10.625" style="161" customWidth="1"/>
    <col min="3352" max="3352" width="12.75" style="161" customWidth="1"/>
    <col min="3353" max="3353" width="11.75" style="161" customWidth="1"/>
    <col min="3354" max="3354" width="9.875" style="161" customWidth="1"/>
    <col min="3355" max="3355" width="10.625" style="161" customWidth="1"/>
    <col min="3356" max="3356" width="12.75" style="161" customWidth="1"/>
    <col min="3357" max="3357" width="12.125" style="161" customWidth="1"/>
    <col min="3358" max="3358" width="10.625" style="161" customWidth="1"/>
    <col min="3359" max="3359" width="10.875" style="161" customWidth="1"/>
    <col min="3360" max="3360" width="11.25" style="161" customWidth="1"/>
    <col min="3361" max="3582" width="9" style="161"/>
    <col min="3583" max="3583" width="15.875" style="161" customWidth="1"/>
    <col min="3584" max="3584" width="14" style="161" customWidth="1"/>
    <col min="3585" max="3585" width="12.75" style="161" customWidth="1"/>
    <col min="3586" max="3586" width="12.25" style="161" customWidth="1"/>
    <col min="3587" max="3587" width="13.75" style="161" customWidth="1"/>
    <col min="3588" max="3588" width="9.625" style="161" customWidth="1"/>
    <col min="3589" max="3589" width="10.25" style="161" customWidth="1"/>
    <col min="3590" max="3590" width="10.125" style="161" customWidth="1"/>
    <col min="3591" max="3591" width="7" style="161" customWidth="1"/>
    <col min="3592" max="3592" width="11.75" style="161" customWidth="1"/>
    <col min="3593" max="3593" width="11.5" style="161" customWidth="1"/>
    <col min="3594" max="3594" width="9.75" style="161" customWidth="1"/>
    <col min="3595" max="3595" width="10.25" style="161" customWidth="1"/>
    <col min="3596" max="3596" width="9.25" style="161" customWidth="1"/>
    <col min="3597" max="3597" width="9.5" style="161" customWidth="1"/>
    <col min="3598" max="3598" width="10.125" style="161" customWidth="1"/>
    <col min="3599" max="3599" width="16.875" style="161" customWidth="1"/>
    <col min="3600" max="3604" width="9" style="161"/>
    <col min="3605" max="3605" width="11.75" style="161" customWidth="1"/>
    <col min="3606" max="3606" width="9.875" style="161" customWidth="1"/>
    <col min="3607" max="3607" width="10.625" style="161" customWidth="1"/>
    <col min="3608" max="3608" width="12.75" style="161" customWidth="1"/>
    <col min="3609" max="3609" width="11.75" style="161" customWidth="1"/>
    <col min="3610" max="3610" width="9.875" style="161" customWidth="1"/>
    <col min="3611" max="3611" width="10.625" style="161" customWidth="1"/>
    <col min="3612" max="3612" width="12.75" style="161" customWidth="1"/>
    <col min="3613" max="3613" width="12.125" style="161" customWidth="1"/>
    <col min="3614" max="3614" width="10.625" style="161" customWidth="1"/>
    <col min="3615" max="3615" width="10.875" style="161" customWidth="1"/>
    <col min="3616" max="3616" width="11.25" style="161" customWidth="1"/>
    <col min="3617" max="3838" width="9" style="161"/>
    <col min="3839" max="3839" width="15.875" style="161" customWidth="1"/>
    <col min="3840" max="3840" width="14" style="161" customWidth="1"/>
    <col min="3841" max="3841" width="12.75" style="161" customWidth="1"/>
    <col min="3842" max="3842" width="12.25" style="161" customWidth="1"/>
    <col min="3843" max="3843" width="13.75" style="161" customWidth="1"/>
    <col min="3844" max="3844" width="9.625" style="161" customWidth="1"/>
    <col min="3845" max="3845" width="10.25" style="161" customWidth="1"/>
    <col min="3846" max="3846" width="10.125" style="161" customWidth="1"/>
    <col min="3847" max="3847" width="7" style="161" customWidth="1"/>
    <col min="3848" max="3848" width="11.75" style="161" customWidth="1"/>
    <col min="3849" max="3849" width="11.5" style="161" customWidth="1"/>
    <col min="3850" max="3850" width="9.75" style="161" customWidth="1"/>
    <col min="3851" max="3851" width="10.25" style="161" customWidth="1"/>
    <col min="3852" max="3852" width="9.25" style="161" customWidth="1"/>
    <col min="3853" max="3853" width="9.5" style="161" customWidth="1"/>
    <col min="3854" max="3854" width="10.125" style="161" customWidth="1"/>
    <col min="3855" max="3855" width="16.875" style="161" customWidth="1"/>
    <col min="3856" max="3860" width="9" style="161"/>
    <col min="3861" max="3861" width="11.75" style="161" customWidth="1"/>
    <col min="3862" max="3862" width="9.875" style="161" customWidth="1"/>
    <col min="3863" max="3863" width="10.625" style="161" customWidth="1"/>
    <col min="3864" max="3864" width="12.75" style="161" customWidth="1"/>
    <col min="3865" max="3865" width="11.75" style="161" customWidth="1"/>
    <col min="3866" max="3866" width="9.875" style="161" customWidth="1"/>
    <col min="3867" max="3867" width="10.625" style="161" customWidth="1"/>
    <col min="3868" max="3868" width="12.75" style="161" customWidth="1"/>
    <col min="3869" max="3869" width="12.125" style="161" customWidth="1"/>
    <col min="3870" max="3870" width="10.625" style="161" customWidth="1"/>
    <col min="3871" max="3871" width="10.875" style="161" customWidth="1"/>
    <col min="3872" max="3872" width="11.25" style="161" customWidth="1"/>
    <col min="3873" max="4094" width="9" style="161"/>
    <col min="4095" max="4095" width="15.875" style="161" customWidth="1"/>
    <col min="4096" max="4096" width="14" style="161" customWidth="1"/>
    <col min="4097" max="4097" width="12.75" style="161" customWidth="1"/>
    <col min="4098" max="4098" width="12.25" style="161" customWidth="1"/>
    <col min="4099" max="4099" width="13.75" style="161" customWidth="1"/>
    <col min="4100" max="4100" width="9.625" style="161" customWidth="1"/>
    <col min="4101" max="4101" width="10.25" style="161" customWidth="1"/>
    <col min="4102" max="4102" width="10.125" style="161" customWidth="1"/>
    <col min="4103" max="4103" width="7" style="161" customWidth="1"/>
    <col min="4104" max="4104" width="11.75" style="161" customWidth="1"/>
    <col min="4105" max="4105" width="11.5" style="161" customWidth="1"/>
    <col min="4106" max="4106" width="9.75" style="161" customWidth="1"/>
    <col min="4107" max="4107" width="10.25" style="161" customWidth="1"/>
    <col min="4108" max="4108" width="9.25" style="161" customWidth="1"/>
    <col min="4109" max="4109" width="9.5" style="161" customWidth="1"/>
    <col min="4110" max="4110" width="10.125" style="161" customWidth="1"/>
    <col min="4111" max="4111" width="16.875" style="161" customWidth="1"/>
    <col min="4112" max="4116" width="9" style="161"/>
    <col min="4117" max="4117" width="11.75" style="161" customWidth="1"/>
    <col min="4118" max="4118" width="9.875" style="161" customWidth="1"/>
    <col min="4119" max="4119" width="10.625" style="161" customWidth="1"/>
    <col min="4120" max="4120" width="12.75" style="161" customWidth="1"/>
    <col min="4121" max="4121" width="11.75" style="161" customWidth="1"/>
    <col min="4122" max="4122" width="9.875" style="161" customWidth="1"/>
    <col min="4123" max="4123" width="10.625" style="161" customWidth="1"/>
    <col min="4124" max="4124" width="12.75" style="161" customWidth="1"/>
    <col min="4125" max="4125" width="12.125" style="161" customWidth="1"/>
    <col min="4126" max="4126" width="10.625" style="161" customWidth="1"/>
    <col min="4127" max="4127" width="10.875" style="161" customWidth="1"/>
    <col min="4128" max="4128" width="11.25" style="161" customWidth="1"/>
    <col min="4129" max="4350" width="9" style="161"/>
    <col min="4351" max="4351" width="15.875" style="161" customWidth="1"/>
    <col min="4352" max="4352" width="14" style="161" customWidth="1"/>
    <col min="4353" max="4353" width="12.75" style="161" customWidth="1"/>
    <col min="4354" max="4354" width="12.25" style="161" customWidth="1"/>
    <col min="4355" max="4355" width="13.75" style="161" customWidth="1"/>
    <col min="4356" max="4356" width="9.625" style="161" customWidth="1"/>
    <col min="4357" max="4357" width="10.25" style="161" customWidth="1"/>
    <col min="4358" max="4358" width="10.125" style="161" customWidth="1"/>
    <col min="4359" max="4359" width="7" style="161" customWidth="1"/>
    <col min="4360" max="4360" width="11.75" style="161" customWidth="1"/>
    <col min="4361" max="4361" width="11.5" style="161" customWidth="1"/>
    <col min="4362" max="4362" width="9.75" style="161" customWidth="1"/>
    <col min="4363" max="4363" width="10.25" style="161" customWidth="1"/>
    <col min="4364" max="4364" width="9.25" style="161" customWidth="1"/>
    <col min="4365" max="4365" width="9.5" style="161" customWidth="1"/>
    <col min="4366" max="4366" width="10.125" style="161" customWidth="1"/>
    <col min="4367" max="4367" width="16.875" style="161" customWidth="1"/>
    <col min="4368" max="4372" width="9" style="161"/>
    <col min="4373" max="4373" width="11.75" style="161" customWidth="1"/>
    <col min="4374" max="4374" width="9.875" style="161" customWidth="1"/>
    <col min="4375" max="4375" width="10.625" style="161" customWidth="1"/>
    <col min="4376" max="4376" width="12.75" style="161" customWidth="1"/>
    <col min="4377" max="4377" width="11.75" style="161" customWidth="1"/>
    <col min="4378" max="4378" width="9.875" style="161" customWidth="1"/>
    <col min="4379" max="4379" width="10.625" style="161" customWidth="1"/>
    <col min="4380" max="4380" width="12.75" style="161" customWidth="1"/>
    <col min="4381" max="4381" width="12.125" style="161" customWidth="1"/>
    <col min="4382" max="4382" width="10.625" style="161" customWidth="1"/>
    <col min="4383" max="4383" width="10.875" style="161" customWidth="1"/>
    <col min="4384" max="4384" width="11.25" style="161" customWidth="1"/>
    <col min="4385" max="4606" width="9" style="161"/>
    <col min="4607" max="4607" width="15.875" style="161" customWidth="1"/>
    <col min="4608" max="4608" width="14" style="161" customWidth="1"/>
    <col min="4609" max="4609" width="12.75" style="161" customWidth="1"/>
    <col min="4610" max="4610" width="12.25" style="161" customWidth="1"/>
    <col min="4611" max="4611" width="13.75" style="161" customWidth="1"/>
    <col min="4612" max="4612" width="9.625" style="161" customWidth="1"/>
    <col min="4613" max="4613" width="10.25" style="161" customWidth="1"/>
    <col min="4614" max="4614" width="10.125" style="161" customWidth="1"/>
    <col min="4615" max="4615" width="7" style="161" customWidth="1"/>
    <col min="4616" max="4616" width="11.75" style="161" customWidth="1"/>
    <col min="4617" max="4617" width="11.5" style="161" customWidth="1"/>
    <col min="4618" max="4618" width="9.75" style="161" customWidth="1"/>
    <col min="4619" max="4619" width="10.25" style="161" customWidth="1"/>
    <col min="4620" max="4620" width="9.25" style="161" customWidth="1"/>
    <col min="4621" max="4621" width="9.5" style="161" customWidth="1"/>
    <col min="4622" max="4622" width="10.125" style="161" customWidth="1"/>
    <col min="4623" max="4623" width="16.875" style="161" customWidth="1"/>
    <col min="4624" max="4628" width="9" style="161"/>
    <col min="4629" max="4629" width="11.75" style="161" customWidth="1"/>
    <col min="4630" max="4630" width="9.875" style="161" customWidth="1"/>
    <col min="4631" max="4631" width="10.625" style="161" customWidth="1"/>
    <col min="4632" max="4632" width="12.75" style="161" customWidth="1"/>
    <col min="4633" max="4633" width="11.75" style="161" customWidth="1"/>
    <col min="4634" max="4634" width="9.875" style="161" customWidth="1"/>
    <col min="4635" max="4635" width="10.625" style="161" customWidth="1"/>
    <col min="4636" max="4636" width="12.75" style="161" customWidth="1"/>
    <col min="4637" max="4637" width="12.125" style="161" customWidth="1"/>
    <col min="4638" max="4638" width="10.625" style="161" customWidth="1"/>
    <col min="4639" max="4639" width="10.875" style="161" customWidth="1"/>
    <col min="4640" max="4640" width="11.25" style="161" customWidth="1"/>
    <col min="4641" max="4862" width="9" style="161"/>
    <col min="4863" max="4863" width="15.875" style="161" customWidth="1"/>
    <col min="4864" max="4864" width="14" style="161" customWidth="1"/>
    <col min="4865" max="4865" width="12.75" style="161" customWidth="1"/>
    <col min="4866" max="4866" width="12.25" style="161" customWidth="1"/>
    <col min="4867" max="4867" width="13.75" style="161" customWidth="1"/>
    <col min="4868" max="4868" width="9.625" style="161" customWidth="1"/>
    <col min="4869" max="4869" width="10.25" style="161" customWidth="1"/>
    <col min="4870" max="4870" width="10.125" style="161" customWidth="1"/>
    <col min="4871" max="4871" width="7" style="161" customWidth="1"/>
    <col min="4872" max="4872" width="11.75" style="161" customWidth="1"/>
    <col min="4873" max="4873" width="11.5" style="161" customWidth="1"/>
    <col min="4874" max="4874" width="9.75" style="161" customWidth="1"/>
    <col min="4875" max="4875" width="10.25" style="161" customWidth="1"/>
    <col min="4876" max="4876" width="9.25" style="161" customWidth="1"/>
    <col min="4877" max="4877" width="9.5" style="161" customWidth="1"/>
    <col min="4878" max="4878" width="10.125" style="161" customWidth="1"/>
    <col min="4879" max="4879" width="16.875" style="161" customWidth="1"/>
    <col min="4880" max="4884" width="9" style="161"/>
    <col min="4885" max="4885" width="11.75" style="161" customWidth="1"/>
    <col min="4886" max="4886" width="9.875" style="161" customWidth="1"/>
    <col min="4887" max="4887" width="10.625" style="161" customWidth="1"/>
    <col min="4888" max="4888" width="12.75" style="161" customWidth="1"/>
    <col min="4889" max="4889" width="11.75" style="161" customWidth="1"/>
    <col min="4890" max="4890" width="9.875" style="161" customWidth="1"/>
    <col min="4891" max="4891" width="10.625" style="161" customWidth="1"/>
    <col min="4892" max="4892" width="12.75" style="161" customWidth="1"/>
    <col min="4893" max="4893" width="12.125" style="161" customWidth="1"/>
    <col min="4894" max="4894" width="10.625" style="161" customWidth="1"/>
    <col min="4895" max="4895" width="10.875" style="161" customWidth="1"/>
    <col min="4896" max="4896" width="11.25" style="161" customWidth="1"/>
    <col min="4897" max="5118" width="9" style="161"/>
    <col min="5119" max="5119" width="15.875" style="161" customWidth="1"/>
    <col min="5120" max="5120" width="14" style="161" customWidth="1"/>
    <col min="5121" max="5121" width="12.75" style="161" customWidth="1"/>
    <col min="5122" max="5122" width="12.25" style="161" customWidth="1"/>
    <col min="5123" max="5123" width="13.75" style="161" customWidth="1"/>
    <col min="5124" max="5124" width="9.625" style="161" customWidth="1"/>
    <col min="5125" max="5125" width="10.25" style="161" customWidth="1"/>
    <col min="5126" max="5126" width="10.125" style="161" customWidth="1"/>
    <col min="5127" max="5127" width="7" style="161" customWidth="1"/>
    <col min="5128" max="5128" width="11.75" style="161" customWidth="1"/>
    <col min="5129" max="5129" width="11.5" style="161" customWidth="1"/>
    <col min="5130" max="5130" width="9.75" style="161" customWidth="1"/>
    <col min="5131" max="5131" width="10.25" style="161" customWidth="1"/>
    <col min="5132" max="5132" width="9.25" style="161" customWidth="1"/>
    <col min="5133" max="5133" width="9.5" style="161" customWidth="1"/>
    <col min="5134" max="5134" width="10.125" style="161" customWidth="1"/>
    <col min="5135" max="5135" width="16.875" style="161" customWidth="1"/>
    <col min="5136" max="5140" width="9" style="161"/>
    <col min="5141" max="5141" width="11.75" style="161" customWidth="1"/>
    <col min="5142" max="5142" width="9.875" style="161" customWidth="1"/>
    <col min="5143" max="5143" width="10.625" style="161" customWidth="1"/>
    <col min="5144" max="5144" width="12.75" style="161" customWidth="1"/>
    <col min="5145" max="5145" width="11.75" style="161" customWidth="1"/>
    <col min="5146" max="5146" width="9.875" style="161" customWidth="1"/>
    <col min="5147" max="5147" width="10.625" style="161" customWidth="1"/>
    <col min="5148" max="5148" width="12.75" style="161" customWidth="1"/>
    <col min="5149" max="5149" width="12.125" style="161" customWidth="1"/>
    <col min="5150" max="5150" width="10.625" style="161" customWidth="1"/>
    <col min="5151" max="5151" width="10.875" style="161" customWidth="1"/>
    <col min="5152" max="5152" width="11.25" style="161" customWidth="1"/>
    <col min="5153" max="5374" width="9" style="161"/>
    <col min="5375" max="5375" width="15.875" style="161" customWidth="1"/>
    <col min="5376" max="5376" width="14" style="161" customWidth="1"/>
    <col min="5377" max="5377" width="12.75" style="161" customWidth="1"/>
    <col min="5378" max="5378" width="12.25" style="161" customWidth="1"/>
    <col min="5379" max="5379" width="13.75" style="161" customWidth="1"/>
    <col min="5380" max="5380" width="9.625" style="161" customWidth="1"/>
    <col min="5381" max="5381" width="10.25" style="161" customWidth="1"/>
    <col min="5382" max="5382" width="10.125" style="161" customWidth="1"/>
    <col min="5383" max="5383" width="7" style="161" customWidth="1"/>
    <col min="5384" max="5384" width="11.75" style="161" customWidth="1"/>
    <col min="5385" max="5385" width="11.5" style="161" customWidth="1"/>
    <col min="5386" max="5386" width="9.75" style="161" customWidth="1"/>
    <col min="5387" max="5387" width="10.25" style="161" customWidth="1"/>
    <col min="5388" max="5388" width="9.25" style="161" customWidth="1"/>
    <col min="5389" max="5389" width="9.5" style="161" customWidth="1"/>
    <col min="5390" max="5390" width="10.125" style="161" customWidth="1"/>
    <col min="5391" max="5391" width="16.875" style="161" customWidth="1"/>
    <col min="5392" max="5396" width="9" style="161"/>
    <col min="5397" max="5397" width="11.75" style="161" customWidth="1"/>
    <col min="5398" max="5398" width="9.875" style="161" customWidth="1"/>
    <col min="5399" max="5399" width="10.625" style="161" customWidth="1"/>
    <col min="5400" max="5400" width="12.75" style="161" customWidth="1"/>
    <col min="5401" max="5401" width="11.75" style="161" customWidth="1"/>
    <col min="5402" max="5402" width="9.875" style="161" customWidth="1"/>
    <col min="5403" max="5403" width="10.625" style="161" customWidth="1"/>
    <col min="5404" max="5404" width="12.75" style="161" customWidth="1"/>
    <col min="5405" max="5405" width="12.125" style="161" customWidth="1"/>
    <col min="5406" max="5406" width="10.625" style="161" customWidth="1"/>
    <col min="5407" max="5407" width="10.875" style="161" customWidth="1"/>
    <col min="5408" max="5408" width="11.25" style="161" customWidth="1"/>
    <col min="5409" max="5630" width="9" style="161"/>
    <col min="5631" max="5631" width="15.875" style="161" customWidth="1"/>
    <col min="5632" max="5632" width="14" style="161" customWidth="1"/>
    <col min="5633" max="5633" width="12.75" style="161" customWidth="1"/>
    <col min="5634" max="5634" width="12.25" style="161" customWidth="1"/>
    <col min="5635" max="5635" width="13.75" style="161" customWidth="1"/>
    <col min="5636" max="5636" width="9.625" style="161" customWidth="1"/>
    <col min="5637" max="5637" width="10.25" style="161" customWidth="1"/>
    <col min="5638" max="5638" width="10.125" style="161" customWidth="1"/>
    <col min="5639" max="5639" width="7" style="161" customWidth="1"/>
    <col min="5640" max="5640" width="11.75" style="161" customWidth="1"/>
    <col min="5641" max="5641" width="11.5" style="161" customWidth="1"/>
    <col min="5642" max="5642" width="9.75" style="161" customWidth="1"/>
    <col min="5643" max="5643" width="10.25" style="161" customWidth="1"/>
    <col min="5644" max="5644" width="9.25" style="161" customWidth="1"/>
    <col min="5645" max="5645" width="9.5" style="161" customWidth="1"/>
    <col min="5646" max="5646" width="10.125" style="161" customWidth="1"/>
    <col min="5647" max="5647" width="16.875" style="161" customWidth="1"/>
    <col min="5648" max="5652" width="9" style="161"/>
    <col min="5653" max="5653" width="11.75" style="161" customWidth="1"/>
    <col min="5654" max="5654" width="9.875" style="161" customWidth="1"/>
    <col min="5655" max="5655" width="10.625" style="161" customWidth="1"/>
    <col min="5656" max="5656" width="12.75" style="161" customWidth="1"/>
    <col min="5657" max="5657" width="11.75" style="161" customWidth="1"/>
    <col min="5658" max="5658" width="9.875" style="161" customWidth="1"/>
    <col min="5659" max="5659" width="10.625" style="161" customWidth="1"/>
    <col min="5660" max="5660" width="12.75" style="161" customWidth="1"/>
    <col min="5661" max="5661" width="12.125" style="161" customWidth="1"/>
    <col min="5662" max="5662" width="10.625" style="161" customWidth="1"/>
    <col min="5663" max="5663" width="10.875" style="161" customWidth="1"/>
    <col min="5664" max="5664" width="11.25" style="161" customWidth="1"/>
    <col min="5665" max="5886" width="9" style="161"/>
    <col min="5887" max="5887" width="15.875" style="161" customWidth="1"/>
    <col min="5888" max="5888" width="14" style="161" customWidth="1"/>
    <col min="5889" max="5889" width="12.75" style="161" customWidth="1"/>
    <col min="5890" max="5890" width="12.25" style="161" customWidth="1"/>
    <col min="5891" max="5891" width="13.75" style="161" customWidth="1"/>
    <col min="5892" max="5892" width="9.625" style="161" customWidth="1"/>
    <col min="5893" max="5893" width="10.25" style="161" customWidth="1"/>
    <col min="5894" max="5894" width="10.125" style="161" customWidth="1"/>
    <col min="5895" max="5895" width="7" style="161" customWidth="1"/>
    <col min="5896" max="5896" width="11.75" style="161" customWidth="1"/>
    <col min="5897" max="5897" width="11.5" style="161" customWidth="1"/>
    <col min="5898" max="5898" width="9.75" style="161" customWidth="1"/>
    <col min="5899" max="5899" width="10.25" style="161" customWidth="1"/>
    <col min="5900" max="5900" width="9.25" style="161" customWidth="1"/>
    <col min="5901" max="5901" width="9.5" style="161" customWidth="1"/>
    <col min="5902" max="5902" width="10.125" style="161" customWidth="1"/>
    <col min="5903" max="5903" width="16.875" style="161" customWidth="1"/>
    <col min="5904" max="5908" width="9" style="161"/>
    <col min="5909" max="5909" width="11.75" style="161" customWidth="1"/>
    <col min="5910" max="5910" width="9.875" style="161" customWidth="1"/>
    <col min="5911" max="5911" width="10.625" style="161" customWidth="1"/>
    <col min="5912" max="5912" width="12.75" style="161" customWidth="1"/>
    <col min="5913" max="5913" width="11.75" style="161" customWidth="1"/>
    <col min="5914" max="5914" width="9.875" style="161" customWidth="1"/>
    <col min="5915" max="5915" width="10.625" style="161" customWidth="1"/>
    <col min="5916" max="5916" width="12.75" style="161" customWidth="1"/>
    <col min="5917" max="5917" width="12.125" style="161" customWidth="1"/>
    <col min="5918" max="5918" width="10.625" style="161" customWidth="1"/>
    <col min="5919" max="5919" width="10.875" style="161" customWidth="1"/>
    <col min="5920" max="5920" width="11.25" style="161" customWidth="1"/>
    <col min="5921" max="6142" width="9" style="161"/>
    <col min="6143" max="6143" width="15.875" style="161" customWidth="1"/>
    <col min="6144" max="6144" width="14" style="161" customWidth="1"/>
    <col min="6145" max="6145" width="12.75" style="161" customWidth="1"/>
    <col min="6146" max="6146" width="12.25" style="161" customWidth="1"/>
    <col min="6147" max="6147" width="13.75" style="161" customWidth="1"/>
    <col min="6148" max="6148" width="9.625" style="161" customWidth="1"/>
    <col min="6149" max="6149" width="10.25" style="161" customWidth="1"/>
    <col min="6150" max="6150" width="10.125" style="161" customWidth="1"/>
    <col min="6151" max="6151" width="7" style="161" customWidth="1"/>
    <col min="6152" max="6152" width="11.75" style="161" customWidth="1"/>
    <col min="6153" max="6153" width="11.5" style="161" customWidth="1"/>
    <col min="6154" max="6154" width="9.75" style="161" customWidth="1"/>
    <col min="6155" max="6155" width="10.25" style="161" customWidth="1"/>
    <col min="6156" max="6156" width="9.25" style="161" customWidth="1"/>
    <col min="6157" max="6157" width="9.5" style="161" customWidth="1"/>
    <col min="6158" max="6158" width="10.125" style="161" customWidth="1"/>
    <col min="6159" max="6159" width="16.875" style="161" customWidth="1"/>
    <col min="6160" max="6164" width="9" style="161"/>
    <col min="6165" max="6165" width="11.75" style="161" customWidth="1"/>
    <col min="6166" max="6166" width="9.875" style="161" customWidth="1"/>
    <col min="6167" max="6167" width="10.625" style="161" customWidth="1"/>
    <col min="6168" max="6168" width="12.75" style="161" customWidth="1"/>
    <col min="6169" max="6169" width="11.75" style="161" customWidth="1"/>
    <col min="6170" max="6170" width="9.875" style="161" customWidth="1"/>
    <col min="6171" max="6171" width="10.625" style="161" customWidth="1"/>
    <col min="6172" max="6172" width="12.75" style="161" customWidth="1"/>
    <col min="6173" max="6173" width="12.125" style="161" customWidth="1"/>
    <col min="6174" max="6174" width="10.625" style="161" customWidth="1"/>
    <col min="6175" max="6175" width="10.875" style="161" customWidth="1"/>
    <col min="6176" max="6176" width="11.25" style="161" customWidth="1"/>
    <col min="6177" max="6398" width="9" style="161"/>
    <col min="6399" max="6399" width="15.875" style="161" customWidth="1"/>
    <col min="6400" max="6400" width="14" style="161" customWidth="1"/>
    <col min="6401" max="6401" width="12.75" style="161" customWidth="1"/>
    <col min="6402" max="6402" width="12.25" style="161" customWidth="1"/>
    <col min="6403" max="6403" width="13.75" style="161" customWidth="1"/>
    <col min="6404" max="6404" width="9.625" style="161" customWidth="1"/>
    <col min="6405" max="6405" width="10.25" style="161" customWidth="1"/>
    <col min="6406" max="6406" width="10.125" style="161" customWidth="1"/>
    <col min="6407" max="6407" width="7" style="161" customWidth="1"/>
    <col min="6408" max="6408" width="11.75" style="161" customWidth="1"/>
    <col min="6409" max="6409" width="11.5" style="161" customWidth="1"/>
    <col min="6410" max="6410" width="9.75" style="161" customWidth="1"/>
    <col min="6411" max="6411" width="10.25" style="161" customWidth="1"/>
    <col min="6412" max="6412" width="9.25" style="161" customWidth="1"/>
    <col min="6413" max="6413" width="9.5" style="161" customWidth="1"/>
    <col min="6414" max="6414" width="10.125" style="161" customWidth="1"/>
    <col min="6415" max="6415" width="16.875" style="161" customWidth="1"/>
    <col min="6416" max="6420" width="9" style="161"/>
    <col min="6421" max="6421" width="11.75" style="161" customWidth="1"/>
    <col min="6422" max="6422" width="9.875" style="161" customWidth="1"/>
    <col min="6423" max="6423" width="10.625" style="161" customWidth="1"/>
    <col min="6424" max="6424" width="12.75" style="161" customWidth="1"/>
    <col min="6425" max="6425" width="11.75" style="161" customWidth="1"/>
    <col min="6426" max="6426" width="9.875" style="161" customWidth="1"/>
    <col min="6427" max="6427" width="10.625" style="161" customWidth="1"/>
    <col min="6428" max="6428" width="12.75" style="161" customWidth="1"/>
    <col min="6429" max="6429" width="12.125" style="161" customWidth="1"/>
    <col min="6430" max="6430" width="10.625" style="161" customWidth="1"/>
    <col min="6431" max="6431" width="10.875" style="161" customWidth="1"/>
    <col min="6432" max="6432" width="11.25" style="161" customWidth="1"/>
    <col min="6433" max="6654" width="9" style="161"/>
    <col min="6655" max="6655" width="15.875" style="161" customWidth="1"/>
    <col min="6656" max="6656" width="14" style="161" customWidth="1"/>
    <col min="6657" max="6657" width="12.75" style="161" customWidth="1"/>
    <col min="6658" max="6658" width="12.25" style="161" customWidth="1"/>
    <col min="6659" max="6659" width="13.75" style="161" customWidth="1"/>
    <col min="6660" max="6660" width="9.625" style="161" customWidth="1"/>
    <col min="6661" max="6661" width="10.25" style="161" customWidth="1"/>
    <col min="6662" max="6662" width="10.125" style="161" customWidth="1"/>
    <col min="6663" max="6663" width="7" style="161" customWidth="1"/>
    <col min="6664" max="6664" width="11.75" style="161" customWidth="1"/>
    <col min="6665" max="6665" width="11.5" style="161" customWidth="1"/>
    <col min="6666" max="6666" width="9.75" style="161" customWidth="1"/>
    <col min="6667" max="6667" width="10.25" style="161" customWidth="1"/>
    <col min="6668" max="6668" width="9.25" style="161" customWidth="1"/>
    <col min="6669" max="6669" width="9.5" style="161" customWidth="1"/>
    <col min="6670" max="6670" width="10.125" style="161" customWidth="1"/>
    <col min="6671" max="6671" width="16.875" style="161" customWidth="1"/>
    <col min="6672" max="6676" width="9" style="161"/>
    <col min="6677" max="6677" width="11.75" style="161" customWidth="1"/>
    <col min="6678" max="6678" width="9.875" style="161" customWidth="1"/>
    <col min="6679" max="6679" width="10.625" style="161" customWidth="1"/>
    <col min="6680" max="6680" width="12.75" style="161" customWidth="1"/>
    <col min="6681" max="6681" width="11.75" style="161" customWidth="1"/>
    <col min="6682" max="6682" width="9.875" style="161" customWidth="1"/>
    <col min="6683" max="6683" width="10.625" style="161" customWidth="1"/>
    <col min="6684" max="6684" width="12.75" style="161" customWidth="1"/>
    <col min="6685" max="6685" width="12.125" style="161" customWidth="1"/>
    <col min="6686" max="6686" width="10.625" style="161" customWidth="1"/>
    <col min="6687" max="6687" width="10.875" style="161" customWidth="1"/>
    <col min="6688" max="6688" width="11.25" style="161" customWidth="1"/>
    <col min="6689" max="6910" width="9" style="161"/>
    <col min="6911" max="6911" width="15.875" style="161" customWidth="1"/>
    <col min="6912" max="6912" width="14" style="161" customWidth="1"/>
    <col min="6913" max="6913" width="12.75" style="161" customWidth="1"/>
    <col min="6914" max="6914" width="12.25" style="161" customWidth="1"/>
    <col min="6915" max="6915" width="13.75" style="161" customWidth="1"/>
    <col min="6916" max="6916" width="9.625" style="161" customWidth="1"/>
    <col min="6917" max="6917" width="10.25" style="161" customWidth="1"/>
    <col min="6918" max="6918" width="10.125" style="161" customWidth="1"/>
    <col min="6919" max="6919" width="7" style="161" customWidth="1"/>
    <col min="6920" max="6920" width="11.75" style="161" customWidth="1"/>
    <col min="6921" max="6921" width="11.5" style="161" customWidth="1"/>
    <col min="6922" max="6922" width="9.75" style="161" customWidth="1"/>
    <col min="6923" max="6923" width="10.25" style="161" customWidth="1"/>
    <col min="6924" max="6924" width="9.25" style="161" customWidth="1"/>
    <col min="6925" max="6925" width="9.5" style="161" customWidth="1"/>
    <col min="6926" max="6926" width="10.125" style="161" customWidth="1"/>
    <col min="6927" max="6927" width="16.875" style="161" customWidth="1"/>
    <col min="6928" max="6932" width="9" style="161"/>
    <col min="6933" max="6933" width="11.75" style="161" customWidth="1"/>
    <col min="6934" max="6934" width="9.875" style="161" customWidth="1"/>
    <col min="6935" max="6935" width="10.625" style="161" customWidth="1"/>
    <col min="6936" max="6936" width="12.75" style="161" customWidth="1"/>
    <col min="6937" max="6937" width="11.75" style="161" customWidth="1"/>
    <col min="6938" max="6938" width="9.875" style="161" customWidth="1"/>
    <col min="6939" max="6939" width="10.625" style="161" customWidth="1"/>
    <col min="6940" max="6940" width="12.75" style="161" customWidth="1"/>
    <col min="6941" max="6941" width="12.125" style="161" customWidth="1"/>
    <col min="6942" max="6942" width="10.625" style="161" customWidth="1"/>
    <col min="6943" max="6943" width="10.875" style="161" customWidth="1"/>
    <col min="6944" max="6944" width="11.25" style="161" customWidth="1"/>
    <col min="6945" max="7166" width="9" style="161"/>
    <col min="7167" max="7167" width="15.875" style="161" customWidth="1"/>
    <col min="7168" max="7168" width="14" style="161" customWidth="1"/>
    <col min="7169" max="7169" width="12.75" style="161" customWidth="1"/>
    <col min="7170" max="7170" width="12.25" style="161" customWidth="1"/>
    <col min="7171" max="7171" width="13.75" style="161" customWidth="1"/>
    <col min="7172" max="7172" width="9.625" style="161" customWidth="1"/>
    <col min="7173" max="7173" width="10.25" style="161" customWidth="1"/>
    <col min="7174" max="7174" width="10.125" style="161" customWidth="1"/>
    <col min="7175" max="7175" width="7" style="161" customWidth="1"/>
    <col min="7176" max="7176" width="11.75" style="161" customWidth="1"/>
    <col min="7177" max="7177" width="11.5" style="161" customWidth="1"/>
    <col min="7178" max="7178" width="9.75" style="161" customWidth="1"/>
    <col min="7179" max="7179" width="10.25" style="161" customWidth="1"/>
    <col min="7180" max="7180" width="9.25" style="161" customWidth="1"/>
    <col min="7181" max="7181" width="9.5" style="161" customWidth="1"/>
    <col min="7182" max="7182" width="10.125" style="161" customWidth="1"/>
    <col min="7183" max="7183" width="16.875" style="161" customWidth="1"/>
    <col min="7184" max="7188" width="9" style="161"/>
    <col min="7189" max="7189" width="11.75" style="161" customWidth="1"/>
    <col min="7190" max="7190" width="9.875" style="161" customWidth="1"/>
    <col min="7191" max="7191" width="10.625" style="161" customWidth="1"/>
    <col min="7192" max="7192" width="12.75" style="161" customWidth="1"/>
    <col min="7193" max="7193" width="11.75" style="161" customWidth="1"/>
    <col min="7194" max="7194" width="9.875" style="161" customWidth="1"/>
    <col min="7195" max="7195" width="10.625" style="161" customWidth="1"/>
    <col min="7196" max="7196" width="12.75" style="161" customWidth="1"/>
    <col min="7197" max="7197" width="12.125" style="161" customWidth="1"/>
    <col min="7198" max="7198" width="10.625" style="161" customWidth="1"/>
    <col min="7199" max="7199" width="10.875" style="161" customWidth="1"/>
    <col min="7200" max="7200" width="11.25" style="161" customWidth="1"/>
    <col min="7201" max="7422" width="9" style="161"/>
    <col min="7423" max="7423" width="15.875" style="161" customWidth="1"/>
    <col min="7424" max="7424" width="14" style="161" customWidth="1"/>
    <col min="7425" max="7425" width="12.75" style="161" customWidth="1"/>
    <col min="7426" max="7426" width="12.25" style="161" customWidth="1"/>
    <col min="7427" max="7427" width="13.75" style="161" customWidth="1"/>
    <col min="7428" max="7428" width="9.625" style="161" customWidth="1"/>
    <col min="7429" max="7429" width="10.25" style="161" customWidth="1"/>
    <col min="7430" max="7430" width="10.125" style="161" customWidth="1"/>
    <col min="7431" max="7431" width="7" style="161" customWidth="1"/>
    <col min="7432" max="7432" width="11.75" style="161" customWidth="1"/>
    <col min="7433" max="7433" width="11.5" style="161" customWidth="1"/>
    <col min="7434" max="7434" width="9.75" style="161" customWidth="1"/>
    <col min="7435" max="7435" width="10.25" style="161" customWidth="1"/>
    <col min="7436" max="7436" width="9.25" style="161" customWidth="1"/>
    <col min="7437" max="7437" width="9.5" style="161" customWidth="1"/>
    <col min="7438" max="7438" width="10.125" style="161" customWidth="1"/>
    <col min="7439" max="7439" width="16.875" style="161" customWidth="1"/>
    <col min="7440" max="7444" width="9" style="161"/>
    <col min="7445" max="7445" width="11.75" style="161" customWidth="1"/>
    <col min="7446" max="7446" width="9.875" style="161" customWidth="1"/>
    <col min="7447" max="7447" width="10.625" style="161" customWidth="1"/>
    <col min="7448" max="7448" width="12.75" style="161" customWidth="1"/>
    <col min="7449" max="7449" width="11.75" style="161" customWidth="1"/>
    <col min="7450" max="7450" width="9.875" style="161" customWidth="1"/>
    <col min="7451" max="7451" width="10.625" style="161" customWidth="1"/>
    <col min="7452" max="7452" width="12.75" style="161" customWidth="1"/>
    <col min="7453" max="7453" width="12.125" style="161" customWidth="1"/>
    <col min="7454" max="7454" width="10.625" style="161" customWidth="1"/>
    <col min="7455" max="7455" width="10.875" style="161" customWidth="1"/>
    <col min="7456" max="7456" width="11.25" style="161" customWidth="1"/>
    <col min="7457" max="7678" width="9" style="161"/>
    <col min="7679" max="7679" width="15.875" style="161" customWidth="1"/>
    <col min="7680" max="7680" width="14" style="161" customWidth="1"/>
    <col min="7681" max="7681" width="12.75" style="161" customWidth="1"/>
    <col min="7682" max="7682" width="12.25" style="161" customWidth="1"/>
    <col min="7683" max="7683" width="13.75" style="161" customWidth="1"/>
    <col min="7684" max="7684" width="9.625" style="161" customWidth="1"/>
    <col min="7685" max="7685" width="10.25" style="161" customWidth="1"/>
    <col min="7686" max="7686" width="10.125" style="161" customWidth="1"/>
    <col min="7687" max="7687" width="7" style="161" customWidth="1"/>
    <col min="7688" max="7688" width="11.75" style="161" customWidth="1"/>
    <col min="7689" max="7689" width="11.5" style="161" customWidth="1"/>
    <col min="7690" max="7690" width="9.75" style="161" customWidth="1"/>
    <col min="7691" max="7691" width="10.25" style="161" customWidth="1"/>
    <col min="7692" max="7692" width="9.25" style="161" customWidth="1"/>
    <col min="7693" max="7693" width="9.5" style="161" customWidth="1"/>
    <col min="7694" max="7694" width="10.125" style="161" customWidth="1"/>
    <col min="7695" max="7695" width="16.875" style="161" customWidth="1"/>
    <col min="7696" max="7700" width="9" style="161"/>
    <col min="7701" max="7701" width="11.75" style="161" customWidth="1"/>
    <col min="7702" max="7702" width="9.875" style="161" customWidth="1"/>
    <col min="7703" max="7703" width="10.625" style="161" customWidth="1"/>
    <col min="7704" max="7704" width="12.75" style="161" customWidth="1"/>
    <col min="7705" max="7705" width="11.75" style="161" customWidth="1"/>
    <col min="7706" max="7706" width="9.875" style="161" customWidth="1"/>
    <col min="7707" max="7707" width="10.625" style="161" customWidth="1"/>
    <col min="7708" max="7708" width="12.75" style="161" customWidth="1"/>
    <col min="7709" max="7709" width="12.125" style="161" customWidth="1"/>
    <col min="7710" max="7710" width="10.625" style="161" customWidth="1"/>
    <col min="7711" max="7711" width="10.875" style="161" customWidth="1"/>
    <col min="7712" max="7712" width="11.25" style="161" customWidth="1"/>
    <col min="7713" max="7934" width="9" style="161"/>
    <col min="7935" max="7935" width="15.875" style="161" customWidth="1"/>
    <col min="7936" max="7936" width="14" style="161" customWidth="1"/>
    <col min="7937" max="7937" width="12.75" style="161" customWidth="1"/>
    <col min="7938" max="7938" width="12.25" style="161" customWidth="1"/>
    <col min="7939" max="7939" width="13.75" style="161" customWidth="1"/>
    <col min="7940" max="7940" width="9.625" style="161" customWidth="1"/>
    <col min="7941" max="7941" width="10.25" style="161" customWidth="1"/>
    <col min="7942" max="7942" width="10.125" style="161" customWidth="1"/>
    <col min="7943" max="7943" width="7" style="161" customWidth="1"/>
    <col min="7944" max="7944" width="11.75" style="161" customWidth="1"/>
    <col min="7945" max="7945" width="11.5" style="161" customWidth="1"/>
    <col min="7946" max="7946" width="9.75" style="161" customWidth="1"/>
    <col min="7947" max="7947" width="10.25" style="161" customWidth="1"/>
    <col min="7948" max="7948" width="9.25" style="161" customWidth="1"/>
    <col min="7949" max="7949" width="9.5" style="161" customWidth="1"/>
    <col min="7950" max="7950" width="10.125" style="161" customWidth="1"/>
    <col min="7951" max="7951" width="16.875" style="161" customWidth="1"/>
    <col min="7952" max="7956" width="9" style="161"/>
    <col min="7957" max="7957" width="11.75" style="161" customWidth="1"/>
    <col min="7958" max="7958" width="9.875" style="161" customWidth="1"/>
    <col min="7959" max="7959" width="10.625" style="161" customWidth="1"/>
    <col min="7960" max="7960" width="12.75" style="161" customWidth="1"/>
    <col min="7961" max="7961" width="11.75" style="161" customWidth="1"/>
    <col min="7962" max="7962" width="9.875" style="161" customWidth="1"/>
    <col min="7963" max="7963" width="10.625" style="161" customWidth="1"/>
    <col min="7964" max="7964" width="12.75" style="161" customWidth="1"/>
    <col min="7965" max="7965" width="12.125" style="161" customWidth="1"/>
    <col min="7966" max="7966" width="10.625" style="161" customWidth="1"/>
    <col min="7967" max="7967" width="10.875" style="161" customWidth="1"/>
    <col min="7968" max="7968" width="11.25" style="161" customWidth="1"/>
    <col min="7969" max="8190" width="9" style="161"/>
    <col min="8191" max="8191" width="15.875" style="161" customWidth="1"/>
    <col min="8192" max="8192" width="14" style="161" customWidth="1"/>
    <col min="8193" max="8193" width="12.75" style="161" customWidth="1"/>
    <col min="8194" max="8194" width="12.25" style="161" customWidth="1"/>
    <col min="8195" max="8195" width="13.75" style="161" customWidth="1"/>
    <col min="8196" max="8196" width="9.625" style="161" customWidth="1"/>
    <col min="8197" max="8197" width="10.25" style="161" customWidth="1"/>
    <col min="8198" max="8198" width="10.125" style="161" customWidth="1"/>
    <col min="8199" max="8199" width="7" style="161" customWidth="1"/>
    <col min="8200" max="8200" width="11.75" style="161" customWidth="1"/>
    <col min="8201" max="8201" width="11.5" style="161" customWidth="1"/>
    <col min="8202" max="8202" width="9.75" style="161" customWidth="1"/>
    <col min="8203" max="8203" width="10.25" style="161" customWidth="1"/>
    <col min="8204" max="8204" width="9.25" style="161" customWidth="1"/>
    <col min="8205" max="8205" width="9.5" style="161" customWidth="1"/>
    <col min="8206" max="8206" width="10.125" style="161" customWidth="1"/>
    <col min="8207" max="8207" width="16.875" style="161" customWidth="1"/>
    <col min="8208" max="8212" width="9" style="161"/>
    <col min="8213" max="8213" width="11.75" style="161" customWidth="1"/>
    <col min="8214" max="8214" width="9.875" style="161" customWidth="1"/>
    <col min="8215" max="8215" width="10.625" style="161" customWidth="1"/>
    <col min="8216" max="8216" width="12.75" style="161" customWidth="1"/>
    <col min="8217" max="8217" width="11.75" style="161" customWidth="1"/>
    <col min="8218" max="8218" width="9.875" style="161" customWidth="1"/>
    <col min="8219" max="8219" width="10.625" style="161" customWidth="1"/>
    <col min="8220" max="8220" width="12.75" style="161" customWidth="1"/>
    <col min="8221" max="8221" width="12.125" style="161" customWidth="1"/>
    <col min="8222" max="8222" width="10.625" style="161" customWidth="1"/>
    <col min="8223" max="8223" width="10.875" style="161" customWidth="1"/>
    <col min="8224" max="8224" width="11.25" style="161" customWidth="1"/>
    <col min="8225" max="8446" width="9" style="161"/>
    <col min="8447" max="8447" width="15.875" style="161" customWidth="1"/>
    <col min="8448" max="8448" width="14" style="161" customWidth="1"/>
    <col min="8449" max="8449" width="12.75" style="161" customWidth="1"/>
    <col min="8450" max="8450" width="12.25" style="161" customWidth="1"/>
    <col min="8451" max="8451" width="13.75" style="161" customWidth="1"/>
    <col min="8452" max="8452" width="9.625" style="161" customWidth="1"/>
    <col min="8453" max="8453" width="10.25" style="161" customWidth="1"/>
    <col min="8454" max="8454" width="10.125" style="161" customWidth="1"/>
    <col min="8455" max="8455" width="7" style="161" customWidth="1"/>
    <col min="8456" max="8456" width="11.75" style="161" customWidth="1"/>
    <col min="8457" max="8457" width="11.5" style="161" customWidth="1"/>
    <col min="8458" max="8458" width="9.75" style="161" customWidth="1"/>
    <col min="8459" max="8459" width="10.25" style="161" customWidth="1"/>
    <col min="8460" max="8460" width="9.25" style="161" customWidth="1"/>
    <col min="8461" max="8461" width="9.5" style="161" customWidth="1"/>
    <col min="8462" max="8462" width="10.125" style="161" customWidth="1"/>
    <col min="8463" max="8463" width="16.875" style="161" customWidth="1"/>
    <col min="8464" max="8468" width="9" style="161"/>
    <col min="8469" max="8469" width="11.75" style="161" customWidth="1"/>
    <col min="8470" max="8470" width="9.875" style="161" customWidth="1"/>
    <col min="8471" max="8471" width="10.625" style="161" customWidth="1"/>
    <col min="8472" max="8472" width="12.75" style="161" customWidth="1"/>
    <col min="8473" max="8473" width="11.75" style="161" customWidth="1"/>
    <col min="8474" max="8474" width="9.875" style="161" customWidth="1"/>
    <col min="8475" max="8475" width="10.625" style="161" customWidth="1"/>
    <col min="8476" max="8476" width="12.75" style="161" customWidth="1"/>
    <col min="8477" max="8477" width="12.125" style="161" customWidth="1"/>
    <col min="8478" max="8478" width="10.625" style="161" customWidth="1"/>
    <col min="8479" max="8479" width="10.875" style="161" customWidth="1"/>
    <col min="8480" max="8480" width="11.25" style="161" customWidth="1"/>
    <col min="8481" max="8702" width="9" style="161"/>
    <col min="8703" max="8703" width="15.875" style="161" customWidth="1"/>
    <col min="8704" max="8704" width="14" style="161" customWidth="1"/>
    <col min="8705" max="8705" width="12.75" style="161" customWidth="1"/>
    <col min="8706" max="8706" width="12.25" style="161" customWidth="1"/>
    <col min="8707" max="8707" width="13.75" style="161" customWidth="1"/>
    <col min="8708" max="8708" width="9.625" style="161" customWidth="1"/>
    <col min="8709" max="8709" width="10.25" style="161" customWidth="1"/>
    <col min="8710" max="8710" width="10.125" style="161" customWidth="1"/>
    <col min="8711" max="8711" width="7" style="161" customWidth="1"/>
    <col min="8712" max="8712" width="11.75" style="161" customWidth="1"/>
    <col min="8713" max="8713" width="11.5" style="161" customWidth="1"/>
    <col min="8714" max="8714" width="9.75" style="161" customWidth="1"/>
    <col min="8715" max="8715" width="10.25" style="161" customWidth="1"/>
    <col min="8716" max="8716" width="9.25" style="161" customWidth="1"/>
    <col min="8717" max="8717" width="9.5" style="161" customWidth="1"/>
    <col min="8718" max="8718" width="10.125" style="161" customWidth="1"/>
    <col min="8719" max="8719" width="16.875" style="161" customWidth="1"/>
    <col min="8720" max="8724" width="9" style="161"/>
    <col min="8725" max="8725" width="11.75" style="161" customWidth="1"/>
    <col min="8726" max="8726" width="9.875" style="161" customWidth="1"/>
    <col min="8727" max="8727" width="10.625" style="161" customWidth="1"/>
    <col min="8728" max="8728" width="12.75" style="161" customWidth="1"/>
    <col min="8729" max="8729" width="11.75" style="161" customWidth="1"/>
    <col min="8730" max="8730" width="9.875" style="161" customWidth="1"/>
    <col min="8731" max="8731" width="10.625" style="161" customWidth="1"/>
    <col min="8732" max="8732" width="12.75" style="161" customWidth="1"/>
    <col min="8733" max="8733" width="12.125" style="161" customWidth="1"/>
    <col min="8734" max="8734" width="10.625" style="161" customWidth="1"/>
    <col min="8735" max="8735" width="10.875" style="161" customWidth="1"/>
    <col min="8736" max="8736" width="11.25" style="161" customWidth="1"/>
    <col min="8737" max="8958" width="9" style="161"/>
    <col min="8959" max="8959" width="15.875" style="161" customWidth="1"/>
    <col min="8960" max="8960" width="14" style="161" customWidth="1"/>
    <col min="8961" max="8961" width="12.75" style="161" customWidth="1"/>
    <col min="8962" max="8962" width="12.25" style="161" customWidth="1"/>
    <col min="8963" max="8963" width="13.75" style="161" customWidth="1"/>
    <col min="8964" max="8964" width="9.625" style="161" customWidth="1"/>
    <col min="8965" max="8965" width="10.25" style="161" customWidth="1"/>
    <col min="8966" max="8966" width="10.125" style="161" customWidth="1"/>
    <col min="8967" max="8967" width="7" style="161" customWidth="1"/>
    <col min="8968" max="8968" width="11.75" style="161" customWidth="1"/>
    <col min="8969" max="8969" width="11.5" style="161" customWidth="1"/>
    <col min="8970" max="8970" width="9.75" style="161" customWidth="1"/>
    <col min="8971" max="8971" width="10.25" style="161" customWidth="1"/>
    <col min="8972" max="8972" width="9.25" style="161" customWidth="1"/>
    <col min="8973" max="8973" width="9.5" style="161" customWidth="1"/>
    <col min="8974" max="8974" width="10.125" style="161" customWidth="1"/>
    <col min="8975" max="8975" width="16.875" style="161" customWidth="1"/>
    <col min="8976" max="8980" width="9" style="161"/>
    <col min="8981" max="8981" width="11.75" style="161" customWidth="1"/>
    <col min="8982" max="8982" width="9.875" style="161" customWidth="1"/>
    <col min="8983" max="8983" width="10.625" style="161" customWidth="1"/>
    <col min="8984" max="8984" width="12.75" style="161" customWidth="1"/>
    <col min="8985" max="8985" width="11.75" style="161" customWidth="1"/>
    <col min="8986" max="8986" width="9.875" style="161" customWidth="1"/>
    <col min="8987" max="8987" width="10.625" style="161" customWidth="1"/>
    <col min="8988" max="8988" width="12.75" style="161" customWidth="1"/>
    <col min="8989" max="8989" width="12.125" style="161" customWidth="1"/>
    <col min="8990" max="8990" width="10.625" style="161" customWidth="1"/>
    <col min="8991" max="8991" width="10.875" style="161" customWidth="1"/>
    <col min="8992" max="8992" width="11.25" style="161" customWidth="1"/>
    <col min="8993" max="9214" width="9" style="161"/>
    <col min="9215" max="9215" width="15.875" style="161" customWidth="1"/>
    <col min="9216" max="9216" width="14" style="161" customWidth="1"/>
    <col min="9217" max="9217" width="12.75" style="161" customWidth="1"/>
    <col min="9218" max="9218" width="12.25" style="161" customWidth="1"/>
    <col min="9219" max="9219" width="13.75" style="161" customWidth="1"/>
    <col min="9220" max="9220" width="9.625" style="161" customWidth="1"/>
    <col min="9221" max="9221" width="10.25" style="161" customWidth="1"/>
    <col min="9222" max="9222" width="10.125" style="161" customWidth="1"/>
    <col min="9223" max="9223" width="7" style="161" customWidth="1"/>
    <col min="9224" max="9224" width="11.75" style="161" customWidth="1"/>
    <col min="9225" max="9225" width="11.5" style="161" customWidth="1"/>
    <col min="9226" max="9226" width="9.75" style="161" customWidth="1"/>
    <col min="9227" max="9227" width="10.25" style="161" customWidth="1"/>
    <col min="9228" max="9228" width="9.25" style="161" customWidth="1"/>
    <col min="9229" max="9229" width="9.5" style="161" customWidth="1"/>
    <col min="9230" max="9230" width="10.125" style="161" customWidth="1"/>
    <col min="9231" max="9231" width="16.875" style="161" customWidth="1"/>
    <col min="9232" max="9236" width="9" style="161"/>
    <col min="9237" max="9237" width="11.75" style="161" customWidth="1"/>
    <col min="9238" max="9238" width="9.875" style="161" customWidth="1"/>
    <col min="9239" max="9239" width="10.625" style="161" customWidth="1"/>
    <col min="9240" max="9240" width="12.75" style="161" customWidth="1"/>
    <col min="9241" max="9241" width="11.75" style="161" customWidth="1"/>
    <col min="9242" max="9242" width="9.875" style="161" customWidth="1"/>
    <col min="9243" max="9243" width="10.625" style="161" customWidth="1"/>
    <col min="9244" max="9244" width="12.75" style="161" customWidth="1"/>
    <col min="9245" max="9245" width="12.125" style="161" customWidth="1"/>
    <col min="9246" max="9246" width="10.625" style="161" customWidth="1"/>
    <col min="9247" max="9247" width="10.875" style="161" customWidth="1"/>
    <col min="9248" max="9248" width="11.25" style="161" customWidth="1"/>
    <col min="9249" max="9470" width="9" style="161"/>
    <col min="9471" max="9471" width="15.875" style="161" customWidth="1"/>
    <col min="9472" max="9472" width="14" style="161" customWidth="1"/>
    <col min="9473" max="9473" width="12.75" style="161" customWidth="1"/>
    <col min="9474" max="9474" width="12.25" style="161" customWidth="1"/>
    <col min="9475" max="9475" width="13.75" style="161" customWidth="1"/>
    <col min="9476" max="9476" width="9.625" style="161" customWidth="1"/>
    <col min="9477" max="9477" width="10.25" style="161" customWidth="1"/>
    <col min="9478" max="9478" width="10.125" style="161" customWidth="1"/>
    <col min="9479" max="9479" width="7" style="161" customWidth="1"/>
    <col min="9480" max="9480" width="11.75" style="161" customWidth="1"/>
    <col min="9481" max="9481" width="11.5" style="161" customWidth="1"/>
    <col min="9482" max="9482" width="9.75" style="161" customWidth="1"/>
    <col min="9483" max="9483" width="10.25" style="161" customWidth="1"/>
    <col min="9484" max="9484" width="9.25" style="161" customWidth="1"/>
    <col min="9485" max="9485" width="9.5" style="161" customWidth="1"/>
    <col min="9486" max="9486" width="10.125" style="161" customWidth="1"/>
    <col min="9487" max="9487" width="16.875" style="161" customWidth="1"/>
    <col min="9488" max="9492" width="9" style="161"/>
    <col min="9493" max="9493" width="11.75" style="161" customWidth="1"/>
    <col min="9494" max="9494" width="9.875" style="161" customWidth="1"/>
    <col min="9495" max="9495" width="10.625" style="161" customWidth="1"/>
    <col min="9496" max="9496" width="12.75" style="161" customWidth="1"/>
    <col min="9497" max="9497" width="11.75" style="161" customWidth="1"/>
    <col min="9498" max="9498" width="9.875" style="161" customWidth="1"/>
    <col min="9499" max="9499" width="10.625" style="161" customWidth="1"/>
    <col min="9500" max="9500" width="12.75" style="161" customWidth="1"/>
    <col min="9501" max="9501" width="12.125" style="161" customWidth="1"/>
    <col min="9502" max="9502" width="10.625" style="161" customWidth="1"/>
    <col min="9503" max="9503" width="10.875" style="161" customWidth="1"/>
    <col min="9504" max="9504" width="11.25" style="161" customWidth="1"/>
    <col min="9505" max="9726" width="9" style="161"/>
    <col min="9727" max="9727" width="15.875" style="161" customWidth="1"/>
    <col min="9728" max="9728" width="14" style="161" customWidth="1"/>
    <col min="9729" max="9729" width="12.75" style="161" customWidth="1"/>
    <col min="9730" max="9730" width="12.25" style="161" customWidth="1"/>
    <col min="9731" max="9731" width="13.75" style="161" customWidth="1"/>
    <col min="9732" max="9732" width="9.625" style="161" customWidth="1"/>
    <col min="9733" max="9733" width="10.25" style="161" customWidth="1"/>
    <col min="9734" max="9734" width="10.125" style="161" customWidth="1"/>
    <col min="9735" max="9735" width="7" style="161" customWidth="1"/>
    <col min="9736" max="9736" width="11.75" style="161" customWidth="1"/>
    <col min="9737" max="9737" width="11.5" style="161" customWidth="1"/>
    <col min="9738" max="9738" width="9.75" style="161" customWidth="1"/>
    <col min="9739" max="9739" width="10.25" style="161" customWidth="1"/>
    <col min="9740" max="9740" width="9.25" style="161" customWidth="1"/>
    <col min="9741" max="9741" width="9.5" style="161" customWidth="1"/>
    <col min="9742" max="9742" width="10.125" style="161" customWidth="1"/>
    <col min="9743" max="9743" width="16.875" style="161" customWidth="1"/>
    <col min="9744" max="9748" width="9" style="161"/>
    <col min="9749" max="9749" width="11.75" style="161" customWidth="1"/>
    <col min="9750" max="9750" width="9.875" style="161" customWidth="1"/>
    <col min="9751" max="9751" width="10.625" style="161" customWidth="1"/>
    <col min="9752" max="9752" width="12.75" style="161" customWidth="1"/>
    <col min="9753" max="9753" width="11.75" style="161" customWidth="1"/>
    <col min="9754" max="9754" width="9.875" style="161" customWidth="1"/>
    <col min="9755" max="9755" width="10.625" style="161" customWidth="1"/>
    <col min="9756" max="9756" width="12.75" style="161" customWidth="1"/>
    <col min="9757" max="9757" width="12.125" style="161" customWidth="1"/>
    <col min="9758" max="9758" width="10.625" style="161" customWidth="1"/>
    <col min="9759" max="9759" width="10.875" style="161" customWidth="1"/>
    <col min="9760" max="9760" width="11.25" style="161" customWidth="1"/>
    <col min="9761" max="9982" width="9" style="161"/>
    <col min="9983" max="9983" width="15.875" style="161" customWidth="1"/>
    <col min="9984" max="9984" width="14" style="161" customWidth="1"/>
    <col min="9985" max="9985" width="12.75" style="161" customWidth="1"/>
    <col min="9986" max="9986" width="12.25" style="161" customWidth="1"/>
    <col min="9987" max="9987" width="13.75" style="161" customWidth="1"/>
    <col min="9988" max="9988" width="9.625" style="161" customWidth="1"/>
    <col min="9989" max="9989" width="10.25" style="161" customWidth="1"/>
    <col min="9990" max="9990" width="10.125" style="161" customWidth="1"/>
    <col min="9991" max="9991" width="7" style="161" customWidth="1"/>
    <col min="9992" max="9992" width="11.75" style="161" customWidth="1"/>
    <col min="9993" max="9993" width="11.5" style="161" customWidth="1"/>
    <col min="9994" max="9994" width="9.75" style="161" customWidth="1"/>
    <col min="9995" max="9995" width="10.25" style="161" customWidth="1"/>
    <col min="9996" max="9996" width="9.25" style="161" customWidth="1"/>
    <col min="9997" max="9997" width="9.5" style="161" customWidth="1"/>
    <col min="9998" max="9998" width="10.125" style="161" customWidth="1"/>
    <col min="9999" max="9999" width="16.875" style="161" customWidth="1"/>
    <col min="10000" max="10004" width="9" style="161"/>
    <col min="10005" max="10005" width="11.75" style="161" customWidth="1"/>
    <col min="10006" max="10006" width="9.875" style="161" customWidth="1"/>
    <col min="10007" max="10007" width="10.625" style="161" customWidth="1"/>
    <col min="10008" max="10008" width="12.75" style="161" customWidth="1"/>
    <col min="10009" max="10009" width="11.75" style="161" customWidth="1"/>
    <col min="10010" max="10010" width="9.875" style="161" customWidth="1"/>
    <col min="10011" max="10011" width="10.625" style="161" customWidth="1"/>
    <col min="10012" max="10012" width="12.75" style="161" customWidth="1"/>
    <col min="10013" max="10013" width="12.125" style="161" customWidth="1"/>
    <col min="10014" max="10014" width="10.625" style="161" customWidth="1"/>
    <col min="10015" max="10015" width="10.875" style="161" customWidth="1"/>
    <col min="10016" max="10016" width="11.25" style="161" customWidth="1"/>
    <col min="10017" max="10238" width="9" style="161"/>
    <col min="10239" max="10239" width="15.875" style="161" customWidth="1"/>
    <col min="10240" max="10240" width="14" style="161" customWidth="1"/>
    <col min="10241" max="10241" width="12.75" style="161" customWidth="1"/>
    <col min="10242" max="10242" width="12.25" style="161" customWidth="1"/>
    <col min="10243" max="10243" width="13.75" style="161" customWidth="1"/>
    <col min="10244" max="10244" width="9.625" style="161" customWidth="1"/>
    <col min="10245" max="10245" width="10.25" style="161" customWidth="1"/>
    <col min="10246" max="10246" width="10.125" style="161" customWidth="1"/>
    <col min="10247" max="10247" width="7" style="161" customWidth="1"/>
    <col min="10248" max="10248" width="11.75" style="161" customWidth="1"/>
    <col min="10249" max="10249" width="11.5" style="161" customWidth="1"/>
    <col min="10250" max="10250" width="9.75" style="161" customWidth="1"/>
    <col min="10251" max="10251" width="10.25" style="161" customWidth="1"/>
    <col min="10252" max="10252" width="9.25" style="161" customWidth="1"/>
    <col min="10253" max="10253" width="9.5" style="161" customWidth="1"/>
    <col min="10254" max="10254" width="10.125" style="161" customWidth="1"/>
    <col min="10255" max="10255" width="16.875" style="161" customWidth="1"/>
    <col min="10256" max="10260" width="9" style="161"/>
    <col min="10261" max="10261" width="11.75" style="161" customWidth="1"/>
    <col min="10262" max="10262" width="9.875" style="161" customWidth="1"/>
    <col min="10263" max="10263" width="10.625" style="161" customWidth="1"/>
    <col min="10264" max="10264" width="12.75" style="161" customWidth="1"/>
    <col min="10265" max="10265" width="11.75" style="161" customWidth="1"/>
    <col min="10266" max="10266" width="9.875" style="161" customWidth="1"/>
    <col min="10267" max="10267" width="10.625" style="161" customWidth="1"/>
    <col min="10268" max="10268" width="12.75" style="161" customWidth="1"/>
    <col min="10269" max="10269" width="12.125" style="161" customWidth="1"/>
    <col min="10270" max="10270" width="10.625" style="161" customWidth="1"/>
    <col min="10271" max="10271" width="10.875" style="161" customWidth="1"/>
    <col min="10272" max="10272" width="11.25" style="161" customWidth="1"/>
    <col min="10273" max="10494" width="9" style="161"/>
    <col min="10495" max="10495" width="15.875" style="161" customWidth="1"/>
    <col min="10496" max="10496" width="14" style="161" customWidth="1"/>
    <col min="10497" max="10497" width="12.75" style="161" customWidth="1"/>
    <col min="10498" max="10498" width="12.25" style="161" customWidth="1"/>
    <col min="10499" max="10499" width="13.75" style="161" customWidth="1"/>
    <col min="10500" max="10500" width="9.625" style="161" customWidth="1"/>
    <col min="10501" max="10501" width="10.25" style="161" customWidth="1"/>
    <col min="10502" max="10502" width="10.125" style="161" customWidth="1"/>
    <col min="10503" max="10503" width="7" style="161" customWidth="1"/>
    <col min="10504" max="10504" width="11.75" style="161" customWidth="1"/>
    <col min="10505" max="10505" width="11.5" style="161" customWidth="1"/>
    <col min="10506" max="10506" width="9.75" style="161" customWidth="1"/>
    <col min="10507" max="10507" width="10.25" style="161" customWidth="1"/>
    <col min="10508" max="10508" width="9.25" style="161" customWidth="1"/>
    <col min="10509" max="10509" width="9.5" style="161" customWidth="1"/>
    <col min="10510" max="10510" width="10.125" style="161" customWidth="1"/>
    <col min="10511" max="10511" width="16.875" style="161" customWidth="1"/>
    <col min="10512" max="10516" width="9" style="161"/>
    <col min="10517" max="10517" width="11.75" style="161" customWidth="1"/>
    <col min="10518" max="10518" width="9.875" style="161" customWidth="1"/>
    <col min="10519" max="10519" width="10.625" style="161" customWidth="1"/>
    <col min="10520" max="10520" width="12.75" style="161" customWidth="1"/>
    <col min="10521" max="10521" width="11.75" style="161" customWidth="1"/>
    <col min="10522" max="10522" width="9.875" style="161" customWidth="1"/>
    <col min="10523" max="10523" width="10.625" style="161" customWidth="1"/>
    <col min="10524" max="10524" width="12.75" style="161" customWidth="1"/>
    <col min="10525" max="10525" width="12.125" style="161" customWidth="1"/>
    <col min="10526" max="10526" width="10.625" style="161" customWidth="1"/>
    <col min="10527" max="10527" width="10.875" style="161" customWidth="1"/>
    <col min="10528" max="10528" width="11.25" style="161" customWidth="1"/>
    <col min="10529" max="10750" width="9" style="161"/>
    <col min="10751" max="10751" width="15.875" style="161" customWidth="1"/>
    <col min="10752" max="10752" width="14" style="161" customWidth="1"/>
    <col min="10753" max="10753" width="12.75" style="161" customWidth="1"/>
    <col min="10754" max="10754" width="12.25" style="161" customWidth="1"/>
    <col min="10755" max="10755" width="13.75" style="161" customWidth="1"/>
    <col min="10756" max="10756" width="9.625" style="161" customWidth="1"/>
    <col min="10757" max="10757" width="10.25" style="161" customWidth="1"/>
    <col min="10758" max="10758" width="10.125" style="161" customWidth="1"/>
    <col min="10759" max="10759" width="7" style="161" customWidth="1"/>
    <col min="10760" max="10760" width="11.75" style="161" customWidth="1"/>
    <col min="10761" max="10761" width="11.5" style="161" customWidth="1"/>
    <col min="10762" max="10762" width="9.75" style="161" customWidth="1"/>
    <col min="10763" max="10763" width="10.25" style="161" customWidth="1"/>
    <col min="10764" max="10764" width="9.25" style="161" customWidth="1"/>
    <col min="10765" max="10765" width="9.5" style="161" customWidth="1"/>
    <col min="10766" max="10766" width="10.125" style="161" customWidth="1"/>
    <col min="10767" max="10767" width="16.875" style="161" customWidth="1"/>
    <col min="10768" max="10772" width="9" style="161"/>
    <col min="10773" max="10773" width="11.75" style="161" customWidth="1"/>
    <col min="10774" max="10774" width="9.875" style="161" customWidth="1"/>
    <col min="10775" max="10775" width="10.625" style="161" customWidth="1"/>
    <col min="10776" max="10776" width="12.75" style="161" customWidth="1"/>
    <col min="10777" max="10777" width="11.75" style="161" customWidth="1"/>
    <col min="10778" max="10778" width="9.875" style="161" customWidth="1"/>
    <col min="10779" max="10779" width="10.625" style="161" customWidth="1"/>
    <col min="10780" max="10780" width="12.75" style="161" customWidth="1"/>
    <col min="10781" max="10781" width="12.125" style="161" customWidth="1"/>
    <col min="10782" max="10782" width="10.625" style="161" customWidth="1"/>
    <col min="10783" max="10783" width="10.875" style="161" customWidth="1"/>
    <col min="10784" max="10784" width="11.25" style="161" customWidth="1"/>
    <col min="10785" max="11006" width="9" style="161"/>
    <col min="11007" max="11007" width="15.875" style="161" customWidth="1"/>
    <col min="11008" max="11008" width="14" style="161" customWidth="1"/>
    <col min="11009" max="11009" width="12.75" style="161" customWidth="1"/>
    <col min="11010" max="11010" width="12.25" style="161" customWidth="1"/>
    <col min="11011" max="11011" width="13.75" style="161" customWidth="1"/>
    <col min="11012" max="11012" width="9.625" style="161" customWidth="1"/>
    <col min="11013" max="11013" width="10.25" style="161" customWidth="1"/>
    <col min="11014" max="11014" width="10.125" style="161" customWidth="1"/>
    <col min="11015" max="11015" width="7" style="161" customWidth="1"/>
    <col min="11016" max="11016" width="11.75" style="161" customWidth="1"/>
    <col min="11017" max="11017" width="11.5" style="161" customWidth="1"/>
    <col min="11018" max="11018" width="9.75" style="161" customWidth="1"/>
    <col min="11019" max="11019" width="10.25" style="161" customWidth="1"/>
    <col min="11020" max="11020" width="9.25" style="161" customWidth="1"/>
    <col min="11021" max="11021" width="9.5" style="161" customWidth="1"/>
    <col min="11022" max="11022" width="10.125" style="161" customWidth="1"/>
    <col min="11023" max="11023" width="16.875" style="161" customWidth="1"/>
    <col min="11024" max="11028" width="9" style="161"/>
    <col min="11029" max="11029" width="11.75" style="161" customWidth="1"/>
    <col min="11030" max="11030" width="9.875" style="161" customWidth="1"/>
    <col min="11031" max="11031" width="10.625" style="161" customWidth="1"/>
    <col min="11032" max="11032" width="12.75" style="161" customWidth="1"/>
    <col min="11033" max="11033" width="11.75" style="161" customWidth="1"/>
    <col min="11034" max="11034" width="9.875" style="161" customWidth="1"/>
    <col min="11035" max="11035" width="10.625" style="161" customWidth="1"/>
    <col min="11036" max="11036" width="12.75" style="161" customWidth="1"/>
    <col min="11037" max="11037" width="12.125" style="161" customWidth="1"/>
    <col min="11038" max="11038" width="10.625" style="161" customWidth="1"/>
    <col min="11039" max="11039" width="10.875" style="161" customWidth="1"/>
    <col min="11040" max="11040" width="11.25" style="161" customWidth="1"/>
    <col min="11041" max="11262" width="9" style="161"/>
    <col min="11263" max="11263" width="15.875" style="161" customWidth="1"/>
    <col min="11264" max="11264" width="14" style="161" customWidth="1"/>
    <col min="11265" max="11265" width="12.75" style="161" customWidth="1"/>
    <col min="11266" max="11266" width="12.25" style="161" customWidth="1"/>
    <col min="11267" max="11267" width="13.75" style="161" customWidth="1"/>
    <col min="11268" max="11268" width="9.625" style="161" customWidth="1"/>
    <col min="11269" max="11269" width="10.25" style="161" customWidth="1"/>
    <col min="11270" max="11270" width="10.125" style="161" customWidth="1"/>
    <col min="11271" max="11271" width="7" style="161" customWidth="1"/>
    <col min="11272" max="11272" width="11.75" style="161" customWidth="1"/>
    <col min="11273" max="11273" width="11.5" style="161" customWidth="1"/>
    <col min="11274" max="11274" width="9.75" style="161" customWidth="1"/>
    <col min="11275" max="11275" width="10.25" style="161" customWidth="1"/>
    <col min="11276" max="11276" width="9.25" style="161" customWidth="1"/>
    <col min="11277" max="11277" width="9.5" style="161" customWidth="1"/>
    <col min="11278" max="11278" width="10.125" style="161" customWidth="1"/>
    <col min="11279" max="11279" width="16.875" style="161" customWidth="1"/>
    <col min="11280" max="11284" width="9" style="161"/>
    <col min="11285" max="11285" width="11.75" style="161" customWidth="1"/>
    <col min="11286" max="11286" width="9.875" style="161" customWidth="1"/>
    <col min="11287" max="11287" width="10.625" style="161" customWidth="1"/>
    <col min="11288" max="11288" width="12.75" style="161" customWidth="1"/>
    <col min="11289" max="11289" width="11.75" style="161" customWidth="1"/>
    <col min="11290" max="11290" width="9.875" style="161" customWidth="1"/>
    <col min="11291" max="11291" width="10.625" style="161" customWidth="1"/>
    <col min="11292" max="11292" width="12.75" style="161" customWidth="1"/>
    <col min="11293" max="11293" width="12.125" style="161" customWidth="1"/>
    <col min="11294" max="11294" width="10.625" style="161" customWidth="1"/>
    <col min="11295" max="11295" width="10.875" style="161" customWidth="1"/>
    <col min="11296" max="11296" width="11.25" style="161" customWidth="1"/>
    <col min="11297" max="11518" width="9" style="161"/>
    <col min="11519" max="11519" width="15.875" style="161" customWidth="1"/>
    <col min="11520" max="11520" width="14" style="161" customWidth="1"/>
    <col min="11521" max="11521" width="12.75" style="161" customWidth="1"/>
    <col min="11522" max="11522" width="12.25" style="161" customWidth="1"/>
    <col min="11523" max="11523" width="13.75" style="161" customWidth="1"/>
    <col min="11524" max="11524" width="9.625" style="161" customWidth="1"/>
    <col min="11525" max="11525" width="10.25" style="161" customWidth="1"/>
    <col min="11526" max="11526" width="10.125" style="161" customWidth="1"/>
    <col min="11527" max="11527" width="7" style="161" customWidth="1"/>
    <col min="11528" max="11528" width="11.75" style="161" customWidth="1"/>
    <col min="11529" max="11529" width="11.5" style="161" customWidth="1"/>
    <col min="11530" max="11530" width="9.75" style="161" customWidth="1"/>
    <col min="11531" max="11531" width="10.25" style="161" customWidth="1"/>
    <col min="11532" max="11532" width="9.25" style="161" customWidth="1"/>
    <col min="11533" max="11533" width="9.5" style="161" customWidth="1"/>
    <col min="11534" max="11534" width="10.125" style="161" customWidth="1"/>
    <col min="11535" max="11535" width="16.875" style="161" customWidth="1"/>
    <col min="11536" max="11540" width="9" style="161"/>
    <col min="11541" max="11541" width="11.75" style="161" customWidth="1"/>
    <col min="11542" max="11542" width="9.875" style="161" customWidth="1"/>
    <col min="11543" max="11543" width="10.625" style="161" customWidth="1"/>
    <col min="11544" max="11544" width="12.75" style="161" customWidth="1"/>
    <col min="11545" max="11545" width="11.75" style="161" customWidth="1"/>
    <col min="11546" max="11546" width="9.875" style="161" customWidth="1"/>
    <col min="11547" max="11547" width="10.625" style="161" customWidth="1"/>
    <col min="11548" max="11548" width="12.75" style="161" customWidth="1"/>
    <col min="11549" max="11549" width="12.125" style="161" customWidth="1"/>
    <col min="11550" max="11550" width="10.625" style="161" customWidth="1"/>
    <col min="11551" max="11551" width="10.875" style="161" customWidth="1"/>
    <col min="11552" max="11552" width="11.25" style="161" customWidth="1"/>
    <col min="11553" max="11774" width="9" style="161"/>
    <col min="11775" max="11775" width="15.875" style="161" customWidth="1"/>
    <col min="11776" max="11776" width="14" style="161" customWidth="1"/>
    <col min="11777" max="11777" width="12.75" style="161" customWidth="1"/>
    <col min="11778" max="11778" width="12.25" style="161" customWidth="1"/>
    <col min="11779" max="11779" width="13.75" style="161" customWidth="1"/>
    <col min="11780" max="11780" width="9.625" style="161" customWidth="1"/>
    <col min="11781" max="11781" width="10.25" style="161" customWidth="1"/>
    <col min="11782" max="11782" width="10.125" style="161" customWidth="1"/>
    <col min="11783" max="11783" width="7" style="161" customWidth="1"/>
    <col min="11784" max="11784" width="11.75" style="161" customWidth="1"/>
    <col min="11785" max="11785" width="11.5" style="161" customWidth="1"/>
    <col min="11786" max="11786" width="9.75" style="161" customWidth="1"/>
    <col min="11787" max="11787" width="10.25" style="161" customWidth="1"/>
    <col min="11788" max="11788" width="9.25" style="161" customWidth="1"/>
    <col min="11789" max="11789" width="9.5" style="161" customWidth="1"/>
    <col min="11790" max="11790" width="10.125" style="161" customWidth="1"/>
    <col min="11791" max="11791" width="16.875" style="161" customWidth="1"/>
    <col min="11792" max="11796" width="9" style="161"/>
    <col min="11797" max="11797" width="11.75" style="161" customWidth="1"/>
    <col min="11798" max="11798" width="9.875" style="161" customWidth="1"/>
    <col min="11799" max="11799" width="10.625" style="161" customWidth="1"/>
    <col min="11800" max="11800" width="12.75" style="161" customWidth="1"/>
    <col min="11801" max="11801" width="11.75" style="161" customWidth="1"/>
    <col min="11802" max="11802" width="9.875" style="161" customWidth="1"/>
    <col min="11803" max="11803" width="10.625" style="161" customWidth="1"/>
    <col min="11804" max="11804" width="12.75" style="161" customWidth="1"/>
    <col min="11805" max="11805" width="12.125" style="161" customWidth="1"/>
    <col min="11806" max="11806" width="10.625" style="161" customWidth="1"/>
    <col min="11807" max="11807" width="10.875" style="161" customWidth="1"/>
    <col min="11808" max="11808" width="11.25" style="161" customWidth="1"/>
    <col min="11809" max="12030" width="9" style="161"/>
    <col min="12031" max="12031" width="15.875" style="161" customWidth="1"/>
    <col min="12032" max="12032" width="14" style="161" customWidth="1"/>
    <col min="12033" max="12033" width="12.75" style="161" customWidth="1"/>
    <col min="12034" max="12034" width="12.25" style="161" customWidth="1"/>
    <col min="12035" max="12035" width="13.75" style="161" customWidth="1"/>
    <col min="12036" max="12036" width="9.625" style="161" customWidth="1"/>
    <col min="12037" max="12037" width="10.25" style="161" customWidth="1"/>
    <col min="12038" max="12038" width="10.125" style="161" customWidth="1"/>
    <col min="12039" max="12039" width="7" style="161" customWidth="1"/>
    <col min="12040" max="12040" width="11.75" style="161" customWidth="1"/>
    <col min="12041" max="12041" width="11.5" style="161" customWidth="1"/>
    <col min="12042" max="12042" width="9.75" style="161" customWidth="1"/>
    <col min="12043" max="12043" width="10.25" style="161" customWidth="1"/>
    <col min="12044" max="12044" width="9.25" style="161" customWidth="1"/>
    <col min="12045" max="12045" width="9.5" style="161" customWidth="1"/>
    <col min="12046" max="12046" width="10.125" style="161" customWidth="1"/>
    <col min="12047" max="12047" width="16.875" style="161" customWidth="1"/>
    <col min="12048" max="12052" width="9" style="161"/>
    <col min="12053" max="12053" width="11.75" style="161" customWidth="1"/>
    <col min="12054" max="12054" width="9.875" style="161" customWidth="1"/>
    <col min="12055" max="12055" width="10.625" style="161" customWidth="1"/>
    <col min="12056" max="12056" width="12.75" style="161" customWidth="1"/>
    <col min="12057" max="12057" width="11.75" style="161" customWidth="1"/>
    <col min="12058" max="12058" width="9.875" style="161" customWidth="1"/>
    <col min="12059" max="12059" width="10.625" style="161" customWidth="1"/>
    <col min="12060" max="12060" width="12.75" style="161" customWidth="1"/>
    <col min="12061" max="12061" width="12.125" style="161" customWidth="1"/>
    <col min="12062" max="12062" width="10.625" style="161" customWidth="1"/>
    <col min="12063" max="12063" width="10.875" style="161" customWidth="1"/>
    <col min="12064" max="12064" width="11.25" style="161" customWidth="1"/>
    <col min="12065" max="12286" width="9" style="161"/>
    <col min="12287" max="12287" width="15.875" style="161" customWidth="1"/>
    <col min="12288" max="12288" width="14" style="161" customWidth="1"/>
    <col min="12289" max="12289" width="12.75" style="161" customWidth="1"/>
    <col min="12290" max="12290" width="12.25" style="161" customWidth="1"/>
    <col min="12291" max="12291" width="13.75" style="161" customWidth="1"/>
    <col min="12292" max="12292" width="9.625" style="161" customWidth="1"/>
    <col min="12293" max="12293" width="10.25" style="161" customWidth="1"/>
    <col min="12294" max="12294" width="10.125" style="161" customWidth="1"/>
    <col min="12295" max="12295" width="7" style="161" customWidth="1"/>
    <col min="12296" max="12296" width="11.75" style="161" customWidth="1"/>
    <col min="12297" max="12297" width="11.5" style="161" customWidth="1"/>
    <col min="12298" max="12298" width="9.75" style="161" customWidth="1"/>
    <col min="12299" max="12299" width="10.25" style="161" customWidth="1"/>
    <col min="12300" max="12300" width="9.25" style="161" customWidth="1"/>
    <col min="12301" max="12301" width="9.5" style="161" customWidth="1"/>
    <col min="12302" max="12302" width="10.125" style="161" customWidth="1"/>
    <col min="12303" max="12303" width="16.875" style="161" customWidth="1"/>
    <col min="12304" max="12308" width="9" style="161"/>
    <col min="12309" max="12309" width="11.75" style="161" customWidth="1"/>
    <col min="12310" max="12310" width="9.875" style="161" customWidth="1"/>
    <col min="12311" max="12311" width="10.625" style="161" customWidth="1"/>
    <col min="12312" max="12312" width="12.75" style="161" customWidth="1"/>
    <col min="12313" max="12313" width="11.75" style="161" customWidth="1"/>
    <col min="12314" max="12314" width="9.875" style="161" customWidth="1"/>
    <col min="12315" max="12315" width="10.625" style="161" customWidth="1"/>
    <col min="12316" max="12316" width="12.75" style="161" customWidth="1"/>
    <col min="12317" max="12317" width="12.125" style="161" customWidth="1"/>
    <col min="12318" max="12318" width="10.625" style="161" customWidth="1"/>
    <col min="12319" max="12319" width="10.875" style="161" customWidth="1"/>
    <col min="12320" max="12320" width="11.25" style="161" customWidth="1"/>
    <col min="12321" max="12542" width="9" style="161"/>
    <col min="12543" max="12543" width="15.875" style="161" customWidth="1"/>
    <col min="12544" max="12544" width="14" style="161" customWidth="1"/>
    <col min="12545" max="12545" width="12.75" style="161" customWidth="1"/>
    <col min="12546" max="12546" width="12.25" style="161" customWidth="1"/>
    <col min="12547" max="12547" width="13.75" style="161" customWidth="1"/>
    <col min="12548" max="12548" width="9.625" style="161" customWidth="1"/>
    <col min="12549" max="12549" width="10.25" style="161" customWidth="1"/>
    <col min="12550" max="12550" width="10.125" style="161" customWidth="1"/>
    <col min="12551" max="12551" width="7" style="161" customWidth="1"/>
    <col min="12552" max="12552" width="11.75" style="161" customWidth="1"/>
    <col min="12553" max="12553" width="11.5" style="161" customWidth="1"/>
    <col min="12554" max="12554" width="9.75" style="161" customWidth="1"/>
    <col min="12555" max="12555" width="10.25" style="161" customWidth="1"/>
    <col min="12556" max="12556" width="9.25" style="161" customWidth="1"/>
    <col min="12557" max="12557" width="9.5" style="161" customWidth="1"/>
    <col min="12558" max="12558" width="10.125" style="161" customWidth="1"/>
    <col min="12559" max="12559" width="16.875" style="161" customWidth="1"/>
    <col min="12560" max="12564" width="9" style="161"/>
    <col min="12565" max="12565" width="11.75" style="161" customWidth="1"/>
    <col min="12566" max="12566" width="9.875" style="161" customWidth="1"/>
    <col min="12567" max="12567" width="10.625" style="161" customWidth="1"/>
    <col min="12568" max="12568" width="12.75" style="161" customWidth="1"/>
    <col min="12569" max="12569" width="11.75" style="161" customWidth="1"/>
    <col min="12570" max="12570" width="9.875" style="161" customWidth="1"/>
    <col min="12571" max="12571" width="10.625" style="161" customWidth="1"/>
    <col min="12572" max="12572" width="12.75" style="161" customWidth="1"/>
    <col min="12573" max="12573" width="12.125" style="161" customWidth="1"/>
    <col min="12574" max="12574" width="10.625" style="161" customWidth="1"/>
    <col min="12575" max="12575" width="10.875" style="161" customWidth="1"/>
    <col min="12576" max="12576" width="11.25" style="161" customWidth="1"/>
    <col min="12577" max="12798" width="9" style="161"/>
    <col min="12799" max="12799" width="15.875" style="161" customWidth="1"/>
    <col min="12800" max="12800" width="14" style="161" customWidth="1"/>
    <col min="12801" max="12801" width="12.75" style="161" customWidth="1"/>
    <col min="12802" max="12802" width="12.25" style="161" customWidth="1"/>
    <col min="12803" max="12803" width="13.75" style="161" customWidth="1"/>
    <col min="12804" max="12804" width="9.625" style="161" customWidth="1"/>
    <col min="12805" max="12805" width="10.25" style="161" customWidth="1"/>
    <col min="12806" max="12806" width="10.125" style="161" customWidth="1"/>
    <col min="12807" max="12807" width="7" style="161" customWidth="1"/>
    <col min="12808" max="12808" width="11.75" style="161" customWidth="1"/>
    <col min="12809" max="12809" width="11.5" style="161" customWidth="1"/>
    <col min="12810" max="12810" width="9.75" style="161" customWidth="1"/>
    <col min="12811" max="12811" width="10.25" style="161" customWidth="1"/>
    <col min="12812" max="12812" width="9.25" style="161" customWidth="1"/>
    <col min="12813" max="12813" width="9.5" style="161" customWidth="1"/>
    <col min="12814" max="12814" width="10.125" style="161" customWidth="1"/>
    <col min="12815" max="12815" width="16.875" style="161" customWidth="1"/>
    <col min="12816" max="12820" width="9" style="161"/>
    <col min="12821" max="12821" width="11.75" style="161" customWidth="1"/>
    <col min="12822" max="12822" width="9.875" style="161" customWidth="1"/>
    <col min="12823" max="12823" width="10.625" style="161" customWidth="1"/>
    <col min="12824" max="12824" width="12.75" style="161" customWidth="1"/>
    <col min="12825" max="12825" width="11.75" style="161" customWidth="1"/>
    <col min="12826" max="12826" width="9.875" style="161" customWidth="1"/>
    <col min="12827" max="12827" width="10.625" style="161" customWidth="1"/>
    <col min="12828" max="12828" width="12.75" style="161" customWidth="1"/>
    <col min="12829" max="12829" width="12.125" style="161" customWidth="1"/>
    <col min="12830" max="12830" width="10.625" style="161" customWidth="1"/>
    <col min="12831" max="12831" width="10.875" style="161" customWidth="1"/>
    <col min="12832" max="12832" width="11.25" style="161" customWidth="1"/>
    <col min="12833" max="13054" width="9" style="161"/>
    <col min="13055" max="13055" width="15.875" style="161" customWidth="1"/>
    <col min="13056" max="13056" width="14" style="161" customWidth="1"/>
    <col min="13057" max="13057" width="12.75" style="161" customWidth="1"/>
    <col min="13058" max="13058" width="12.25" style="161" customWidth="1"/>
    <col min="13059" max="13059" width="13.75" style="161" customWidth="1"/>
    <col min="13060" max="13060" width="9.625" style="161" customWidth="1"/>
    <col min="13061" max="13061" width="10.25" style="161" customWidth="1"/>
    <col min="13062" max="13062" width="10.125" style="161" customWidth="1"/>
    <col min="13063" max="13063" width="7" style="161" customWidth="1"/>
    <col min="13064" max="13064" width="11.75" style="161" customWidth="1"/>
    <col min="13065" max="13065" width="11.5" style="161" customWidth="1"/>
    <col min="13066" max="13066" width="9.75" style="161" customWidth="1"/>
    <col min="13067" max="13067" width="10.25" style="161" customWidth="1"/>
    <col min="13068" max="13068" width="9.25" style="161" customWidth="1"/>
    <col min="13069" max="13069" width="9.5" style="161" customWidth="1"/>
    <col min="13070" max="13070" width="10.125" style="161" customWidth="1"/>
    <col min="13071" max="13071" width="16.875" style="161" customWidth="1"/>
    <col min="13072" max="13076" width="9" style="161"/>
    <col min="13077" max="13077" width="11.75" style="161" customWidth="1"/>
    <col min="13078" max="13078" width="9.875" style="161" customWidth="1"/>
    <col min="13079" max="13079" width="10.625" style="161" customWidth="1"/>
    <col min="13080" max="13080" width="12.75" style="161" customWidth="1"/>
    <col min="13081" max="13081" width="11.75" style="161" customWidth="1"/>
    <col min="13082" max="13082" width="9.875" style="161" customWidth="1"/>
    <col min="13083" max="13083" width="10.625" style="161" customWidth="1"/>
    <col min="13084" max="13084" width="12.75" style="161" customWidth="1"/>
    <col min="13085" max="13085" width="12.125" style="161" customWidth="1"/>
    <col min="13086" max="13086" width="10.625" style="161" customWidth="1"/>
    <col min="13087" max="13087" width="10.875" style="161" customWidth="1"/>
    <col min="13088" max="13088" width="11.25" style="161" customWidth="1"/>
    <col min="13089" max="13310" width="9" style="161"/>
    <col min="13311" max="13311" width="15.875" style="161" customWidth="1"/>
    <col min="13312" max="13312" width="14" style="161" customWidth="1"/>
    <col min="13313" max="13313" width="12.75" style="161" customWidth="1"/>
    <col min="13314" max="13314" width="12.25" style="161" customWidth="1"/>
    <col min="13315" max="13315" width="13.75" style="161" customWidth="1"/>
    <col min="13316" max="13316" width="9.625" style="161" customWidth="1"/>
    <col min="13317" max="13317" width="10.25" style="161" customWidth="1"/>
    <col min="13318" max="13318" width="10.125" style="161" customWidth="1"/>
    <col min="13319" max="13319" width="7" style="161" customWidth="1"/>
    <col min="13320" max="13320" width="11.75" style="161" customWidth="1"/>
    <col min="13321" max="13321" width="11.5" style="161" customWidth="1"/>
    <col min="13322" max="13322" width="9.75" style="161" customWidth="1"/>
    <col min="13323" max="13323" width="10.25" style="161" customWidth="1"/>
    <col min="13324" max="13324" width="9.25" style="161" customWidth="1"/>
    <col min="13325" max="13325" width="9.5" style="161" customWidth="1"/>
    <col min="13326" max="13326" width="10.125" style="161" customWidth="1"/>
    <col min="13327" max="13327" width="16.875" style="161" customWidth="1"/>
    <col min="13328" max="13332" width="9" style="161"/>
    <col min="13333" max="13333" width="11.75" style="161" customWidth="1"/>
    <col min="13334" max="13334" width="9.875" style="161" customWidth="1"/>
    <col min="13335" max="13335" width="10.625" style="161" customWidth="1"/>
    <col min="13336" max="13336" width="12.75" style="161" customWidth="1"/>
    <col min="13337" max="13337" width="11.75" style="161" customWidth="1"/>
    <col min="13338" max="13338" width="9.875" style="161" customWidth="1"/>
    <col min="13339" max="13339" width="10.625" style="161" customWidth="1"/>
    <col min="13340" max="13340" width="12.75" style="161" customWidth="1"/>
    <col min="13341" max="13341" width="12.125" style="161" customWidth="1"/>
    <col min="13342" max="13342" width="10.625" style="161" customWidth="1"/>
    <col min="13343" max="13343" width="10.875" style="161" customWidth="1"/>
    <col min="13344" max="13344" width="11.25" style="161" customWidth="1"/>
    <col min="13345" max="13566" width="9" style="161"/>
    <col min="13567" max="13567" width="15.875" style="161" customWidth="1"/>
    <col min="13568" max="13568" width="14" style="161" customWidth="1"/>
    <col min="13569" max="13569" width="12.75" style="161" customWidth="1"/>
    <col min="13570" max="13570" width="12.25" style="161" customWidth="1"/>
    <col min="13571" max="13571" width="13.75" style="161" customWidth="1"/>
    <col min="13572" max="13572" width="9.625" style="161" customWidth="1"/>
    <col min="13573" max="13573" width="10.25" style="161" customWidth="1"/>
    <col min="13574" max="13574" width="10.125" style="161" customWidth="1"/>
    <col min="13575" max="13575" width="7" style="161" customWidth="1"/>
    <col min="13576" max="13576" width="11.75" style="161" customWidth="1"/>
    <col min="13577" max="13577" width="11.5" style="161" customWidth="1"/>
    <col min="13578" max="13578" width="9.75" style="161" customWidth="1"/>
    <col min="13579" max="13579" width="10.25" style="161" customWidth="1"/>
    <col min="13580" max="13580" width="9.25" style="161" customWidth="1"/>
    <col min="13581" max="13581" width="9.5" style="161" customWidth="1"/>
    <col min="13582" max="13582" width="10.125" style="161" customWidth="1"/>
    <col min="13583" max="13583" width="16.875" style="161" customWidth="1"/>
    <col min="13584" max="13588" width="9" style="161"/>
    <col min="13589" max="13589" width="11.75" style="161" customWidth="1"/>
    <col min="13590" max="13590" width="9.875" style="161" customWidth="1"/>
    <col min="13591" max="13591" width="10.625" style="161" customWidth="1"/>
    <col min="13592" max="13592" width="12.75" style="161" customWidth="1"/>
    <col min="13593" max="13593" width="11.75" style="161" customWidth="1"/>
    <col min="13594" max="13594" width="9.875" style="161" customWidth="1"/>
    <col min="13595" max="13595" width="10.625" style="161" customWidth="1"/>
    <col min="13596" max="13596" width="12.75" style="161" customWidth="1"/>
    <col min="13597" max="13597" width="12.125" style="161" customWidth="1"/>
    <col min="13598" max="13598" width="10.625" style="161" customWidth="1"/>
    <col min="13599" max="13599" width="10.875" style="161" customWidth="1"/>
    <col min="13600" max="13600" width="11.25" style="161" customWidth="1"/>
    <col min="13601" max="13822" width="9" style="161"/>
    <col min="13823" max="13823" width="15.875" style="161" customWidth="1"/>
    <col min="13824" max="13824" width="14" style="161" customWidth="1"/>
    <col min="13825" max="13825" width="12.75" style="161" customWidth="1"/>
    <col min="13826" max="13826" width="12.25" style="161" customWidth="1"/>
    <col min="13827" max="13827" width="13.75" style="161" customWidth="1"/>
    <col min="13828" max="13828" width="9.625" style="161" customWidth="1"/>
    <col min="13829" max="13829" width="10.25" style="161" customWidth="1"/>
    <col min="13830" max="13830" width="10.125" style="161" customWidth="1"/>
    <col min="13831" max="13831" width="7" style="161" customWidth="1"/>
    <col min="13832" max="13832" width="11.75" style="161" customWidth="1"/>
    <col min="13833" max="13833" width="11.5" style="161" customWidth="1"/>
    <col min="13834" max="13834" width="9.75" style="161" customWidth="1"/>
    <col min="13835" max="13835" width="10.25" style="161" customWidth="1"/>
    <col min="13836" max="13836" width="9.25" style="161" customWidth="1"/>
    <col min="13837" max="13837" width="9.5" style="161" customWidth="1"/>
    <col min="13838" max="13838" width="10.125" style="161" customWidth="1"/>
    <col min="13839" max="13839" width="16.875" style="161" customWidth="1"/>
    <col min="13840" max="13844" width="9" style="161"/>
    <col min="13845" max="13845" width="11.75" style="161" customWidth="1"/>
    <col min="13846" max="13846" width="9.875" style="161" customWidth="1"/>
    <col min="13847" max="13847" width="10.625" style="161" customWidth="1"/>
    <col min="13848" max="13848" width="12.75" style="161" customWidth="1"/>
    <col min="13849" max="13849" width="11.75" style="161" customWidth="1"/>
    <col min="13850" max="13850" width="9.875" style="161" customWidth="1"/>
    <col min="13851" max="13851" width="10.625" style="161" customWidth="1"/>
    <col min="13852" max="13852" width="12.75" style="161" customWidth="1"/>
    <col min="13853" max="13853" width="12.125" style="161" customWidth="1"/>
    <col min="13854" max="13854" width="10.625" style="161" customWidth="1"/>
    <col min="13855" max="13855" width="10.875" style="161" customWidth="1"/>
    <col min="13856" max="13856" width="11.25" style="161" customWidth="1"/>
    <col min="13857" max="14078" width="9" style="161"/>
    <col min="14079" max="14079" width="15.875" style="161" customWidth="1"/>
    <col min="14080" max="14080" width="14" style="161" customWidth="1"/>
    <col min="14081" max="14081" width="12.75" style="161" customWidth="1"/>
    <col min="14082" max="14082" width="12.25" style="161" customWidth="1"/>
    <col min="14083" max="14083" width="13.75" style="161" customWidth="1"/>
    <col min="14084" max="14084" width="9.625" style="161" customWidth="1"/>
    <col min="14085" max="14085" width="10.25" style="161" customWidth="1"/>
    <col min="14086" max="14086" width="10.125" style="161" customWidth="1"/>
    <col min="14087" max="14087" width="7" style="161" customWidth="1"/>
    <col min="14088" max="14088" width="11.75" style="161" customWidth="1"/>
    <col min="14089" max="14089" width="11.5" style="161" customWidth="1"/>
    <col min="14090" max="14090" width="9.75" style="161" customWidth="1"/>
    <col min="14091" max="14091" width="10.25" style="161" customWidth="1"/>
    <col min="14092" max="14092" width="9.25" style="161" customWidth="1"/>
    <col min="14093" max="14093" width="9.5" style="161" customWidth="1"/>
    <col min="14094" max="14094" width="10.125" style="161" customWidth="1"/>
    <col min="14095" max="14095" width="16.875" style="161" customWidth="1"/>
    <col min="14096" max="14100" width="9" style="161"/>
    <col min="14101" max="14101" width="11.75" style="161" customWidth="1"/>
    <col min="14102" max="14102" width="9.875" style="161" customWidth="1"/>
    <col min="14103" max="14103" width="10.625" style="161" customWidth="1"/>
    <col min="14104" max="14104" width="12.75" style="161" customWidth="1"/>
    <col min="14105" max="14105" width="11.75" style="161" customWidth="1"/>
    <col min="14106" max="14106" width="9.875" style="161" customWidth="1"/>
    <col min="14107" max="14107" width="10.625" style="161" customWidth="1"/>
    <col min="14108" max="14108" width="12.75" style="161" customWidth="1"/>
    <col min="14109" max="14109" width="12.125" style="161" customWidth="1"/>
    <col min="14110" max="14110" width="10.625" style="161" customWidth="1"/>
    <col min="14111" max="14111" width="10.875" style="161" customWidth="1"/>
    <col min="14112" max="14112" width="11.25" style="161" customWidth="1"/>
    <col min="14113" max="14334" width="9" style="161"/>
    <col min="14335" max="14335" width="15.875" style="161" customWidth="1"/>
    <col min="14336" max="14336" width="14" style="161" customWidth="1"/>
    <col min="14337" max="14337" width="12.75" style="161" customWidth="1"/>
    <col min="14338" max="14338" width="12.25" style="161" customWidth="1"/>
    <col min="14339" max="14339" width="13.75" style="161" customWidth="1"/>
    <col min="14340" max="14340" width="9.625" style="161" customWidth="1"/>
    <col min="14341" max="14341" width="10.25" style="161" customWidth="1"/>
    <col min="14342" max="14342" width="10.125" style="161" customWidth="1"/>
    <col min="14343" max="14343" width="7" style="161" customWidth="1"/>
    <col min="14344" max="14344" width="11.75" style="161" customWidth="1"/>
    <col min="14345" max="14345" width="11.5" style="161" customWidth="1"/>
    <col min="14346" max="14346" width="9.75" style="161" customWidth="1"/>
    <col min="14347" max="14347" width="10.25" style="161" customWidth="1"/>
    <col min="14348" max="14348" width="9.25" style="161" customWidth="1"/>
    <col min="14349" max="14349" width="9.5" style="161" customWidth="1"/>
    <col min="14350" max="14350" width="10.125" style="161" customWidth="1"/>
    <col min="14351" max="14351" width="16.875" style="161" customWidth="1"/>
    <col min="14352" max="14356" width="9" style="161"/>
    <col min="14357" max="14357" width="11.75" style="161" customWidth="1"/>
    <col min="14358" max="14358" width="9.875" style="161" customWidth="1"/>
    <col min="14359" max="14359" width="10.625" style="161" customWidth="1"/>
    <col min="14360" max="14360" width="12.75" style="161" customWidth="1"/>
    <col min="14361" max="14361" width="11.75" style="161" customWidth="1"/>
    <col min="14362" max="14362" width="9.875" style="161" customWidth="1"/>
    <col min="14363" max="14363" width="10.625" style="161" customWidth="1"/>
    <col min="14364" max="14364" width="12.75" style="161" customWidth="1"/>
    <col min="14365" max="14365" width="12.125" style="161" customWidth="1"/>
    <col min="14366" max="14366" width="10.625" style="161" customWidth="1"/>
    <col min="14367" max="14367" width="10.875" style="161" customWidth="1"/>
    <col min="14368" max="14368" width="11.25" style="161" customWidth="1"/>
    <col min="14369" max="14590" width="9" style="161"/>
    <col min="14591" max="14591" width="15.875" style="161" customWidth="1"/>
    <col min="14592" max="14592" width="14" style="161" customWidth="1"/>
    <col min="14593" max="14593" width="12.75" style="161" customWidth="1"/>
    <col min="14594" max="14594" width="12.25" style="161" customWidth="1"/>
    <col min="14595" max="14595" width="13.75" style="161" customWidth="1"/>
    <col min="14596" max="14596" width="9.625" style="161" customWidth="1"/>
    <col min="14597" max="14597" width="10.25" style="161" customWidth="1"/>
    <col min="14598" max="14598" width="10.125" style="161" customWidth="1"/>
    <col min="14599" max="14599" width="7" style="161" customWidth="1"/>
    <col min="14600" max="14600" width="11.75" style="161" customWidth="1"/>
    <col min="14601" max="14601" width="11.5" style="161" customWidth="1"/>
    <col min="14602" max="14602" width="9.75" style="161" customWidth="1"/>
    <col min="14603" max="14603" width="10.25" style="161" customWidth="1"/>
    <col min="14604" max="14604" width="9.25" style="161" customWidth="1"/>
    <col min="14605" max="14605" width="9.5" style="161" customWidth="1"/>
    <col min="14606" max="14606" width="10.125" style="161" customWidth="1"/>
    <col min="14607" max="14607" width="16.875" style="161" customWidth="1"/>
    <col min="14608" max="14612" width="9" style="161"/>
    <col min="14613" max="14613" width="11.75" style="161" customWidth="1"/>
    <col min="14614" max="14614" width="9.875" style="161" customWidth="1"/>
    <col min="14615" max="14615" width="10.625" style="161" customWidth="1"/>
    <col min="14616" max="14616" width="12.75" style="161" customWidth="1"/>
    <col min="14617" max="14617" width="11.75" style="161" customWidth="1"/>
    <col min="14618" max="14618" width="9.875" style="161" customWidth="1"/>
    <col min="14619" max="14619" width="10.625" style="161" customWidth="1"/>
    <col min="14620" max="14620" width="12.75" style="161" customWidth="1"/>
    <col min="14621" max="14621" width="12.125" style="161" customWidth="1"/>
    <col min="14622" max="14622" width="10.625" style="161" customWidth="1"/>
    <col min="14623" max="14623" width="10.875" style="161" customWidth="1"/>
    <col min="14624" max="14624" width="11.25" style="161" customWidth="1"/>
    <col min="14625" max="14846" width="9" style="161"/>
    <col min="14847" max="14847" width="15.875" style="161" customWidth="1"/>
    <col min="14848" max="14848" width="14" style="161" customWidth="1"/>
    <col min="14849" max="14849" width="12.75" style="161" customWidth="1"/>
    <col min="14850" max="14850" width="12.25" style="161" customWidth="1"/>
    <col min="14851" max="14851" width="13.75" style="161" customWidth="1"/>
    <col min="14852" max="14852" width="9.625" style="161" customWidth="1"/>
    <col min="14853" max="14853" width="10.25" style="161" customWidth="1"/>
    <col min="14854" max="14854" width="10.125" style="161" customWidth="1"/>
    <col min="14855" max="14855" width="7" style="161" customWidth="1"/>
    <col min="14856" max="14856" width="11.75" style="161" customWidth="1"/>
    <col min="14857" max="14857" width="11.5" style="161" customWidth="1"/>
    <col min="14858" max="14858" width="9.75" style="161" customWidth="1"/>
    <col min="14859" max="14859" width="10.25" style="161" customWidth="1"/>
    <col min="14860" max="14860" width="9.25" style="161" customWidth="1"/>
    <col min="14861" max="14861" width="9.5" style="161" customWidth="1"/>
    <col min="14862" max="14862" width="10.125" style="161" customWidth="1"/>
    <col min="14863" max="14863" width="16.875" style="161" customWidth="1"/>
    <col min="14864" max="14868" width="9" style="161"/>
    <col min="14869" max="14869" width="11.75" style="161" customWidth="1"/>
    <col min="14870" max="14870" width="9.875" style="161" customWidth="1"/>
    <col min="14871" max="14871" width="10.625" style="161" customWidth="1"/>
    <col min="14872" max="14872" width="12.75" style="161" customWidth="1"/>
    <col min="14873" max="14873" width="11.75" style="161" customWidth="1"/>
    <col min="14874" max="14874" width="9.875" style="161" customWidth="1"/>
    <col min="14875" max="14875" width="10.625" style="161" customWidth="1"/>
    <col min="14876" max="14876" width="12.75" style="161" customWidth="1"/>
    <col min="14877" max="14877" width="12.125" style="161" customWidth="1"/>
    <col min="14878" max="14878" width="10.625" style="161" customWidth="1"/>
    <col min="14879" max="14879" width="10.875" style="161" customWidth="1"/>
    <col min="14880" max="14880" width="11.25" style="161" customWidth="1"/>
    <col min="14881" max="15102" width="9" style="161"/>
    <col min="15103" max="15103" width="15.875" style="161" customWidth="1"/>
    <col min="15104" max="15104" width="14" style="161" customWidth="1"/>
    <col min="15105" max="15105" width="12.75" style="161" customWidth="1"/>
    <col min="15106" max="15106" width="12.25" style="161" customWidth="1"/>
    <col min="15107" max="15107" width="13.75" style="161" customWidth="1"/>
    <col min="15108" max="15108" width="9.625" style="161" customWidth="1"/>
    <col min="15109" max="15109" width="10.25" style="161" customWidth="1"/>
    <col min="15110" max="15110" width="10.125" style="161" customWidth="1"/>
    <col min="15111" max="15111" width="7" style="161" customWidth="1"/>
    <col min="15112" max="15112" width="11.75" style="161" customWidth="1"/>
    <col min="15113" max="15113" width="11.5" style="161" customWidth="1"/>
    <col min="15114" max="15114" width="9.75" style="161" customWidth="1"/>
    <col min="15115" max="15115" width="10.25" style="161" customWidth="1"/>
    <col min="15116" max="15116" width="9.25" style="161" customWidth="1"/>
    <col min="15117" max="15117" width="9.5" style="161" customWidth="1"/>
    <col min="15118" max="15118" width="10.125" style="161" customWidth="1"/>
    <col min="15119" max="15119" width="16.875" style="161" customWidth="1"/>
    <col min="15120" max="15124" width="9" style="161"/>
    <col min="15125" max="15125" width="11.75" style="161" customWidth="1"/>
    <col min="15126" max="15126" width="9.875" style="161" customWidth="1"/>
    <col min="15127" max="15127" width="10.625" style="161" customWidth="1"/>
    <col min="15128" max="15128" width="12.75" style="161" customWidth="1"/>
    <col min="15129" max="15129" width="11.75" style="161" customWidth="1"/>
    <col min="15130" max="15130" width="9.875" style="161" customWidth="1"/>
    <col min="15131" max="15131" width="10.625" style="161" customWidth="1"/>
    <col min="15132" max="15132" width="12.75" style="161" customWidth="1"/>
    <col min="15133" max="15133" width="12.125" style="161" customWidth="1"/>
    <col min="15134" max="15134" width="10.625" style="161" customWidth="1"/>
    <col min="15135" max="15135" width="10.875" style="161" customWidth="1"/>
    <col min="15136" max="15136" width="11.25" style="161" customWidth="1"/>
    <col min="15137" max="15358" width="9" style="161"/>
    <col min="15359" max="15359" width="15.875" style="161" customWidth="1"/>
    <col min="15360" max="15360" width="14" style="161" customWidth="1"/>
    <col min="15361" max="15361" width="12.75" style="161" customWidth="1"/>
    <col min="15362" max="15362" width="12.25" style="161" customWidth="1"/>
    <col min="15363" max="15363" width="13.75" style="161" customWidth="1"/>
    <col min="15364" max="15364" width="9.625" style="161" customWidth="1"/>
    <col min="15365" max="15365" width="10.25" style="161" customWidth="1"/>
    <col min="15366" max="15366" width="10.125" style="161" customWidth="1"/>
    <col min="15367" max="15367" width="7" style="161" customWidth="1"/>
    <col min="15368" max="15368" width="11.75" style="161" customWidth="1"/>
    <col min="15369" max="15369" width="11.5" style="161" customWidth="1"/>
    <col min="15370" max="15370" width="9.75" style="161" customWidth="1"/>
    <col min="15371" max="15371" width="10.25" style="161" customWidth="1"/>
    <col min="15372" max="15372" width="9.25" style="161" customWidth="1"/>
    <col min="15373" max="15373" width="9.5" style="161" customWidth="1"/>
    <col min="15374" max="15374" width="10.125" style="161" customWidth="1"/>
    <col min="15375" max="15375" width="16.875" style="161" customWidth="1"/>
    <col min="15376" max="15380" width="9" style="161"/>
    <col min="15381" max="15381" width="11.75" style="161" customWidth="1"/>
    <col min="15382" max="15382" width="9.875" style="161" customWidth="1"/>
    <col min="15383" max="15383" width="10.625" style="161" customWidth="1"/>
    <col min="15384" max="15384" width="12.75" style="161" customWidth="1"/>
    <col min="15385" max="15385" width="11.75" style="161" customWidth="1"/>
    <col min="15386" max="15386" width="9.875" style="161" customWidth="1"/>
    <col min="15387" max="15387" width="10.625" style="161" customWidth="1"/>
    <col min="15388" max="15388" width="12.75" style="161" customWidth="1"/>
    <col min="15389" max="15389" width="12.125" style="161" customWidth="1"/>
    <col min="15390" max="15390" width="10.625" style="161" customWidth="1"/>
    <col min="15391" max="15391" width="10.875" style="161" customWidth="1"/>
    <col min="15392" max="15392" width="11.25" style="161" customWidth="1"/>
    <col min="15393" max="15614" width="9" style="161"/>
    <col min="15615" max="15615" width="15.875" style="161" customWidth="1"/>
    <col min="15616" max="15616" width="14" style="161" customWidth="1"/>
    <col min="15617" max="15617" width="12.75" style="161" customWidth="1"/>
    <col min="15618" max="15618" width="12.25" style="161" customWidth="1"/>
    <col min="15619" max="15619" width="13.75" style="161" customWidth="1"/>
    <col min="15620" max="15620" width="9.625" style="161" customWidth="1"/>
    <col min="15621" max="15621" width="10.25" style="161" customWidth="1"/>
    <col min="15622" max="15622" width="10.125" style="161" customWidth="1"/>
    <col min="15623" max="15623" width="7" style="161" customWidth="1"/>
    <col min="15624" max="15624" width="11.75" style="161" customWidth="1"/>
    <col min="15625" max="15625" width="11.5" style="161" customWidth="1"/>
    <col min="15626" max="15626" width="9.75" style="161" customWidth="1"/>
    <col min="15627" max="15627" width="10.25" style="161" customWidth="1"/>
    <col min="15628" max="15628" width="9.25" style="161" customWidth="1"/>
    <col min="15629" max="15629" width="9.5" style="161" customWidth="1"/>
    <col min="15630" max="15630" width="10.125" style="161" customWidth="1"/>
    <col min="15631" max="15631" width="16.875" style="161" customWidth="1"/>
    <col min="15632" max="15636" width="9" style="161"/>
    <col min="15637" max="15637" width="11.75" style="161" customWidth="1"/>
    <col min="15638" max="15638" width="9.875" style="161" customWidth="1"/>
    <col min="15639" max="15639" width="10.625" style="161" customWidth="1"/>
    <col min="15640" max="15640" width="12.75" style="161" customWidth="1"/>
    <col min="15641" max="15641" width="11.75" style="161" customWidth="1"/>
    <col min="15642" max="15642" width="9.875" style="161" customWidth="1"/>
    <col min="15643" max="15643" width="10.625" style="161" customWidth="1"/>
    <col min="15644" max="15644" width="12.75" style="161" customWidth="1"/>
    <col min="15645" max="15645" width="12.125" style="161" customWidth="1"/>
    <col min="15646" max="15646" width="10.625" style="161" customWidth="1"/>
    <col min="15647" max="15647" width="10.875" style="161" customWidth="1"/>
    <col min="15648" max="15648" width="11.25" style="161" customWidth="1"/>
    <col min="15649" max="15870" width="9" style="161"/>
    <col min="15871" max="15871" width="15.875" style="161" customWidth="1"/>
    <col min="15872" max="15872" width="14" style="161" customWidth="1"/>
    <col min="15873" max="15873" width="12.75" style="161" customWidth="1"/>
    <col min="15874" max="15874" width="12.25" style="161" customWidth="1"/>
    <col min="15875" max="15875" width="13.75" style="161" customWidth="1"/>
    <col min="15876" max="15876" width="9.625" style="161" customWidth="1"/>
    <col min="15877" max="15877" width="10.25" style="161" customWidth="1"/>
    <col min="15878" max="15878" width="10.125" style="161" customWidth="1"/>
    <col min="15879" max="15879" width="7" style="161" customWidth="1"/>
    <col min="15880" max="15880" width="11.75" style="161" customWidth="1"/>
    <col min="15881" max="15881" width="11.5" style="161" customWidth="1"/>
    <col min="15882" max="15882" width="9.75" style="161" customWidth="1"/>
    <col min="15883" max="15883" width="10.25" style="161" customWidth="1"/>
    <col min="15884" max="15884" width="9.25" style="161" customWidth="1"/>
    <col min="15885" max="15885" width="9.5" style="161" customWidth="1"/>
    <col min="15886" max="15886" width="10.125" style="161" customWidth="1"/>
    <col min="15887" max="15887" width="16.875" style="161" customWidth="1"/>
    <col min="15888" max="15892" width="9" style="161"/>
    <col min="15893" max="15893" width="11.75" style="161" customWidth="1"/>
    <col min="15894" max="15894" width="9.875" style="161" customWidth="1"/>
    <col min="15895" max="15895" width="10.625" style="161" customWidth="1"/>
    <col min="15896" max="15896" width="12.75" style="161" customWidth="1"/>
    <col min="15897" max="15897" width="11.75" style="161" customWidth="1"/>
    <col min="15898" max="15898" width="9.875" style="161" customWidth="1"/>
    <col min="15899" max="15899" width="10.625" style="161" customWidth="1"/>
    <col min="15900" max="15900" width="12.75" style="161" customWidth="1"/>
    <col min="15901" max="15901" width="12.125" style="161" customWidth="1"/>
    <col min="15902" max="15902" width="10.625" style="161" customWidth="1"/>
    <col min="15903" max="15903" width="10.875" style="161" customWidth="1"/>
    <col min="15904" max="15904" width="11.25" style="161" customWidth="1"/>
    <col min="15905" max="16126" width="9" style="161"/>
    <col min="16127" max="16127" width="15.875" style="161" customWidth="1"/>
    <col min="16128" max="16128" width="14" style="161" customWidth="1"/>
    <col min="16129" max="16129" width="12.75" style="161" customWidth="1"/>
    <col min="16130" max="16130" width="12.25" style="161" customWidth="1"/>
    <col min="16131" max="16131" width="13.75" style="161" customWidth="1"/>
    <col min="16132" max="16132" width="9.625" style="161" customWidth="1"/>
    <col min="16133" max="16133" width="10.25" style="161" customWidth="1"/>
    <col min="16134" max="16134" width="10.125" style="161" customWidth="1"/>
    <col min="16135" max="16135" width="7" style="161" customWidth="1"/>
    <col min="16136" max="16136" width="11.75" style="161" customWidth="1"/>
    <col min="16137" max="16137" width="11.5" style="161" customWidth="1"/>
    <col min="16138" max="16138" width="9.75" style="161" customWidth="1"/>
    <col min="16139" max="16139" width="10.25" style="161" customWidth="1"/>
    <col min="16140" max="16140" width="9.25" style="161" customWidth="1"/>
    <col min="16141" max="16141" width="9.5" style="161" customWidth="1"/>
    <col min="16142" max="16142" width="10.125" style="161" customWidth="1"/>
    <col min="16143" max="16143" width="16.875" style="161" customWidth="1"/>
    <col min="16144" max="16148" width="9" style="161"/>
    <col min="16149" max="16149" width="11.75" style="161" customWidth="1"/>
    <col min="16150" max="16150" width="9.875" style="161" customWidth="1"/>
    <col min="16151" max="16151" width="10.625" style="161" customWidth="1"/>
    <col min="16152" max="16152" width="12.75" style="161" customWidth="1"/>
    <col min="16153" max="16153" width="11.75" style="161" customWidth="1"/>
    <col min="16154" max="16154" width="9.875" style="161" customWidth="1"/>
    <col min="16155" max="16155" width="10.625" style="161" customWidth="1"/>
    <col min="16156" max="16156" width="12.75" style="161" customWidth="1"/>
    <col min="16157" max="16157" width="12.125" style="161" customWidth="1"/>
    <col min="16158" max="16158" width="10.625" style="161" customWidth="1"/>
    <col min="16159" max="16159" width="10.875" style="161" customWidth="1"/>
    <col min="16160" max="16160" width="11.25" style="161" customWidth="1"/>
    <col min="16161" max="16384" width="9" style="161"/>
  </cols>
  <sheetData>
    <row r="1" spans="1:32" s="160" customFormat="1" ht="32.25">
      <c r="A1" s="695" t="s">
        <v>175</v>
      </c>
      <c r="B1" s="696"/>
      <c r="C1" s="696"/>
      <c r="D1" s="696"/>
      <c r="E1" s="696"/>
      <c r="F1" s="696"/>
      <c r="G1" s="696"/>
      <c r="H1" s="696"/>
      <c r="I1" s="696"/>
      <c r="J1" s="696"/>
      <c r="K1" s="696"/>
      <c r="L1" s="696"/>
      <c r="M1" s="696"/>
      <c r="N1" s="161"/>
      <c r="O1" s="198"/>
      <c r="P1" s="198"/>
      <c r="Q1" s="198"/>
      <c r="R1" s="198"/>
      <c r="S1" s="198"/>
      <c r="T1" s="198"/>
      <c r="U1" s="198"/>
      <c r="V1" s="198"/>
      <c r="W1" s="198"/>
      <c r="X1" s="198"/>
      <c r="Y1" s="198"/>
      <c r="Z1" s="198"/>
      <c r="AA1" s="198"/>
      <c r="AB1" s="198"/>
      <c r="AC1" s="198"/>
    </row>
    <row r="2" spans="1:32" s="160" customFormat="1" ht="17.25">
      <c r="A2" s="163" t="s">
        <v>176</v>
      </c>
      <c r="B2" s="697" t="s">
        <v>177</v>
      </c>
      <c r="C2" s="698"/>
      <c r="D2" s="698"/>
      <c r="E2" s="698"/>
      <c r="F2" s="698"/>
      <c r="G2" s="699" t="s">
        <v>178</v>
      </c>
      <c r="H2" s="699"/>
      <c r="I2" s="699"/>
      <c r="J2" s="699"/>
      <c r="K2" s="699"/>
      <c r="L2" s="699"/>
      <c r="M2" s="699"/>
      <c r="N2" s="161"/>
      <c r="O2" s="161"/>
      <c r="P2" s="161"/>
      <c r="Q2" s="161"/>
      <c r="R2" s="161"/>
      <c r="S2" s="161"/>
      <c r="T2" s="161"/>
      <c r="U2" s="161"/>
      <c r="V2" s="161"/>
      <c r="W2" s="161"/>
      <c r="X2" s="161"/>
      <c r="Y2" s="161"/>
      <c r="Z2" s="161"/>
      <c r="AA2" s="161"/>
      <c r="AB2" s="161"/>
      <c r="AC2" s="161"/>
    </row>
    <row r="3" spans="1:32" s="160" customFormat="1" ht="57">
      <c r="A3" s="164" t="s">
        <v>179</v>
      </c>
      <c r="B3" s="165" t="str">
        <f t="shared" ref="B3" si="0">B5&amp;"层板灯"</f>
        <v>760mm层板灯</v>
      </c>
      <c r="C3" s="165" t="str">
        <f>C5&amp;"层板灯"</f>
        <v>960mm层板灯</v>
      </c>
      <c r="D3" s="165" t="str">
        <f>D5&amp;"层板灯"</f>
        <v>1110mm层板灯</v>
      </c>
      <c r="E3" s="165" t="str">
        <f>E5&amp;"层板灯"</f>
        <v>1160mm层板灯</v>
      </c>
      <c r="F3" s="165" t="str">
        <f>F5&amp;"层板灯"</f>
        <v>1210mm层板灯</v>
      </c>
      <c r="G3" s="166" t="s">
        <v>180</v>
      </c>
      <c r="H3" s="166" t="s">
        <v>181</v>
      </c>
      <c r="I3" s="166" t="s">
        <v>182</v>
      </c>
      <c r="J3" s="166" t="s">
        <v>183</v>
      </c>
      <c r="K3" s="166" t="s">
        <v>184</v>
      </c>
      <c r="L3" s="166" t="s">
        <v>185</v>
      </c>
      <c r="M3" s="199" t="s">
        <v>186</v>
      </c>
      <c r="N3" s="161"/>
      <c r="O3" s="161"/>
      <c r="P3" s="161"/>
      <c r="Q3" s="161"/>
      <c r="R3" s="161"/>
      <c r="S3" s="161"/>
      <c r="T3" s="161"/>
      <c r="U3" s="161"/>
      <c r="V3" s="161"/>
      <c r="W3" s="161"/>
      <c r="X3" s="161"/>
      <c r="Y3" s="161"/>
      <c r="Z3" s="161"/>
    </row>
    <row r="4" spans="1:32" s="160" customFormat="1" ht="28.5">
      <c r="A4" s="164" t="s">
        <v>187</v>
      </c>
      <c r="B4" s="167" t="s">
        <v>188</v>
      </c>
      <c r="C4" s="167" t="s">
        <v>188</v>
      </c>
      <c r="D4" s="167" t="s">
        <v>188</v>
      </c>
      <c r="E4" s="167" t="s">
        <v>188</v>
      </c>
      <c r="F4" s="167" t="s">
        <v>188</v>
      </c>
      <c r="G4" s="168" t="s">
        <v>189</v>
      </c>
      <c r="H4" s="168" t="s">
        <v>190</v>
      </c>
      <c r="I4" s="168" t="s">
        <v>191</v>
      </c>
      <c r="J4" s="168" t="s">
        <v>192</v>
      </c>
      <c r="K4" s="168" t="s">
        <v>193</v>
      </c>
      <c r="L4" s="168" t="s">
        <v>194</v>
      </c>
      <c r="M4" s="171" t="s">
        <v>195</v>
      </c>
      <c r="N4" s="161"/>
      <c r="O4" s="161"/>
      <c r="P4" s="161"/>
      <c r="Q4" s="161"/>
      <c r="R4" s="161"/>
      <c r="S4" s="161"/>
      <c r="T4" s="161"/>
      <c r="U4" s="161"/>
      <c r="V4" s="161"/>
      <c r="W4" s="161"/>
      <c r="X4" s="161"/>
      <c r="Y4" s="161"/>
      <c r="Z4" s="161"/>
    </row>
    <row r="5" spans="1:32" s="160" customFormat="1" ht="17.25">
      <c r="A5" s="164" t="s">
        <v>196</v>
      </c>
      <c r="B5" s="169" t="s">
        <v>197</v>
      </c>
      <c r="C5" s="170" t="s">
        <v>198</v>
      </c>
      <c r="D5" s="170" t="s">
        <v>199</v>
      </c>
      <c r="E5" s="169" t="s">
        <v>200</v>
      </c>
      <c r="F5" s="169" t="s">
        <v>201</v>
      </c>
      <c r="G5" s="171" t="s">
        <v>202</v>
      </c>
      <c r="H5" s="168" t="s">
        <v>203</v>
      </c>
      <c r="I5" s="168" t="s">
        <v>204</v>
      </c>
      <c r="J5" s="168" t="s">
        <v>205</v>
      </c>
      <c r="K5" s="168" t="s">
        <v>206</v>
      </c>
      <c r="L5" s="168" t="s">
        <v>207</v>
      </c>
      <c r="M5" s="171" t="s">
        <v>208</v>
      </c>
      <c r="N5" s="161"/>
      <c r="O5" s="161"/>
      <c r="P5" s="161"/>
      <c r="Q5" s="161"/>
      <c r="R5" s="161"/>
      <c r="S5" s="161"/>
      <c r="T5" s="161"/>
      <c r="U5" s="161"/>
      <c r="V5" s="161"/>
      <c r="W5" s="161"/>
      <c r="X5" s="161"/>
      <c r="Y5" s="161"/>
      <c r="Z5" s="161"/>
    </row>
    <row r="6" spans="1:32" s="160" customFormat="1" ht="17.25">
      <c r="A6" s="164" t="s">
        <v>209</v>
      </c>
      <c r="B6" s="168"/>
      <c r="C6" s="168"/>
      <c r="D6" s="168"/>
      <c r="E6" s="172"/>
      <c r="F6" s="171"/>
      <c r="G6" s="168" t="s">
        <v>210</v>
      </c>
      <c r="H6" s="168" t="s">
        <v>211</v>
      </c>
      <c r="I6" s="168" t="s">
        <v>211</v>
      </c>
      <c r="J6" s="168" t="s">
        <v>211</v>
      </c>
      <c r="K6" s="168" t="s">
        <v>211</v>
      </c>
      <c r="L6" s="168" t="s">
        <v>211</v>
      </c>
      <c r="M6" s="168" t="s">
        <v>211</v>
      </c>
      <c r="N6" s="161"/>
      <c r="O6" s="161"/>
      <c r="P6" s="161"/>
      <c r="Q6" s="161"/>
      <c r="R6" s="161"/>
      <c r="S6" s="161"/>
      <c r="T6" s="161"/>
      <c r="U6" s="161"/>
      <c r="V6" s="161"/>
      <c r="W6" s="161"/>
      <c r="X6" s="161"/>
      <c r="Y6" s="161"/>
      <c r="Z6" s="161"/>
    </row>
    <row r="7" spans="1:32" s="160" customFormat="1" ht="17.25" hidden="1">
      <c r="A7" s="173" t="s">
        <v>212</v>
      </c>
      <c r="B7" s="700">
        <v>162</v>
      </c>
      <c r="C7" s="701"/>
      <c r="D7" s="701"/>
      <c r="E7" s="701"/>
      <c r="F7" s="702"/>
      <c r="G7" s="174">
        <v>635</v>
      </c>
      <c r="H7" s="703">
        <v>33</v>
      </c>
      <c r="I7" s="703"/>
      <c r="J7" s="703"/>
      <c r="K7" s="703"/>
      <c r="L7" s="703"/>
      <c r="M7" s="703"/>
      <c r="N7" s="161"/>
      <c r="O7" s="161"/>
      <c r="P7" s="161"/>
      <c r="Q7" s="161"/>
      <c r="R7" s="161"/>
      <c r="S7" s="161"/>
      <c r="T7" s="161"/>
      <c r="U7" s="161"/>
      <c r="V7" s="161"/>
      <c r="W7" s="161"/>
      <c r="X7" s="161"/>
      <c r="Y7" s="161"/>
      <c r="Z7" s="161"/>
    </row>
    <row r="8" spans="1:32" s="160" customFormat="1" ht="17.25" hidden="1">
      <c r="A8" s="173" t="s">
        <v>213</v>
      </c>
      <c r="B8" s="700">
        <v>189.54</v>
      </c>
      <c r="C8" s="701"/>
      <c r="D8" s="701"/>
      <c r="E8" s="701"/>
      <c r="F8" s="702"/>
      <c r="G8" s="175">
        <v>742.95</v>
      </c>
      <c r="H8" s="704">
        <v>38.61</v>
      </c>
      <c r="I8" s="704"/>
      <c r="J8" s="704"/>
      <c r="K8" s="704"/>
      <c r="L8" s="704"/>
      <c r="M8" s="704"/>
      <c r="N8" s="161"/>
      <c r="O8" s="161"/>
      <c r="P8" s="161"/>
      <c r="Q8" s="161"/>
      <c r="R8" s="161"/>
      <c r="S8" s="161"/>
      <c r="T8" s="161"/>
      <c r="U8" s="161"/>
      <c r="V8" s="161"/>
      <c r="W8" s="161"/>
      <c r="X8" s="161"/>
      <c r="Y8" s="161"/>
      <c r="Z8" s="161"/>
    </row>
    <row r="9" spans="1:32" s="160" customFormat="1" ht="17.25" hidden="1">
      <c r="A9" s="173" t="s">
        <v>214</v>
      </c>
      <c r="B9" s="176">
        <f>0.76*$B$7</f>
        <v>123.12</v>
      </c>
      <c r="C9" s="176">
        <f>0.96*$B$7</f>
        <v>155.51999999999998</v>
      </c>
      <c r="D9" s="176">
        <f>1.11*$B$7</f>
        <v>179.82000000000002</v>
      </c>
      <c r="E9" s="176">
        <f>1.16*$B$7</f>
        <v>187.92</v>
      </c>
      <c r="F9" s="176">
        <f>1.21*$B$7</f>
        <v>196.01999999999998</v>
      </c>
      <c r="G9" s="176">
        <v>635</v>
      </c>
      <c r="H9" s="176">
        <v>37.950000000000003</v>
      </c>
      <c r="I9" s="176">
        <v>34.65</v>
      </c>
      <c r="J9" s="176">
        <v>36.630000000000003</v>
      </c>
      <c r="K9" s="176">
        <v>25.08</v>
      </c>
      <c r="L9" s="176">
        <v>42.9</v>
      </c>
      <c r="M9" s="176">
        <v>52.8</v>
      </c>
      <c r="N9" s="161"/>
      <c r="O9" s="161"/>
      <c r="P9" s="161"/>
      <c r="Q9" s="161"/>
      <c r="R9" s="161"/>
      <c r="S9" s="161"/>
      <c r="T9" s="161"/>
      <c r="U9" s="161"/>
      <c r="V9" s="161"/>
      <c r="W9" s="161"/>
      <c r="X9" s="161"/>
      <c r="Y9" s="161"/>
      <c r="Z9" s="161"/>
    </row>
    <row r="10" spans="1:32" s="160" customFormat="1" ht="17.25" hidden="1">
      <c r="A10" s="173" t="s">
        <v>215</v>
      </c>
      <c r="B10" s="176">
        <f t="shared" ref="B10" si="1">B9*1.17</f>
        <v>144.0504</v>
      </c>
      <c r="C10" s="176">
        <f t="shared" ref="C10:M10" si="2">C9*1.17</f>
        <v>181.95839999999995</v>
      </c>
      <c r="D10" s="176">
        <f t="shared" si="2"/>
        <v>210.38940000000002</v>
      </c>
      <c r="E10" s="176">
        <f t="shared" si="2"/>
        <v>219.86639999999997</v>
      </c>
      <c r="F10" s="176">
        <f t="shared" si="2"/>
        <v>229.34339999999997</v>
      </c>
      <c r="G10" s="176">
        <f t="shared" si="2"/>
        <v>742.94999999999993</v>
      </c>
      <c r="H10" s="176">
        <f t="shared" si="2"/>
        <v>44.401499999999999</v>
      </c>
      <c r="I10" s="176">
        <f t="shared" si="2"/>
        <v>40.540499999999994</v>
      </c>
      <c r="J10" s="176">
        <f t="shared" si="2"/>
        <v>42.857100000000003</v>
      </c>
      <c r="K10" s="176">
        <f t="shared" si="2"/>
        <v>29.343599999999995</v>
      </c>
      <c r="L10" s="176">
        <f t="shared" si="2"/>
        <v>50.192999999999998</v>
      </c>
      <c r="M10" s="176">
        <f t="shared" si="2"/>
        <v>61.775999999999996</v>
      </c>
      <c r="N10" s="161"/>
      <c r="O10" s="161"/>
      <c r="P10" s="161"/>
      <c r="Q10" s="161"/>
      <c r="R10" s="161"/>
      <c r="S10" s="161"/>
      <c r="T10" s="161"/>
      <c r="U10" s="161"/>
      <c r="V10" s="161"/>
      <c r="W10" s="161"/>
      <c r="X10" s="161"/>
      <c r="Y10" s="161"/>
      <c r="Z10" s="161"/>
    </row>
    <row r="11" spans="1:32" s="160" customFormat="1" ht="17.25" hidden="1">
      <c r="A11" s="164" t="s">
        <v>216</v>
      </c>
      <c r="B11" s="168">
        <v>8</v>
      </c>
      <c r="C11" s="168">
        <v>0</v>
      </c>
      <c r="D11" s="168">
        <v>0</v>
      </c>
      <c r="E11" s="168">
        <v>8</v>
      </c>
      <c r="F11" s="168">
        <v>0</v>
      </c>
      <c r="G11" s="168">
        <v>2</v>
      </c>
      <c r="H11" s="168">
        <v>1</v>
      </c>
      <c r="I11" s="168"/>
      <c r="J11" s="168">
        <v>1</v>
      </c>
      <c r="K11" s="168"/>
      <c r="L11" s="168"/>
      <c r="M11" s="171"/>
      <c r="N11" s="161"/>
      <c r="O11" s="161"/>
      <c r="P11" s="161"/>
      <c r="Q11" s="161"/>
      <c r="R11" s="161"/>
      <c r="S11" s="161"/>
      <c r="T11" s="161"/>
      <c r="U11" s="161"/>
      <c r="V11" s="161"/>
      <c r="W11" s="161"/>
      <c r="X11" s="161"/>
      <c r="Y11" s="161"/>
      <c r="Z11" s="161"/>
    </row>
    <row r="12" spans="1:32" s="160" customFormat="1" ht="17.25" hidden="1">
      <c r="A12" s="177" t="s">
        <v>217</v>
      </c>
      <c r="B12" s="178">
        <f t="shared" ref="B12" si="3">B11*B9</f>
        <v>984.96</v>
      </c>
      <c r="C12" s="178">
        <f t="shared" ref="C12:M12" si="4">C11*C9</f>
        <v>0</v>
      </c>
      <c r="D12" s="178">
        <f t="shared" si="4"/>
        <v>0</v>
      </c>
      <c r="E12" s="178">
        <f t="shared" si="4"/>
        <v>1503.36</v>
      </c>
      <c r="F12" s="178">
        <f t="shared" si="4"/>
        <v>0</v>
      </c>
      <c r="G12" s="178">
        <f t="shared" si="4"/>
        <v>1270</v>
      </c>
      <c r="H12" s="178">
        <f t="shared" si="4"/>
        <v>37.950000000000003</v>
      </c>
      <c r="I12" s="178">
        <f t="shared" si="4"/>
        <v>0</v>
      </c>
      <c r="J12" s="178">
        <f t="shared" si="4"/>
        <v>36.630000000000003</v>
      </c>
      <c r="K12" s="178">
        <f t="shared" si="4"/>
        <v>0</v>
      </c>
      <c r="L12" s="178">
        <f t="shared" si="4"/>
        <v>0</v>
      </c>
      <c r="M12" s="178">
        <f t="shared" si="4"/>
        <v>0</v>
      </c>
      <c r="N12" s="200">
        <f>SUM(B12:M12)</f>
        <v>3832.8999999999996</v>
      </c>
      <c r="O12" s="161"/>
      <c r="P12" s="161"/>
      <c r="Q12" s="161"/>
      <c r="R12" s="161"/>
      <c r="S12" s="161"/>
      <c r="T12" s="161"/>
      <c r="U12" s="161"/>
      <c r="V12" s="161"/>
      <c r="W12" s="161"/>
      <c r="X12" s="161"/>
      <c r="Y12" s="161"/>
      <c r="Z12" s="161"/>
    </row>
    <row r="13" spans="1:32" s="160" customFormat="1" ht="17.25">
      <c r="A13" s="164" t="s">
        <v>218</v>
      </c>
      <c r="B13" s="705" t="s">
        <v>219</v>
      </c>
      <c r="C13" s="706"/>
      <c r="D13" s="706"/>
      <c r="E13" s="706"/>
      <c r="F13" s="706"/>
      <c r="G13" s="179"/>
      <c r="H13" s="179"/>
      <c r="I13" s="179"/>
      <c r="J13" s="179"/>
      <c r="K13" s="179"/>
      <c r="L13" s="201"/>
      <c r="M13" s="202"/>
      <c r="N13" s="161"/>
      <c r="O13" s="161"/>
      <c r="P13" s="161"/>
      <c r="Q13" s="161"/>
      <c r="R13" s="161"/>
      <c r="S13" s="161"/>
      <c r="T13" s="161"/>
      <c r="U13" s="161"/>
      <c r="V13" s="161"/>
      <c r="W13" s="161"/>
      <c r="X13" s="161"/>
      <c r="Y13" s="161"/>
      <c r="Z13" s="161"/>
      <c r="AA13" s="161"/>
      <c r="AB13" s="161"/>
      <c r="AC13" s="161"/>
    </row>
    <row r="14" spans="1:32" s="160" customFormat="1" ht="17.25">
      <c r="A14" s="180" t="s">
        <v>220</v>
      </c>
      <c r="B14" s="707"/>
      <c r="C14" s="707"/>
      <c r="D14" s="707"/>
      <c r="E14" s="707"/>
      <c r="F14" s="707"/>
      <c r="G14" s="181"/>
      <c r="H14" s="707"/>
      <c r="I14" s="707"/>
      <c r="J14" s="707"/>
      <c r="K14" s="707"/>
      <c r="L14" s="707"/>
      <c r="M14" s="707"/>
      <c r="N14" s="161"/>
      <c r="O14" s="161"/>
      <c r="P14" s="161"/>
      <c r="Q14" s="161"/>
      <c r="R14" s="161"/>
      <c r="S14" s="161"/>
      <c r="T14" s="161"/>
      <c r="U14" s="161"/>
      <c r="V14" s="161"/>
      <c r="W14" s="161"/>
      <c r="X14" s="161"/>
      <c r="Y14" s="161"/>
      <c r="Z14" s="161"/>
      <c r="AA14" s="161"/>
      <c r="AB14" s="161"/>
      <c r="AC14" s="161"/>
      <c r="AD14" s="161"/>
      <c r="AE14" s="161"/>
      <c r="AF14" s="161"/>
    </row>
    <row r="15" spans="1:32" s="160" customFormat="1" ht="17.25">
      <c r="A15" s="182"/>
      <c r="B15" s="183"/>
      <c r="C15" s="183"/>
      <c r="D15" s="183"/>
      <c r="E15" s="183"/>
      <c r="F15" s="183"/>
      <c r="G15" s="183"/>
      <c r="H15" s="183"/>
      <c r="I15" s="183"/>
      <c r="J15" s="183"/>
      <c r="K15" s="183"/>
      <c r="L15" s="183"/>
      <c r="M15" s="183"/>
      <c r="N15" s="183"/>
      <c r="O15" s="183"/>
      <c r="P15" s="183"/>
      <c r="Q15" s="183"/>
      <c r="R15" s="183"/>
      <c r="S15" s="183"/>
      <c r="T15" s="183"/>
      <c r="U15" s="193"/>
      <c r="V15" s="193"/>
      <c r="W15" s="193"/>
      <c r="X15" s="212"/>
      <c r="Y15" s="213"/>
      <c r="Z15" s="213"/>
      <c r="AA15" s="213"/>
      <c r="AB15" s="213"/>
      <c r="AC15" s="214"/>
      <c r="AD15" s="214"/>
      <c r="AE15" s="214"/>
      <c r="AF15" s="214"/>
    </row>
    <row r="16" spans="1:32">
      <c r="A16" s="161" t="s">
        <v>221</v>
      </c>
      <c r="B16" s="162" t="s">
        <v>425</v>
      </c>
      <c r="E16" s="161" t="s">
        <v>436</v>
      </c>
      <c r="H16" s="161" t="s">
        <v>437</v>
      </c>
      <c r="J16" s="161" t="s">
        <v>437</v>
      </c>
    </row>
    <row r="18" spans="1:15">
      <c r="A18" s="708"/>
      <c r="B18" s="708"/>
      <c r="C18" s="708"/>
      <c r="D18" s="708"/>
      <c r="E18" s="708"/>
      <c r="F18" s="709"/>
      <c r="G18" s="709"/>
      <c r="H18" s="709"/>
      <c r="I18" s="709"/>
      <c r="J18" s="709"/>
      <c r="K18" s="709"/>
      <c r="L18" s="709"/>
      <c r="M18" s="709"/>
      <c r="N18" s="709"/>
    </row>
    <row r="19" spans="1:15">
      <c r="A19" s="186" t="s">
        <v>176</v>
      </c>
      <c r="B19" s="710" t="s">
        <v>223</v>
      </c>
      <c r="C19" s="710"/>
      <c r="D19" s="710"/>
      <c r="E19" s="710"/>
      <c r="F19" s="711" t="s">
        <v>224</v>
      </c>
      <c r="G19" s="711"/>
      <c r="H19" s="711"/>
      <c r="I19" s="711"/>
      <c r="J19" s="711" t="s">
        <v>225</v>
      </c>
      <c r="K19" s="711"/>
      <c r="L19" s="711"/>
    </row>
    <row r="20" spans="1:15" ht="57">
      <c r="A20" s="164" t="s">
        <v>179</v>
      </c>
      <c r="B20" s="187" t="s">
        <v>226</v>
      </c>
      <c r="C20" s="187" t="s">
        <v>227</v>
      </c>
      <c r="D20" s="187" t="s">
        <v>228</v>
      </c>
      <c r="E20" s="187" t="s">
        <v>229</v>
      </c>
      <c r="F20" s="712" t="s">
        <v>230</v>
      </c>
      <c r="G20" s="712"/>
      <c r="H20" s="712" t="s">
        <v>231</v>
      </c>
      <c r="I20" s="712"/>
      <c r="J20" s="203" t="s">
        <v>232</v>
      </c>
      <c r="K20" s="203" t="s">
        <v>233</v>
      </c>
      <c r="L20" s="188" t="s">
        <v>234</v>
      </c>
    </row>
    <row r="21" spans="1:15">
      <c r="A21" s="164" t="s">
        <v>187</v>
      </c>
      <c r="B21" s="168" t="s">
        <v>235</v>
      </c>
      <c r="C21" s="168" t="s">
        <v>236</v>
      </c>
      <c r="D21" s="168" t="s">
        <v>237</v>
      </c>
      <c r="E21" s="168" t="s">
        <v>238</v>
      </c>
      <c r="F21" s="713" t="s">
        <v>239</v>
      </c>
      <c r="G21" s="713"/>
      <c r="H21" s="713" t="s">
        <v>240</v>
      </c>
      <c r="I21" s="713"/>
      <c r="J21" s="202" t="s">
        <v>188</v>
      </c>
      <c r="K21" s="202" t="s">
        <v>188</v>
      </c>
      <c r="L21" s="168" t="s">
        <v>188</v>
      </c>
    </row>
    <row r="22" spans="1:15" ht="28.5">
      <c r="A22" s="164" t="s">
        <v>196</v>
      </c>
      <c r="B22" s="168" t="s">
        <v>241</v>
      </c>
      <c r="C22" s="168" t="s">
        <v>241</v>
      </c>
      <c r="D22" s="168" t="s">
        <v>241</v>
      </c>
      <c r="E22" s="168" t="s">
        <v>241</v>
      </c>
      <c r="F22" s="713" t="s">
        <v>242</v>
      </c>
      <c r="G22" s="713"/>
      <c r="H22" s="713" t="s">
        <v>242</v>
      </c>
      <c r="I22" s="713"/>
      <c r="J22" s="202" t="s">
        <v>243</v>
      </c>
      <c r="K22" s="202" t="s">
        <v>244</v>
      </c>
      <c r="L22" s="204" t="s">
        <v>245</v>
      </c>
    </row>
    <row r="23" spans="1:15">
      <c r="A23" s="164" t="s">
        <v>209</v>
      </c>
      <c r="B23" s="168" t="s">
        <v>246</v>
      </c>
      <c r="C23" s="168" t="s">
        <v>246</v>
      </c>
      <c r="D23" s="168" t="s">
        <v>246</v>
      </c>
      <c r="E23" s="168" t="s">
        <v>246</v>
      </c>
      <c r="F23" s="713" t="s">
        <v>247</v>
      </c>
      <c r="G23" s="713"/>
      <c r="H23" s="713" t="s">
        <v>247</v>
      </c>
      <c r="I23" s="713"/>
      <c r="J23" s="202"/>
      <c r="K23" s="205"/>
      <c r="L23" s="205"/>
    </row>
    <row r="24" spans="1:15" ht="30" hidden="1">
      <c r="A24" s="173" t="s">
        <v>248</v>
      </c>
      <c r="B24" s="714">
        <v>1367.52</v>
      </c>
      <c r="C24" s="715"/>
      <c r="D24" s="715"/>
      <c r="E24" s="716"/>
      <c r="F24" s="704">
        <v>72.5</v>
      </c>
      <c r="G24" s="704"/>
      <c r="H24" s="704"/>
      <c r="I24" s="704"/>
      <c r="J24" s="206">
        <v>500</v>
      </c>
      <c r="K24" s="206">
        <v>235</v>
      </c>
      <c r="L24" s="189">
        <v>162</v>
      </c>
    </row>
    <row r="25" spans="1:15" ht="30" hidden="1">
      <c r="A25" s="173" t="s">
        <v>249</v>
      </c>
      <c r="B25" s="717">
        <v>1600</v>
      </c>
      <c r="C25" s="718"/>
      <c r="D25" s="718"/>
      <c r="E25" s="719"/>
      <c r="F25" s="704">
        <v>84.83</v>
      </c>
      <c r="G25" s="704"/>
      <c r="H25" s="704"/>
      <c r="I25" s="704"/>
      <c r="J25" s="206">
        <f t="shared" ref="J25" si="5">J24*1.17</f>
        <v>585</v>
      </c>
      <c r="K25" s="206">
        <f>K24*1.17</f>
        <v>274.95</v>
      </c>
      <c r="L25" s="189">
        <f>L24*1.17</f>
        <v>189.54</v>
      </c>
    </row>
    <row r="26" spans="1:15" hidden="1">
      <c r="A26" s="164" t="s">
        <v>216</v>
      </c>
      <c r="B26" s="168">
        <v>0</v>
      </c>
      <c r="C26" s="168">
        <v>0</v>
      </c>
      <c r="D26" s="168">
        <v>0</v>
      </c>
      <c r="E26" s="168">
        <v>0</v>
      </c>
      <c r="F26" s="720">
        <v>0</v>
      </c>
      <c r="G26" s="720"/>
      <c r="H26" s="720">
        <v>0</v>
      </c>
      <c r="I26" s="720"/>
      <c r="J26" s="206"/>
      <c r="K26" s="206"/>
      <c r="L26" s="189"/>
    </row>
    <row r="27" spans="1:15" hidden="1">
      <c r="A27" s="177" t="s">
        <v>217</v>
      </c>
      <c r="B27" s="190">
        <f t="shared" ref="B27" si="6">B26*B24</f>
        <v>0</v>
      </c>
      <c r="C27" s="190">
        <f>C26*C24</f>
        <v>0</v>
      </c>
      <c r="D27" s="190">
        <f>D26*D24</f>
        <v>0</v>
      </c>
      <c r="E27" s="190">
        <f>E26*E24</f>
        <v>0</v>
      </c>
      <c r="F27" s="725">
        <f>F26*F24</f>
        <v>0</v>
      </c>
      <c r="G27" s="725"/>
      <c r="H27" s="725">
        <f>H26*F24</f>
        <v>0</v>
      </c>
      <c r="I27" s="725"/>
      <c r="J27" s="207">
        <f t="shared" ref="J27" si="7">J24*J26</f>
        <v>0</v>
      </c>
      <c r="K27" s="207">
        <f>K24*K26</f>
        <v>0</v>
      </c>
      <c r="L27" s="191">
        <f>L24*L26</f>
        <v>0</v>
      </c>
      <c r="N27" s="200">
        <f>SUM(F27:L27)</f>
        <v>0</v>
      </c>
    </row>
    <row r="28" spans="1:15">
      <c r="A28" s="164" t="s">
        <v>218</v>
      </c>
      <c r="B28" s="726" t="s">
        <v>250</v>
      </c>
      <c r="C28" s="727"/>
      <c r="D28" s="727"/>
      <c r="E28" s="728"/>
      <c r="F28" s="729" t="s">
        <v>251</v>
      </c>
      <c r="G28" s="729"/>
      <c r="H28" s="730" t="s">
        <v>252</v>
      </c>
      <c r="I28" s="730"/>
      <c r="J28" s="205"/>
      <c r="K28" s="205"/>
      <c r="L28" s="205"/>
    </row>
    <row r="29" spans="1:15">
      <c r="A29" s="180" t="s">
        <v>220</v>
      </c>
      <c r="B29" s="721"/>
      <c r="C29" s="722"/>
      <c r="D29" s="722"/>
      <c r="E29" s="723"/>
      <c r="F29" s="724"/>
      <c r="G29" s="724"/>
      <c r="H29" s="724"/>
      <c r="I29" s="724"/>
      <c r="J29" s="724"/>
      <c r="K29" s="724"/>
      <c r="L29" s="208"/>
    </row>
    <row r="30" spans="1:15">
      <c r="A30" s="192"/>
      <c r="B30" s="193"/>
      <c r="C30" s="193"/>
      <c r="D30" s="193"/>
      <c r="E30" s="193"/>
      <c r="F30" s="185" t="s">
        <v>253</v>
      </c>
      <c r="G30" s="185"/>
      <c r="H30" s="185" t="s">
        <v>427</v>
      </c>
      <c r="I30" s="185"/>
      <c r="J30" s="185"/>
      <c r="K30" s="185"/>
      <c r="L30" s="185"/>
      <c r="M30" s="193"/>
      <c r="N30" s="193"/>
    </row>
    <row r="31" spans="1:15">
      <c r="A31" s="194" t="s">
        <v>221</v>
      </c>
      <c r="B31" s="194"/>
      <c r="C31" s="194"/>
      <c r="D31" s="194"/>
      <c r="E31" s="194"/>
      <c r="F31" s="194"/>
      <c r="G31" s="194"/>
      <c r="H31" s="194"/>
      <c r="I31" s="194"/>
      <c r="J31" s="194"/>
      <c r="K31" s="194"/>
      <c r="L31" s="194"/>
      <c r="M31" s="194"/>
      <c r="N31" s="209">
        <f>N12+N27</f>
        <v>3832.8999999999996</v>
      </c>
      <c r="O31" s="210"/>
    </row>
    <row r="32" spans="1:15">
      <c r="A32" s="192"/>
      <c r="B32" s="193"/>
      <c r="C32" s="193"/>
      <c r="D32" s="193"/>
      <c r="E32" s="193"/>
      <c r="F32" s="185"/>
      <c r="G32" s="185"/>
      <c r="H32" s="185"/>
      <c r="I32" s="185"/>
      <c r="J32" s="185"/>
      <c r="K32" s="185"/>
      <c r="L32" s="185"/>
      <c r="M32" s="193"/>
      <c r="N32" s="193"/>
    </row>
    <row r="33" spans="1:14">
      <c r="A33" s="195"/>
      <c r="N33" s="193"/>
    </row>
    <row r="34" spans="1:14">
      <c r="A34" s="196"/>
      <c r="N34" s="211"/>
    </row>
    <row r="35" spans="1:14">
      <c r="A35" s="196"/>
    </row>
    <row r="36" spans="1:14">
      <c r="A36" s="197"/>
    </row>
  </sheetData>
  <sheetProtection algorithmName="SHA-512" hashValue="RnvapYBEZ4e3I00jwgttknUCD1vkHzpNaJ9cCVnrM3ws7H7xplrYkbD64VssUHfO0wYjmH5hGBMPVARZ+rWzzA==" saltValue="G0cxsq24llWt95KFDaJQIg==" spinCount="100000" sheet="1" objects="1" scenarios="1"/>
  <mergeCells count="36">
    <mergeCell ref="B29:E29"/>
    <mergeCell ref="F29:I29"/>
    <mergeCell ref="J29:K29"/>
    <mergeCell ref="F27:G27"/>
    <mergeCell ref="H27:I27"/>
    <mergeCell ref="B28:E28"/>
    <mergeCell ref="F28:G28"/>
    <mergeCell ref="H28:I28"/>
    <mergeCell ref="B24:E24"/>
    <mergeCell ref="F24:I24"/>
    <mergeCell ref="B25:E25"/>
    <mergeCell ref="F25:I25"/>
    <mergeCell ref="F26:G26"/>
    <mergeCell ref="H26:I26"/>
    <mergeCell ref="F21:G21"/>
    <mergeCell ref="H21:I21"/>
    <mergeCell ref="F22:G22"/>
    <mergeCell ref="H22:I22"/>
    <mergeCell ref="F23:G23"/>
    <mergeCell ref="H23:I23"/>
    <mergeCell ref="A18:N18"/>
    <mergeCell ref="B19:E19"/>
    <mergeCell ref="F19:I19"/>
    <mergeCell ref="J19:L19"/>
    <mergeCell ref="F20:G20"/>
    <mergeCell ref="H20:I20"/>
    <mergeCell ref="B8:F8"/>
    <mergeCell ref="H8:M8"/>
    <mergeCell ref="B13:F13"/>
    <mergeCell ref="B14:F14"/>
    <mergeCell ref="H14:M14"/>
    <mergeCell ref="A1:M1"/>
    <mergeCell ref="B2:F2"/>
    <mergeCell ref="G2:M2"/>
    <mergeCell ref="B7:F7"/>
    <mergeCell ref="H7:M7"/>
  </mergeCells>
  <phoneticPr fontId="29" type="noConversion"/>
  <pageMargins left="0.69930555555555596" right="0.69930555555555596" top="0.75" bottom="0.75"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zoomScale="80" zoomScaleNormal="80" workbookViewId="0">
      <selection activeCell="D16" sqref="D16"/>
    </sheetView>
  </sheetViews>
  <sheetFormatPr defaultColWidth="9" defaultRowHeight="14.25"/>
  <cols>
    <col min="1" max="1" width="4.5" style="215" customWidth="1"/>
    <col min="2" max="2" width="25.5" style="215" customWidth="1"/>
    <col min="3" max="3" width="36.75" style="218" customWidth="1"/>
    <col min="4" max="4" width="13" style="219" customWidth="1"/>
    <col min="5" max="5" width="14.375" style="220" hidden="1" customWidth="1"/>
    <col min="6" max="6" width="12.625" style="221" customWidth="1"/>
    <col min="7" max="7" width="10.375" style="222" hidden="1" customWidth="1"/>
    <col min="8" max="8" width="64.25" style="223" hidden="1" customWidth="1"/>
    <col min="9" max="16384" width="9" style="218"/>
  </cols>
  <sheetData>
    <row r="1" spans="1:8" s="215" customFormat="1">
      <c r="D1" s="220"/>
      <c r="E1" s="220"/>
      <c r="F1" s="221"/>
      <c r="G1" s="224"/>
      <c r="H1" s="225"/>
    </row>
    <row r="2" spans="1:8" s="215" customFormat="1" ht="17.25">
      <c r="A2" s="731" t="s">
        <v>31</v>
      </c>
      <c r="B2" s="731"/>
      <c r="C2" s="731"/>
      <c r="D2" s="731"/>
      <c r="E2" s="731"/>
      <c r="F2" s="731"/>
      <c r="G2" s="731"/>
      <c r="H2" s="731"/>
    </row>
    <row r="3" spans="1:8" s="216" customFormat="1">
      <c r="A3" s="226" t="s">
        <v>32</v>
      </c>
      <c r="B3" s="227" t="s">
        <v>33</v>
      </c>
      <c r="C3" s="228" t="s">
        <v>34</v>
      </c>
      <c r="D3" s="228" t="s">
        <v>35</v>
      </c>
      <c r="E3" s="228" t="s">
        <v>36</v>
      </c>
      <c r="F3" s="229" t="s">
        <v>37</v>
      </c>
      <c r="G3" s="230" t="s">
        <v>38</v>
      </c>
      <c r="H3" s="228" t="s">
        <v>39</v>
      </c>
    </row>
    <row r="4" spans="1:8" s="216" customFormat="1" ht="16.5">
      <c r="A4" s="231">
        <v>1</v>
      </c>
      <c r="B4" s="37" t="s">
        <v>40</v>
      </c>
      <c r="C4" s="37" t="s">
        <v>41</v>
      </c>
      <c r="D4" s="37" t="s">
        <v>42</v>
      </c>
      <c r="E4" s="37">
        <v>56.354999999999997</v>
      </c>
      <c r="F4" s="38">
        <f>1.119*0.105*1*5</f>
        <v>0.58747499999999997</v>
      </c>
      <c r="G4" s="232">
        <f>E4*F4</f>
        <v>33.107153624999995</v>
      </c>
      <c r="H4" s="233" t="s">
        <v>43</v>
      </c>
    </row>
    <row r="5" spans="1:8" s="216" customFormat="1" ht="16.5">
      <c r="A5" s="231"/>
      <c r="B5" s="37"/>
      <c r="C5" s="37" t="s">
        <v>41</v>
      </c>
      <c r="D5" s="37" t="s">
        <v>42</v>
      </c>
      <c r="E5" s="37">
        <v>56.354999999999997</v>
      </c>
      <c r="F5" s="38">
        <f>1.119*0.118*1*5</f>
        <v>0.66020999999999996</v>
      </c>
      <c r="G5" s="232">
        <f t="shared" ref="G5" si="0">E5*F5</f>
        <v>37.206134549999994</v>
      </c>
      <c r="H5" s="233" t="s">
        <v>44</v>
      </c>
    </row>
    <row r="6" spans="1:8" s="216" customFormat="1" ht="16.5">
      <c r="A6" s="231"/>
      <c r="B6" s="37"/>
      <c r="C6" s="37" t="s">
        <v>41</v>
      </c>
      <c r="D6" s="37" t="s">
        <v>42</v>
      </c>
      <c r="E6" s="37">
        <v>56.354999999999997</v>
      </c>
      <c r="F6" s="38">
        <f>1.376*0.555*1*5</f>
        <v>3.8184</v>
      </c>
      <c r="G6" s="232">
        <f t="shared" ref="G6:G37" si="1">E6*F6</f>
        <v>215.18593199999998</v>
      </c>
      <c r="H6" s="233" t="s">
        <v>45</v>
      </c>
    </row>
    <row r="7" spans="1:8" s="216" customFormat="1" ht="16.5">
      <c r="A7" s="231"/>
      <c r="B7" s="37"/>
      <c r="C7" s="37" t="s">
        <v>41</v>
      </c>
      <c r="D7" s="37" t="s">
        <v>42</v>
      </c>
      <c r="E7" s="37">
        <v>56.354999999999997</v>
      </c>
      <c r="F7" s="38">
        <f>0.384*0.069*2*5</f>
        <v>0.26496000000000003</v>
      </c>
      <c r="G7" s="232">
        <f t="shared" si="1"/>
        <v>14.931820800000001</v>
      </c>
      <c r="H7" s="233" t="s">
        <v>46</v>
      </c>
    </row>
    <row r="8" spans="1:8" s="216" customFormat="1" ht="33">
      <c r="A8" s="231"/>
      <c r="B8" s="37"/>
      <c r="C8" s="37" t="s">
        <v>47</v>
      </c>
      <c r="D8" s="37" t="s">
        <v>42</v>
      </c>
      <c r="E8" s="37">
        <v>30</v>
      </c>
      <c r="F8" s="38">
        <f>1.119*0.105*1*5+1.119*0.118*1*5+1.376*0.555*1*5+0.384*0.069*2*5</f>
        <v>5.3310450000000005</v>
      </c>
      <c r="G8" s="232">
        <f t="shared" si="1"/>
        <v>159.93135000000001</v>
      </c>
      <c r="H8" s="233" t="s">
        <v>48</v>
      </c>
    </row>
    <row r="9" spans="1:8" s="216" customFormat="1" ht="16.5">
      <c r="A9" s="234">
        <v>2</v>
      </c>
      <c r="B9" s="235" t="s">
        <v>49</v>
      </c>
      <c r="C9" s="73" t="s">
        <v>50</v>
      </c>
      <c r="D9" s="73" t="s">
        <v>51</v>
      </c>
      <c r="E9" s="73">
        <v>9.4700000000000006</v>
      </c>
      <c r="F9" s="236">
        <f>0.505*1*10</f>
        <v>5.05</v>
      </c>
      <c r="G9" s="237">
        <f t="shared" si="1"/>
        <v>47.823500000000003</v>
      </c>
      <c r="H9" s="238" t="s">
        <v>52</v>
      </c>
    </row>
    <row r="10" spans="1:8" s="216" customFormat="1" ht="16.5">
      <c r="A10" s="234"/>
      <c r="B10" s="239"/>
      <c r="C10" s="73" t="s">
        <v>50</v>
      </c>
      <c r="D10" s="73" t="s">
        <v>51</v>
      </c>
      <c r="E10" s="73">
        <v>9.4700000000000006</v>
      </c>
      <c r="F10" s="236">
        <f>0.375*1*10</f>
        <v>3.75</v>
      </c>
      <c r="G10" s="237">
        <f t="shared" si="1"/>
        <v>35.512500000000003</v>
      </c>
      <c r="H10" s="238" t="s">
        <v>53</v>
      </c>
    </row>
    <row r="11" spans="1:8" s="216" customFormat="1" ht="16.5">
      <c r="A11" s="231"/>
      <c r="B11" s="240"/>
      <c r="C11" s="37" t="s">
        <v>54</v>
      </c>
      <c r="D11" s="37" t="s">
        <v>55</v>
      </c>
      <c r="E11" s="37">
        <v>0.5</v>
      </c>
      <c r="F11" s="38">
        <f>6*10</f>
        <v>60</v>
      </c>
      <c r="G11" s="232">
        <f t="shared" si="1"/>
        <v>30</v>
      </c>
      <c r="H11" s="233" t="s">
        <v>56</v>
      </c>
    </row>
    <row r="12" spans="1:8" s="216" customFormat="1" ht="16.5">
      <c r="A12" s="231"/>
      <c r="B12" s="240"/>
      <c r="C12" s="37" t="s">
        <v>47</v>
      </c>
      <c r="D12" s="37" t="s">
        <v>42</v>
      </c>
      <c r="E12" s="37">
        <v>30</v>
      </c>
      <c r="F12" s="38">
        <f>0.505*1*6+0.375*1*10</f>
        <v>6.78</v>
      </c>
      <c r="G12" s="232">
        <f t="shared" si="1"/>
        <v>203.4</v>
      </c>
      <c r="H12" s="233" t="s">
        <v>262</v>
      </c>
    </row>
    <row r="13" spans="1:8" s="216" customFormat="1" ht="16.5">
      <c r="A13" s="231">
        <v>3</v>
      </c>
      <c r="B13" s="240" t="s">
        <v>57</v>
      </c>
      <c r="C13" s="37" t="s">
        <v>41</v>
      </c>
      <c r="D13" s="37" t="s">
        <v>42</v>
      </c>
      <c r="E13" s="37">
        <v>56.354999999999997</v>
      </c>
      <c r="F13" s="38">
        <f>1.403*0.065*2*5</f>
        <v>0.91195000000000004</v>
      </c>
      <c r="G13" s="232">
        <f t="shared" si="1"/>
        <v>51.392942249999997</v>
      </c>
      <c r="H13" s="233" t="s">
        <v>58</v>
      </c>
    </row>
    <row r="14" spans="1:8" s="216" customFormat="1" ht="16.5">
      <c r="A14" s="231"/>
      <c r="B14" s="240"/>
      <c r="C14" s="37" t="s">
        <v>41</v>
      </c>
      <c r="D14" s="37" t="s">
        <v>42</v>
      </c>
      <c r="E14" s="37">
        <v>56.354999999999997</v>
      </c>
      <c r="F14" s="38">
        <f>1.403*0.158*1*5</f>
        <v>1.1083700000000001</v>
      </c>
      <c r="G14" s="232">
        <f t="shared" si="1"/>
        <v>62.462191349999998</v>
      </c>
      <c r="H14" s="233" t="s">
        <v>59</v>
      </c>
    </row>
    <row r="15" spans="1:8" s="216" customFormat="1" ht="16.5">
      <c r="A15" s="231"/>
      <c r="B15" s="240"/>
      <c r="C15" s="37" t="s">
        <v>41</v>
      </c>
      <c r="D15" s="37" t="s">
        <v>42</v>
      </c>
      <c r="E15" s="37">
        <v>56.354999999999997</v>
      </c>
      <c r="F15" s="38">
        <f>1.403*0.069*2*5</f>
        <v>0.96806999999999999</v>
      </c>
      <c r="G15" s="232">
        <f t="shared" si="1"/>
        <v>54.555584849999995</v>
      </c>
      <c r="H15" s="233" t="s">
        <v>60</v>
      </c>
    </row>
    <row r="16" spans="1:8" s="216" customFormat="1" ht="16.5">
      <c r="A16" s="231"/>
      <c r="B16" s="240"/>
      <c r="C16" s="37" t="s">
        <v>41</v>
      </c>
      <c r="D16" s="37" t="s">
        <v>42</v>
      </c>
      <c r="E16" s="37">
        <v>56.354999999999997</v>
      </c>
      <c r="F16" s="38">
        <f>1.533*1.381*1*5</f>
        <v>10.585364999999999</v>
      </c>
      <c r="G16" s="232">
        <f t="shared" si="1"/>
        <v>596.53824457499991</v>
      </c>
      <c r="H16" s="233" t="s">
        <v>61</v>
      </c>
    </row>
    <row r="17" spans="1:8" s="216" customFormat="1" ht="33">
      <c r="A17" s="231"/>
      <c r="B17" s="240"/>
      <c r="C17" s="37" t="s">
        <v>47</v>
      </c>
      <c r="D17" s="37" t="s">
        <v>42</v>
      </c>
      <c r="E17" s="37">
        <v>30</v>
      </c>
      <c r="F17" s="38">
        <f>1.403*0.065*2*5+1.403*0.158*1*5+1.403*0.069*2*5+1.533*1.381*1*5</f>
        <v>13.573754999999998</v>
      </c>
      <c r="G17" s="232">
        <f t="shared" si="1"/>
        <v>407.21264999999994</v>
      </c>
      <c r="H17" s="233" t="s">
        <v>62</v>
      </c>
    </row>
    <row r="18" spans="1:8" s="216" customFormat="1" ht="16.5">
      <c r="A18" s="231"/>
      <c r="B18" s="235" t="s">
        <v>263</v>
      </c>
      <c r="C18" s="73" t="s">
        <v>50</v>
      </c>
      <c r="D18" s="73" t="s">
        <v>51</v>
      </c>
      <c r="E18" s="73">
        <v>9.4700000000000006</v>
      </c>
      <c r="F18" s="236">
        <f>(1.44*3+1.197)*5</f>
        <v>27.585000000000001</v>
      </c>
      <c r="G18" s="237">
        <f t="shared" si="1"/>
        <v>261.22995000000003</v>
      </c>
      <c r="H18" s="238" t="s">
        <v>264</v>
      </c>
    </row>
    <row r="19" spans="1:8" s="216" customFormat="1" ht="16.5">
      <c r="A19" s="231"/>
      <c r="B19" s="240"/>
      <c r="C19" s="37" t="s">
        <v>47</v>
      </c>
      <c r="D19" s="37" t="s">
        <v>42</v>
      </c>
      <c r="E19" s="37">
        <v>30</v>
      </c>
      <c r="F19" s="38">
        <f>(1.44*3*0.16+1.197*0.16)*5</f>
        <v>4.4136000000000006</v>
      </c>
      <c r="G19" s="38">
        <f t="shared" si="1"/>
        <v>132.40800000000002</v>
      </c>
      <c r="H19" s="233" t="s">
        <v>265</v>
      </c>
    </row>
    <row r="20" spans="1:8" s="216" customFormat="1" ht="16.5">
      <c r="A20" s="231">
        <v>4</v>
      </c>
      <c r="B20" s="240" t="s">
        <v>63</v>
      </c>
      <c r="C20" s="37" t="s">
        <v>41</v>
      </c>
      <c r="D20" s="37" t="s">
        <v>42</v>
      </c>
      <c r="E20" s="37">
        <v>56.354999999999997</v>
      </c>
      <c r="F20" s="38">
        <f>0.605*0.535*1</f>
        <v>0.32367499999999999</v>
      </c>
      <c r="G20" s="232">
        <f t="shared" si="1"/>
        <v>18.240704624999999</v>
      </c>
      <c r="H20" s="233" t="s">
        <v>64</v>
      </c>
    </row>
    <row r="21" spans="1:8" s="216" customFormat="1" ht="16.5">
      <c r="A21" s="231"/>
      <c r="B21" s="240"/>
      <c r="C21" s="37" t="s">
        <v>41</v>
      </c>
      <c r="D21" s="37" t="s">
        <v>42</v>
      </c>
      <c r="E21" s="37">
        <v>56.354999999999997</v>
      </c>
      <c r="F21" s="38">
        <f>0.405*0.069*1</f>
        <v>2.7945000000000005E-2</v>
      </c>
      <c r="G21" s="232">
        <f t="shared" si="1"/>
        <v>1.5748404750000002</v>
      </c>
      <c r="H21" s="233" t="s">
        <v>65</v>
      </c>
    </row>
    <row r="22" spans="1:8" s="216" customFormat="1" ht="16.5">
      <c r="A22" s="231"/>
      <c r="B22" s="240"/>
      <c r="C22" s="37" t="s">
        <v>41</v>
      </c>
      <c r="D22" s="37" t="s">
        <v>42</v>
      </c>
      <c r="E22" s="37">
        <v>56.354999999999997</v>
      </c>
      <c r="F22" s="38">
        <f>0.462*0.118*1</f>
        <v>5.4516000000000002E-2</v>
      </c>
      <c r="G22" s="232">
        <f t="shared" si="1"/>
        <v>3.07224918</v>
      </c>
      <c r="H22" s="233" t="s">
        <v>66</v>
      </c>
    </row>
    <row r="23" spans="1:8" s="216" customFormat="1" ht="16.5">
      <c r="A23" s="231"/>
      <c r="B23" s="240"/>
      <c r="C23" s="37" t="s">
        <v>47</v>
      </c>
      <c r="D23" s="37" t="s">
        <v>42</v>
      </c>
      <c r="E23" s="37">
        <v>30</v>
      </c>
      <c r="F23" s="38">
        <f>0.605*0.535*1+0.405*0.069*1+0.462*0.118*1</f>
        <v>0.406136</v>
      </c>
      <c r="G23" s="232">
        <f t="shared" si="1"/>
        <v>12.18408</v>
      </c>
      <c r="H23" s="233" t="s">
        <v>67</v>
      </c>
    </row>
    <row r="24" spans="1:8" s="216" customFormat="1" ht="16.5">
      <c r="A24" s="231">
        <v>5</v>
      </c>
      <c r="B24" s="240" t="s">
        <v>68</v>
      </c>
      <c r="C24" s="37" t="s">
        <v>41</v>
      </c>
      <c r="D24" s="37" t="s">
        <v>42</v>
      </c>
      <c r="E24" s="37">
        <v>56.354999999999997</v>
      </c>
      <c r="F24" s="38">
        <f>0.605*0.535*1</f>
        <v>0.32367499999999999</v>
      </c>
      <c r="G24" s="232">
        <f t="shared" si="1"/>
        <v>18.240704624999999</v>
      </c>
      <c r="H24" s="233" t="s">
        <v>64</v>
      </c>
    </row>
    <row r="25" spans="1:8" s="216" customFormat="1" ht="16.5">
      <c r="A25" s="231"/>
      <c r="B25" s="240"/>
      <c r="C25" s="37" t="s">
        <v>41</v>
      </c>
      <c r="D25" s="37" t="s">
        <v>42</v>
      </c>
      <c r="E25" s="37">
        <v>56.354999999999997</v>
      </c>
      <c r="F25" s="38">
        <f>0.405*0.069*1</f>
        <v>2.7945000000000005E-2</v>
      </c>
      <c r="G25" s="232">
        <f t="shared" si="1"/>
        <v>1.5748404750000002</v>
      </c>
      <c r="H25" s="233" t="s">
        <v>65</v>
      </c>
    </row>
    <row r="26" spans="1:8" s="216" customFormat="1" ht="16.5">
      <c r="A26" s="231"/>
      <c r="B26" s="240"/>
      <c r="C26" s="37" t="s">
        <v>41</v>
      </c>
      <c r="D26" s="37" t="s">
        <v>42</v>
      </c>
      <c r="E26" s="37">
        <v>56.354999999999997</v>
      </c>
      <c r="F26" s="38">
        <f>0.462*0.118*1</f>
        <v>5.4516000000000002E-2</v>
      </c>
      <c r="G26" s="232">
        <f t="shared" si="1"/>
        <v>3.07224918</v>
      </c>
      <c r="H26" s="233" t="s">
        <v>66</v>
      </c>
    </row>
    <row r="27" spans="1:8" s="216" customFormat="1" ht="16.5">
      <c r="A27" s="231"/>
      <c r="B27" s="240"/>
      <c r="C27" s="37" t="s">
        <v>47</v>
      </c>
      <c r="D27" s="37" t="s">
        <v>42</v>
      </c>
      <c r="E27" s="37">
        <v>30</v>
      </c>
      <c r="F27" s="38">
        <f>0.605*0.535*10.405*0.069*10.462*0.118*1</f>
        <v>0.28687787479525345</v>
      </c>
      <c r="G27" s="232">
        <f t="shared" si="1"/>
        <v>8.6063362438576032</v>
      </c>
      <c r="H27" s="233" t="s">
        <v>69</v>
      </c>
    </row>
    <row r="28" spans="1:8" s="216" customFormat="1" ht="16.5">
      <c r="A28" s="231">
        <v>6</v>
      </c>
      <c r="B28" s="240" t="s">
        <v>70</v>
      </c>
      <c r="C28" s="37" t="s">
        <v>41</v>
      </c>
      <c r="D28" s="37" t="s">
        <v>42</v>
      </c>
      <c r="E28" s="37">
        <v>56.354999999999997</v>
      </c>
      <c r="F28" s="38">
        <f>0.869*0.464*1</f>
        <v>0.40321600000000002</v>
      </c>
      <c r="G28" s="232">
        <f t="shared" si="1"/>
        <v>22.72323768</v>
      </c>
      <c r="H28" s="233" t="s">
        <v>71</v>
      </c>
    </row>
    <row r="29" spans="1:8" s="216" customFormat="1" ht="16.5">
      <c r="A29" s="231"/>
      <c r="B29" s="240"/>
      <c r="C29" s="37" t="s">
        <v>47</v>
      </c>
      <c r="D29" s="37" t="s">
        <v>42</v>
      </c>
      <c r="E29" s="37">
        <v>30</v>
      </c>
      <c r="F29" s="38">
        <f>0.869*0.464*1</f>
        <v>0.40321600000000002</v>
      </c>
      <c r="G29" s="232">
        <f t="shared" si="1"/>
        <v>12.09648</v>
      </c>
      <c r="H29" s="233" t="s">
        <v>71</v>
      </c>
    </row>
    <row r="30" spans="1:8" s="216" customFormat="1" ht="16.5">
      <c r="A30" s="234">
        <v>7</v>
      </c>
      <c r="B30" s="235" t="s">
        <v>72</v>
      </c>
      <c r="C30" s="73" t="s">
        <v>50</v>
      </c>
      <c r="D30" s="73" t="s">
        <v>51</v>
      </c>
      <c r="E30" s="73">
        <v>9.4700000000000006</v>
      </c>
      <c r="F30" s="236">
        <f>0.505*1*2</f>
        <v>1.01</v>
      </c>
      <c r="G30" s="237">
        <f t="shared" si="1"/>
        <v>9.5647000000000002</v>
      </c>
      <c r="H30" s="238" t="s">
        <v>73</v>
      </c>
    </row>
    <row r="31" spans="1:8" s="216" customFormat="1" ht="16.5">
      <c r="A31" s="234"/>
      <c r="B31" s="239"/>
      <c r="C31" s="73" t="s">
        <v>50</v>
      </c>
      <c r="D31" s="73" t="s">
        <v>51</v>
      </c>
      <c r="E31" s="73">
        <v>9.4700000000000006</v>
      </c>
      <c r="F31" s="236">
        <f>0.375*1*2</f>
        <v>0.75</v>
      </c>
      <c r="G31" s="237">
        <f t="shared" si="1"/>
        <v>7.1025000000000009</v>
      </c>
      <c r="H31" s="238" t="s">
        <v>74</v>
      </c>
    </row>
    <row r="32" spans="1:8" s="216" customFormat="1" ht="16.5">
      <c r="A32" s="231"/>
      <c r="B32" s="240"/>
      <c r="C32" s="37" t="s">
        <v>54</v>
      </c>
      <c r="D32" s="37" t="s">
        <v>55</v>
      </c>
      <c r="E32" s="37">
        <v>0.5</v>
      </c>
      <c r="F32" s="38">
        <f>6*2</f>
        <v>12</v>
      </c>
      <c r="G32" s="232">
        <f t="shared" si="1"/>
        <v>6</v>
      </c>
      <c r="H32" s="233" t="s">
        <v>75</v>
      </c>
    </row>
    <row r="33" spans="1:8" s="216" customFormat="1" ht="16.5">
      <c r="A33" s="231"/>
      <c r="B33" s="240"/>
      <c r="C33" s="37" t="s">
        <v>47</v>
      </c>
      <c r="D33" s="37" t="s">
        <v>42</v>
      </c>
      <c r="E33" s="37">
        <v>30</v>
      </c>
      <c r="F33" s="38">
        <f>0.505*1*2+0.375*1*2</f>
        <v>1.76</v>
      </c>
      <c r="G33" s="232">
        <f t="shared" si="1"/>
        <v>52.8</v>
      </c>
      <c r="H33" s="233" t="s">
        <v>76</v>
      </c>
    </row>
    <row r="34" spans="1:8" s="216" customFormat="1" ht="16.5">
      <c r="A34" s="231">
        <v>8</v>
      </c>
      <c r="B34" s="240" t="s">
        <v>77</v>
      </c>
      <c r="C34" s="37" t="s">
        <v>41</v>
      </c>
      <c r="D34" s="37" t="s">
        <v>42</v>
      </c>
      <c r="E34" s="37">
        <v>56.354999999999997</v>
      </c>
      <c r="F34" s="38">
        <f>1.533*0.61*1</f>
        <v>0.93512999999999991</v>
      </c>
      <c r="G34" s="232">
        <f t="shared" si="1"/>
        <v>52.699251149999995</v>
      </c>
      <c r="H34" s="233" t="s">
        <v>78</v>
      </c>
    </row>
    <row r="35" spans="1:8" s="216" customFormat="1" ht="16.5">
      <c r="A35" s="231"/>
      <c r="B35" s="240"/>
      <c r="C35" s="37" t="s">
        <v>41</v>
      </c>
      <c r="D35" s="37" t="s">
        <v>42</v>
      </c>
      <c r="E35" s="37">
        <v>56.354999999999997</v>
      </c>
      <c r="F35" s="38">
        <f>1.403*0.069*1</f>
        <v>9.6807000000000004E-2</v>
      </c>
      <c r="G35" s="232">
        <f t="shared" si="1"/>
        <v>5.4555584850000001</v>
      </c>
      <c r="H35" s="233" t="s">
        <v>79</v>
      </c>
    </row>
    <row r="36" spans="1:8" s="216" customFormat="1" ht="16.5">
      <c r="A36" s="231"/>
      <c r="B36" s="240"/>
      <c r="C36" s="37" t="s">
        <v>41</v>
      </c>
      <c r="D36" s="37" t="s">
        <v>42</v>
      </c>
      <c r="E36" s="37">
        <v>56.354999999999997</v>
      </c>
      <c r="F36" s="38">
        <f>1.403*0.065*1</f>
        <v>9.1194999999999998E-2</v>
      </c>
      <c r="G36" s="232">
        <f t="shared" si="1"/>
        <v>5.1392942249999995</v>
      </c>
      <c r="H36" s="233" t="s">
        <v>80</v>
      </c>
    </row>
    <row r="37" spans="1:8" s="216" customFormat="1" ht="16.5">
      <c r="A37" s="231"/>
      <c r="B37" s="240"/>
      <c r="C37" s="37" t="s">
        <v>47</v>
      </c>
      <c r="D37" s="37" t="s">
        <v>42</v>
      </c>
      <c r="E37" s="37">
        <v>30</v>
      </c>
      <c r="F37" s="38">
        <f>1.533*0.61*1+1.403*0.069*1+1.403*0.065*1</f>
        <v>1.1231319999999998</v>
      </c>
      <c r="G37" s="232">
        <f t="shared" si="1"/>
        <v>33.693959999999997</v>
      </c>
      <c r="H37" s="233" t="s">
        <v>81</v>
      </c>
    </row>
    <row r="38" spans="1:8" s="216" customFormat="1" ht="16.5">
      <c r="A38" s="231">
        <v>9</v>
      </c>
      <c r="B38" s="240" t="s">
        <v>82</v>
      </c>
      <c r="C38" s="37" t="s">
        <v>41</v>
      </c>
      <c r="D38" s="37" t="s">
        <v>42</v>
      </c>
      <c r="E38" s="37">
        <v>56.354999999999997</v>
      </c>
      <c r="F38" s="38">
        <f>1.533*0.61*1</f>
        <v>0.93512999999999991</v>
      </c>
      <c r="G38" s="232">
        <f t="shared" ref="G38:G68" si="2">E38*F38</f>
        <v>52.699251149999995</v>
      </c>
      <c r="H38" s="233" t="s">
        <v>78</v>
      </c>
    </row>
    <row r="39" spans="1:8" s="216" customFormat="1" ht="16.5">
      <c r="A39" s="231"/>
      <c r="B39" s="240"/>
      <c r="C39" s="37" t="s">
        <v>41</v>
      </c>
      <c r="D39" s="37" t="s">
        <v>42</v>
      </c>
      <c r="E39" s="37">
        <v>56.354999999999997</v>
      </c>
      <c r="F39" s="38">
        <f>1.403*0.069*1</f>
        <v>9.6807000000000004E-2</v>
      </c>
      <c r="G39" s="232">
        <f t="shared" si="2"/>
        <v>5.4555584850000001</v>
      </c>
      <c r="H39" s="233" t="s">
        <v>79</v>
      </c>
    </row>
    <row r="40" spans="1:8" s="216" customFormat="1" ht="16.5">
      <c r="A40" s="231"/>
      <c r="B40" s="240"/>
      <c r="C40" s="37" t="s">
        <v>41</v>
      </c>
      <c r="D40" s="37" t="s">
        <v>42</v>
      </c>
      <c r="E40" s="37">
        <v>56.354999999999997</v>
      </c>
      <c r="F40" s="38">
        <f>1.403*0.065*1</f>
        <v>9.1194999999999998E-2</v>
      </c>
      <c r="G40" s="232">
        <f t="shared" si="2"/>
        <v>5.1392942249999995</v>
      </c>
      <c r="H40" s="233" t="s">
        <v>80</v>
      </c>
    </row>
    <row r="41" spans="1:8" s="216" customFormat="1" ht="16.5">
      <c r="A41" s="231"/>
      <c r="B41" s="240"/>
      <c r="C41" s="37" t="s">
        <v>47</v>
      </c>
      <c r="D41" s="37" t="s">
        <v>42</v>
      </c>
      <c r="E41" s="37">
        <v>30</v>
      </c>
      <c r="F41" s="38">
        <f>1.533*0.61*1+1.403*0.069*1+1.403*0.065*1</f>
        <v>1.1231319999999998</v>
      </c>
      <c r="G41" s="232">
        <f t="shared" si="2"/>
        <v>33.693959999999997</v>
      </c>
      <c r="H41" s="233" t="s">
        <v>81</v>
      </c>
    </row>
    <row r="42" spans="1:8" s="216" customFormat="1" ht="16.5">
      <c r="A42" s="231">
        <v>10</v>
      </c>
      <c r="B42" s="240" t="s">
        <v>83</v>
      </c>
      <c r="C42" s="37" t="s">
        <v>41</v>
      </c>
      <c r="D42" s="37" t="s">
        <v>42</v>
      </c>
      <c r="E42" s="37">
        <v>56.354999999999997</v>
      </c>
      <c r="F42" s="38">
        <f>1.503*0.871*1</f>
        <v>1.309113</v>
      </c>
      <c r="G42" s="232">
        <f t="shared" si="2"/>
        <v>73.775063114999995</v>
      </c>
      <c r="H42" s="233" t="s">
        <v>84</v>
      </c>
    </row>
    <row r="43" spans="1:8" s="216" customFormat="1" ht="16.5">
      <c r="A43" s="231"/>
      <c r="B43" s="240"/>
      <c r="C43" s="37" t="s">
        <v>41</v>
      </c>
      <c r="D43" s="37" t="s">
        <v>42</v>
      </c>
      <c r="E43" s="37">
        <v>56.354999999999997</v>
      </c>
      <c r="F43" s="38">
        <f>1.397*0.104*1</f>
        <v>0.145288</v>
      </c>
      <c r="G43" s="232">
        <f t="shared" si="2"/>
        <v>8.1877052399999997</v>
      </c>
      <c r="H43" s="233" t="s">
        <v>85</v>
      </c>
    </row>
    <row r="44" spans="1:8" s="216" customFormat="1" ht="16.5">
      <c r="A44" s="231"/>
      <c r="B44" s="240"/>
      <c r="C44" s="37" t="s">
        <v>47</v>
      </c>
      <c r="D44" s="37" t="s">
        <v>42</v>
      </c>
      <c r="E44" s="37">
        <v>30</v>
      </c>
      <c r="F44" s="38">
        <f>1.503*0.871*1+1.397*0.104*1</f>
        <v>1.4544010000000001</v>
      </c>
      <c r="G44" s="232">
        <f t="shared" si="2"/>
        <v>43.63203</v>
      </c>
      <c r="H44" s="233" t="s">
        <v>86</v>
      </c>
    </row>
    <row r="45" spans="1:8" s="216" customFormat="1" ht="16.5">
      <c r="A45" s="231"/>
      <c r="B45" s="240" t="s">
        <v>266</v>
      </c>
      <c r="C45" s="73" t="s">
        <v>50</v>
      </c>
      <c r="D45" s="73" t="s">
        <v>51</v>
      </c>
      <c r="E45" s="73">
        <v>17.5</v>
      </c>
      <c r="F45" s="236">
        <f>1.44*3+1.66</f>
        <v>5.98</v>
      </c>
      <c r="G45" s="237">
        <f t="shared" si="2"/>
        <v>104.65</v>
      </c>
      <c r="H45" s="238" t="s">
        <v>267</v>
      </c>
    </row>
    <row r="46" spans="1:8" s="216" customFormat="1" ht="16.5">
      <c r="A46" s="231"/>
      <c r="B46" s="240"/>
      <c r="C46" s="37" t="s">
        <v>47</v>
      </c>
      <c r="D46" s="37" t="s">
        <v>42</v>
      </c>
      <c r="E46" s="37">
        <v>30</v>
      </c>
      <c r="F46" s="38">
        <f>1.44*3*0.16+1.66*0.16</f>
        <v>0.95680000000000009</v>
      </c>
      <c r="G46" s="232">
        <f t="shared" si="2"/>
        <v>28.704000000000004</v>
      </c>
      <c r="H46" s="233" t="s">
        <v>268</v>
      </c>
    </row>
    <row r="47" spans="1:8" s="216" customFormat="1" ht="16.5">
      <c r="A47" s="231"/>
      <c r="B47" s="240" t="s">
        <v>269</v>
      </c>
      <c r="C47" s="241" t="s">
        <v>270</v>
      </c>
      <c r="D47" s="37" t="s">
        <v>51</v>
      </c>
      <c r="E47" s="37">
        <v>4.9000000000000004</v>
      </c>
      <c r="F47" s="38">
        <f>(0.183+0.224+0.3)*5</f>
        <v>3.5350000000000001</v>
      </c>
      <c r="G47" s="232">
        <f t="shared" si="2"/>
        <v>17.3215</v>
      </c>
      <c r="H47" s="233" t="s">
        <v>271</v>
      </c>
    </row>
    <row r="48" spans="1:8" s="216" customFormat="1" ht="16.5">
      <c r="A48" s="231"/>
      <c r="B48" s="240"/>
      <c r="C48" s="37" t="s">
        <v>47</v>
      </c>
      <c r="D48" s="37" t="s">
        <v>42</v>
      </c>
      <c r="E48" s="37">
        <v>30</v>
      </c>
      <c r="F48" s="38">
        <f>(0.025*4*(0.183+0.224+0.3))*5</f>
        <v>0.35350000000000004</v>
      </c>
      <c r="G48" s="232">
        <f t="shared" si="2"/>
        <v>10.605</v>
      </c>
      <c r="H48" s="233" t="s">
        <v>272</v>
      </c>
    </row>
    <row r="49" spans="1:8" s="216" customFormat="1" ht="16.5">
      <c r="A49" s="231"/>
      <c r="B49" s="240"/>
      <c r="C49" s="23" t="s">
        <v>88</v>
      </c>
      <c r="D49" s="37" t="s">
        <v>42</v>
      </c>
      <c r="E49" s="37">
        <v>91.034999999999997</v>
      </c>
      <c r="F49" s="38">
        <f>(0.071*0.085+0.071*0.1+0.1*0.051)*5</f>
        <v>9.1175000000000006E-2</v>
      </c>
      <c r="G49" s="232">
        <f t="shared" si="2"/>
        <v>8.3001161250000006</v>
      </c>
      <c r="H49" s="233" t="s">
        <v>273</v>
      </c>
    </row>
    <row r="50" spans="1:8" s="216" customFormat="1" ht="16.5">
      <c r="A50" s="231"/>
      <c r="B50" s="240"/>
      <c r="C50" s="37" t="s">
        <v>47</v>
      </c>
      <c r="D50" s="37" t="s">
        <v>42</v>
      </c>
      <c r="E50" s="37">
        <v>30</v>
      </c>
      <c r="F50" s="38">
        <f>(0.071*0.085+0.071*0.1+0.1*0.051)*5</f>
        <v>9.1175000000000006E-2</v>
      </c>
      <c r="G50" s="232">
        <f t="shared" si="2"/>
        <v>2.7352500000000002</v>
      </c>
      <c r="H50" s="233" t="s">
        <v>273</v>
      </c>
    </row>
    <row r="51" spans="1:8" s="216" customFormat="1" ht="16.5">
      <c r="A51" s="231"/>
      <c r="B51" s="240" t="s">
        <v>87</v>
      </c>
      <c r="C51" s="23" t="s">
        <v>88</v>
      </c>
      <c r="D51" s="37" t="s">
        <v>42</v>
      </c>
      <c r="E51" s="37">
        <v>91.034999999999997</v>
      </c>
      <c r="F51" s="38">
        <f>0.07*0.063*5*2</f>
        <v>4.4100000000000007E-2</v>
      </c>
      <c r="G51" s="232">
        <f t="shared" si="2"/>
        <v>4.0146435000000009</v>
      </c>
      <c r="H51" s="233" t="s">
        <v>89</v>
      </c>
    </row>
    <row r="52" spans="1:8" s="216" customFormat="1" ht="16.5">
      <c r="A52" s="231"/>
      <c r="B52" s="240"/>
      <c r="C52" s="37" t="s">
        <v>47</v>
      </c>
      <c r="D52" s="37" t="s">
        <v>42</v>
      </c>
      <c r="E52" s="37">
        <v>30</v>
      </c>
      <c r="F52" s="38">
        <f>0.07*0.063*5*2*2</f>
        <v>8.8200000000000014E-2</v>
      </c>
      <c r="G52" s="232">
        <f t="shared" si="2"/>
        <v>2.6460000000000004</v>
      </c>
      <c r="H52" s="233" t="s">
        <v>90</v>
      </c>
    </row>
    <row r="53" spans="1:8" s="216" customFormat="1" ht="16.5">
      <c r="A53" s="231"/>
      <c r="B53" s="240" t="s">
        <v>91</v>
      </c>
      <c r="C53" s="37" t="s">
        <v>88</v>
      </c>
      <c r="D53" s="37" t="s">
        <v>42</v>
      </c>
      <c r="E53" s="37">
        <v>91.034999999999997</v>
      </c>
      <c r="F53" s="38">
        <f>0.235*0.071*5*2</f>
        <v>0.16685</v>
      </c>
      <c r="G53" s="232">
        <f t="shared" si="2"/>
        <v>15.189189749999999</v>
      </c>
      <c r="H53" s="233" t="s">
        <v>92</v>
      </c>
    </row>
    <row r="54" spans="1:8" s="216" customFormat="1" ht="16.5">
      <c r="A54" s="231"/>
      <c r="B54" s="240"/>
      <c r="C54" s="37" t="s">
        <v>47</v>
      </c>
      <c r="D54" s="37" t="s">
        <v>42</v>
      </c>
      <c r="E54" s="37">
        <v>30</v>
      </c>
      <c r="F54" s="38">
        <f>0.235*0.071*5*2*2</f>
        <v>0.3337</v>
      </c>
      <c r="G54" s="232">
        <f t="shared" si="2"/>
        <v>10.010999999999999</v>
      </c>
      <c r="H54" s="233" t="s">
        <v>93</v>
      </c>
    </row>
    <row r="55" spans="1:8" s="216" customFormat="1" ht="16.5">
      <c r="A55" s="231"/>
      <c r="B55" s="240" t="s">
        <v>94</v>
      </c>
      <c r="C55" s="37" t="s">
        <v>88</v>
      </c>
      <c r="D55" s="37" t="s">
        <v>42</v>
      </c>
      <c r="E55" s="37">
        <v>91.034999999999997</v>
      </c>
      <c r="F55" s="38">
        <f>(0.11*0.125+0.045*0.03)*5*2</f>
        <v>0.151</v>
      </c>
      <c r="G55" s="232">
        <f t="shared" si="2"/>
        <v>13.746284999999999</v>
      </c>
      <c r="H55" s="233" t="s">
        <v>95</v>
      </c>
    </row>
    <row r="56" spans="1:8" s="216" customFormat="1" ht="16.5">
      <c r="A56" s="231"/>
      <c r="B56" s="240"/>
      <c r="C56" s="37" t="s">
        <v>47</v>
      </c>
      <c r="D56" s="37" t="s">
        <v>42</v>
      </c>
      <c r="E56" s="37">
        <v>30</v>
      </c>
      <c r="F56" s="38">
        <f>(0.11*0.125+0.045*0.03)*5*2*2</f>
        <v>0.30199999999999999</v>
      </c>
      <c r="G56" s="232">
        <f t="shared" si="2"/>
        <v>9.06</v>
      </c>
      <c r="H56" s="233" t="s">
        <v>96</v>
      </c>
    </row>
    <row r="57" spans="1:8" s="216" customFormat="1" ht="16.5">
      <c r="A57" s="231"/>
      <c r="B57" s="37" t="s">
        <v>97</v>
      </c>
      <c r="C57" s="37" t="s">
        <v>98</v>
      </c>
      <c r="D57" s="37" t="s">
        <v>51</v>
      </c>
      <c r="E57" s="37">
        <v>2.91</v>
      </c>
      <c r="F57" s="38">
        <f>0.232*1*84</f>
        <v>19.488</v>
      </c>
      <c r="G57" s="232">
        <f t="shared" si="2"/>
        <v>56.710080000000005</v>
      </c>
      <c r="H57" s="233" t="s">
        <v>274</v>
      </c>
    </row>
    <row r="58" spans="1:8" s="216" customFormat="1" ht="16.5">
      <c r="A58" s="231"/>
      <c r="B58" s="37"/>
      <c r="C58" s="37" t="s">
        <v>88</v>
      </c>
      <c r="D58" s="37" t="s">
        <v>42</v>
      </c>
      <c r="E58" s="37">
        <v>91.034999999999997</v>
      </c>
      <c r="F58" s="38">
        <f>0.095*0.245*1*84</f>
        <v>1.9551000000000001</v>
      </c>
      <c r="G58" s="232">
        <f t="shared" si="2"/>
        <v>177.9825285</v>
      </c>
      <c r="H58" s="233" t="s">
        <v>275</v>
      </c>
    </row>
    <row r="59" spans="1:8" s="216" customFormat="1" ht="16.5">
      <c r="A59" s="231"/>
      <c r="B59" s="37"/>
      <c r="C59" s="37" t="s">
        <v>88</v>
      </c>
      <c r="D59" s="37" t="s">
        <v>42</v>
      </c>
      <c r="E59" s="37">
        <v>91.034999999999997</v>
      </c>
      <c r="F59" s="38">
        <f>0.048*0.036*1*84</f>
        <v>0.145152</v>
      </c>
      <c r="G59" s="232">
        <f t="shared" si="2"/>
        <v>13.21391232</v>
      </c>
      <c r="H59" s="233" t="s">
        <v>276</v>
      </c>
    </row>
    <row r="60" spans="1:8" s="216" customFormat="1" ht="16.5">
      <c r="A60" s="231"/>
      <c r="B60" s="37"/>
      <c r="C60" s="37" t="s">
        <v>88</v>
      </c>
      <c r="D60" s="37" t="s">
        <v>42</v>
      </c>
      <c r="E60" s="37">
        <v>91.034999999999997</v>
      </c>
      <c r="F60" s="38">
        <f>0.041*0.023*1*84</f>
        <v>7.9212000000000005E-2</v>
      </c>
      <c r="G60" s="232">
        <f t="shared" si="2"/>
        <v>7.2110644200000005</v>
      </c>
      <c r="H60" s="233" t="s">
        <v>277</v>
      </c>
    </row>
    <row r="61" spans="1:8" s="216" customFormat="1" ht="16.5">
      <c r="A61" s="231"/>
      <c r="B61" s="37"/>
      <c r="C61" s="37" t="s">
        <v>88</v>
      </c>
      <c r="D61" s="37" t="s">
        <v>42</v>
      </c>
      <c r="E61" s="37">
        <v>91.034999999999997</v>
      </c>
      <c r="F61" s="38">
        <f>0.025*0.015*1*84</f>
        <v>3.15E-2</v>
      </c>
      <c r="G61" s="232">
        <f t="shared" si="2"/>
        <v>2.8676024999999998</v>
      </c>
      <c r="H61" s="233" t="s">
        <v>278</v>
      </c>
    </row>
    <row r="62" spans="1:8" s="216" customFormat="1" ht="33">
      <c r="A62" s="231"/>
      <c r="B62" s="37"/>
      <c r="C62" s="37" t="s">
        <v>47</v>
      </c>
      <c r="D62" s="37" t="s">
        <v>42</v>
      </c>
      <c r="E62" s="37">
        <v>30</v>
      </c>
      <c r="F62" s="38">
        <f>0.232*1*84+0.095*0.245*1*84+0.048*0.036*1*84+0.041*0.023*1*84+0.025*0.015*1*84</f>
        <v>21.698964</v>
      </c>
      <c r="G62" s="232">
        <f t="shared" si="2"/>
        <v>650.96892000000003</v>
      </c>
      <c r="H62" s="233" t="s">
        <v>279</v>
      </c>
    </row>
    <row r="63" spans="1:8" s="216" customFormat="1" ht="16.5">
      <c r="A63" s="231"/>
      <c r="B63" s="37" t="s">
        <v>99</v>
      </c>
      <c r="C63" s="37" t="s">
        <v>100</v>
      </c>
      <c r="D63" s="37" t="s">
        <v>101</v>
      </c>
      <c r="E63" s="37">
        <v>21.524999999999999</v>
      </c>
      <c r="F63" s="38">
        <f>1.165*0.074*1*0.5*1.4*31.5</f>
        <v>1.9009304999999996</v>
      </c>
      <c r="G63" s="232">
        <f t="shared" si="2"/>
        <v>40.91752901249999</v>
      </c>
      <c r="H63" s="233" t="s">
        <v>280</v>
      </c>
    </row>
    <row r="64" spans="1:8" s="216" customFormat="1" ht="16.5">
      <c r="A64" s="231"/>
      <c r="B64" s="37"/>
      <c r="C64" s="37" t="s">
        <v>102</v>
      </c>
      <c r="D64" s="37" t="s">
        <v>42</v>
      </c>
      <c r="E64" s="37">
        <v>47.66</v>
      </c>
      <c r="F64" s="38">
        <f>1.165*0.04*1*31.5</f>
        <v>1.4679</v>
      </c>
      <c r="G64" s="232">
        <f t="shared" si="2"/>
        <v>69.96011399999999</v>
      </c>
      <c r="H64" s="233" t="s">
        <v>281</v>
      </c>
    </row>
    <row r="65" spans="1:8" s="216" customFormat="1" ht="16.5">
      <c r="A65" s="231"/>
      <c r="B65" s="37"/>
      <c r="C65" s="37" t="s">
        <v>103</v>
      </c>
      <c r="D65" s="37" t="s">
        <v>101</v>
      </c>
      <c r="E65" s="37">
        <v>28.14</v>
      </c>
      <c r="F65" s="38">
        <f>1.165*0.04*1*2*1.2*31.5</f>
        <v>3.5229600000000003</v>
      </c>
      <c r="G65" s="232">
        <f t="shared" si="2"/>
        <v>99.136094400000005</v>
      </c>
      <c r="H65" s="233" t="s">
        <v>282</v>
      </c>
    </row>
    <row r="66" spans="1:8" s="216" customFormat="1" ht="16.5">
      <c r="A66" s="231"/>
      <c r="B66" s="37"/>
      <c r="C66" s="37" t="s">
        <v>103</v>
      </c>
      <c r="D66" s="37" t="s">
        <v>101</v>
      </c>
      <c r="E66" s="37">
        <v>28.14</v>
      </c>
      <c r="F66" s="38">
        <f>1.165*0.035*1*2*1.2*31.5</f>
        <v>3.0825900000000006</v>
      </c>
      <c r="G66" s="232">
        <f t="shared" si="2"/>
        <v>86.744082600000013</v>
      </c>
      <c r="H66" s="233" t="s">
        <v>283</v>
      </c>
    </row>
    <row r="67" spans="1:8" s="216" customFormat="1" ht="16.5">
      <c r="A67" s="231"/>
      <c r="B67" s="37"/>
      <c r="C67" s="37" t="s">
        <v>103</v>
      </c>
      <c r="D67" s="37" t="s">
        <v>101</v>
      </c>
      <c r="E67" s="37">
        <v>28.14</v>
      </c>
      <c r="F67" s="38">
        <f>1.165*0.011*1*2*1.2*31.5</f>
        <v>0.96881399999999995</v>
      </c>
      <c r="G67" s="232">
        <f t="shared" si="2"/>
        <v>27.262425959999998</v>
      </c>
      <c r="H67" s="233" t="s">
        <v>284</v>
      </c>
    </row>
    <row r="68" spans="1:8" s="216" customFormat="1" ht="16.5">
      <c r="A68" s="231"/>
      <c r="B68" s="37"/>
      <c r="C68" s="37" t="s">
        <v>103</v>
      </c>
      <c r="D68" s="37" t="s">
        <v>101</v>
      </c>
      <c r="E68" s="37">
        <v>28.14</v>
      </c>
      <c r="F68" s="38">
        <f>1.165*0.0095*1*5*1.2*31.5</f>
        <v>2.0917574999999999</v>
      </c>
      <c r="G68" s="232">
        <f t="shared" si="2"/>
        <v>58.86205605</v>
      </c>
      <c r="H68" s="233" t="s">
        <v>285</v>
      </c>
    </row>
    <row r="69" spans="1:8" s="216" customFormat="1" ht="16.5">
      <c r="A69" s="231"/>
      <c r="B69" s="37"/>
      <c r="C69" s="37" t="s">
        <v>104</v>
      </c>
      <c r="D69" s="37" t="s">
        <v>101</v>
      </c>
      <c r="E69" s="37">
        <v>28.14</v>
      </c>
      <c r="F69" s="38">
        <f>1.165*0.045*1*2*1.2*31.5</f>
        <v>3.9633299999999996</v>
      </c>
      <c r="G69" s="232">
        <f t="shared" ref="G69" si="3">E69*F69</f>
        <v>111.5281062</v>
      </c>
      <c r="H69" s="233" t="s">
        <v>286</v>
      </c>
    </row>
    <row r="70" spans="1:8" s="216" customFormat="1" ht="16.5">
      <c r="A70" s="231"/>
      <c r="B70" s="37"/>
      <c r="C70" s="37" t="s">
        <v>104</v>
      </c>
      <c r="D70" s="37" t="s">
        <v>101</v>
      </c>
      <c r="E70" s="37">
        <v>28.14</v>
      </c>
      <c r="F70" s="38">
        <f>1.165*0.04*1*2*1.2*31.5</f>
        <v>3.5229600000000003</v>
      </c>
      <c r="G70" s="232">
        <f t="shared" ref="G70:G87" si="4">E70*F70</f>
        <v>99.136094400000005</v>
      </c>
      <c r="H70" s="233" t="s">
        <v>287</v>
      </c>
    </row>
    <row r="71" spans="1:8" s="216" customFormat="1" ht="16.5">
      <c r="A71" s="231"/>
      <c r="B71" s="37"/>
      <c r="C71" s="37" t="s">
        <v>104</v>
      </c>
      <c r="D71" s="37" t="s">
        <v>101</v>
      </c>
      <c r="E71" s="37">
        <v>28.14</v>
      </c>
      <c r="F71" s="38">
        <f>1.165*0.016*1*2*1.2*31.5</f>
        <v>1.409184</v>
      </c>
      <c r="G71" s="232">
        <f t="shared" si="4"/>
        <v>39.65443776</v>
      </c>
      <c r="H71" s="233" t="s">
        <v>288</v>
      </c>
    </row>
    <row r="72" spans="1:8" s="216" customFormat="1" ht="16.5">
      <c r="A72" s="231"/>
      <c r="B72" s="37"/>
      <c r="C72" s="37" t="s">
        <v>104</v>
      </c>
      <c r="D72" s="37" t="s">
        <v>101</v>
      </c>
      <c r="E72" s="37">
        <v>28.14</v>
      </c>
      <c r="F72" s="38">
        <f>1.165*0.0085*1*2*1.2*31.5</f>
        <v>0.7486290000000001</v>
      </c>
      <c r="G72" s="232">
        <f t="shared" si="4"/>
        <v>21.066420060000002</v>
      </c>
      <c r="H72" s="233" t="s">
        <v>289</v>
      </c>
    </row>
    <row r="73" spans="1:8" s="216" customFormat="1" ht="16.5">
      <c r="A73" s="231"/>
      <c r="B73" s="37"/>
      <c r="C73" s="37" t="s">
        <v>104</v>
      </c>
      <c r="D73" s="37" t="s">
        <v>101</v>
      </c>
      <c r="E73" s="37">
        <v>28.14</v>
      </c>
      <c r="F73" s="38">
        <f>1.165*0.023*1*2*1.2*31.5</f>
        <v>2.0257019999999999</v>
      </c>
      <c r="G73" s="232">
        <f t="shared" si="4"/>
        <v>57.00325428</v>
      </c>
      <c r="H73" s="233" t="s">
        <v>290</v>
      </c>
    </row>
    <row r="74" spans="1:8" s="216" customFormat="1" ht="16.5">
      <c r="A74" s="231"/>
      <c r="B74" s="37"/>
      <c r="C74" s="37" t="s">
        <v>104</v>
      </c>
      <c r="D74" s="37" t="s">
        <v>101</v>
      </c>
      <c r="E74" s="37">
        <v>28.14</v>
      </c>
      <c r="F74" s="38">
        <f>1.165*0.037*1*2*1.2*31.5</f>
        <v>3.2587379999999997</v>
      </c>
      <c r="G74" s="232">
        <f t="shared" si="4"/>
        <v>91.700887319999993</v>
      </c>
      <c r="H74" s="233" t="s">
        <v>291</v>
      </c>
    </row>
    <row r="75" spans="1:8" s="216" customFormat="1" ht="16.5">
      <c r="A75" s="231"/>
      <c r="B75" s="37"/>
      <c r="C75" s="37" t="s">
        <v>104</v>
      </c>
      <c r="D75" s="37" t="s">
        <v>101</v>
      </c>
      <c r="E75" s="37">
        <v>28.14</v>
      </c>
      <c r="F75" s="38">
        <f>1.165*0.01*5*5*1.2*31.5</f>
        <v>11.00925</v>
      </c>
      <c r="G75" s="232">
        <f t="shared" si="4"/>
        <v>309.80029500000001</v>
      </c>
      <c r="H75" s="233" t="s">
        <v>292</v>
      </c>
    </row>
    <row r="76" spans="1:8" s="216" customFormat="1" ht="16.5">
      <c r="A76" s="231"/>
      <c r="B76" s="37"/>
      <c r="C76" s="37" t="s">
        <v>103</v>
      </c>
      <c r="D76" s="37" t="s">
        <v>101</v>
      </c>
      <c r="E76" s="37">
        <v>28.14</v>
      </c>
      <c r="F76" s="38">
        <f>1.165*0.04*1*2*1.2*31.5</f>
        <v>3.5229600000000003</v>
      </c>
      <c r="G76" s="232">
        <f t="shared" si="4"/>
        <v>99.136094400000005</v>
      </c>
      <c r="H76" s="233" t="s">
        <v>287</v>
      </c>
    </row>
    <row r="77" spans="1:8" s="216" customFormat="1" ht="16.5">
      <c r="A77" s="231"/>
      <c r="B77" s="37"/>
      <c r="C77" s="37" t="s">
        <v>103</v>
      </c>
      <c r="D77" s="37" t="s">
        <v>101</v>
      </c>
      <c r="E77" s="37">
        <v>28.14</v>
      </c>
      <c r="F77" s="38">
        <f>1.165*0.032*1*2*1.2*31.5</f>
        <v>2.818368</v>
      </c>
      <c r="G77" s="232">
        <f t="shared" si="4"/>
        <v>79.308875520000001</v>
      </c>
      <c r="H77" s="233" t="s">
        <v>293</v>
      </c>
    </row>
    <row r="78" spans="1:8" s="216" customFormat="1" ht="16.5">
      <c r="A78" s="231"/>
      <c r="B78" s="37"/>
      <c r="C78" s="37" t="s">
        <v>103</v>
      </c>
      <c r="D78" s="37" t="s">
        <v>101</v>
      </c>
      <c r="E78" s="37">
        <v>28.14</v>
      </c>
      <c r="F78" s="38">
        <f>1.165*0.014*1*2*1.2*31.5</f>
        <v>1.2330360000000002</v>
      </c>
      <c r="G78" s="232">
        <f t="shared" si="4"/>
        <v>34.697633040000007</v>
      </c>
      <c r="H78" s="233" t="s">
        <v>294</v>
      </c>
    </row>
    <row r="79" spans="1:8" s="216" customFormat="1" ht="16.5">
      <c r="A79" s="231"/>
      <c r="B79" s="37"/>
      <c r="C79" s="37" t="s">
        <v>103</v>
      </c>
      <c r="D79" s="37" t="s">
        <v>101</v>
      </c>
      <c r="E79" s="37">
        <v>28.14</v>
      </c>
      <c r="F79" s="38">
        <f>1.165*0.01*1*2*1.2*31.5</f>
        <v>0.88074000000000008</v>
      </c>
      <c r="G79" s="232">
        <f t="shared" si="4"/>
        <v>24.784023600000001</v>
      </c>
      <c r="H79" s="233" t="s">
        <v>295</v>
      </c>
    </row>
    <row r="80" spans="1:8" s="216" customFormat="1" ht="16.5">
      <c r="A80" s="231"/>
      <c r="B80" s="37"/>
      <c r="C80" s="37" t="s">
        <v>103</v>
      </c>
      <c r="D80" s="37" t="s">
        <v>101</v>
      </c>
      <c r="E80" s="37">
        <v>28.14</v>
      </c>
      <c r="F80" s="38">
        <f>1.165*0.0085*1*2*1.2*31.5</f>
        <v>0.7486290000000001</v>
      </c>
      <c r="G80" s="232">
        <f t="shared" si="4"/>
        <v>21.066420060000002</v>
      </c>
      <c r="H80" s="233" t="s">
        <v>289</v>
      </c>
    </row>
    <row r="81" spans="1:8" s="216" customFormat="1" ht="16.5">
      <c r="A81" s="231"/>
      <c r="B81" s="37"/>
      <c r="C81" s="37" t="s">
        <v>105</v>
      </c>
      <c r="D81" s="37" t="s">
        <v>51</v>
      </c>
      <c r="E81" s="37">
        <v>1.5</v>
      </c>
      <c r="F81" s="38">
        <f>1.165*1*31.5</f>
        <v>36.697499999999998</v>
      </c>
      <c r="G81" s="232">
        <f t="shared" si="4"/>
        <v>55.046250000000001</v>
      </c>
      <c r="H81" s="233" t="s">
        <v>296</v>
      </c>
    </row>
    <row r="82" spans="1:8" s="216" customFormat="1" ht="16.5">
      <c r="A82" s="231"/>
      <c r="B82" s="37"/>
      <c r="C82" s="37" t="s">
        <v>106</v>
      </c>
      <c r="D82" s="37" t="s">
        <v>42</v>
      </c>
      <c r="E82" s="37">
        <v>246.78</v>
      </c>
      <c r="F82" s="38">
        <f>0.017*0.04*3*31.5</f>
        <v>6.4260000000000012E-2</v>
      </c>
      <c r="G82" s="232">
        <f t="shared" si="4"/>
        <v>15.858082800000004</v>
      </c>
      <c r="H82" s="233" t="s">
        <v>297</v>
      </c>
    </row>
    <row r="83" spans="1:8" s="216" customFormat="1" ht="16.5">
      <c r="A83" s="231"/>
      <c r="B83" s="73"/>
      <c r="C83" s="73" t="s">
        <v>107</v>
      </c>
      <c r="D83" s="73" t="s">
        <v>55</v>
      </c>
      <c r="E83" s="73">
        <v>0.9</v>
      </c>
      <c r="F83" s="236">
        <f>3*32</f>
        <v>96</v>
      </c>
      <c r="G83" s="237">
        <f t="shared" si="4"/>
        <v>86.4</v>
      </c>
      <c r="H83" s="238" t="s">
        <v>298</v>
      </c>
    </row>
    <row r="84" spans="1:8" s="216" customFormat="1" ht="16.5">
      <c r="A84" s="231"/>
      <c r="B84" s="37"/>
      <c r="C84" s="37" t="s">
        <v>108</v>
      </c>
      <c r="D84" s="37" t="s">
        <v>42</v>
      </c>
      <c r="E84" s="37">
        <v>40</v>
      </c>
      <c r="F84" s="38">
        <f>1.2*0.07*4.5*7</f>
        <v>2.6459999999999999</v>
      </c>
      <c r="G84" s="232">
        <f t="shared" si="4"/>
        <v>105.84</v>
      </c>
      <c r="H84" s="233" t="s">
        <v>299</v>
      </c>
    </row>
    <row r="85" spans="1:8" s="216" customFormat="1" ht="16.5">
      <c r="A85" s="231"/>
      <c r="B85" s="37" t="s">
        <v>109</v>
      </c>
      <c r="C85" s="37" t="s">
        <v>110</v>
      </c>
      <c r="D85" s="37" t="s">
        <v>42</v>
      </c>
      <c r="E85" s="37">
        <v>190</v>
      </c>
      <c r="F85" s="38">
        <f>1.19*0.27*18+0.635*0.27+1.105*0.27*6</f>
        <v>7.7449500000000002</v>
      </c>
      <c r="G85" s="232">
        <f t="shared" si="4"/>
        <v>1471.5405000000001</v>
      </c>
      <c r="H85" s="233" t="s">
        <v>300</v>
      </c>
    </row>
    <row r="86" spans="1:8" s="216" customFormat="1" ht="16.5">
      <c r="A86" s="231"/>
      <c r="B86" s="37" t="s">
        <v>301</v>
      </c>
      <c r="C86" s="242" t="s">
        <v>302</v>
      </c>
      <c r="D86" s="242" t="s">
        <v>42</v>
      </c>
      <c r="E86" s="243">
        <v>41.118000000000002</v>
      </c>
      <c r="F86" s="38">
        <f>1.189*0.38*1*4.5</f>
        <v>2.0331899999999998</v>
      </c>
      <c r="G86" s="232">
        <f t="shared" si="4"/>
        <v>83.600706419999995</v>
      </c>
      <c r="H86" s="233" t="s">
        <v>303</v>
      </c>
    </row>
    <row r="87" spans="1:8" s="216" customFormat="1" ht="16.5">
      <c r="A87" s="231"/>
      <c r="B87" s="37"/>
      <c r="C87" s="37" t="s">
        <v>304</v>
      </c>
      <c r="D87" s="37" t="s">
        <v>42</v>
      </c>
      <c r="E87" s="37">
        <v>20.286000000000001</v>
      </c>
      <c r="F87" s="38">
        <f>1.189*0.02*2*4.5</f>
        <v>0.21402000000000002</v>
      </c>
      <c r="G87" s="232">
        <f t="shared" si="4"/>
        <v>4.341609720000001</v>
      </c>
      <c r="H87" s="233" t="s">
        <v>305</v>
      </c>
    </row>
    <row r="88" spans="1:8" s="216" customFormat="1" ht="16.5">
      <c r="A88" s="231"/>
      <c r="B88" s="46" t="s">
        <v>111</v>
      </c>
      <c r="C88" s="244" t="s">
        <v>112</v>
      </c>
      <c r="D88" s="37" t="s">
        <v>42</v>
      </c>
      <c r="E88" s="37">
        <v>230</v>
      </c>
      <c r="F88" s="245">
        <f>(0.044+0.016+0.044)*1.07*2</f>
        <v>0.22256000000000001</v>
      </c>
      <c r="G88" s="232">
        <f t="shared" ref="G88" si="5">E88*F88</f>
        <v>51.188800000000001</v>
      </c>
      <c r="H88" s="246" t="s">
        <v>306</v>
      </c>
    </row>
    <row r="89" spans="1:8" s="216" customFormat="1" ht="16.5">
      <c r="A89" s="231"/>
      <c r="B89" s="46"/>
      <c r="C89" s="23" t="s">
        <v>113</v>
      </c>
      <c r="D89" s="37" t="s">
        <v>101</v>
      </c>
      <c r="E89" s="247">
        <v>26.59</v>
      </c>
      <c r="F89" s="245">
        <f>0.038*1.07*1.2*10*2</f>
        <v>0.97584000000000004</v>
      </c>
      <c r="G89" s="232">
        <f t="shared" ref="G89:G120" si="6">E89*F89</f>
        <v>25.9475856</v>
      </c>
      <c r="H89" s="246" t="s">
        <v>307</v>
      </c>
    </row>
    <row r="90" spans="1:8" s="216" customFormat="1" ht="16.5">
      <c r="A90" s="231"/>
      <c r="B90" s="46"/>
      <c r="C90" s="248" t="s">
        <v>114</v>
      </c>
      <c r="D90" s="37" t="s">
        <v>42</v>
      </c>
      <c r="E90" s="37">
        <v>80</v>
      </c>
      <c r="F90" s="245">
        <f>(0.008+0.008+0.02)*1.07*2+0.038*1.07*1.2*10*2</f>
        <v>1.05288</v>
      </c>
      <c r="G90" s="232">
        <f t="shared" si="6"/>
        <v>84.230400000000003</v>
      </c>
      <c r="H90" s="246" t="s">
        <v>308</v>
      </c>
    </row>
    <row r="91" spans="1:8" s="216" customFormat="1" ht="16.5">
      <c r="A91" s="231"/>
      <c r="B91" s="46" t="s">
        <v>115</v>
      </c>
      <c r="C91" s="37" t="s">
        <v>88</v>
      </c>
      <c r="D91" s="37" t="s">
        <v>42</v>
      </c>
      <c r="E91" s="37">
        <v>91.034999999999997</v>
      </c>
      <c r="F91" s="245">
        <f>0.08*0.04*2*2</f>
        <v>1.2800000000000001E-2</v>
      </c>
      <c r="G91" s="232">
        <f t="shared" si="6"/>
        <v>1.1652480000000001</v>
      </c>
      <c r="H91" s="246" t="s">
        <v>116</v>
      </c>
    </row>
    <row r="92" spans="1:8" s="216" customFormat="1" ht="16.5">
      <c r="A92" s="231"/>
      <c r="B92" s="46"/>
      <c r="C92" s="37" t="s">
        <v>117</v>
      </c>
      <c r="D92" s="37" t="s">
        <v>42</v>
      </c>
      <c r="E92" s="249">
        <v>136.55760000000001</v>
      </c>
      <c r="F92" s="245">
        <f>0.01*0.06*2*2</f>
        <v>2.3999999999999998E-3</v>
      </c>
      <c r="G92" s="232">
        <f t="shared" si="6"/>
        <v>0.32773824000000001</v>
      </c>
      <c r="H92" s="246" t="s">
        <v>118</v>
      </c>
    </row>
    <row r="93" spans="1:8" s="216" customFormat="1" ht="16.5">
      <c r="A93" s="231"/>
      <c r="B93" s="46"/>
      <c r="C93" s="241" t="s">
        <v>98</v>
      </c>
      <c r="D93" s="37" t="s">
        <v>51</v>
      </c>
      <c r="E93" s="247">
        <v>2.91</v>
      </c>
      <c r="F93" s="245">
        <f>0.3*2*2</f>
        <v>1.2</v>
      </c>
      <c r="G93" s="232">
        <f t="shared" si="6"/>
        <v>3.492</v>
      </c>
      <c r="H93" s="246" t="s">
        <v>119</v>
      </c>
    </row>
    <row r="94" spans="1:8" s="216" customFormat="1" ht="16.5">
      <c r="A94" s="231"/>
      <c r="B94" s="46"/>
      <c r="C94" s="37" t="s">
        <v>47</v>
      </c>
      <c r="D94" s="37" t="s">
        <v>42</v>
      </c>
      <c r="E94" s="37">
        <v>30</v>
      </c>
      <c r="F94" s="245">
        <f>0.291*0.06*2*2+0.08*0.04*2*2+0.01*0.06*2*2</f>
        <v>8.5040000000000004E-2</v>
      </c>
      <c r="G94" s="232">
        <f t="shared" si="6"/>
        <v>2.5512000000000001</v>
      </c>
      <c r="H94" s="246" t="s">
        <v>120</v>
      </c>
    </row>
    <row r="95" spans="1:8" s="216" customFormat="1" ht="16.5">
      <c r="A95" s="231"/>
      <c r="B95" s="46" t="s">
        <v>121</v>
      </c>
      <c r="C95" s="37" t="s">
        <v>88</v>
      </c>
      <c r="D95" s="37" t="s">
        <v>42</v>
      </c>
      <c r="E95" s="37">
        <v>91.034999999999997</v>
      </c>
      <c r="F95" s="245">
        <f>0.098*0.03*8*2</f>
        <v>4.7039999999999998E-2</v>
      </c>
      <c r="G95" s="232">
        <f t="shared" si="6"/>
        <v>4.2822863999999994</v>
      </c>
      <c r="H95" s="246" t="s">
        <v>258</v>
      </c>
    </row>
    <row r="96" spans="1:8" s="216" customFormat="1" ht="16.5">
      <c r="A96" s="231"/>
      <c r="B96" s="46"/>
      <c r="C96" s="37" t="s">
        <v>47</v>
      </c>
      <c r="D96" s="37" t="s">
        <v>42</v>
      </c>
      <c r="E96" s="37">
        <v>30</v>
      </c>
      <c r="F96" s="245">
        <f>0.098*0.03*8</f>
        <v>2.3519999999999999E-2</v>
      </c>
      <c r="G96" s="232">
        <f t="shared" si="6"/>
        <v>0.7056</v>
      </c>
      <c r="H96" s="246" t="s">
        <v>259</v>
      </c>
    </row>
    <row r="97" spans="1:8" s="216" customFormat="1" ht="16.5">
      <c r="A97" s="231"/>
      <c r="B97" s="46" t="s">
        <v>122</v>
      </c>
      <c r="C97" s="37" t="s">
        <v>88</v>
      </c>
      <c r="D97" s="37" t="s">
        <v>42</v>
      </c>
      <c r="E97" s="37">
        <v>91.034999999999997</v>
      </c>
      <c r="F97" s="245">
        <f>(0.032+0.015+0.032)*0.04*124</f>
        <v>0.39184000000000002</v>
      </c>
      <c r="G97" s="232">
        <f t="shared" si="6"/>
        <v>35.671154399999999</v>
      </c>
      <c r="H97" s="246" t="s">
        <v>309</v>
      </c>
    </row>
    <row r="98" spans="1:8" s="216" customFormat="1" ht="16.5">
      <c r="A98" s="231"/>
      <c r="B98" s="46"/>
      <c r="C98" s="250" t="s">
        <v>123</v>
      </c>
      <c r="D98" s="73" t="s">
        <v>51</v>
      </c>
      <c r="E98" s="73">
        <v>1.3</v>
      </c>
      <c r="F98" s="236">
        <f>0.38*2*144</f>
        <v>109.44</v>
      </c>
      <c r="G98" s="232">
        <f t="shared" si="6"/>
        <v>142.27199999999999</v>
      </c>
      <c r="H98" s="238" t="s">
        <v>310</v>
      </c>
    </row>
    <row r="99" spans="1:8" s="216" customFormat="1" ht="33">
      <c r="A99" s="231"/>
      <c r="B99" s="46"/>
      <c r="C99" s="241" t="s">
        <v>47</v>
      </c>
      <c r="D99" s="37" t="s">
        <v>42</v>
      </c>
      <c r="E99" s="247">
        <v>30</v>
      </c>
      <c r="F99" s="245">
        <f>(0.032+0.015+0.032)*0.04*144+0.005*3.14*0.38*2*144+(0.032+0.035+0.233)*0.04*34</f>
        <v>2.581248</v>
      </c>
      <c r="G99" s="232">
        <f t="shared" si="6"/>
        <v>77.437439999999995</v>
      </c>
      <c r="H99" s="246" t="s">
        <v>311</v>
      </c>
    </row>
    <row r="100" spans="1:8" s="216" customFormat="1" ht="16.5">
      <c r="A100" s="231"/>
      <c r="B100" s="46"/>
      <c r="C100" s="241" t="s">
        <v>124</v>
      </c>
      <c r="D100" s="37" t="s">
        <v>51</v>
      </c>
      <c r="E100" s="247">
        <v>1.87</v>
      </c>
      <c r="F100" s="245">
        <f>(0.032+0.035+0.233)*34</f>
        <v>10.200000000000001</v>
      </c>
      <c r="G100" s="232">
        <f t="shared" si="6"/>
        <v>19.074000000000002</v>
      </c>
      <c r="H100" s="246" t="s">
        <v>312</v>
      </c>
    </row>
    <row r="101" spans="1:8" s="216" customFormat="1" ht="16.5">
      <c r="A101" s="231"/>
      <c r="B101" s="46"/>
      <c r="C101" s="250" t="s">
        <v>125</v>
      </c>
      <c r="D101" s="73" t="s">
        <v>55</v>
      </c>
      <c r="E101" s="73">
        <v>1</v>
      </c>
      <c r="F101" s="236">
        <f>34*2</f>
        <v>68</v>
      </c>
      <c r="G101" s="232">
        <f t="shared" si="6"/>
        <v>68</v>
      </c>
      <c r="H101" s="238" t="s">
        <v>313</v>
      </c>
    </row>
    <row r="102" spans="1:8" s="216" customFormat="1" ht="16.5">
      <c r="A102" s="231"/>
      <c r="B102" s="46"/>
      <c r="C102" s="241" t="s">
        <v>126</v>
      </c>
      <c r="D102" s="46" t="s">
        <v>51</v>
      </c>
      <c r="E102" s="247">
        <v>6</v>
      </c>
      <c r="F102" s="245">
        <f>2*8</f>
        <v>16</v>
      </c>
      <c r="G102" s="232">
        <f t="shared" si="6"/>
        <v>96</v>
      </c>
      <c r="H102" s="246" t="s">
        <v>314</v>
      </c>
    </row>
    <row r="103" spans="1:8" s="216" customFormat="1" ht="16.5">
      <c r="A103" s="231"/>
      <c r="B103" s="46"/>
      <c r="C103" s="251" t="s">
        <v>128</v>
      </c>
      <c r="D103" s="252" t="s">
        <v>101</v>
      </c>
      <c r="E103" s="253">
        <v>24.99</v>
      </c>
      <c r="F103" s="254">
        <f>(0.0389+0.012+0.005+0.05+0.012+0.012)*2*1.4*2*8</f>
        <v>5.8195199999999989</v>
      </c>
      <c r="G103" s="232">
        <f t="shared" si="6"/>
        <v>145.42980479999997</v>
      </c>
      <c r="H103" s="246" t="s">
        <v>315</v>
      </c>
    </row>
    <row r="104" spans="1:8" s="216" customFormat="1" ht="16.5">
      <c r="A104" s="231"/>
      <c r="B104" s="46" t="s">
        <v>129</v>
      </c>
      <c r="C104" s="244" t="s">
        <v>130</v>
      </c>
      <c r="D104" s="37" t="s">
        <v>51</v>
      </c>
      <c r="E104" s="37">
        <v>3.95</v>
      </c>
      <c r="F104" s="245">
        <f>1.71*10</f>
        <v>17.100000000000001</v>
      </c>
      <c r="G104" s="232">
        <f t="shared" si="6"/>
        <v>67.545000000000002</v>
      </c>
      <c r="H104" s="246" t="s">
        <v>316</v>
      </c>
    </row>
    <row r="105" spans="1:8" s="216" customFormat="1" ht="16.5">
      <c r="A105" s="231"/>
      <c r="B105" s="46"/>
      <c r="C105" s="23" t="s">
        <v>47</v>
      </c>
      <c r="D105" s="37" t="s">
        <v>42</v>
      </c>
      <c r="E105" s="247">
        <v>30</v>
      </c>
      <c r="F105" s="245">
        <f>0.08*1.71*10</f>
        <v>1.3680000000000001</v>
      </c>
      <c r="G105" s="232">
        <f t="shared" si="6"/>
        <v>41.040000000000006</v>
      </c>
      <c r="H105" s="246" t="s">
        <v>317</v>
      </c>
    </row>
    <row r="106" spans="1:8" s="216" customFormat="1" ht="16.5">
      <c r="A106" s="231"/>
      <c r="B106" s="46"/>
      <c r="C106" s="23" t="s">
        <v>131</v>
      </c>
      <c r="D106" s="37" t="s">
        <v>132</v>
      </c>
      <c r="E106" s="247">
        <v>1</v>
      </c>
      <c r="F106" s="245">
        <v>20</v>
      </c>
      <c r="G106" s="232">
        <f t="shared" si="6"/>
        <v>20</v>
      </c>
      <c r="H106" s="246">
        <v>20</v>
      </c>
    </row>
    <row r="107" spans="1:8" s="216" customFormat="1" ht="16.5">
      <c r="A107" s="231"/>
      <c r="B107" s="46" t="s">
        <v>133</v>
      </c>
      <c r="C107" s="248" t="s">
        <v>88</v>
      </c>
      <c r="D107" s="37" t="s">
        <v>42</v>
      </c>
      <c r="E107" s="37">
        <v>91.034999999999997</v>
      </c>
      <c r="F107" s="245">
        <f>0.052*0.064*32</f>
        <v>0.10649599999999999</v>
      </c>
      <c r="G107" s="232">
        <f t="shared" si="6"/>
        <v>9.6948633599999994</v>
      </c>
      <c r="H107" s="246" t="s">
        <v>318</v>
      </c>
    </row>
    <row r="108" spans="1:8" s="216" customFormat="1" ht="16.5">
      <c r="A108" s="231"/>
      <c r="B108" s="46" t="s">
        <v>319</v>
      </c>
      <c r="C108" s="37" t="s">
        <v>104</v>
      </c>
      <c r="D108" s="37" t="s">
        <v>101</v>
      </c>
      <c r="E108" s="37">
        <v>28.14</v>
      </c>
      <c r="F108" s="245">
        <f>0.12*1.72*3*1.2</f>
        <v>0.74303999999999992</v>
      </c>
      <c r="G108" s="232">
        <f t="shared" si="6"/>
        <v>20.909145599999999</v>
      </c>
      <c r="H108" s="246" t="s">
        <v>320</v>
      </c>
    </row>
    <row r="109" spans="1:8" s="216" customFormat="1" ht="16.5">
      <c r="A109" s="231"/>
      <c r="B109" s="46"/>
      <c r="C109" s="37" t="s">
        <v>104</v>
      </c>
      <c r="D109" s="37" t="s">
        <v>101</v>
      </c>
      <c r="E109" s="37">
        <v>28.14</v>
      </c>
      <c r="F109" s="245">
        <f>(0.008+0.008+0.011+0.011)*1.72*5*1.2</f>
        <v>0.39215999999999995</v>
      </c>
      <c r="G109" s="232">
        <f t="shared" si="6"/>
        <v>11.0353824</v>
      </c>
      <c r="H109" s="246" t="s">
        <v>321</v>
      </c>
    </row>
    <row r="110" spans="1:8" s="216" customFormat="1" ht="16.5">
      <c r="A110" s="231"/>
      <c r="B110" s="46"/>
      <c r="C110" s="37" t="s">
        <v>322</v>
      </c>
      <c r="D110" s="37" t="s">
        <v>101</v>
      </c>
      <c r="E110" s="37">
        <v>28.14</v>
      </c>
      <c r="F110" s="245">
        <f>0.012*1.72*8*1.2</f>
        <v>0.19814399999999999</v>
      </c>
      <c r="G110" s="232">
        <f t="shared" si="6"/>
        <v>5.5757721599999996</v>
      </c>
      <c r="H110" s="246" t="s">
        <v>323</v>
      </c>
    </row>
    <row r="111" spans="1:8" s="216" customFormat="1" ht="16.5">
      <c r="A111" s="231"/>
      <c r="B111" s="46"/>
      <c r="C111" s="248" t="s">
        <v>324</v>
      </c>
      <c r="D111" s="37" t="s">
        <v>42</v>
      </c>
      <c r="E111" s="247">
        <v>169.5</v>
      </c>
      <c r="F111" s="245">
        <f t="shared" ref="F111" si="7">0.11*1.72</f>
        <v>0.18920000000000001</v>
      </c>
      <c r="G111" s="232">
        <f t="shared" si="6"/>
        <v>32.069400000000002</v>
      </c>
      <c r="H111" s="233" t="s">
        <v>325</v>
      </c>
    </row>
    <row r="112" spans="1:8" s="216" customFormat="1" ht="16.5">
      <c r="A112" s="231"/>
      <c r="B112" s="46"/>
      <c r="C112" s="248" t="s">
        <v>326</v>
      </c>
      <c r="D112" s="37" t="s">
        <v>42</v>
      </c>
      <c r="E112" s="247">
        <v>15.45</v>
      </c>
      <c r="F112" s="245">
        <f>0.11*1.72</f>
        <v>0.18920000000000001</v>
      </c>
      <c r="G112" s="232">
        <f t="shared" si="6"/>
        <v>2.9231400000000001</v>
      </c>
      <c r="H112" s="233" t="s">
        <v>325</v>
      </c>
    </row>
    <row r="113" spans="1:8" s="216" customFormat="1" ht="16.5">
      <c r="A113" s="231"/>
      <c r="B113" s="46"/>
      <c r="C113" s="37" t="s">
        <v>104</v>
      </c>
      <c r="D113" s="37" t="s">
        <v>101</v>
      </c>
      <c r="E113" s="37">
        <v>28.14</v>
      </c>
      <c r="F113" s="245">
        <f>0.11*1.72</f>
        <v>0.18920000000000001</v>
      </c>
      <c r="G113" s="232">
        <f t="shared" si="6"/>
        <v>5.3240880000000006</v>
      </c>
      <c r="H113" s="233" t="s">
        <v>325</v>
      </c>
    </row>
    <row r="114" spans="1:8" s="216" customFormat="1" ht="16.5">
      <c r="A114" s="231"/>
      <c r="B114" s="37"/>
      <c r="C114" s="37" t="s">
        <v>108</v>
      </c>
      <c r="D114" s="37" t="s">
        <v>42</v>
      </c>
      <c r="E114" s="37">
        <v>40</v>
      </c>
      <c r="F114" s="38">
        <f>0.11*1.72</f>
        <v>0.18920000000000001</v>
      </c>
      <c r="G114" s="232">
        <f t="shared" si="6"/>
        <v>7.5680000000000005</v>
      </c>
      <c r="H114" s="233" t="s">
        <v>325</v>
      </c>
    </row>
    <row r="115" spans="1:8" s="216" customFormat="1" ht="16.5">
      <c r="A115" s="231"/>
      <c r="B115" s="46" t="s">
        <v>327</v>
      </c>
      <c r="C115" s="37" t="s">
        <v>104</v>
      </c>
      <c r="D115" s="37" t="s">
        <v>101</v>
      </c>
      <c r="E115" s="37">
        <v>28.14</v>
      </c>
      <c r="F115" s="245">
        <f>(0.015+0.018)*0.08*2*1.2*2</f>
        <v>1.2671999999999999E-2</v>
      </c>
      <c r="G115" s="232">
        <f t="shared" si="6"/>
        <v>0.35659007999999998</v>
      </c>
      <c r="H115" s="233" t="s">
        <v>328</v>
      </c>
    </row>
    <row r="116" spans="1:8" s="216" customFormat="1" ht="16.5">
      <c r="A116" s="231"/>
      <c r="B116" s="46"/>
      <c r="C116" s="37" t="s">
        <v>322</v>
      </c>
      <c r="D116" s="37" t="s">
        <v>101</v>
      </c>
      <c r="E116" s="37">
        <v>28.14</v>
      </c>
      <c r="F116" s="245">
        <f>0.08*0.006*8*1.2*2</f>
        <v>9.2160000000000002E-3</v>
      </c>
      <c r="G116" s="232">
        <f t="shared" si="6"/>
        <v>0.25933824</v>
      </c>
      <c r="H116" s="246" t="s">
        <v>329</v>
      </c>
    </row>
    <row r="117" spans="1:8" s="216" customFormat="1" ht="16.5">
      <c r="A117" s="231"/>
      <c r="B117" s="37" t="s">
        <v>330</v>
      </c>
      <c r="C117" s="37" t="s">
        <v>98</v>
      </c>
      <c r="D117" s="37" t="s">
        <v>51</v>
      </c>
      <c r="E117" s="37">
        <v>2.91</v>
      </c>
      <c r="F117" s="38">
        <f>0.232*1*2</f>
        <v>0.46400000000000002</v>
      </c>
      <c r="G117" s="232">
        <f t="shared" si="6"/>
        <v>1.3502400000000001</v>
      </c>
      <c r="H117" s="233" t="s">
        <v>331</v>
      </c>
    </row>
    <row r="118" spans="1:8" s="216" customFormat="1" ht="16.5">
      <c r="A118" s="231"/>
      <c r="B118" s="37"/>
      <c r="C118" s="37" t="s">
        <v>88</v>
      </c>
      <c r="D118" s="37" t="s">
        <v>42</v>
      </c>
      <c r="E118" s="37">
        <v>91.034999999999997</v>
      </c>
      <c r="F118" s="38">
        <f>0.095*0.245*1*2</f>
        <v>4.6550000000000001E-2</v>
      </c>
      <c r="G118" s="232">
        <f t="shared" si="6"/>
        <v>4.2376792500000002</v>
      </c>
      <c r="H118" s="233" t="s">
        <v>332</v>
      </c>
    </row>
    <row r="119" spans="1:8" s="216" customFormat="1" ht="16.5">
      <c r="A119" s="231"/>
      <c r="B119" s="37"/>
      <c r="C119" s="37" t="s">
        <v>88</v>
      </c>
      <c r="D119" s="37" t="s">
        <v>42</v>
      </c>
      <c r="E119" s="37">
        <v>91.034999999999997</v>
      </c>
      <c r="F119" s="38">
        <f>0.048*0.036*1*2</f>
        <v>3.4559999999999999E-3</v>
      </c>
      <c r="G119" s="232">
        <f t="shared" si="6"/>
        <v>0.31461696</v>
      </c>
      <c r="H119" s="233" t="s">
        <v>333</v>
      </c>
    </row>
    <row r="120" spans="1:8" s="216" customFormat="1" ht="16.5">
      <c r="A120" s="231"/>
      <c r="B120" s="37"/>
      <c r="C120" s="37" t="s">
        <v>88</v>
      </c>
      <c r="D120" s="37" t="s">
        <v>42</v>
      </c>
      <c r="E120" s="37">
        <v>91.034999999999997</v>
      </c>
      <c r="F120" s="38">
        <f>0.041*0.023*1*2</f>
        <v>1.8860000000000001E-3</v>
      </c>
      <c r="G120" s="232">
        <f t="shared" si="6"/>
        <v>0.17169201000000001</v>
      </c>
      <c r="H120" s="233" t="s">
        <v>334</v>
      </c>
    </row>
    <row r="121" spans="1:8" s="216" customFormat="1" ht="16.5">
      <c r="A121" s="231"/>
      <c r="B121" s="37"/>
      <c r="C121" s="37" t="s">
        <v>88</v>
      </c>
      <c r="D121" s="37" t="s">
        <v>42</v>
      </c>
      <c r="E121" s="37">
        <v>91.034999999999997</v>
      </c>
      <c r="F121" s="38">
        <f>0.025*0.015*1*2</f>
        <v>7.5000000000000002E-4</v>
      </c>
      <c r="G121" s="232">
        <f t="shared" ref="G121:G151" si="8">E121*F121</f>
        <v>6.8276249999999997E-2</v>
      </c>
      <c r="H121" s="233" t="s">
        <v>335</v>
      </c>
    </row>
    <row r="122" spans="1:8" s="216" customFormat="1" ht="33">
      <c r="A122" s="231"/>
      <c r="B122" s="37"/>
      <c r="C122" s="37" t="s">
        <v>47</v>
      </c>
      <c r="D122" s="37" t="s">
        <v>42</v>
      </c>
      <c r="E122" s="37">
        <v>30</v>
      </c>
      <c r="F122" s="38">
        <f>0.232*1*2+0.095*0.245*1*2+0.048*0.036*1*2+0.041*0.023*1*2+0.025*0.015*1*2</f>
        <v>0.51664200000000016</v>
      </c>
      <c r="G122" s="232">
        <f t="shared" si="8"/>
        <v>15.499260000000005</v>
      </c>
      <c r="H122" s="233" t="s">
        <v>336</v>
      </c>
    </row>
    <row r="123" spans="1:8" s="216" customFormat="1" ht="16.5">
      <c r="A123" s="231"/>
      <c r="B123" s="240" t="s">
        <v>337</v>
      </c>
      <c r="C123" s="37" t="s">
        <v>88</v>
      </c>
      <c r="D123" s="37" t="s">
        <v>42</v>
      </c>
      <c r="E123" s="37">
        <v>91.034999999999997</v>
      </c>
      <c r="F123" s="38">
        <f>0.014*(0.049+0.059)*4</f>
        <v>6.0480000000000004E-3</v>
      </c>
      <c r="G123" s="232">
        <f t="shared" si="8"/>
        <v>0.55057968000000002</v>
      </c>
      <c r="H123" s="233" t="s">
        <v>338</v>
      </c>
    </row>
    <row r="124" spans="1:8" s="216" customFormat="1" ht="16.5">
      <c r="A124" s="231"/>
      <c r="B124" s="240"/>
      <c r="C124" s="37" t="s">
        <v>47</v>
      </c>
      <c r="D124" s="37" t="s">
        <v>42</v>
      </c>
      <c r="E124" s="37">
        <v>30</v>
      </c>
      <c r="F124" s="38">
        <f>0.014*(0.049+0.059)*4*2</f>
        <v>1.2096000000000001E-2</v>
      </c>
      <c r="G124" s="232">
        <f t="shared" si="8"/>
        <v>0.36288000000000004</v>
      </c>
      <c r="H124" s="233" t="s">
        <v>339</v>
      </c>
    </row>
    <row r="125" spans="1:8" s="216" customFormat="1" ht="16.5">
      <c r="A125" s="231"/>
      <c r="B125" s="240" t="s">
        <v>340</v>
      </c>
      <c r="C125" s="251" t="s">
        <v>141</v>
      </c>
      <c r="D125" s="37" t="s">
        <v>42</v>
      </c>
      <c r="E125" s="37">
        <v>25.515000000000001</v>
      </c>
      <c r="F125" s="38">
        <f>1.73*0.365</f>
        <v>0.63144999999999996</v>
      </c>
      <c r="G125" s="232">
        <f t="shared" si="8"/>
        <v>16.111446749999999</v>
      </c>
      <c r="H125" s="233" t="s">
        <v>341</v>
      </c>
    </row>
    <row r="126" spans="1:8" s="216" customFormat="1" ht="16.5">
      <c r="A126" s="231"/>
      <c r="B126" s="240"/>
      <c r="C126" s="255" t="s">
        <v>142</v>
      </c>
      <c r="D126" s="37" t="s">
        <v>51</v>
      </c>
      <c r="E126" s="37">
        <v>1.6</v>
      </c>
      <c r="F126" s="38">
        <f>1.73+0.365+0.365+1.73</f>
        <v>4.1899999999999995</v>
      </c>
      <c r="G126" s="232">
        <f t="shared" si="8"/>
        <v>6.7039999999999997</v>
      </c>
      <c r="H126" s="233" t="s">
        <v>342</v>
      </c>
    </row>
    <row r="127" spans="1:8" s="216" customFormat="1" ht="16.5">
      <c r="A127" s="231"/>
      <c r="B127" s="240" t="s">
        <v>260</v>
      </c>
      <c r="C127" s="244" t="s">
        <v>112</v>
      </c>
      <c r="D127" s="37" t="s">
        <v>42</v>
      </c>
      <c r="E127" s="37">
        <v>230</v>
      </c>
      <c r="F127" s="245">
        <f>(0.044+0.016+0.044)*1.895</f>
        <v>0.19708000000000001</v>
      </c>
      <c r="G127" s="232">
        <f t="shared" si="8"/>
        <v>45.328400000000002</v>
      </c>
      <c r="H127" s="246" t="s">
        <v>343</v>
      </c>
    </row>
    <row r="128" spans="1:8" s="216" customFormat="1" ht="16.5">
      <c r="A128" s="231"/>
      <c r="B128" s="240"/>
      <c r="C128" s="23" t="s">
        <v>113</v>
      </c>
      <c r="D128" s="37" t="s">
        <v>101</v>
      </c>
      <c r="E128" s="247">
        <v>26.59</v>
      </c>
      <c r="F128" s="245">
        <f>0.038*1.895*1.2*10</f>
        <v>0.86412</v>
      </c>
      <c r="G128" s="232">
        <f t="shared" si="8"/>
        <v>22.976950800000001</v>
      </c>
      <c r="H128" s="246" t="s">
        <v>344</v>
      </c>
    </row>
    <row r="129" spans="1:8" s="216" customFormat="1" ht="16.5">
      <c r="A129" s="231"/>
      <c r="B129" s="240"/>
      <c r="C129" s="248" t="s">
        <v>114</v>
      </c>
      <c r="D129" s="37" t="s">
        <v>42</v>
      </c>
      <c r="E129" s="37">
        <v>80</v>
      </c>
      <c r="F129" s="245">
        <f>0.01*1.895*2</f>
        <v>3.7900000000000003E-2</v>
      </c>
      <c r="G129" s="232">
        <f t="shared" si="8"/>
        <v>3.032</v>
      </c>
      <c r="H129" s="246" t="s">
        <v>345</v>
      </c>
    </row>
    <row r="130" spans="1:8" s="216" customFormat="1" ht="16.5">
      <c r="A130" s="231"/>
      <c r="B130" s="240" t="s">
        <v>135</v>
      </c>
      <c r="C130" s="37" t="s">
        <v>136</v>
      </c>
      <c r="D130" s="37" t="s">
        <v>42</v>
      </c>
      <c r="E130" s="249">
        <v>47.685000000000002</v>
      </c>
      <c r="F130" s="38">
        <f>(0.05+0.05+0.01+0.01)*2*3</f>
        <v>0.72</v>
      </c>
      <c r="G130" s="232">
        <f t="shared" si="8"/>
        <v>34.333199999999998</v>
      </c>
      <c r="H130" s="233" t="s">
        <v>346</v>
      </c>
    </row>
    <row r="131" spans="1:8" s="216" customFormat="1" ht="16.5">
      <c r="A131" s="231"/>
      <c r="B131" s="240"/>
      <c r="C131" s="37" t="s">
        <v>47</v>
      </c>
      <c r="D131" s="37" t="s">
        <v>42</v>
      </c>
      <c r="E131" s="37">
        <v>30</v>
      </c>
      <c r="F131" s="38">
        <f>(0.05+0.05+0.01+0.01)*2*3</f>
        <v>0.72</v>
      </c>
      <c r="G131" s="232">
        <f t="shared" si="8"/>
        <v>21.599999999999998</v>
      </c>
      <c r="H131" s="233" t="s">
        <v>346</v>
      </c>
    </row>
    <row r="132" spans="1:8" s="216" customFormat="1" ht="16.5">
      <c r="A132" s="231"/>
      <c r="B132" s="37" t="s">
        <v>137</v>
      </c>
      <c r="C132" s="46" t="s">
        <v>138</v>
      </c>
      <c r="D132" s="46" t="s">
        <v>139</v>
      </c>
      <c r="E132" s="247">
        <v>1.55</v>
      </c>
      <c r="F132" s="245">
        <v>15</v>
      </c>
      <c r="G132" s="28">
        <f t="shared" si="8"/>
        <v>23.25</v>
      </c>
      <c r="H132" s="246" t="s">
        <v>127</v>
      </c>
    </row>
    <row r="133" spans="1:8" s="216" customFormat="1" ht="16.5">
      <c r="A133" s="231"/>
      <c r="B133" s="240"/>
      <c r="C133" s="37" t="s">
        <v>88</v>
      </c>
      <c r="D133" s="37" t="s">
        <v>42</v>
      </c>
      <c r="E133" s="37">
        <v>91.034999999999997</v>
      </c>
      <c r="F133" s="38">
        <f>0.07*(0.03+0.056+0.045)*3*5</f>
        <v>0.13755000000000001</v>
      </c>
      <c r="G133" s="232">
        <f t="shared" si="8"/>
        <v>12.52186425</v>
      </c>
      <c r="H133" s="233" t="s">
        <v>140</v>
      </c>
    </row>
    <row r="134" spans="1:8" s="216" customFormat="1" ht="16.5">
      <c r="A134" s="231"/>
      <c r="B134" s="240"/>
      <c r="C134" s="37" t="s">
        <v>47</v>
      </c>
      <c r="D134" s="37" t="s">
        <v>42</v>
      </c>
      <c r="E134" s="37">
        <v>30</v>
      </c>
      <c r="F134" s="38">
        <f>0.07*(0.03+0.056+0.045)*3*5</f>
        <v>0.13755000000000001</v>
      </c>
      <c r="G134" s="232">
        <f t="shared" si="8"/>
        <v>4.1265000000000001</v>
      </c>
      <c r="H134" s="233" t="s">
        <v>140</v>
      </c>
    </row>
    <row r="135" spans="1:8" s="216" customFormat="1" ht="16.5">
      <c r="A135" s="231"/>
      <c r="B135" s="37" t="s">
        <v>347</v>
      </c>
      <c r="C135" s="37" t="s">
        <v>88</v>
      </c>
      <c r="D135" s="37" t="s">
        <v>42</v>
      </c>
      <c r="E135" s="37">
        <v>91.034999999999997</v>
      </c>
      <c r="F135" s="38">
        <f>(0.049+0.039)*0.01*5*2</f>
        <v>8.7999999999999988E-3</v>
      </c>
      <c r="G135" s="232">
        <f t="shared" si="8"/>
        <v>0.80110799999999982</v>
      </c>
      <c r="H135" s="233" t="s">
        <v>348</v>
      </c>
    </row>
    <row r="136" spans="1:8" s="216" customFormat="1" ht="16.5">
      <c r="A136" s="231"/>
      <c r="B136" s="240"/>
      <c r="C136" s="37" t="s">
        <v>47</v>
      </c>
      <c r="D136" s="37" t="s">
        <v>42</v>
      </c>
      <c r="E136" s="37">
        <v>30</v>
      </c>
      <c r="F136" s="38">
        <f>(0.049+0.039)*0.01*5</f>
        <v>4.3999999999999994E-3</v>
      </c>
      <c r="G136" s="232">
        <f t="shared" si="8"/>
        <v>0.13199999999999998</v>
      </c>
      <c r="H136" s="233" t="s">
        <v>349</v>
      </c>
    </row>
    <row r="137" spans="1:8" s="216" customFormat="1" ht="16.5">
      <c r="A137" s="231"/>
      <c r="B137" s="240" t="s">
        <v>350</v>
      </c>
      <c r="C137" s="251" t="s">
        <v>141</v>
      </c>
      <c r="D137" s="37" t="s">
        <v>42</v>
      </c>
      <c r="E137" s="249">
        <v>25.515000000000001</v>
      </c>
      <c r="F137" s="38">
        <f>0.365*1.73</f>
        <v>0.63144999999999996</v>
      </c>
      <c r="G137" s="232">
        <f t="shared" si="8"/>
        <v>16.111446749999999</v>
      </c>
      <c r="H137" s="233" t="s">
        <v>433</v>
      </c>
    </row>
    <row r="138" spans="1:8" s="216" customFormat="1" ht="16.5">
      <c r="A138" s="231"/>
      <c r="B138" s="240"/>
      <c r="C138" s="251" t="s">
        <v>141</v>
      </c>
      <c r="D138" s="37" t="s">
        <v>42</v>
      </c>
      <c r="E138" s="249">
        <v>25.515000000000001</v>
      </c>
      <c r="F138" s="38">
        <f>0.07*1.73</f>
        <v>0.12110000000000001</v>
      </c>
      <c r="G138" s="232">
        <f t="shared" si="8"/>
        <v>3.0898665000000003</v>
      </c>
      <c r="H138" s="233" t="s">
        <v>352</v>
      </c>
    </row>
    <row r="139" spans="1:8" s="216" customFormat="1" ht="16.5">
      <c r="A139" s="231"/>
      <c r="B139" s="240"/>
      <c r="C139" s="37" t="s">
        <v>146</v>
      </c>
      <c r="D139" s="37" t="s">
        <v>42</v>
      </c>
      <c r="E139" s="249">
        <v>57.6</v>
      </c>
      <c r="F139" s="38">
        <f>0.07*1.73</f>
        <v>0.12110000000000001</v>
      </c>
      <c r="G139" s="232">
        <f t="shared" si="8"/>
        <v>6.9753600000000011</v>
      </c>
      <c r="H139" s="233" t="s">
        <v>352</v>
      </c>
    </row>
    <row r="140" spans="1:8" s="216" customFormat="1" ht="16.5">
      <c r="A140" s="231"/>
      <c r="B140" s="240"/>
      <c r="C140" s="255" t="s">
        <v>142</v>
      </c>
      <c r="D140" s="37" t="s">
        <v>51</v>
      </c>
      <c r="E140" s="256">
        <v>1.6</v>
      </c>
      <c r="F140" s="38">
        <f>1.73+1.73+0.365+0.365</f>
        <v>4.1900000000000004</v>
      </c>
      <c r="G140" s="232">
        <f t="shared" si="8"/>
        <v>6.7040000000000006</v>
      </c>
      <c r="H140" s="233" t="s">
        <v>353</v>
      </c>
    </row>
    <row r="141" spans="1:8" s="216" customFormat="1" ht="16.5">
      <c r="A141" s="231"/>
      <c r="B141" s="240" t="s">
        <v>354</v>
      </c>
      <c r="C141" s="251" t="s">
        <v>141</v>
      </c>
      <c r="D141" s="37" t="s">
        <v>42</v>
      </c>
      <c r="E141" s="249">
        <v>25.515000000000001</v>
      </c>
      <c r="F141" s="38">
        <f>0.365*2.4</f>
        <v>0.876</v>
      </c>
      <c r="G141" s="232">
        <f t="shared" si="8"/>
        <v>22.351140000000001</v>
      </c>
      <c r="H141" s="233" t="s">
        <v>434</v>
      </c>
    </row>
    <row r="142" spans="1:8" s="216" customFormat="1" ht="16.5">
      <c r="A142" s="231"/>
      <c r="B142" s="240"/>
      <c r="C142" s="251" t="s">
        <v>141</v>
      </c>
      <c r="D142" s="37" t="s">
        <v>42</v>
      </c>
      <c r="E142" s="249">
        <v>25.515000000000001</v>
      </c>
      <c r="F142" s="38">
        <f t="shared" ref="F142" si="9">0.07*2.4</f>
        <v>0.16800000000000001</v>
      </c>
      <c r="G142" s="232">
        <f t="shared" si="8"/>
        <v>4.2865200000000003</v>
      </c>
      <c r="H142" s="233" t="s">
        <v>356</v>
      </c>
    </row>
    <row r="143" spans="1:8" s="216" customFormat="1" ht="16.5">
      <c r="A143" s="231"/>
      <c r="B143" s="240"/>
      <c r="C143" s="37" t="s">
        <v>146</v>
      </c>
      <c r="D143" s="37" t="s">
        <v>42</v>
      </c>
      <c r="E143" s="249">
        <v>57.6</v>
      </c>
      <c r="F143" s="38">
        <f>0.07*2.4</f>
        <v>0.16800000000000001</v>
      </c>
      <c r="G143" s="232">
        <f t="shared" si="8"/>
        <v>9.6768000000000001</v>
      </c>
      <c r="H143" s="233" t="s">
        <v>356</v>
      </c>
    </row>
    <row r="144" spans="1:8" s="216" customFormat="1" ht="16.5">
      <c r="A144" s="231"/>
      <c r="B144" s="240"/>
      <c r="C144" s="255" t="s">
        <v>142</v>
      </c>
      <c r="D144" s="37" t="s">
        <v>51</v>
      </c>
      <c r="E144" s="256">
        <v>1.6</v>
      </c>
      <c r="F144" s="38">
        <f>2.4+0.365+0.356+2.4</f>
        <v>5.520999999999999</v>
      </c>
      <c r="G144" s="232">
        <f t="shared" si="8"/>
        <v>8.8335999999999988</v>
      </c>
      <c r="H144" s="233" t="s">
        <v>357</v>
      </c>
    </row>
    <row r="145" spans="1:8" s="216" customFormat="1" ht="16.5">
      <c r="A145" s="231"/>
      <c r="B145" s="240" t="s">
        <v>358</v>
      </c>
      <c r="C145" s="251" t="s">
        <v>141</v>
      </c>
      <c r="D145" s="37" t="s">
        <v>42</v>
      </c>
      <c r="E145" s="249">
        <v>25.515000000000001</v>
      </c>
      <c r="F145" s="38">
        <f>0.365*2.4</f>
        <v>0.876</v>
      </c>
      <c r="G145" s="232">
        <f t="shared" si="8"/>
        <v>22.351140000000001</v>
      </c>
      <c r="H145" s="233" t="s">
        <v>434</v>
      </c>
    </row>
    <row r="146" spans="1:8" s="216" customFormat="1" ht="16.5">
      <c r="A146" s="231"/>
      <c r="B146" s="240"/>
      <c r="C146" s="251" t="s">
        <v>141</v>
      </c>
      <c r="D146" s="37" t="s">
        <v>42</v>
      </c>
      <c r="E146" s="249">
        <v>25.515000000000001</v>
      </c>
      <c r="F146" s="38">
        <f>0.07*2.4</f>
        <v>0.16800000000000001</v>
      </c>
      <c r="G146" s="232">
        <f t="shared" si="8"/>
        <v>4.2865200000000003</v>
      </c>
      <c r="H146" s="233" t="s">
        <v>356</v>
      </c>
    </row>
    <row r="147" spans="1:8" s="216" customFormat="1" ht="16.5">
      <c r="A147" s="231"/>
      <c r="B147" s="240"/>
      <c r="C147" s="37" t="s">
        <v>146</v>
      </c>
      <c r="D147" s="37" t="s">
        <v>42</v>
      </c>
      <c r="E147" s="249">
        <v>57.6</v>
      </c>
      <c r="F147" s="38">
        <f>0.07*2.4</f>
        <v>0.16800000000000001</v>
      </c>
      <c r="G147" s="232">
        <f t="shared" si="8"/>
        <v>9.6768000000000001</v>
      </c>
      <c r="H147" s="233" t="s">
        <v>356</v>
      </c>
    </row>
    <row r="148" spans="1:8" s="216" customFormat="1" ht="16.5">
      <c r="A148" s="231"/>
      <c r="B148" s="240"/>
      <c r="C148" s="255" t="s">
        <v>142</v>
      </c>
      <c r="D148" s="37" t="s">
        <v>51</v>
      </c>
      <c r="E148" s="256">
        <v>1.6</v>
      </c>
      <c r="F148" s="38">
        <f>2.4+0.365+0.356+2.4</f>
        <v>5.520999999999999</v>
      </c>
      <c r="G148" s="232">
        <f t="shared" si="8"/>
        <v>8.8335999999999988</v>
      </c>
      <c r="H148" s="233" t="s">
        <v>357</v>
      </c>
    </row>
    <row r="149" spans="1:8" s="216" customFormat="1" ht="16.5">
      <c r="A149" s="231"/>
      <c r="B149" s="240" t="s">
        <v>359</v>
      </c>
      <c r="C149" s="251" t="s">
        <v>141</v>
      </c>
      <c r="D149" s="37" t="s">
        <v>42</v>
      </c>
      <c r="E149" s="249">
        <v>25.515000000000001</v>
      </c>
      <c r="F149" s="38">
        <f>0.365*0.585</f>
        <v>0.21352499999999999</v>
      </c>
      <c r="G149" s="232">
        <f t="shared" si="8"/>
        <v>5.4480903749999996</v>
      </c>
      <c r="H149" s="233" t="s">
        <v>435</v>
      </c>
    </row>
    <row r="150" spans="1:8" s="216" customFormat="1" ht="16.5">
      <c r="A150" s="231"/>
      <c r="B150" s="240"/>
      <c r="C150" s="251" t="s">
        <v>141</v>
      </c>
      <c r="D150" s="37" t="s">
        <v>42</v>
      </c>
      <c r="E150" s="249">
        <v>25.515000000000001</v>
      </c>
      <c r="F150" s="38">
        <f>0.07*0.585</f>
        <v>4.095E-2</v>
      </c>
      <c r="G150" s="232">
        <f t="shared" si="8"/>
        <v>1.0448392500000001</v>
      </c>
      <c r="H150" s="233" t="s">
        <v>361</v>
      </c>
    </row>
    <row r="151" spans="1:8" s="216" customFormat="1" ht="16.5">
      <c r="A151" s="231"/>
      <c r="B151" s="240"/>
      <c r="C151" s="37" t="s">
        <v>146</v>
      </c>
      <c r="D151" s="37" t="s">
        <v>42</v>
      </c>
      <c r="E151" s="249">
        <v>57.6</v>
      </c>
      <c r="F151" s="38">
        <f>0.07*0.585</f>
        <v>4.095E-2</v>
      </c>
      <c r="G151" s="232">
        <f t="shared" si="8"/>
        <v>2.3587199999999999</v>
      </c>
      <c r="H151" s="233" t="s">
        <v>361</v>
      </c>
    </row>
    <row r="152" spans="1:8" s="216" customFormat="1" ht="16.5">
      <c r="A152" s="231"/>
      <c r="B152" s="240"/>
      <c r="C152" s="255" t="s">
        <v>142</v>
      </c>
      <c r="D152" s="37" t="s">
        <v>51</v>
      </c>
      <c r="E152" s="256">
        <v>1.6</v>
      </c>
      <c r="F152" s="38">
        <f>0.565+0.365+0.356+0.585</f>
        <v>1.871</v>
      </c>
      <c r="G152" s="232">
        <f t="shared" ref="G152" si="10">E152*F152</f>
        <v>2.9936000000000003</v>
      </c>
      <c r="H152" s="233" t="s">
        <v>362</v>
      </c>
    </row>
    <row r="153" spans="1:8" s="216" customFormat="1" ht="16.5">
      <c r="A153" s="231"/>
      <c r="B153" s="240" t="s">
        <v>143</v>
      </c>
      <c r="C153" s="23" t="s">
        <v>363</v>
      </c>
      <c r="D153" s="37" t="s">
        <v>42</v>
      </c>
      <c r="E153" s="37">
        <v>31.5</v>
      </c>
      <c r="F153" s="38">
        <f>0.45*2.4*2</f>
        <v>2.16</v>
      </c>
      <c r="G153" s="232">
        <f t="shared" ref="G153:G184" si="11">E153*F153</f>
        <v>68.040000000000006</v>
      </c>
      <c r="H153" s="233" t="s">
        <v>364</v>
      </c>
    </row>
    <row r="154" spans="1:8" s="216" customFormat="1" ht="16.5">
      <c r="A154" s="231"/>
      <c r="B154" s="240"/>
      <c r="C154" s="23" t="s">
        <v>144</v>
      </c>
      <c r="D154" s="37" t="s">
        <v>42</v>
      </c>
      <c r="E154" s="37">
        <v>42</v>
      </c>
      <c r="F154" s="38">
        <f t="shared" ref="F154" si="12">0.45*2.4</f>
        <v>1.08</v>
      </c>
      <c r="G154" s="232">
        <f t="shared" si="11"/>
        <v>45.36</v>
      </c>
      <c r="H154" s="233" t="s">
        <v>365</v>
      </c>
    </row>
    <row r="155" spans="1:8" s="216" customFormat="1" ht="16.5">
      <c r="A155" s="231"/>
      <c r="B155" s="240"/>
      <c r="C155" s="23" t="s">
        <v>145</v>
      </c>
      <c r="D155" s="37" t="s">
        <v>42</v>
      </c>
      <c r="E155" s="37">
        <v>68.25</v>
      </c>
      <c r="F155" s="38">
        <f>0.45*2.4</f>
        <v>1.08</v>
      </c>
      <c r="G155" s="232">
        <f t="shared" si="11"/>
        <v>73.710000000000008</v>
      </c>
      <c r="H155" s="233" t="s">
        <v>365</v>
      </c>
    </row>
    <row r="156" spans="1:8" s="216" customFormat="1" ht="16.5">
      <c r="A156" s="231"/>
      <c r="B156" s="240"/>
      <c r="C156" s="37" t="s">
        <v>146</v>
      </c>
      <c r="D156" s="37" t="s">
        <v>42</v>
      </c>
      <c r="E156" s="249">
        <v>57.6</v>
      </c>
      <c r="F156" s="38">
        <f>0.45*2.4</f>
        <v>1.08</v>
      </c>
      <c r="G156" s="232">
        <f t="shared" si="11"/>
        <v>62.208000000000006</v>
      </c>
      <c r="H156" s="233" t="s">
        <v>365</v>
      </c>
    </row>
    <row r="157" spans="1:8" s="216" customFormat="1" ht="16.5">
      <c r="A157" s="231"/>
      <c r="B157" s="240"/>
      <c r="C157" s="23" t="s">
        <v>113</v>
      </c>
      <c r="D157" s="37" t="s">
        <v>101</v>
      </c>
      <c r="E157" s="37">
        <v>26.59</v>
      </c>
      <c r="F157" s="38">
        <f>1.9*0.145*12*1.2</f>
        <v>3.9671999999999992</v>
      </c>
      <c r="G157" s="232">
        <f t="shared" si="11"/>
        <v>105.48784799999997</v>
      </c>
      <c r="H157" s="233" t="s">
        <v>366</v>
      </c>
    </row>
    <row r="158" spans="1:8" s="216" customFormat="1" ht="16.5">
      <c r="A158" s="231"/>
      <c r="B158" s="240"/>
      <c r="C158" s="248" t="s">
        <v>114</v>
      </c>
      <c r="D158" s="37" t="s">
        <v>42</v>
      </c>
      <c r="E158" s="37">
        <v>80</v>
      </c>
      <c r="F158" s="38">
        <f>1.9*0.145*2*2</f>
        <v>1.1019999999999999</v>
      </c>
      <c r="G158" s="232">
        <f t="shared" si="11"/>
        <v>88.16</v>
      </c>
      <c r="H158" s="233" t="s">
        <v>367</v>
      </c>
    </row>
    <row r="159" spans="1:8" s="216" customFormat="1" ht="16.5">
      <c r="A159" s="231"/>
      <c r="B159" s="240" t="s">
        <v>147</v>
      </c>
      <c r="C159" s="23" t="s">
        <v>148</v>
      </c>
      <c r="D159" s="37" t="s">
        <v>42</v>
      </c>
      <c r="E159" s="249">
        <v>52.5</v>
      </c>
      <c r="F159" s="245">
        <f>0.45*2.4</f>
        <v>1.08</v>
      </c>
      <c r="G159" s="28">
        <f t="shared" si="11"/>
        <v>56.7</v>
      </c>
      <c r="H159" s="246" t="s">
        <v>365</v>
      </c>
    </row>
    <row r="160" spans="1:8" s="216" customFormat="1" ht="16.5">
      <c r="A160" s="231"/>
      <c r="B160" s="240"/>
      <c r="C160" s="23" t="s">
        <v>368</v>
      </c>
      <c r="D160" s="37" t="s">
        <v>42</v>
      </c>
      <c r="E160" s="37">
        <v>43</v>
      </c>
      <c r="F160" s="38">
        <f>0.45*2.4+0.03*2.4</f>
        <v>1.1520000000000001</v>
      </c>
      <c r="G160" s="232">
        <f t="shared" si="11"/>
        <v>49.536000000000008</v>
      </c>
      <c r="H160" s="233" t="s">
        <v>369</v>
      </c>
    </row>
    <row r="161" spans="1:8" s="216" customFormat="1" ht="16.5">
      <c r="A161" s="231"/>
      <c r="B161" s="240"/>
      <c r="C161" s="23" t="s">
        <v>145</v>
      </c>
      <c r="D161" s="37" t="s">
        <v>42</v>
      </c>
      <c r="E161" s="37">
        <v>68.25</v>
      </c>
      <c r="F161" s="38">
        <f>0.45*2.4</f>
        <v>1.08</v>
      </c>
      <c r="G161" s="232">
        <f t="shared" si="11"/>
        <v>73.710000000000008</v>
      </c>
      <c r="H161" s="233" t="s">
        <v>365</v>
      </c>
    </row>
    <row r="162" spans="1:8" s="216" customFormat="1" ht="16.5">
      <c r="A162" s="231"/>
      <c r="B162" s="240" t="s">
        <v>370</v>
      </c>
      <c r="C162" s="23" t="s">
        <v>363</v>
      </c>
      <c r="D162" s="37" t="s">
        <v>42</v>
      </c>
      <c r="E162" s="37">
        <v>31.5</v>
      </c>
      <c r="F162" s="38">
        <f>0.45*2.1*2</f>
        <v>1.8900000000000001</v>
      </c>
      <c r="G162" s="232">
        <f t="shared" si="11"/>
        <v>59.535000000000004</v>
      </c>
      <c r="H162" s="233" t="s">
        <v>371</v>
      </c>
    </row>
    <row r="163" spans="1:8" s="216" customFormat="1" ht="16.5">
      <c r="A163" s="231"/>
      <c r="B163" s="240"/>
      <c r="C163" s="23" t="s">
        <v>144</v>
      </c>
      <c r="D163" s="37" t="s">
        <v>42</v>
      </c>
      <c r="E163" s="37">
        <v>42</v>
      </c>
      <c r="F163" s="38">
        <f>0.45*2.1</f>
        <v>0.94500000000000006</v>
      </c>
      <c r="G163" s="232">
        <f t="shared" si="11"/>
        <v>39.690000000000005</v>
      </c>
      <c r="H163" s="233" t="s">
        <v>372</v>
      </c>
    </row>
    <row r="164" spans="1:8" s="216" customFormat="1" ht="16.5">
      <c r="A164" s="231"/>
      <c r="B164" s="240"/>
      <c r="C164" s="23" t="s">
        <v>145</v>
      </c>
      <c r="D164" s="37" t="s">
        <v>42</v>
      </c>
      <c r="E164" s="37">
        <v>68.25</v>
      </c>
      <c r="F164" s="38">
        <f>0.45*2.1*2</f>
        <v>1.8900000000000001</v>
      </c>
      <c r="G164" s="232">
        <f t="shared" si="11"/>
        <v>128.99250000000001</v>
      </c>
      <c r="H164" s="233" t="s">
        <v>371</v>
      </c>
    </row>
    <row r="165" spans="1:8" s="216" customFormat="1" ht="16.5">
      <c r="A165" s="231"/>
      <c r="B165" s="240"/>
      <c r="C165" s="37" t="s">
        <v>146</v>
      </c>
      <c r="D165" s="37" t="s">
        <v>42</v>
      </c>
      <c r="E165" s="249">
        <v>57.6</v>
      </c>
      <c r="F165" s="38">
        <f>0.035*1.9</f>
        <v>6.6500000000000004E-2</v>
      </c>
      <c r="G165" s="232">
        <f t="shared" si="11"/>
        <v>3.8304000000000005</v>
      </c>
      <c r="H165" s="233" t="s">
        <v>373</v>
      </c>
    </row>
    <row r="166" spans="1:8" s="216" customFormat="1" ht="16.5">
      <c r="A166" s="231"/>
      <c r="B166" s="240"/>
      <c r="C166" s="23" t="s">
        <v>113</v>
      </c>
      <c r="D166" s="37" t="s">
        <v>101</v>
      </c>
      <c r="E166" s="37">
        <v>26.59</v>
      </c>
      <c r="F166" s="38">
        <f>1.9*0.145*12*1.2</f>
        <v>3.9671999999999992</v>
      </c>
      <c r="G166" s="232">
        <f t="shared" si="11"/>
        <v>105.48784799999997</v>
      </c>
      <c r="H166" s="233" t="s">
        <v>366</v>
      </c>
    </row>
    <row r="167" spans="1:8" s="216" customFormat="1" ht="16.5">
      <c r="A167" s="231"/>
      <c r="B167" s="240"/>
      <c r="C167" s="248" t="s">
        <v>114</v>
      </c>
      <c r="D167" s="37" t="s">
        <v>42</v>
      </c>
      <c r="E167" s="37">
        <v>80</v>
      </c>
      <c r="F167" s="38">
        <f>1.9*0.145*2*2</f>
        <v>1.1019999999999999</v>
      </c>
      <c r="G167" s="232">
        <f t="shared" si="11"/>
        <v>88.16</v>
      </c>
      <c r="H167" s="233" t="s">
        <v>367</v>
      </c>
    </row>
    <row r="168" spans="1:8" s="216" customFormat="1" ht="16.5">
      <c r="A168" s="231"/>
      <c r="B168" s="240" t="s">
        <v>374</v>
      </c>
      <c r="C168" s="257" t="s">
        <v>255</v>
      </c>
      <c r="D168" s="37" t="s">
        <v>42</v>
      </c>
      <c r="E168" s="37">
        <v>350</v>
      </c>
      <c r="F168" s="38">
        <f>(0.4+0.1+0.1+0.054+0.054)*2.4</f>
        <v>1.6992</v>
      </c>
      <c r="G168" s="232">
        <f t="shared" si="11"/>
        <v>594.72</v>
      </c>
      <c r="H168" s="233" t="s">
        <v>375</v>
      </c>
    </row>
    <row r="169" spans="1:8" s="216" customFormat="1" ht="16.5">
      <c r="A169" s="231"/>
      <c r="B169" s="240"/>
      <c r="C169" s="37" t="s">
        <v>47</v>
      </c>
      <c r="D169" s="37" t="s">
        <v>42</v>
      </c>
      <c r="E169" s="37">
        <v>30</v>
      </c>
      <c r="F169" s="38">
        <f>(0.4+0.1+0.1+0.054+0.054)*2.4</f>
        <v>1.6992</v>
      </c>
      <c r="G169" s="232">
        <f t="shared" si="11"/>
        <v>50.975999999999999</v>
      </c>
      <c r="H169" s="233" t="s">
        <v>375</v>
      </c>
    </row>
    <row r="170" spans="1:8" s="216" customFormat="1" ht="16.5">
      <c r="A170" s="231"/>
      <c r="B170" s="240"/>
      <c r="C170" s="23" t="s">
        <v>363</v>
      </c>
      <c r="D170" s="37" t="s">
        <v>42</v>
      </c>
      <c r="E170" s="37">
        <v>31.5</v>
      </c>
      <c r="F170" s="38">
        <f>(1.657+0.095+0.4+0.4+1.66)*0.07</f>
        <v>0.29483999999999999</v>
      </c>
      <c r="G170" s="232">
        <f t="shared" si="11"/>
        <v>9.2874599999999994</v>
      </c>
      <c r="H170" s="233" t="s">
        <v>376</v>
      </c>
    </row>
    <row r="171" spans="1:8" s="216" customFormat="1" ht="16.5">
      <c r="A171" s="231"/>
      <c r="B171" s="240"/>
      <c r="C171" s="258" t="s">
        <v>377</v>
      </c>
      <c r="D171" s="73" t="s">
        <v>42</v>
      </c>
      <c r="E171" s="73">
        <v>33</v>
      </c>
      <c r="F171" s="236">
        <f>0.22*1.752</f>
        <v>0.38544</v>
      </c>
      <c r="G171" s="237">
        <f t="shared" si="11"/>
        <v>12.719519999999999</v>
      </c>
      <c r="H171" s="238" t="s">
        <v>378</v>
      </c>
    </row>
    <row r="172" spans="1:8" s="216" customFormat="1" ht="16.5">
      <c r="A172" s="231"/>
      <c r="B172" s="240"/>
      <c r="C172" s="37" t="s">
        <v>104</v>
      </c>
      <c r="D172" s="37" t="s">
        <v>101</v>
      </c>
      <c r="E172" s="37">
        <v>28.14</v>
      </c>
      <c r="F172" s="38">
        <f>0.22*1.657*3*1.2</f>
        <v>1.312344</v>
      </c>
      <c r="G172" s="232">
        <f t="shared" si="11"/>
        <v>36.929360160000002</v>
      </c>
      <c r="H172" s="233" t="s">
        <v>379</v>
      </c>
    </row>
    <row r="173" spans="1:8" s="216" customFormat="1" ht="16.5">
      <c r="A173" s="231"/>
      <c r="B173" s="240"/>
      <c r="C173" s="258" t="s">
        <v>380</v>
      </c>
      <c r="D173" s="73" t="s">
        <v>101</v>
      </c>
      <c r="E173" s="73">
        <v>26.61</v>
      </c>
      <c r="F173" s="236">
        <f>0.22*1.657*15*1.2</f>
        <v>6.5617200000000002</v>
      </c>
      <c r="G173" s="237">
        <f t="shared" si="11"/>
        <v>174.60736919999999</v>
      </c>
      <c r="H173" s="238" t="s">
        <v>381</v>
      </c>
    </row>
    <row r="174" spans="1:8" s="216" customFormat="1" ht="16.5">
      <c r="A174" s="231"/>
      <c r="B174" s="240"/>
      <c r="C174" s="248" t="s">
        <v>134</v>
      </c>
      <c r="D174" s="37" t="s">
        <v>42</v>
      </c>
      <c r="E174" s="37">
        <v>500</v>
      </c>
      <c r="F174" s="38">
        <f>0.22*1.657</f>
        <v>0.36454000000000003</v>
      </c>
      <c r="G174" s="232">
        <f t="shared" si="11"/>
        <v>182.27</v>
      </c>
      <c r="H174" s="233" t="s">
        <v>382</v>
      </c>
    </row>
    <row r="175" spans="1:8" s="216" customFormat="1" ht="16.5">
      <c r="A175" s="231"/>
      <c r="B175" s="240" t="s">
        <v>383</v>
      </c>
      <c r="C175" s="37" t="s">
        <v>104</v>
      </c>
      <c r="D175" s="37" t="s">
        <v>101</v>
      </c>
      <c r="E175" s="37">
        <v>28.14</v>
      </c>
      <c r="F175" s="38">
        <f>0.739*0.4*5*1.2</f>
        <v>1.7736000000000003</v>
      </c>
      <c r="G175" s="232">
        <f t="shared" si="11"/>
        <v>49.909104000000006</v>
      </c>
      <c r="H175" s="233" t="s">
        <v>384</v>
      </c>
    </row>
    <row r="176" spans="1:8" s="216" customFormat="1" ht="16.5">
      <c r="A176" s="231"/>
      <c r="B176" s="240"/>
      <c r="C176" s="37" t="s">
        <v>103</v>
      </c>
      <c r="D176" s="37" t="s">
        <v>101</v>
      </c>
      <c r="E176" s="37">
        <v>28.14</v>
      </c>
      <c r="F176" s="38">
        <f>0.739*0.4*5*1.2+0.1*0.649*3*1.2+0.1*0.739*3*1.2+0.392*0.1*3*1.2*2</f>
        <v>2.55552</v>
      </c>
      <c r="G176" s="232">
        <f t="shared" si="11"/>
        <v>71.912332800000001</v>
      </c>
      <c r="H176" s="233" t="s">
        <v>385</v>
      </c>
    </row>
    <row r="177" spans="1:8" s="216" customFormat="1" ht="16.5">
      <c r="A177" s="231"/>
      <c r="B177" s="240"/>
      <c r="C177" s="248" t="s">
        <v>386</v>
      </c>
      <c r="D177" s="37" t="s">
        <v>42</v>
      </c>
      <c r="E177" s="249">
        <v>86.4</v>
      </c>
      <c r="F177" s="38">
        <f>0.649*0.01*2*1.2+0.739*0.01*2*1.2</f>
        <v>3.3311999999999994E-2</v>
      </c>
      <c r="G177" s="232">
        <f t="shared" si="11"/>
        <v>2.8781567999999997</v>
      </c>
      <c r="H177" s="233" t="s">
        <v>387</v>
      </c>
    </row>
    <row r="178" spans="1:8" s="216" customFormat="1" ht="16.5">
      <c r="A178" s="231"/>
      <c r="B178" s="240"/>
      <c r="C178" s="37" t="s">
        <v>388</v>
      </c>
      <c r="D178" s="37" t="s">
        <v>42</v>
      </c>
      <c r="E178" s="249">
        <v>57.6</v>
      </c>
      <c r="F178" s="38">
        <f>0.649*0.01*2*1.2+0.739*0.01*2*1.2</f>
        <v>3.3311999999999994E-2</v>
      </c>
      <c r="G178" s="232">
        <f t="shared" si="11"/>
        <v>1.9187711999999997</v>
      </c>
      <c r="H178" s="233" t="s">
        <v>387</v>
      </c>
    </row>
    <row r="179" spans="1:8" s="216" customFormat="1" ht="16.5">
      <c r="A179" s="231"/>
      <c r="B179" s="240"/>
      <c r="C179" s="37" t="s">
        <v>108</v>
      </c>
      <c r="D179" s="37" t="s">
        <v>42</v>
      </c>
      <c r="E179" s="37">
        <v>40</v>
      </c>
      <c r="F179" s="38">
        <f>0.739*0.4</f>
        <v>0.29560000000000003</v>
      </c>
      <c r="G179" s="232">
        <f t="shared" si="11"/>
        <v>11.824000000000002</v>
      </c>
      <c r="H179" s="233" t="s">
        <v>389</v>
      </c>
    </row>
    <row r="180" spans="1:8" s="216" customFormat="1" ht="16.5">
      <c r="A180" s="231"/>
      <c r="B180" s="240" t="s">
        <v>390</v>
      </c>
      <c r="C180" s="257" t="s">
        <v>255</v>
      </c>
      <c r="D180" s="37" t="s">
        <v>42</v>
      </c>
      <c r="E180" s="37">
        <v>350</v>
      </c>
      <c r="F180" s="38">
        <f>1.2*(0.4+0.1+0.1+0.054+0.054)*2</f>
        <v>1.6992</v>
      </c>
      <c r="G180" s="232">
        <f t="shared" si="11"/>
        <v>594.72</v>
      </c>
      <c r="H180" s="233" t="s">
        <v>391</v>
      </c>
    </row>
    <row r="181" spans="1:8" s="216" customFormat="1" ht="16.5">
      <c r="A181" s="231"/>
      <c r="B181" s="240"/>
      <c r="C181" s="37" t="s">
        <v>47</v>
      </c>
      <c r="D181" s="37" t="s">
        <v>42</v>
      </c>
      <c r="E181" s="37">
        <v>30</v>
      </c>
      <c r="F181" s="38">
        <f>1.2*(0.4+0.1+0.1+0.054+0.054)*2</f>
        <v>1.6992</v>
      </c>
      <c r="G181" s="232">
        <f t="shared" si="11"/>
        <v>50.975999999999999</v>
      </c>
      <c r="H181" s="233" t="s">
        <v>391</v>
      </c>
    </row>
    <row r="182" spans="1:8" s="216" customFormat="1" ht="16.5">
      <c r="A182" s="231"/>
      <c r="B182" s="240"/>
      <c r="C182" s="23" t="s">
        <v>363</v>
      </c>
      <c r="D182" s="37" t="s">
        <v>42</v>
      </c>
      <c r="E182" s="37">
        <v>31.5</v>
      </c>
      <c r="F182" s="38">
        <f>(0.054*0.092*2+0.392*0.054*2)*3*2</f>
        <v>0.31363200000000002</v>
      </c>
      <c r="G182" s="232">
        <f t="shared" si="11"/>
        <v>9.8794080000000015</v>
      </c>
      <c r="H182" s="233" t="s">
        <v>392</v>
      </c>
    </row>
    <row r="183" spans="1:8" s="216" customFormat="1" ht="16.5">
      <c r="A183" s="231"/>
      <c r="B183" s="240"/>
      <c r="C183" s="73" t="s">
        <v>377</v>
      </c>
      <c r="D183" s="73" t="s">
        <v>42</v>
      </c>
      <c r="E183" s="73">
        <v>33</v>
      </c>
      <c r="F183" s="236">
        <f>0.22*0.7</f>
        <v>0.154</v>
      </c>
      <c r="G183" s="237">
        <f t="shared" si="11"/>
        <v>5.0819999999999999</v>
      </c>
      <c r="H183" s="238" t="s">
        <v>393</v>
      </c>
    </row>
    <row r="184" spans="1:8" s="216" customFormat="1" ht="16.5">
      <c r="A184" s="231"/>
      <c r="B184" s="240"/>
      <c r="C184" s="258" t="s">
        <v>380</v>
      </c>
      <c r="D184" s="73" t="s">
        <v>101</v>
      </c>
      <c r="E184" s="73">
        <v>26.61</v>
      </c>
      <c r="F184" s="236">
        <f>0.1*0.7*15*1.2</f>
        <v>1.2599999999999998</v>
      </c>
      <c r="G184" s="237">
        <f t="shared" si="11"/>
        <v>33.52859999999999</v>
      </c>
      <c r="H184" s="238" t="s">
        <v>394</v>
      </c>
    </row>
    <row r="185" spans="1:8" s="216" customFormat="1" ht="16.5">
      <c r="A185" s="231"/>
      <c r="B185" s="240"/>
      <c r="C185" s="37" t="s">
        <v>104</v>
      </c>
      <c r="D185" s="37" t="s">
        <v>101</v>
      </c>
      <c r="E185" s="37">
        <v>28.14</v>
      </c>
      <c r="F185" s="38">
        <f>0.2*0.7*15*1.2</f>
        <v>2.5199999999999996</v>
      </c>
      <c r="G185" s="232">
        <f t="shared" ref="G185:G206" si="13">E185*F185</f>
        <v>70.91279999999999</v>
      </c>
      <c r="H185" s="233" t="s">
        <v>395</v>
      </c>
    </row>
    <row r="186" spans="1:8" s="216" customFormat="1" ht="16.5">
      <c r="A186" s="231"/>
      <c r="B186" s="240"/>
      <c r="C186" s="248" t="s">
        <v>134</v>
      </c>
      <c r="D186" s="37" t="s">
        <v>42</v>
      </c>
      <c r="E186" s="37">
        <v>500</v>
      </c>
      <c r="F186" s="38">
        <f>0.1*0.7</f>
        <v>6.9999999999999993E-2</v>
      </c>
      <c r="G186" s="232">
        <f t="shared" si="13"/>
        <v>34.999999999999993</v>
      </c>
      <c r="H186" s="233" t="s">
        <v>396</v>
      </c>
    </row>
    <row r="187" spans="1:8" s="216" customFormat="1" ht="16.5">
      <c r="A187" s="231"/>
      <c r="B187" s="240" t="s">
        <v>397</v>
      </c>
      <c r="C187" s="23" t="s">
        <v>363</v>
      </c>
      <c r="D187" s="37" t="s">
        <v>42</v>
      </c>
      <c r="E187" s="37">
        <v>31.5</v>
      </c>
      <c r="F187" s="38">
        <f>(0.05*0.092*2+0.392*0.05*2)*6</f>
        <v>0.29040000000000005</v>
      </c>
      <c r="G187" s="232">
        <f t="shared" si="13"/>
        <v>9.1476000000000006</v>
      </c>
      <c r="H187" s="233" t="s">
        <v>398</v>
      </c>
    </row>
    <row r="188" spans="1:8" s="216" customFormat="1" ht="16.5">
      <c r="A188" s="231"/>
      <c r="B188" s="240"/>
      <c r="C188" s="257" t="s">
        <v>255</v>
      </c>
      <c r="D188" s="37" t="s">
        <v>42</v>
      </c>
      <c r="E188" s="37">
        <v>350</v>
      </c>
      <c r="F188" s="38">
        <f>(0.4+0.1+0.1+0.054+0.054)*2.4</f>
        <v>1.6992</v>
      </c>
      <c r="G188" s="232">
        <f t="shared" si="13"/>
        <v>594.72</v>
      </c>
      <c r="H188" s="233" t="s">
        <v>375</v>
      </c>
    </row>
    <row r="189" spans="1:8" s="216" customFormat="1" ht="16.5">
      <c r="A189" s="231"/>
      <c r="B189" s="240"/>
      <c r="C189" s="37" t="s">
        <v>47</v>
      </c>
      <c r="D189" s="37" t="s">
        <v>42</v>
      </c>
      <c r="E189" s="37">
        <v>30</v>
      </c>
      <c r="F189" s="38">
        <f>(0.4+0.1+0.1+0.054+0.054)*2.4</f>
        <v>1.6992</v>
      </c>
      <c r="G189" s="232">
        <f t="shared" si="13"/>
        <v>50.975999999999999</v>
      </c>
      <c r="H189" s="233" t="s">
        <v>375</v>
      </c>
    </row>
    <row r="190" spans="1:8" s="216" customFormat="1" ht="16.5">
      <c r="A190" s="231"/>
      <c r="B190" s="240"/>
      <c r="C190" s="258" t="s">
        <v>377</v>
      </c>
      <c r="D190" s="73" t="s">
        <v>42</v>
      </c>
      <c r="E190" s="73">
        <v>33</v>
      </c>
      <c r="F190" s="236">
        <f>0.292*1.6</f>
        <v>0.4672</v>
      </c>
      <c r="G190" s="237">
        <f t="shared" si="13"/>
        <v>15.4176</v>
      </c>
      <c r="H190" s="238" t="s">
        <v>399</v>
      </c>
    </row>
    <row r="191" spans="1:8" s="216" customFormat="1" ht="16.5">
      <c r="A191" s="231"/>
      <c r="B191" s="240"/>
      <c r="C191" s="258" t="s">
        <v>380</v>
      </c>
      <c r="D191" s="73" t="s">
        <v>101</v>
      </c>
      <c r="E191" s="73">
        <v>26.61</v>
      </c>
      <c r="F191" s="236">
        <f>0.1*1.6*15*1.2</f>
        <v>2.8800000000000003</v>
      </c>
      <c r="G191" s="237">
        <f t="shared" si="13"/>
        <v>76.636800000000008</v>
      </c>
      <c r="H191" s="238" t="s">
        <v>400</v>
      </c>
    </row>
    <row r="192" spans="1:8" s="216" customFormat="1" ht="16.5">
      <c r="A192" s="231"/>
      <c r="B192" s="240"/>
      <c r="C192" s="37" t="s">
        <v>104</v>
      </c>
      <c r="D192" s="37" t="s">
        <v>101</v>
      </c>
      <c r="E192" s="37">
        <v>28.14</v>
      </c>
      <c r="F192" s="38">
        <f>0.2*1.6*3*1.2</f>
        <v>1.1520000000000001</v>
      </c>
      <c r="G192" s="232">
        <f t="shared" si="13"/>
        <v>32.417280000000005</v>
      </c>
      <c r="H192" s="233" t="s">
        <v>401</v>
      </c>
    </row>
    <row r="193" spans="1:8" s="216" customFormat="1" ht="16.5">
      <c r="A193" s="231"/>
      <c r="B193" s="240"/>
      <c r="C193" s="248" t="s">
        <v>134</v>
      </c>
      <c r="D193" s="37" t="s">
        <v>42</v>
      </c>
      <c r="E193" s="37">
        <v>500</v>
      </c>
      <c r="F193" s="38">
        <f>0.1*1.6</f>
        <v>0.16000000000000003</v>
      </c>
      <c r="G193" s="232">
        <f t="shared" si="13"/>
        <v>80.000000000000014</v>
      </c>
      <c r="H193" s="233" t="s">
        <v>402</v>
      </c>
    </row>
    <row r="194" spans="1:8" s="216" customFormat="1" ht="16.5">
      <c r="A194" s="231"/>
      <c r="B194" s="240" t="s">
        <v>403</v>
      </c>
      <c r="C194" s="37" t="s">
        <v>404</v>
      </c>
      <c r="D194" s="37" t="s">
        <v>51</v>
      </c>
      <c r="E194" s="37">
        <v>3.89</v>
      </c>
      <c r="F194" s="38">
        <f>(0.269+0.32+0.269+0.32)*7</f>
        <v>8.2459999999999987</v>
      </c>
      <c r="G194" s="232">
        <f t="shared" si="13"/>
        <v>32.076939999999993</v>
      </c>
      <c r="H194" s="233" t="s">
        <v>405</v>
      </c>
    </row>
    <row r="195" spans="1:8" s="216" customFormat="1" ht="16.5">
      <c r="A195" s="231"/>
      <c r="B195" s="240"/>
      <c r="C195" s="37" t="s">
        <v>88</v>
      </c>
      <c r="D195" s="37" t="s">
        <v>42</v>
      </c>
      <c r="E195" s="37">
        <v>91.034999999999997</v>
      </c>
      <c r="F195" s="38">
        <f>0.073*0.032*2*7</f>
        <v>3.2703999999999997E-2</v>
      </c>
      <c r="G195" s="232">
        <f t="shared" si="13"/>
        <v>2.9772086399999997</v>
      </c>
      <c r="H195" s="233" t="s">
        <v>406</v>
      </c>
    </row>
    <row r="196" spans="1:8" s="216" customFormat="1" ht="16.5">
      <c r="A196" s="231"/>
      <c r="B196" s="240"/>
      <c r="C196" s="37" t="s">
        <v>88</v>
      </c>
      <c r="D196" s="37" t="s">
        <v>42</v>
      </c>
      <c r="E196" s="37">
        <v>91.034999999999997</v>
      </c>
      <c r="F196" s="38">
        <f>0.056*0.32*7</f>
        <v>0.12544000000000002</v>
      </c>
      <c r="G196" s="232">
        <f t="shared" si="13"/>
        <v>11.419430400000001</v>
      </c>
      <c r="H196" s="233" t="s">
        <v>407</v>
      </c>
    </row>
    <row r="197" spans="1:8" s="216" customFormat="1" ht="16.5">
      <c r="A197" s="231"/>
      <c r="B197" s="240"/>
      <c r="C197" s="37" t="s">
        <v>47</v>
      </c>
      <c r="D197" s="37" t="s">
        <v>42</v>
      </c>
      <c r="E197" s="37">
        <v>30</v>
      </c>
      <c r="F197" s="38">
        <f>(0.073*0.032*2*7+0.056*0.32*7)</f>
        <v>0.15814400000000001</v>
      </c>
      <c r="G197" s="232">
        <f t="shared" si="13"/>
        <v>4.7443200000000001</v>
      </c>
      <c r="H197" s="233" t="s">
        <v>408</v>
      </c>
    </row>
    <row r="198" spans="1:8" s="216" customFormat="1" ht="16.5">
      <c r="A198" s="231"/>
      <c r="B198" s="240" t="s">
        <v>409</v>
      </c>
      <c r="C198" s="37" t="s">
        <v>404</v>
      </c>
      <c r="D198" s="37" t="s">
        <v>51</v>
      </c>
      <c r="E198" s="37">
        <v>3.89</v>
      </c>
      <c r="F198" s="38">
        <f>(0.27+0.32+0.27+0.32)</f>
        <v>1.1800000000000002</v>
      </c>
      <c r="G198" s="232">
        <f t="shared" si="13"/>
        <v>4.5902000000000012</v>
      </c>
      <c r="H198" s="233" t="s">
        <v>410</v>
      </c>
    </row>
    <row r="199" spans="1:8" s="216" customFormat="1" ht="16.5">
      <c r="A199" s="231"/>
      <c r="B199" s="240"/>
      <c r="C199" s="37" t="s">
        <v>88</v>
      </c>
      <c r="D199" s="37" t="s">
        <v>42</v>
      </c>
      <c r="E199" s="37">
        <v>91.034999999999997</v>
      </c>
      <c r="F199" s="38">
        <f>0.073*0.032</f>
        <v>2.336E-3</v>
      </c>
      <c r="G199" s="232">
        <f t="shared" si="13"/>
        <v>0.21265776</v>
      </c>
      <c r="H199" s="233" t="s">
        <v>411</v>
      </c>
    </row>
    <row r="200" spans="1:8" s="216" customFormat="1" ht="16.5">
      <c r="A200" s="231"/>
      <c r="B200" s="240"/>
      <c r="C200" s="37" t="s">
        <v>88</v>
      </c>
      <c r="D200" s="37" t="s">
        <v>42</v>
      </c>
      <c r="E200" s="37">
        <v>91.034999999999997</v>
      </c>
      <c r="F200" s="38">
        <f>0.056*0.32</f>
        <v>1.7920000000000002E-2</v>
      </c>
      <c r="G200" s="232">
        <f t="shared" si="13"/>
        <v>1.6313472000000002</v>
      </c>
      <c r="H200" s="233" t="s">
        <v>412</v>
      </c>
    </row>
    <row r="201" spans="1:8" s="216" customFormat="1" ht="16.5">
      <c r="A201" s="231"/>
      <c r="B201" s="240"/>
      <c r="C201" s="37" t="s">
        <v>47</v>
      </c>
      <c r="D201" s="37" t="s">
        <v>42</v>
      </c>
      <c r="E201" s="37">
        <v>30</v>
      </c>
      <c r="F201" s="38">
        <f>0.073*0.032*2*7+0.056*0.32*2</f>
        <v>6.8543999999999994E-2</v>
      </c>
      <c r="G201" s="232">
        <f t="shared" si="13"/>
        <v>2.0563199999999999</v>
      </c>
      <c r="H201" s="233" t="s">
        <v>413</v>
      </c>
    </row>
    <row r="202" spans="1:8" s="216" customFormat="1" ht="16.5">
      <c r="A202" s="231"/>
      <c r="B202" s="240" t="s">
        <v>414</v>
      </c>
      <c r="C202" s="73" t="s">
        <v>415</v>
      </c>
      <c r="D202" s="73" t="s">
        <v>51</v>
      </c>
      <c r="E202" s="73">
        <v>7.2</v>
      </c>
      <c r="F202" s="236">
        <f>1.73*2+2.4*4+0.51*2</f>
        <v>14.079999999999998</v>
      </c>
      <c r="G202" s="237">
        <f t="shared" si="13"/>
        <v>101.37599999999999</v>
      </c>
      <c r="H202" s="238" t="s">
        <v>416</v>
      </c>
    </row>
    <row r="203" spans="1:8" s="216" customFormat="1" ht="16.5">
      <c r="A203" s="231"/>
      <c r="B203" s="240"/>
      <c r="C203" s="37" t="s">
        <v>47</v>
      </c>
      <c r="D203" s="37" t="s">
        <v>42</v>
      </c>
      <c r="E203" s="37">
        <v>30</v>
      </c>
      <c r="F203" s="245">
        <f>0.03*14.8</f>
        <v>0.44400000000000001</v>
      </c>
      <c r="G203" s="28">
        <f t="shared" si="13"/>
        <v>13.32</v>
      </c>
      <c r="H203" s="246" t="s">
        <v>417</v>
      </c>
    </row>
    <row r="204" spans="1:8" s="216" customFormat="1" ht="16.5">
      <c r="A204" s="231"/>
      <c r="B204" s="240" t="s">
        <v>418</v>
      </c>
      <c r="C204" s="37" t="s">
        <v>88</v>
      </c>
      <c r="D204" s="37" t="s">
        <v>42</v>
      </c>
      <c r="E204" s="37">
        <v>91.034999999999997</v>
      </c>
      <c r="F204" s="38">
        <f>0.043*0.043*12</f>
        <v>2.2187999999999996E-2</v>
      </c>
      <c r="G204" s="232">
        <f t="shared" si="13"/>
        <v>2.0198845799999994</v>
      </c>
      <c r="H204" s="233" t="s">
        <v>419</v>
      </c>
    </row>
    <row r="205" spans="1:8" s="216" customFormat="1" ht="16.5">
      <c r="A205" s="231"/>
      <c r="B205" s="240"/>
      <c r="C205" s="37" t="s">
        <v>47</v>
      </c>
      <c r="D205" s="37" t="s">
        <v>42</v>
      </c>
      <c r="E205" s="37">
        <v>30</v>
      </c>
      <c r="F205" s="38">
        <f>0.043*0.043*12*2</f>
        <v>4.4375999999999992E-2</v>
      </c>
      <c r="G205" s="232">
        <f t="shared" si="13"/>
        <v>1.3312799999999998</v>
      </c>
      <c r="H205" s="233" t="s">
        <v>420</v>
      </c>
    </row>
    <row r="206" spans="1:8" s="216" customFormat="1" ht="16.5">
      <c r="A206" s="231"/>
      <c r="B206" s="240" t="s">
        <v>421</v>
      </c>
      <c r="C206" s="73" t="s">
        <v>422</v>
      </c>
      <c r="D206" s="73" t="s">
        <v>42</v>
      </c>
      <c r="E206" s="73">
        <v>5.28</v>
      </c>
      <c r="F206" s="236">
        <f>0.269*7</f>
        <v>1.883</v>
      </c>
      <c r="G206" s="237">
        <f t="shared" si="13"/>
        <v>9.94224</v>
      </c>
      <c r="H206" s="238" t="s">
        <v>423</v>
      </c>
    </row>
    <row r="207" spans="1:8" s="216" customFormat="1">
      <c r="A207" s="226"/>
      <c r="B207" s="259"/>
      <c r="C207" s="259"/>
      <c r="D207" s="260"/>
      <c r="E207" s="261"/>
      <c r="F207" s="262"/>
      <c r="G207" s="263"/>
      <c r="H207" s="264"/>
    </row>
    <row r="208" spans="1:8" s="217" customFormat="1">
      <c r="A208" s="265">
        <v>1</v>
      </c>
      <c r="B208" s="266" t="s">
        <v>149</v>
      </c>
      <c r="C208" s="267"/>
      <c r="D208" s="267"/>
      <c r="E208" s="268"/>
      <c r="F208" s="269"/>
      <c r="G208" s="270">
        <f>SUM(G4:G207)</f>
        <v>12595.89318812137</v>
      </c>
      <c r="H208" s="271"/>
    </row>
    <row r="209" spans="1:8" s="217" customFormat="1">
      <c r="A209" s="265">
        <v>2</v>
      </c>
      <c r="B209" s="228" t="s">
        <v>150</v>
      </c>
      <c r="C209" s="272"/>
      <c r="D209" s="273"/>
      <c r="E209" s="274"/>
      <c r="F209" s="275"/>
      <c r="G209" s="230">
        <f t="shared" ref="G209" si="14">$G$208*H209</f>
        <v>1259.5893188121372</v>
      </c>
      <c r="H209" s="276">
        <v>0.1</v>
      </c>
    </row>
    <row r="210" spans="1:8" s="217" customFormat="1">
      <c r="A210" s="265">
        <v>3</v>
      </c>
      <c r="B210" s="228" t="s">
        <v>151</v>
      </c>
      <c r="C210" s="272"/>
      <c r="D210" s="273"/>
      <c r="E210" s="274"/>
      <c r="F210" s="275"/>
      <c r="G210" s="230">
        <f>$G$208*H210</f>
        <v>1259.5893188121372</v>
      </c>
      <c r="H210" s="276">
        <v>0.1</v>
      </c>
    </row>
    <row r="211" spans="1:8" s="217" customFormat="1">
      <c r="A211" s="265">
        <v>4</v>
      </c>
      <c r="B211" s="228" t="s">
        <v>152</v>
      </c>
      <c r="C211" s="272"/>
      <c r="D211" s="273"/>
      <c r="E211" s="274"/>
      <c r="F211" s="275"/>
      <c r="G211" s="230">
        <f>$G$208*H211</f>
        <v>4408.5626158424793</v>
      </c>
      <c r="H211" s="276">
        <v>0.35</v>
      </c>
    </row>
    <row r="212" spans="1:8" s="217" customFormat="1">
      <c r="A212" s="265">
        <v>5</v>
      </c>
      <c r="B212" s="228" t="s">
        <v>153</v>
      </c>
      <c r="C212" s="272" t="s">
        <v>154</v>
      </c>
      <c r="D212" s="273"/>
      <c r="E212" s="274"/>
      <c r="F212" s="275"/>
      <c r="G212" s="230">
        <f>$G$208*H212</f>
        <v>2141.3018419806331</v>
      </c>
      <c r="H212" s="276">
        <v>0.17</v>
      </c>
    </row>
    <row r="213" spans="1:8" s="217" customFormat="1" ht="15.75">
      <c r="A213" s="265">
        <v>6</v>
      </c>
      <c r="B213" s="228" t="s">
        <v>155</v>
      </c>
      <c r="C213" s="272" t="s">
        <v>156</v>
      </c>
      <c r="D213" s="273"/>
      <c r="E213" s="274"/>
      <c r="F213" s="275"/>
      <c r="G213" s="230">
        <v>0</v>
      </c>
      <c r="H213" s="277" t="s">
        <v>157</v>
      </c>
    </row>
    <row r="214" spans="1:8" s="217" customFormat="1">
      <c r="A214" s="265">
        <v>7</v>
      </c>
      <c r="B214" s="228" t="s">
        <v>158</v>
      </c>
      <c r="C214" s="272"/>
      <c r="D214" s="273"/>
      <c r="E214" s="274"/>
      <c r="F214" s="275"/>
      <c r="G214" s="230">
        <f>$G$208*H214</f>
        <v>1637.4661144557781</v>
      </c>
      <c r="H214" s="276">
        <v>0.13</v>
      </c>
    </row>
    <row r="215" spans="1:8" s="217" customFormat="1">
      <c r="A215" s="265">
        <v>8</v>
      </c>
      <c r="B215" s="228" t="s">
        <v>159</v>
      </c>
      <c r="C215" s="272"/>
      <c r="D215" s="273"/>
      <c r="E215" s="274"/>
      <c r="F215" s="275"/>
      <c r="G215" s="230">
        <f>$G$208*H215</f>
        <v>1511.5071825745645</v>
      </c>
      <c r="H215" s="276">
        <v>0.12</v>
      </c>
    </row>
    <row r="216" spans="1:8" s="217" customFormat="1">
      <c r="A216" s="265">
        <v>9</v>
      </c>
      <c r="B216" s="228" t="s">
        <v>160</v>
      </c>
      <c r="C216" s="272"/>
      <c r="D216" s="273"/>
      <c r="E216" s="274"/>
      <c r="F216" s="275"/>
      <c r="G216" s="230">
        <f>'[12]lighting detail'!N31</f>
        <v>16507.314999999999</v>
      </c>
      <c r="H216" s="278"/>
    </row>
    <row r="217" spans="1:8" s="217" customFormat="1">
      <c r="A217" s="265">
        <v>10</v>
      </c>
      <c r="B217" s="228" t="s">
        <v>161</v>
      </c>
      <c r="C217" s="272"/>
      <c r="D217" s="273"/>
      <c r="E217" s="274"/>
      <c r="F217" s="275"/>
      <c r="G217" s="230">
        <f>G216*0.6</f>
        <v>9904.3889999999992</v>
      </c>
      <c r="H217" s="278"/>
    </row>
    <row r="218" spans="1:8" s="217" customFormat="1">
      <c r="A218" s="265">
        <v>11</v>
      </c>
      <c r="B218" s="226" t="s">
        <v>162</v>
      </c>
      <c r="C218" s="272"/>
      <c r="D218" s="273"/>
      <c r="E218" s="274"/>
      <c r="F218" s="275"/>
      <c r="G218" s="230">
        <f>SUM(G208:G217)</f>
        <v>51225.613580599093</v>
      </c>
      <c r="H218" s="279"/>
    </row>
    <row r="219" spans="1:8" s="217" customFormat="1" ht="16.5">
      <c r="A219" s="39">
        <v>12</v>
      </c>
      <c r="B219" s="280" t="s">
        <v>163</v>
      </c>
      <c r="C219" s="47"/>
      <c r="D219" s="49"/>
      <c r="E219" s="281"/>
      <c r="F219" s="49"/>
      <c r="G219" s="282">
        <f>G218*H219</f>
        <v>4251.7259271897246</v>
      </c>
      <c r="H219" s="283">
        <v>8.3000000000000004E-2</v>
      </c>
    </row>
    <row r="220" spans="1:8" s="217" customFormat="1" ht="16.5">
      <c r="A220" s="39">
        <v>13</v>
      </c>
      <c r="B220" s="280" t="s">
        <v>164</v>
      </c>
      <c r="C220" s="47"/>
      <c r="D220" s="49"/>
      <c r="E220" s="281"/>
      <c r="F220" s="49"/>
      <c r="G220" s="282">
        <f>G219+G218</f>
        <v>55477.33950778882</v>
      </c>
      <c r="H220" s="284"/>
    </row>
    <row r="221" spans="1:8" s="217" customFormat="1">
      <c r="A221" s="265">
        <v>13</v>
      </c>
      <c r="B221" s="228" t="s">
        <v>165</v>
      </c>
      <c r="C221" s="285"/>
      <c r="D221" s="273"/>
      <c r="E221" s="274"/>
      <c r="F221" s="275"/>
      <c r="G221" s="230">
        <f>G220*H221</f>
        <v>9431.1477163240997</v>
      </c>
      <c r="H221" s="276">
        <v>0.17</v>
      </c>
    </row>
    <row r="222" spans="1:8" s="217" customFormat="1">
      <c r="A222" s="265">
        <v>14</v>
      </c>
      <c r="B222" s="228" t="s">
        <v>166</v>
      </c>
      <c r="C222" s="272"/>
      <c r="D222" s="273"/>
      <c r="E222" s="274"/>
      <c r="F222" s="275"/>
      <c r="G222" s="230">
        <f>SUM(G220:G221)</f>
        <v>64908.48722411292</v>
      </c>
      <c r="H222" s="278">
        <f>G222</f>
        <v>64908.48722411292</v>
      </c>
    </row>
    <row r="223" spans="1:8" s="217" customFormat="1">
      <c r="A223" s="286"/>
      <c r="B223" s="287"/>
      <c r="C223" s="287"/>
      <c r="D223" s="287"/>
      <c r="E223" s="288"/>
      <c r="F223" s="289"/>
      <c r="G223" s="290"/>
      <c r="H223" s="291"/>
    </row>
    <row r="224" spans="1:8" s="217" customFormat="1">
      <c r="A224" s="286"/>
      <c r="B224" s="287" t="s">
        <v>167</v>
      </c>
      <c r="C224" s="287"/>
      <c r="D224" s="287"/>
      <c r="E224" s="288"/>
      <c r="F224" s="289"/>
      <c r="G224" s="292"/>
      <c r="H224" s="291"/>
    </row>
    <row r="225" spans="1:8" s="217" customFormat="1">
      <c r="A225" s="286"/>
      <c r="B225" s="287"/>
      <c r="C225" s="287"/>
      <c r="D225" s="287"/>
      <c r="E225" s="288"/>
      <c r="F225" s="289"/>
      <c r="G225" s="290"/>
      <c r="H225" s="291"/>
    </row>
    <row r="226" spans="1:8" s="217" customFormat="1">
      <c r="A226" s="286"/>
      <c r="B226" s="291"/>
      <c r="C226" s="291"/>
      <c r="D226" s="291"/>
      <c r="E226" s="291"/>
      <c r="F226" s="293"/>
      <c r="G226" s="294"/>
      <c r="H226" s="291"/>
    </row>
    <row r="227" spans="1:8" s="217" customFormat="1">
      <c r="A227" s="286"/>
      <c r="B227" s="288"/>
      <c r="C227" s="291"/>
      <c r="D227" s="291"/>
      <c r="E227" s="291"/>
      <c r="F227" s="293"/>
      <c r="G227" s="294"/>
      <c r="H227" s="291"/>
    </row>
    <row r="228" spans="1:8" s="217" customFormat="1">
      <c r="A228" s="286"/>
      <c r="B228" s="732" t="s">
        <v>168</v>
      </c>
      <c r="C228" s="733"/>
      <c r="D228" s="733"/>
      <c r="E228" s="288"/>
      <c r="F228" s="289"/>
      <c r="G228" s="289"/>
      <c r="H228" s="291"/>
    </row>
    <row r="229" spans="1:8" s="217" customFormat="1">
      <c r="A229" s="286"/>
      <c r="B229" s="295" t="s">
        <v>169</v>
      </c>
      <c r="C229" s="296" t="s">
        <v>170</v>
      </c>
      <c r="D229" s="295" t="s">
        <v>171</v>
      </c>
      <c r="E229" s="216"/>
      <c r="F229" s="297"/>
      <c r="G229" s="298"/>
      <c r="H229" s="299"/>
    </row>
    <row r="230" spans="1:8" s="217" customFormat="1" ht="16.5">
      <c r="A230" s="286"/>
      <c r="B230" s="73" t="s">
        <v>50</v>
      </c>
      <c r="C230" s="300">
        <f t="shared" ref="C230" ca="1" si="15">SUMIF($C$4:$G$207,B230,$G$4:$G$207)</f>
        <v>465.88315000000011</v>
      </c>
      <c r="D230" s="301">
        <f t="shared" ref="D230" ca="1" si="16">C230/$G$208</f>
        <v>3.6986908593298798E-2</v>
      </c>
      <c r="E230" s="216"/>
      <c r="F230" s="297"/>
      <c r="G230" s="298"/>
      <c r="H230" s="299"/>
    </row>
    <row r="231" spans="1:8" s="217" customFormat="1" ht="16.5">
      <c r="A231" s="286"/>
      <c r="B231" s="73" t="s">
        <v>107</v>
      </c>
      <c r="C231" s="300">
        <f t="shared" ref="C231:C237" ca="1" si="17">SUMIF($C$4:$G$207,B231,$G$4:$G$207)</f>
        <v>86.4</v>
      </c>
      <c r="D231" s="301">
        <f t="shared" ref="D231:D237" ca="1" si="18">C231/$G$208</f>
        <v>6.859378585512302E-3</v>
      </c>
      <c r="E231" s="216"/>
      <c r="F231" s="297"/>
      <c r="G231" s="298"/>
      <c r="H231" s="299"/>
    </row>
    <row r="232" spans="1:8" s="217" customFormat="1" ht="16.5">
      <c r="A232" s="286"/>
      <c r="B232" s="250" t="s">
        <v>123</v>
      </c>
      <c r="C232" s="300">
        <f t="shared" ca="1" si="17"/>
        <v>142.27199999999999</v>
      </c>
      <c r="D232" s="301">
        <f t="shared" ca="1" si="18"/>
        <v>1.1295110070810256E-2</v>
      </c>
      <c r="E232" s="216"/>
      <c r="F232" s="297"/>
      <c r="G232" s="298"/>
      <c r="H232" s="299"/>
    </row>
    <row r="233" spans="1:8" s="217" customFormat="1" ht="16.5">
      <c r="A233" s="286"/>
      <c r="B233" s="250" t="s">
        <v>424</v>
      </c>
      <c r="C233" s="300">
        <f t="shared" ca="1" si="17"/>
        <v>0</v>
      </c>
      <c r="D233" s="301">
        <f t="shared" ca="1" si="18"/>
        <v>0</v>
      </c>
      <c r="E233" s="216"/>
      <c r="F233" s="297"/>
      <c r="G233" s="298"/>
      <c r="H233" s="299"/>
    </row>
    <row r="234" spans="1:8" s="217" customFormat="1" ht="16.5">
      <c r="A234" s="286"/>
      <c r="B234" s="258" t="s">
        <v>377</v>
      </c>
      <c r="C234" s="300">
        <f t="shared" ca="1" si="17"/>
        <v>33.219120000000004</v>
      </c>
      <c r="D234" s="301">
        <f t="shared" ca="1" si="18"/>
        <v>2.6372976893236509E-3</v>
      </c>
      <c r="E234" s="216"/>
      <c r="F234" s="297"/>
      <c r="G234" s="298"/>
      <c r="H234" s="299"/>
    </row>
    <row r="235" spans="1:8" s="217" customFormat="1" ht="16.5">
      <c r="A235" s="286"/>
      <c r="B235" s="258" t="s">
        <v>380</v>
      </c>
      <c r="C235" s="300">
        <f t="shared" ca="1" si="17"/>
        <v>284.77276919999997</v>
      </c>
      <c r="D235" s="301">
        <f t="shared" ca="1" si="18"/>
        <v>2.2608382347077741E-2</v>
      </c>
      <c r="E235" s="216"/>
      <c r="F235" s="297"/>
      <c r="G235" s="298"/>
      <c r="H235" s="299"/>
    </row>
    <row r="236" spans="1:8" s="217" customFormat="1" ht="16.5">
      <c r="A236" s="286"/>
      <c r="B236" s="73" t="s">
        <v>415</v>
      </c>
      <c r="C236" s="300">
        <f t="shared" ca="1" si="17"/>
        <v>101.37599999999999</v>
      </c>
      <c r="D236" s="301">
        <f t="shared" ca="1" si="18"/>
        <v>8.0483375403344326E-3</v>
      </c>
      <c r="E236" s="216"/>
      <c r="F236" s="297"/>
      <c r="G236" s="298"/>
      <c r="H236" s="299"/>
    </row>
    <row r="237" spans="1:8" s="217" customFormat="1" ht="16.5">
      <c r="A237" s="286"/>
      <c r="B237" s="73" t="s">
        <v>422</v>
      </c>
      <c r="C237" s="300">
        <f t="shared" ca="1" si="17"/>
        <v>9.94224</v>
      </c>
      <c r="D237" s="301">
        <f t="shared" ca="1" si="18"/>
        <v>7.8932393689842395E-4</v>
      </c>
      <c r="E237" s="216"/>
      <c r="F237" s="297"/>
      <c r="G237" s="298"/>
      <c r="H237" s="299"/>
    </row>
    <row r="238" spans="1:8" s="217" customFormat="1">
      <c r="A238" s="286"/>
      <c r="B238" s="302"/>
      <c r="C238" s="300"/>
      <c r="D238" s="301"/>
      <c r="E238" s="216"/>
      <c r="F238" s="297"/>
      <c r="G238" s="298"/>
      <c r="H238" s="299"/>
    </row>
    <row r="239" spans="1:8" s="217" customFormat="1">
      <c r="A239" s="286"/>
      <c r="B239" s="303" t="s">
        <v>172</v>
      </c>
      <c r="C239" s="304">
        <f ca="1">SUBTOTAL(9,C230:C238)</f>
        <v>1123.8652792000003</v>
      </c>
      <c r="D239" s="305">
        <f ca="1">SUM(D230:D238)</f>
        <v>8.9224738763255609E-2</v>
      </c>
      <c r="E239" s="216"/>
      <c r="F239" s="297"/>
      <c r="G239" s="298"/>
      <c r="H239" s="299"/>
    </row>
    <row r="240" spans="1:8" s="217" customFormat="1">
      <c r="A240" s="286"/>
      <c r="B240" s="291"/>
      <c r="C240" s="306"/>
      <c r="D240" s="307"/>
      <c r="E240" s="216"/>
      <c r="F240" s="297"/>
      <c r="G240" s="298"/>
      <c r="H240" s="299"/>
    </row>
    <row r="241" spans="1:8" s="217" customFormat="1">
      <c r="A241" s="286"/>
      <c r="B241" s="291"/>
      <c r="C241" s="306"/>
      <c r="D241" s="307"/>
      <c r="E241" s="216"/>
      <c r="F241" s="297"/>
      <c r="G241" s="298"/>
      <c r="H241" s="299"/>
    </row>
    <row r="242" spans="1:8" s="217" customFormat="1">
      <c r="A242" s="286"/>
      <c r="B242" s="291"/>
      <c r="C242" s="306"/>
      <c r="D242" s="307"/>
      <c r="E242" s="216"/>
      <c r="F242" s="297"/>
      <c r="G242" s="298"/>
      <c r="H242" s="299"/>
    </row>
    <row r="243" spans="1:8" s="217" customFormat="1">
      <c r="A243" s="286"/>
      <c r="B243" s="291"/>
      <c r="C243" s="306"/>
      <c r="D243" s="307"/>
      <c r="E243" s="216"/>
      <c r="F243" s="297"/>
      <c r="G243" s="298"/>
      <c r="H243" s="299"/>
    </row>
    <row r="244" spans="1:8" s="217" customFormat="1">
      <c r="A244" s="286"/>
      <c r="B244" s="286"/>
      <c r="C244" s="217" t="s">
        <v>173</v>
      </c>
      <c r="D244" s="308"/>
      <c r="E244" s="216"/>
      <c r="F244" s="297"/>
      <c r="G244" s="298"/>
      <c r="H244" s="309">
        <v>42066</v>
      </c>
    </row>
    <row r="245" spans="1:8" s="217" customFormat="1">
      <c r="A245" s="286"/>
      <c r="B245" s="286"/>
      <c r="D245" s="308"/>
      <c r="E245" s="216"/>
      <c r="F245" s="297"/>
      <c r="G245" s="298"/>
      <c r="H245" s="299" t="s">
        <v>174</v>
      </c>
    </row>
  </sheetData>
  <sheetProtection algorithmName="SHA-512" hashValue="HZARlZ8jTDGN9EdPcAmfcwYFMWpKrHsgeLbFq9bl7/tLwQ44EFFHozj7W4qMa6WyoJ6UsJFLOPswyDpdFlAsVg==" saltValue="5irhajF0jJV0nO6tTOJyzQ==" spinCount="100000" sheet="1" objects="1" scenarios="1"/>
  <mergeCells count="2">
    <mergeCell ref="A2:H2"/>
    <mergeCell ref="B228:D228"/>
  </mergeCells>
  <phoneticPr fontId="29" type="noConversion"/>
  <conditionalFormatting sqref="D31:D40 D29 D4:D18 F47:F83 D47:D83 F123:F126 D98 D102 F102 F97:F98 F100 D85:D87 F85:F95 F188:F189 D207 F207 F4:F41 D20:D26 F130:F184">
    <cfRule type="cellIs" dxfId="161" priority="1" stopIfTrue="1" operator="notEqual">
      <formula>""</formula>
    </cfRule>
    <cfRule type="cellIs" dxfId="160" priority="2" stopIfTrue="1" operator="equal">
      <formula>""</formula>
    </cfRule>
  </conditionalFormatting>
  <conditionalFormatting sqref="D42">
    <cfRule type="cellIs" dxfId="159" priority="3" stopIfTrue="1" operator="notEqual">
      <formula>""</formula>
    </cfRule>
    <cfRule type="cellIs" dxfId="158" priority="4" stopIfTrue="1" operator="equal">
      <formula>""</formula>
    </cfRule>
  </conditionalFormatting>
  <conditionalFormatting sqref="F42">
    <cfRule type="cellIs" dxfId="157" priority="5" stopIfTrue="1" operator="notEqual">
      <formula>""</formula>
    </cfRule>
    <cfRule type="cellIs" dxfId="156" priority="6" stopIfTrue="1" operator="equal">
      <formula>""</formula>
    </cfRule>
  </conditionalFormatting>
  <conditionalFormatting sqref="D27">
    <cfRule type="cellIs" dxfId="155" priority="7" stopIfTrue="1" operator="notEqual">
      <formula>""</formula>
    </cfRule>
    <cfRule type="cellIs" dxfId="154" priority="8" stopIfTrue="1" operator="equal">
      <formula>""</formula>
    </cfRule>
  </conditionalFormatting>
  <conditionalFormatting sqref="D28">
    <cfRule type="cellIs" dxfId="153" priority="9" stopIfTrue="1" operator="notEqual">
      <formula>""</formula>
    </cfRule>
    <cfRule type="cellIs" dxfId="152" priority="10" stopIfTrue="1" operator="equal">
      <formula>""</formula>
    </cfRule>
  </conditionalFormatting>
  <conditionalFormatting sqref="D30">
    <cfRule type="cellIs" dxfId="151" priority="11" stopIfTrue="1" operator="notEqual">
      <formula>""</formula>
    </cfRule>
    <cfRule type="cellIs" dxfId="150" priority="12" stopIfTrue="1" operator="equal">
      <formula>""</formula>
    </cfRule>
  </conditionalFormatting>
  <conditionalFormatting sqref="D41">
    <cfRule type="cellIs" dxfId="149" priority="13" stopIfTrue="1" operator="notEqual">
      <formula>""</formula>
    </cfRule>
    <cfRule type="cellIs" dxfId="148" priority="14" stopIfTrue="1" operator="equal">
      <formula>""</formula>
    </cfRule>
  </conditionalFormatting>
  <conditionalFormatting sqref="D43">
    <cfRule type="cellIs" dxfId="147" priority="15" stopIfTrue="1" operator="notEqual">
      <formula>""</formula>
    </cfRule>
    <cfRule type="cellIs" dxfId="146" priority="16" stopIfTrue="1" operator="equal">
      <formula>""</formula>
    </cfRule>
  </conditionalFormatting>
  <conditionalFormatting sqref="F43">
    <cfRule type="cellIs" dxfId="145" priority="17" stopIfTrue="1" operator="notEqual">
      <formula>""</formula>
    </cfRule>
    <cfRule type="cellIs" dxfId="144" priority="18" stopIfTrue="1" operator="equal">
      <formula>""</formula>
    </cfRule>
  </conditionalFormatting>
  <conditionalFormatting sqref="F44 D44">
    <cfRule type="cellIs" dxfId="143" priority="19" stopIfTrue="1" operator="notEqual">
      <formula>""</formula>
    </cfRule>
    <cfRule type="cellIs" dxfId="142" priority="20" stopIfTrue="1" operator="equal">
      <formula>""</formula>
    </cfRule>
  </conditionalFormatting>
  <conditionalFormatting sqref="D88:D89">
    <cfRule type="cellIs" dxfId="141" priority="21" stopIfTrue="1" operator="notEqual">
      <formula>""</formula>
    </cfRule>
    <cfRule type="cellIs" dxfId="140" priority="22" stopIfTrue="1" operator="equal">
      <formula>""</formula>
    </cfRule>
  </conditionalFormatting>
  <conditionalFormatting sqref="F45:F46 D45">
    <cfRule type="cellIs" dxfId="139" priority="23" stopIfTrue="1" operator="notEqual">
      <formula>""</formula>
    </cfRule>
    <cfRule type="cellIs" dxfId="138" priority="24" stopIfTrue="1" operator="equal">
      <formula>""</formula>
    </cfRule>
  </conditionalFormatting>
  <conditionalFormatting sqref="D90:D95">
    <cfRule type="cellIs" dxfId="137" priority="25" stopIfTrue="1" operator="notEqual">
      <formula>""</formula>
    </cfRule>
    <cfRule type="cellIs" dxfId="136" priority="26" stopIfTrue="1" operator="equal">
      <formula>""</formula>
    </cfRule>
  </conditionalFormatting>
  <conditionalFormatting sqref="D107:D108">
    <cfRule type="cellIs" dxfId="135" priority="27" stopIfTrue="1" operator="notEqual">
      <formula>""</formula>
    </cfRule>
    <cfRule type="cellIs" dxfId="134" priority="28" stopIfTrue="1" operator="equal">
      <formula>""</formula>
    </cfRule>
  </conditionalFormatting>
  <conditionalFormatting sqref="D97">
    <cfRule type="cellIs" dxfId="133" priority="29" stopIfTrue="1" operator="notEqual">
      <formula>""</formula>
    </cfRule>
    <cfRule type="cellIs" dxfId="132" priority="30" stopIfTrue="1" operator="equal">
      <formula>""</formula>
    </cfRule>
  </conditionalFormatting>
  <conditionalFormatting sqref="F104:F108 F112:F113 F115:F116">
    <cfRule type="cellIs" dxfId="131" priority="31" stopIfTrue="1" operator="notEqual">
      <formula>""</formula>
    </cfRule>
    <cfRule type="cellIs" dxfId="130" priority="32" stopIfTrue="1" operator="equal">
      <formula>""</formula>
    </cfRule>
  </conditionalFormatting>
  <conditionalFormatting sqref="D104:D106">
    <cfRule type="cellIs" dxfId="129" priority="33" stopIfTrue="1" operator="notEqual">
      <formula>""</formula>
    </cfRule>
    <cfRule type="cellIs" dxfId="128" priority="34" stopIfTrue="1" operator="equal">
      <formula>""</formula>
    </cfRule>
  </conditionalFormatting>
  <conditionalFormatting sqref="F101 D101">
    <cfRule type="cellIs" dxfId="127" priority="35" stopIfTrue="1" operator="notEqual">
      <formula>""</formula>
    </cfRule>
    <cfRule type="cellIs" dxfId="126" priority="36" stopIfTrue="1" operator="equal">
      <formula>""</formula>
    </cfRule>
  </conditionalFormatting>
  <conditionalFormatting sqref="F96">
    <cfRule type="cellIs" dxfId="125" priority="37" stopIfTrue="1" operator="notEqual">
      <formula>""</formula>
    </cfRule>
    <cfRule type="cellIs" dxfId="124" priority="38" stopIfTrue="1" operator="equal">
      <formula>""</formula>
    </cfRule>
  </conditionalFormatting>
  <conditionalFormatting sqref="F111">
    <cfRule type="cellIs" dxfId="123" priority="39" stopIfTrue="1" operator="notEqual">
      <formula>""</formula>
    </cfRule>
    <cfRule type="cellIs" dxfId="122" priority="40" stopIfTrue="1" operator="equal">
      <formula>""</formula>
    </cfRule>
  </conditionalFormatting>
  <conditionalFormatting sqref="F99">
    <cfRule type="cellIs" dxfId="121" priority="41" stopIfTrue="1" operator="notEqual">
      <formula>""</formula>
    </cfRule>
    <cfRule type="cellIs" dxfId="120" priority="42" stopIfTrue="1" operator="equal">
      <formula>""</formula>
    </cfRule>
  </conditionalFormatting>
  <conditionalFormatting sqref="D124">
    <cfRule type="cellIs" dxfId="119" priority="43" stopIfTrue="1" operator="notEqual">
      <formula>""</formula>
    </cfRule>
    <cfRule type="cellIs" dxfId="118" priority="44" stopIfTrue="1" operator="equal">
      <formula>""</formula>
    </cfRule>
  </conditionalFormatting>
  <conditionalFormatting sqref="D123">
    <cfRule type="cellIs" dxfId="117" priority="45" stopIfTrue="1" operator="notEqual">
      <formula>""</formula>
    </cfRule>
    <cfRule type="cellIs" dxfId="116" priority="46" stopIfTrue="1" operator="equal">
      <formula>""</formula>
    </cfRule>
  </conditionalFormatting>
  <conditionalFormatting sqref="D96">
    <cfRule type="cellIs" dxfId="115" priority="47" stopIfTrue="1" operator="notEqual">
      <formula>""</formula>
    </cfRule>
    <cfRule type="cellIs" dxfId="114" priority="48" stopIfTrue="1" operator="equal">
      <formula>""</formula>
    </cfRule>
  </conditionalFormatting>
  <conditionalFormatting sqref="D173 D156:D168">
    <cfRule type="cellIs" dxfId="113" priority="49" stopIfTrue="1" operator="notEqual">
      <formula>""</formula>
    </cfRule>
    <cfRule type="cellIs" dxfId="112" priority="50" stopIfTrue="1" operator="equal">
      <formula>""</formula>
    </cfRule>
  </conditionalFormatting>
  <conditionalFormatting sqref="D178">
    <cfRule type="cellIs" dxfId="111" priority="51" stopIfTrue="1" operator="notEqual">
      <formula>""</formula>
    </cfRule>
    <cfRule type="cellIs" dxfId="110" priority="52" stopIfTrue="1" operator="equal">
      <formula>""</formula>
    </cfRule>
  </conditionalFormatting>
  <conditionalFormatting sqref="D109">
    <cfRule type="cellIs" dxfId="109" priority="53" stopIfTrue="1" operator="notEqual">
      <formula>""</formula>
    </cfRule>
    <cfRule type="cellIs" dxfId="108" priority="54" stopIfTrue="1" operator="equal">
      <formula>""</formula>
    </cfRule>
  </conditionalFormatting>
  <conditionalFormatting sqref="F109">
    <cfRule type="cellIs" dxfId="107" priority="55" stopIfTrue="1" operator="notEqual">
      <formula>""</formula>
    </cfRule>
    <cfRule type="cellIs" dxfId="106" priority="56" stopIfTrue="1" operator="equal">
      <formula>""</formula>
    </cfRule>
  </conditionalFormatting>
  <conditionalFormatting sqref="F114">
    <cfRule type="cellIs" dxfId="105" priority="57" stopIfTrue="1" operator="notEqual">
      <formula>""</formula>
    </cfRule>
    <cfRule type="cellIs" dxfId="104" priority="58" stopIfTrue="1" operator="equal">
      <formula>""</formula>
    </cfRule>
  </conditionalFormatting>
  <conditionalFormatting sqref="F110">
    <cfRule type="cellIs" dxfId="103" priority="59" stopIfTrue="1" operator="notEqual">
      <formula>""</formula>
    </cfRule>
    <cfRule type="cellIs" dxfId="102" priority="60" stopIfTrue="1" operator="equal">
      <formula>""</formula>
    </cfRule>
  </conditionalFormatting>
  <conditionalFormatting sqref="F84 D84">
    <cfRule type="cellIs" dxfId="101" priority="61" stopIfTrue="1" operator="notEqual">
      <formula>""</formula>
    </cfRule>
    <cfRule type="cellIs" dxfId="100" priority="62" stopIfTrue="1" operator="equal">
      <formula>""</formula>
    </cfRule>
  </conditionalFormatting>
  <conditionalFormatting sqref="D116">
    <cfRule type="cellIs" dxfId="99" priority="63" stopIfTrue="1" operator="notEqual">
      <formula>""</formula>
    </cfRule>
    <cfRule type="cellIs" dxfId="98" priority="64" stopIfTrue="1" operator="equal">
      <formula>""</formula>
    </cfRule>
  </conditionalFormatting>
  <conditionalFormatting sqref="D115">
    <cfRule type="cellIs" dxfId="97" priority="65" stopIfTrue="1" operator="notEqual">
      <formula>""</formula>
    </cfRule>
    <cfRule type="cellIs" dxfId="96" priority="66" stopIfTrue="1" operator="equal">
      <formula>""</formula>
    </cfRule>
  </conditionalFormatting>
  <conditionalFormatting sqref="F117:F122 D117:D122">
    <cfRule type="cellIs" dxfId="95" priority="67" stopIfTrue="1" operator="notEqual">
      <formula>""</formula>
    </cfRule>
    <cfRule type="cellIs" dxfId="94" priority="68" stopIfTrue="1" operator="equal">
      <formula>""</formula>
    </cfRule>
  </conditionalFormatting>
  <conditionalFormatting sqref="D177">
    <cfRule type="cellIs" dxfId="93" priority="69" stopIfTrue="1" operator="notEqual">
      <formula>""</formula>
    </cfRule>
    <cfRule type="cellIs" dxfId="92" priority="70" stopIfTrue="1" operator="equal">
      <formula>""</formula>
    </cfRule>
  </conditionalFormatting>
  <conditionalFormatting sqref="F127:F129">
    <cfRule type="cellIs" dxfId="91" priority="71" stopIfTrue="1" operator="notEqual">
      <formula>""</formula>
    </cfRule>
    <cfRule type="cellIs" dxfId="90" priority="72" stopIfTrue="1" operator="equal">
      <formula>""</formula>
    </cfRule>
  </conditionalFormatting>
  <conditionalFormatting sqref="D127:D128">
    <cfRule type="cellIs" dxfId="89" priority="73" stopIfTrue="1" operator="notEqual">
      <formula>""</formula>
    </cfRule>
    <cfRule type="cellIs" dxfId="88" priority="74" stopIfTrue="1" operator="equal">
      <formula>""</formula>
    </cfRule>
  </conditionalFormatting>
  <conditionalFormatting sqref="D129">
    <cfRule type="cellIs" dxfId="87" priority="75" stopIfTrue="1" operator="notEqual">
      <formula>""</formula>
    </cfRule>
    <cfRule type="cellIs" dxfId="86" priority="76" stopIfTrue="1" operator="equal">
      <formula>""</formula>
    </cfRule>
  </conditionalFormatting>
  <conditionalFormatting sqref="D135:D136">
    <cfRule type="cellIs" dxfId="85" priority="77" stopIfTrue="1" operator="notEqual">
      <formula>""</formula>
    </cfRule>
    <cfRule type="cellIs" dxfId="84" priority="78" stopIfTrue="1" operator="equal">
      <formula>""</formula>
    </cfRule>
  </conditionalFormatting>
  <conditionalFormatting sqref="D133:D134">
    <cfRule type="cellIs" dxfId="83" priority="79" stopIfTrue="1" operator="notEqual">
      <formula>""</formula>
    </cfRule>
    <cfRule type="cellIs" dxfId="82" priority="80" stopIfTrue="1" operator="equal">
      <formula>""</formula>
    </cfRule>
  </conditionalFormatting>
  <conditionalFormatting sqref="D169">
    <cfRule type="cellIs" dxfId="81" priority="81" stopIfTrue="1" operator="notEqual">
      <formula>""</formula>
    </cfRule>
    <cfRule type="cellIs" dxfId="80" priority="82" stopIfTrue="1" operator="equal">
      <formula>""</formula>
    </cfRule>
  </conditionalFormatting>
  <conditionalFormatting sqref="D170">
    <cfRule type="cellIs" dxfId="79" priority="83" stopIfTrue="1" operator="notEqual">
      <formula>""</formula>
    </cfRule>
    <cfRule type="cellIs" dxfId="78" priority="84" stopIfTrue="1" operator="equal">
      <formula>""</formula>
    </cfRule>
  </conditionalFormatting>
  <conditionalFormatting sqref="D171">
    <cfRule type="cellIs" dxfId="77" priority="85" stopIfTrue="1" operator="notEqual">
      <formula>""</formula>
    </cfRule>
    <cfRule type="cellIs" dxfId="76" priority="86" stopIfTrue="1" operator="equal">
      <formula>""</formula>
    </cfRule>
  </conditionalFormatting>
  <conditionalFormatting sqref="D179">
    <cfRule type="cellIs" dxfId="75" priority="87" stopIfTrue="1" operator="notEqual">
      <formula>""</formula>
    </cfRule>
    <cfRule type="cellIs" dxfId="74" priority="88" stopIfTrue="1" operator="equal">
      <formula>""</formula>
    </cfRule>
  </conditionalFormatting>
  <conditionalFormatting sqref="D180">
    <cfRule type="cellIs" dxfId="73" priority="89" stopIfTrue="1" operator="notEqual">
      <formula>""</formula>
    </cfRule>
    <cfRule type="cellIs" dxfId="72" priority="90" stopIfTrue="1" operator="equal">
      <formula>""</formula>
    </cfRule>
  </conditionalFormatting>
  <conditionalFormatting sqref="D181">
    <cfRule type="cellIs" dxfId="71" priority="91" stopIfTrue="1" operator="notEqual">
      <formula>""</formula>
    </cfRule>
    <cfRule type="cellIs" dxfId="70" priority="92" stopIfTrue="1" operator="equal">
      <formula>""</formula>
    </cfRule>
  </conditionalFormatting>
  <conditionalFormatting sqref="D175">
    <cfRule type="cellIs" dxfId="69" priority="93" stopIfTrue="1" operator="notEqual">
      <formula>""</formula>
    </cfRule>
    <cfRule type="cellIs" dxfId="68" priority="94" stopIfTrue="1" operator="equal">
      <formula>""</formula>
    </cfRule>
  </conditionalFormatting>
  <conditionalFormatting sqref="D176">
    <cfRule type="cellIs" dxfId="67" priority="95" stopIfTrue="1" operator="notEqual">
      <formula>""</formula>
    </cfRule>
    <cfRule type="cellIs" dxfId="66" priority="96" stopIfTrue="1" operator="equal">
      <formula>""</formula>
    </cfRule>
  </conditionalFormatting>
  <conditionalFormatting sqref="D182">
    <cfRule type="cellIs" dxfId="65" priority="97" stopIfTrue="1" operator="notEqual">
      <formula>""</formula>
    </cfRule>
    <cfRule type="cellIs" dxfId="64" priority="98" stopIfTrue="1" operator="equal">
      <formula>""</formula>
    </cfRule>
  </conditionalFormatting>
  <conditionalFormatting sqref="D183">
    <cfRule type="cellIs" dxfId="63" priority="99" stopIfTrue="1" operator="notEqual">
      <formula>""</formula>
    </cfRule>
    <cfRule type="cellIs" dxfId="62" priority="100" stopIfTrue="1" operator="equal">
      <formula>""</formula>
    </cfRule>
  </conditionalFormatting>
  <conditionalFormatting sqref="D172">
    <cfRule type="cellIs" dxfId="61" priority="101" stopIfTrue="1" operator="notEqual">
      <formula>""</formula>
    </cfRule>
    <cfRule type="cellIs" dxfId="60" priority="102" stopIfTrue="1" operator="equal">
      <formula>""</formula>
    </cfRule>
  </conditionalFormatting>
  <conditionalFormatting sqref="F187">
    <cfRule type="cellIs" dxfId="59" priority="103" stopIfTrue="1" operator="notEqual">
      <formula>""</formula>
    </cfRule>
    <cfRule type="cellIs" dxfId="58" priority="104" stopIfTrue="1" operator="equal">
      <formula>""</formula>
    </cfRule>
  </conditionalFormatting>
  <conditionalFormatting sqref="D187">
    <cfRule type="cellIs" dxfId="57" priority="105" stopIfTrue="1" operator="notEqual">
      <formula>""</formula>
    </cfRule>
    <cfRule type="cellIs" dxfId="56" priority="106" stopIfTrue="1" operator="equal">
      <formula>""</formula>
    </cfRule>
  </conditionalFormatting>
  <conditionalFormatting sqref="D188">
    <cfRule type="cellIs" dxfId="55" priority="107" stopIfTrue="1" operator="notEqual">
      <formula>""</formula>
    </cfRule>
    <cfRule type="cellIs" dxfId="54" priority="108" stopIfTrue="1" operator="equal">
      <formula>""</formula>
    </cfRule>
  </conditionalFormatting>
  <conditionalFormatting sqref="D189">
    <cfRule type="cellIs" dxfId="53" priority="109" stopIfTrue="1" operator="notEqual">
      <formula>""</formula>
    </cfRule>
    <cfRule type="cellIs" dxfId="52" priority="110" stopIfTrue="1" operator="equal">
      <formula>""</formula>
    </cfRule>
  </conditionalFormatting>
  <conditionalFormatting sqref="D192 D194:D202 D204:D206">
    <cfRule type="cellIs" dxfId="51" priority="111" stopIfTrue="1" operator="notEqual">
      <formula>""</formula>
    </cfRule>
    <cfRule type="cellIs" dxfId="50" priority="112" stopIfTrue="1" operator="equal">
      <formula>""</formula>
    </cfRule>
  </conditionalFormatting>
  <conditionalFormatting sqref="F190:F192 F194:F206">
    <cfRule type="cellIs" dxfId="49" priority="113" stopIfTrue="1" operator="notEqual">
      <formula>""</formula>
    </cfRule>
    <cfRule type="cellIs" dxfId="48" priority="114" stopIfTrue="1" operator="equal">
      <formula>""</formula>
    </cfRule>
  </conditionalFormatting>
  <conditionalFormatting sqref="D174">
    <cfRule type="cellIs" dxfId="47" priority="115" stopIfTrue="1" operator="notEqual">
      <formula>""</formula>
    </cfRule>
    <cfRule type="cellIs" dxfId="46" priority="116" stopIfTrue="1" operator="equal">
      <formula>""</formula>
    </cfRule>
  </conditionalFormatting>
  <conditionalFormatting sqref="F185">
    <cfRule type="cellIs" dxfId="45" priority="117" stopIfTrue="1" operator="notEqual">
      <formula>""</formula>
    </cfRule>
    <cfRule type="cellIs" dxfId="44" priority="118" stopIfTrue="1" operator="equal">
      <formula>""</formula>
    </cfRule>
  </conditionalFormatting>
  <conditionalFormatting sqref="D185">
    <cfRule type="cellIs" dxfId="43" priority="119" stopIfTrue="1" operator="notEqual">
      <formula>""</formula>
    </cfRule>
    <cfRule type="cellIs" dxfId="42" priority="120" stopIfTrue="1" operator="equal">
      <formula>""</formula>
    </cfRule>
  </conditionalFormatting>
  <conditionalFormatting sqref="D190">
    <cfRule type="cellIs" dxfId="41" priority="121" stopIfTrue="1" operator="notEqual">
      <formula>""</formula>
    </cfRule>
    <cfRule type="cellIs" dxfId="40" priority="122" stopIfTrue="1" operator="equal">
      <formula>""</formula>
    </cfRule>
  </conditionalFormatting>
  <conditionalFormatting sqref="D191">
    <cfRule type="cellIs" dxfId="39" priority="123" stopIfTrue="1" operator="notEqual">
      <formula>""</formula>
    </cfRule>
    <cfRule type="cellIs" dxfId="38" priority="124" stopIfTrue="1" operator="equal">
      <formula>""</formula>
    </cfRule>
  </conditionalFormatting>
  <conditionalFormatting sqref="D19">
    <cfRule type="cellIs" dxfId="37" priority="125" stopIfTrue="1" operator="notEqual">
      <formula>""</formula>
    </cfRule>
    <cfRule type="cellIs" dxfId="36" priority="126" stopIfTrue="1" operator="equal">
      <formula>""</formula>
    </cfRule>
  </conditionalFormatting>
  <conditionalFormatting sqref="D46">
    <cfRule type="cellIs" dxfId="35" priority="127" stopIfTrue="1" operator="notEqual">
      <formula>""</formula>
    </cfRule>
    <cfRule type="cellIs" dxfId="34" priority="128" stopIfTrue="1" operator="equal">
      <formula>""</formula>
    </cfRule>
  </conditionalFormatting>
  <conditionalFormatting sqref="D99:D100">
    <cfRule type="cellIs" dxfId="33" priority="129" stopIfTrue="1" operator="notEqual">
      <formula>""</formula>
    </cfRule>
    <cfRule type="cellIs" dxfId="32" priority="130" stopIfTrue="1" operator="equal">
      <formula>""</formula>
    </cfRule>
  </conditionalFormatting>
  <conditionalFormatting sqref="D130">
    <cfRule type="cellIs" dxfId="31" priority="131" stopIfTrue="1" operator="notEqual">
      <formula>""</formula>
    </cfRule>
    <cfRule type="cellIs" dxfId="30" priority="132" stopIfTrue="1" operator="equal">
      <formula>""</formula>
    </cfRule>
  </conditionalFormatting>
  <conditionalFormatting sqref="D131">
    <cfRule type="cellIs" dxfId="29" priority="133" stopIfTrue="1" operator="notEqual">
      <formula>""</formula>
    </cfRule>
    <cfRule type="cellIs" dxfId="28" priority="134" stopIfTrue="1" operator="equal">
      <formula>""</formula>
    </cfRule>
  </conditionalFormatting>
  <conditionalFormatting sqref="D184">
    <cfRule type="cellIs" dxfId="27" priority="135" stopIfTrue="1" operator="notEqual">
      <formula>""</formula>
    </cfRule>
    <cfRule type="cellIs" dxfId="26" priority="136" stopIfTrue="1" operator="equal">
      <formula>""</formula>
    </cfRule>
  </conditionalFormatting>
  <conditionalFormatting sqref="D137:D139 D141:D143">
    <cfRule type="cellIs" dxfId="25" priority="137" stopIfTrue="1" operator="notEqual">
      <formula>""</formula>
    </cfRule>
    <cfRule type="cellIs" dxfId="24" priority="138" stopIfTrue="1" operator="equal">
      <formula>""</formula>
    </cfRule>
  </conditionalFormatting>
  <conditionalFormatting sqref="D110:D114">
    <cfRule type="cellIs" dxfId="23" priority="139" stopIfTrue="1" operator="notEqual">
      <formula>""</formula>
    </cfRule>
    <cfRule type="cellIs" dxfId="22" priority="140" stopIfTrue="1" operator="equal">
      <formula>""</formula>
    </cfRule>
  </conditionalFormatting>
  <conditionalFormatting sqref="F186">
    <cfRule type="cellIs" dxfId="21" priority="141" stopIfTrue="1" operator="notEqual">
      <formula>""</formula>
    </cfRule>
    <cfRule type="cellIs" dxfId="20" priority="142" stopIfTrue="1" operator="equal">
      <formula>""</formula>
    </cfRule>
  </conditionalFormatting>
  <conditionalFormatting sqref="D186">
    <cfRule type="cellIs" dxfId="19" priority="143" stopIfTrue="1" operator="notEqual">
      <formula>""</formula>
    </cfRule>
    <cfRule type="cellIs" dxfId="18" priority="144" stopIfTrue="1" operator="equal">
      <formula>""</formula>
    </cfRule>
  </conditionalFormatting>
  <conditionalFormatting sqref="F193">
    <cfRule type="cellIs" dxfId="17" priority="145" stopIfTrue="1" operator="notEqual">
      <formula>""</formula>
    </cfRule>
    <cfRule type="cellIs" dxfId="16" priority="146" stopIfTrue="1" operator="equal">
      <formula>""</formula>
    </cfRule>
  </conditionalFormatting>
  <conditionalFormatting sqref="D193">
    <cfRule type="cellIs" dxfId="15" priority="147" stopIfTrue="1" operator="notEqual">
      <formula>""</formula>
    </cfRule>
    <cfRule type="cellIs" dxfId="14" priority="148" stopIfTrue="1" operator="equal">
      <formula>""</formula>
    </cfRule>
  </conditionalFormatting>
  <conditionalFormatting sqref="D132">
    <cfRule type="cellIs" dxfId="13" priority="149" stopIfTrue="1" operator="notEqual">
      <formula>""</formula>
    </cfRule>
    <cfRule type="cellIs" dxfId="12" priority="150" stopIfTrue="1" operator="equal">
      <formula>""</formula>
    </cfRule>
  </conditionalFormatting>
  <conditionalFormatting sqref="D144:D155">
    <cfRule type="cellIs" dxfId="11" priority="151" stopIfTrue="1" operator="notEqual">
      <formula>""</formula>
    </cfRule>
    <cfRule type="cellIs" dxfId="10" priority="152" stopIfTrue="1" operator="equal">
      <formula>""</formula>
    </cfRule>
  </conditionalFormatting>
  <conditionalFormatting sqref="D125:D126">
    <cfRule type="cellIs" dxfId="9" priority="153" stopIfTrue="1" operator="notEqual">
      <formula>""</formula>
    </cfRule>
    <cfRule type="cellIs" dxfId="8" priority="154" stopIfTrue="1" operator="equal">
      <formula>""</formula>
    </cfRule>
  </conditionalFormatting>
  <conditionalFormatting sqref="D203">
    <cfRule type="cellIs" dxfId="7" priority="155" stopIfTrue="1" operator="notEqual">
      <formula>""</formula>
    </cfRule>
    <cfRule type="cellIs" dxfId="6" priority="156" stopIfTrue="1" operator="equal">
      <formula>""</formula>
    </cfRule>
  </conditionalFormatting>
  <conditionalFormatting sqref="D103">
    <cfRule type="cellIs" dxfId="5" priority="157" stopIfTrue="1" operator="notEqual">
      <formula>""</formula>
    </cfRule>
    <cfRule type="cellIs" dxfId="4" priority="158" stopIfTrue="1" operator="equal">
      <formula>""</formula>
    </cfRule>
  </conditionalFormatting>
  <conditionalFormatting sqref="F103">
    <cfRule type="cellIs" dxfId="3" priority="159" stopIfTrue="1" operator="notEqual">
      <formula>""</formula>
    </cfRule>
    <cfRule type="cellIs" dxfId="2" priority="160" stopIfTrue="1" operator="equal">
      <formula>""</formula>
    </cfRule>
  </conditionalFormatting>
  <conditionalFormatting sqref="D140">
    <cfRule type="cellIs" dxfId="1" priority="161" stopIfTrue="1" operator="notEqual">
      <formula>""</formula>
    </cfRule>
    <cfRule type="cellIs" dxfId="0" priority="162" stopIfTrue="1" operator="equal">
      <formula>""</formula>
    </cfRule>
  </conditionalFormatting>
  <pageMargins left="0.69930555555555596" right="0.69930555555555596" top="0.75" bottom="0.75" header="0.3" footer="0.3"/>
  <pageSetup paperSize="9" orientation="portrait" horizontalDpi="1200" verticalDpi="12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zoomScale="80" zoomScaleNormal="80" workbookViewId="0">
      <selection activeCell="D16" sqref="D16"/>
    </sheetView>
  </sheetViews>
  <sheetFormatPr defaultColWidth="9" defaultRowHeight="16.5"/>
  <cols>
    <col min="1" max="1" width="21" style="161" customWidth="1"/>
    <col min="2" max="2" width="14" style="162" customWidth="1"/>
    <col min="3" max="3" width="12.75" style="161" customWidth="1"/>
    <col min="4" max="4" width="12.25" style="161" customWidth="1"/>
    <col min="5" max="5" width="13.75" style="161" customWidth="1"/>
    <col min="6" max="6" width="12.25" style="161" customWidth="1"/>
    <col min="7" max="9" width="10.25" style="161" customWidth="1"/>
    <col min="10" max="11" width="10.125" style="161" customWidth="1"/>
    <col min="12" max="12" width="10.75" style="161" customWidth="1"/>
    <col min="13" max="13" width="11.75" style="161" customWidth="1"/>
    <col min="14" max="14" width="11.5" style="161" customWidth="1"/>
    <col min="15" max="15" width="16.875" style="161" customWidth="1"/>
    <col min="16" max="20" width="9" style="161"/>
    <col min="21" max="21" width="11.75" style="161" customWidth="1"/>
    <col min="22" max="22" width="9.875" style="161" customWidth="1"/>
    <col min="23" max="23" width="10.625" style="161" customWidth="1"/>
    <col min="24" max="24" width="12.75" style="161" customWidth="1"/>
    <col min="25" max="25" width="11.75" style="161" customWidth="1"/>
    <col min="26" max="26" width="9.875" style="161" customWidth="1"/>
    <col min="27" max="27" width="10.625" style="161" customWidth="1"/>
    <col min="28" max="28" width="12.75" style="161" customWidth="1"/>
    <col min="29" max="29" width="12.125" style="161" customWidth="1"/>
    <col min="30" max="30" width="10.625" style="161" customWidth="1"/>
    <col min="31" max="31" width="10.875" style="161" customWidth="1"/>
    <col min="32" max="32" width="11.25" style="161" customWidth="1"/>
    <col min="33" max="254" width="9" style="161"/>
    <col min="255" max="255" width="15.875" style="161" customWidth="1"/>
    <col min="256" max="256" width="14" style="161" customWidth="1"/>
    <col min="257" max="257" width="12.75" style="161" customWidth="1"/>
    <col min="258" max="258" width="12.25" style="161" customWidth="1"/>
    <col min="259" max="259" width="13.75" style="161" customWidth="1"/>
    <col min="260" max="260" width="9.625" style="161" customWidth="1"/>
    <col min="261" max="261" width="10.25" style="161" customWidth="1"/>
    <col min="262" max="262" width="10.125" style="161" customWidth="1"/>
    <col min="263" max="263" width="7" style="161" customWidth="1"/>
    <col min="264" max="264" width="11.75" style="161" customWidth="1"/>
    <col min="265" max="265" width="11.5" style="161" customWidth="1"/>
    <col min="266" max="266" width="9.75" style="161" customWidth="1"/>
    <col min="267" max="267" width="10.25" style="161" customWidth="1"/>
    <col min="268" max="268" width="9.25" style="161" customWidth="1"/>
    <col min="269" max="269" width="9.5" style="161" customWidth="1"/>
    <col min="270" max="270" width="10.125" style="161" customWidth="1"/>
    <col min="271" max="271" width="16.875" style="161" customWidth="1"/>
    <col min="272" max="276" width="9" style="161"/>
    <col min="277" max="277" width="11.75" style="161" customWidth="1"/>
    <col min="278" max="278" width="9.875" style="161" customWidth="1"/>
    <col min="279" max="279" width="10.625" style="161" customWidth="1"/>
    <col min="280" max="280" width="12.75" style="161" customWidth="1"/>
    <col min="281" max="281" width="11.75" style="161" customWidth="1"/>
    <col min="282" max="282" width="9.875" style="161" customWidth="1"/>
    <col min="283" max="283" width="10.625" style="161" customWidth="1"/>
    <col min="284" max="284" width="12.75" style="161" customWidth="1"/>
    <col min="285" max="285" width="12.125" style="161" customWidth="1"/>
    <col min="286" max="286" width="10.625" style="161" customWidth="1"/>
    <col min="287" max="287" width="10.875" style="161" customWidth="1"/>
    <col min="288" max="288" width="11.25" style="161" customWidth="1"/>
    <col min="289" max="510" width="9" style="161"/>
    <col min="511" max="511" width="15.875" style="161" customWidth="1"/>
    <col min="512" max="512" width="14" style="161" customWidth="1"/>
    <col min="513" max="513" width="12.75" style="161" customWidth="1"/>
    <col min="514" max="514" width="12.25" style="161" customWidth="1"/>
    <col min="515" max="515" width="13.75" style="161" customWidth="1"/>
    <col min="516" max="516" width="9.625" style="161" customWidth="1"/>
    <col min="517" max="517" width="10.25" style="161" customWidth="1"/>
    <col min="518" max="518" width="10.125" style="161" customWidth="1"/>
    <col min="519" max="519" width="7" style="161" customWidth="1"/>
    <col min="520" max="520" width="11.75" style="161" customWidth="1"/>
    <col min="521" max="521" width="11.5" style="161" customWidth="1"/>
    <col min="522" max="522" width="9.75" style="161" customWidth="1"/>
    <col min="523" max="523" width="10.25" style="161" customWidth="1"/>
    <col min="524" max="524" width="9.25" style="161" customWidth="1"/>
    <col min="525" max="525" width="9.5" style="161" customWidth="1"/>
    <col min="526" max="526" width="10.125" style="161" customWidth="1"/>
    <col min="527" max="527" width="16.875" style="161" customWidth="1"/>
    <col min="528" max="532" width="9" style="161"/>
    <col min="533" max="533" width="11.75" style="161" customWidth="1"/>
    <col min="534" max="534" width="9.875" style="161" customWidth="1"/>
    <col min="535" max="535" width="10.625" style="161" customWidth="1"/>
    <col min="536" max="536" width="12.75" style="161" customWidth="1"/>
    <col min="537" max="537" width="11.75" style="161" customWidth="1"/>
    <col min="538" max="538" width="9.875" style="161" customWidth="1"/>
    <col min="539" max="539" width="10.625" style="161" customWidth="1"/>
    <col min="540" max="540" width="12.75" style="161" customWidth="1"/>
    <col min="541" max="541" width="12.125" style="161" customWidth="1"/>
    <col min="542" max="542" width="10.625" style="161" customWidth="1"/>
    <col min="543" max="543" width="10.875" style="161" customWidth="1"/>
    <col min="544" max="544" width="11.25" style="161" customWidth="1"/>
    <col min="545" max="766" width="9" style="161"/>
    <col min="767" max="767" width="15.875" style="161" customWidth="1"/>
    <col min="768" max="768" width="14" style="161" customWidth="1"/>
    <col min="769" max="769" width="12.75" style="161" customWidth="1"/>
    <col min="770" max="770" width="12.25" style="161" customWidth="1"/>
    <col min="771" max="771" width="13.75" style="161" customWidth="1"/>
    <col min="772" max="772" width="9.625" style="161" customWidth="1"/>
    <col min="773" max="773" width="10.25" style="161" customWidth="1"/>
    <col min="774" max="774" width="10.125" style="161" customWidth="1"/>
    <col min="775" max="775" width="7" style="161" customWidth="1"/>
    <col min="776" max="776" width="11.75" style="161" customWidth="1"/>
    <col min="777" max="777" width="11.5" style="161" customWidth="1"/>
    <col min="778" max="778" width="9.75" style="161" customWidth="1"/>
    <col min="779" max="779" width="10.25" style="161" customWidth="1"/>
    <col min="780" max="780" width="9.25" style="161" customWidth="1"/>
    <col min="781" max="781" width="9.5" style="161" customWidth="1"/>
    <col min="782" max="782" width="10.125" style="161" customWidth="1"/>
    <col min="783" max="783" width="16.875" style="161" customWidth="1"/>
    <col min="784" max="788" width="9" style="161"/>
    <col min="789" max="789" width="11.75" style="161" customWidth="1"/>
    <col min="790" max="790" width="9.875" style="161" customWidth="1"/>
    <col min="791" max="791" width="10.625" style="161" customWidth="1"/>
    <col min="792" max="792" width="12.75" style="161" customWidth="1"/>
    <col min="793" max="793" width="11.75" style="161" customWidth="1"/>
    <col min="794" max="794" width="9.875" style="161" customWidth="1"/>
    <col min="795" max="795" width="10.625" style="161" customWidth="1"/>
    <col min="796" max="796" width="12.75" style="161" customWidth="1"/>
    <col min="797" max="797" width="12.125" style="161" customWidth="1"/>
    <col min="798" max="798" width="10.625" style="161" customWidth="1"/>
    <col min="799" max="799" width="10.875" style="161" customWidth="1"/>
    <col min="800" max="800" width="11.25" style="161" customWidth="1"/>
    <col min="801" max="1022" width="9" style="161"/>
    <col min="1023" max="1023" width="15.875" style="161" customWidth="1"/>
    <col min="1024" max="1024" width="14" style="161" customWidth="1"/>
    <col min="1025" max="1025" width="12.75" style="161" customWidth="1"/>
    <col min="1026" max="1026" width="12.25" style="161" customWidth="1"/>
    <col min="1027" max="1027" width="13.75" style="161" customWidth="1"/>
    <col min="1028" max="1028" width="9.625" style="161" customWidth="1"/>
    <col min="1029" max="1029" width="10.25" style="161" customWidth="1"/>
    <col min="1030" max="1030" width="10.125" style="161" customWidth="1"/>
    <col min="1031" max="1031" width="7" style="161" customWidth="1"/>
    <col min="1032" max="1032" width="11.75" style="161" customWidth="1"/>
    <col min="1033" max="1033" width="11.5" style="161" customWidth="1"/>
    <col min="1034" max="1034" width="9.75" style="161" customWidth="1"/>
    <col min="1035" max="1035" width="10.25" style="161" customWidth="1"/>
    <col min="1036" max="1036" width="9.25" style="161" customWidth="1"/>
    <col min="1037" max="1037" width="9.5" style="161" customWidth="1"/>
    <col min="1038" max="1038" width="10.125" style="161" customWidth="1"/>
    <col min="1039" max="1039" width="16.875" style="161" customWidth="1"/>
    <col min="1040" max="1044" width="9" style="161"/>
    <col min="1045" max="1045" width="11.75" style="161" customWidth="1"/>
    <col min="1046" max="1046" width="9.875" style="161" customWidth="1"/>
    <col min="1047" max="1047" width="10.625" style="161" customWidth="1"/>
    <col min="1048" max="1048" width="12.75" style="161" customWidth="1"/>
    <col min="1049" max="1049" width="11.75" style="161" customWidth="1"/>
    <col min="1050" max="1050" width="9.875" style="161" customWidth="1"/>
    <col min="1051" max="1051" width="10.625" style="161" customWidth="1"/>
    <col min="1052" max="1052" width="12.75" style="161" customWidth="1"/>
    <col min="1053" max="1053" width="12.125" style="161" customWidth="1"/>
    <col min="1054" max="1054" width="10.625" style="161" customWidth="1"/>
    <col min="1055" max="1055" width="10.875" style="161" customWidth="1"/>
    <col min="1056" max="1056" width="11.25" style="161" customWidth="1"/>
    <col min="1057" max="1278" width="9" style="161"/>
    <col min="1279" max="1279" width="15.875" style="161" customWidth="1"/>
    <col min="1280" max="1280" width="14" style="161" customWidth="1"/>
    <col min="1281" max="1281" width="12.75" style="161" customWidth="1"/>
    <col min="1282" max="1282" width="12.25" style="161" customWidth="1"/>
    <col min="1283" max="1283" width="13.75" style="161" customWidth="1"/>
    <col min="1284" max="1284" width="9.625" style="161" customWidth="1"/>
    <col min="1285" max="1285" width="10.25" style="161" customWidth="1"/>
    <col min="1286" max="1286" width="10.125" style="161" customWidth="1"/>
    <col min="1287" max="1287" width="7" style="161" customWidth="1"/>
    <col min="1288" max="1288" width="11.75" style="161" customWidth="1"/>
    <col min="1289" max="1289" width="11.5" style="161" customWidth="1"/>
    <col min="1290" max="1290" width="9.75" style="161" customWidth="1"/>
    <col min="1291" max="1291" width="10.25" style="161" customWidth="1"/>
    <col min="1292" max="1292" width="9.25" style="161" customWidth="1"/>
    <col min="1293" max="1293" width="9.5" style="161" customWidth="1"/>
    <col min="1294" max="1294" width="10.125" style="161" customWidth="1"/>
    <col min="1295" max="1295" width="16.875" style="161" customWidth="1"/>
    <col min="1296" max="1300" width="9" style="161"/>
    <col min="1301" max="1301" width="11.75" style="161" customWidth="1"/>
    <col min="1302" max="1302" width="9.875" style="161" customWidth="1"/>
    <col min="1303" max="1303" width="10.625" style="161" customWidth="1"/>
    <col min="1304" max="1304" width="12.75" style="161" customWidth="1"/>
    <col min="1305" max="1305" width="11.75" style="161" customWidth="1"/>
    <col min="1306" max="1306" width="9.875" style="161" customWidth="1"/>
    <col min="1307" max="1307" width="10.625" style="161" customWidth="1"/>
    <col min="1308" max="1308" width="12.75" style="161" customWidth="1"/>
    <col min="1309" max="1309" width="12.125" style="161" customWidth="1"/>
    <col min="1310" max="1310" width="10.625" style="161" customWidth="1"/>
    <col min="1311" max="1311" width="10.875" style="161" customWidth="1"/>
    <col min="1312" max="1312" width="11.25" style="161" customWidth="1"/>
    <col min="1313" max="1534" width="9" style="161"/>
    <col min="1535" max="1535" width="15.875" style="161" customWidth="1"/>
    <col min="1536" max="1536" width="14" style="161" customWidth="1"/>
    <col min="1537" max="1537" width="12.75" style="161" customWidth="1"/>
    <col min="1538" max="1538" width="12.25" style="161" customWidth="1"/>
    <col min="1539" max="1539" width="13.75" style="161" customWidth="1"/>
    <col min="1540" max="1540" width="9.625" style="161" customWidth="1"/>
    <col min="1541" max="1541" width="10.25" style="161" customWidth="1"/>
    <col min="1542" max="1542" width="10.125" style="161" customWidth="1"/>
    <col min="1543" max="1543" width="7" style="161" customWidth="1"/>
    <col min="1544" max="1544" width="11.75" style="161" customWidth="1"/>
    <col min="1545" max="1545" width="11.5" style="161" customWidth="1"/>
    <col min="1546" max="1546" width="9.75" style="161" customWidth="1"/>
    <col min="1547" max="1547" width="10.25" style="161" customWidth="1"/>
    <col min="1548" max="1548" width="9.25" style="161" customWidth="1"/>
    <col min="1549" max="1549" width="9.5" style="161" customWidth="1"/>
    <col min="1550" max="1550" width="10.125" style="161" customWidth="1"/>
    <col min="1551" max="1551" width="16.875" style="161" customWidth="1"/>
    <col min="1552" max="1556" width="9" style="161"/>
    <col min="1557" max="1557" width="11.75" style="161" customWidth="1"/>
    <col min="1558" max="1558" width="9.875" style="161" customWidth="1"/>
    <col min="1559" max="1559" width="10.625" style="161" customWidth="1"/>
    <col min="1560" max="1560" width="12.75" style="161" customWidth="1"/>
    <col min="1561" max="1561" width="11.75" style="161" customWidth="1"/>
    <col min="1562" max="1562" width="9.875" style="161" customWidth="1"/>
    <col min="1563" max="1563" width="10.625" style="161" customWidth="1"/>
    <col min="1564" max="1564" width="12.75" style="161" customWidth="1"/>
    <col min="1565" max="1565" width="12.125" style="161" customWidth="1"/>
    <col min="1566" max="1566" width="10.625" style="161" customWidth="1"/>
    <col min="1567" max="1567" width="10.875" style="161" customWidth="1"/>
    <col min="1568" max="1568" width="11.25" style="161" customWidth="1"/>
    <col min="1569" max="1790" width="9" style="161"/>
    <col min="1791" max="1791" width="15.875" style="161" customWidth="1"/>
    <col min="1792" max="1792" width="14" style="161" customWidth="1"/>
    <col min="1793" max="1793" width="12.75" style="161" customWidth="1"/>
    <col min="1794" max="1794" width="12.25" style="161" customWidth="1"/>
    <col min="1795" max="1795" width="13.75" style="161" customWidth="1"/>
    <col min="1796" max="1796" width="9.625" style="161" customWidth="1"/>
    <col min="1797" max="1797" width="10.25" style="161" customWidth="1"/>
    <col min="1798" max="1798" width="10.125" style="161" customWidth="1"/>
    <col min="1799" max="1799" width="7" style="161" customWidth="1"/>
    <col min="1800" max="1800" width="11.75" style="161" customWidth="1"/>
    <col min="1801" max="1801" width="11.5" style="161" customWidth="1"/>
    <col min="1802" max="1802" width="9.75" style="161" customWidth="1"/>
    <col min="1803" max="1803" width="10.25" style="161" customWidth="1"/>
    <col min="1804" max="1804" width="9.25" style="161" customWidth="1"/>
    <col min="1805" max="1805" width="9.5" style="161" customWidth="1"/>
    <col min="1806" max="1806" width="10.125" style="161" customWidth="1"/>
    <col min="1807" max="1807" width="16.875" style="161" customWidth="1"/>
    <col min="1808" max="1812" width="9" style="161"/>
    <col min="1813" max="1813" width="11.75" style="161" customWidth="1"/>
    <col min="1814" max="1814" width="9.875" style="161" customWidth="1"/>
    <col min="1815" max="1815" width="10.625" style="161" customWidth="1"/>
    <col min="1816" max="1816" width="12.75" style="161" customWidth="1"/>
    <col min="1817" max="1817" width="11.75" style="161" customWidth="1"/>
    <col min="1818" max="1818" width="9.875" style="161" customWidth="1"/>
    <col min="1819" max="1819" width="10.625" style="161" customWidth="1"/>
    <col min="1820" max="1820" width="12.75" style="161" customWidth="1"/>
    <col min="1821" max="1821" width="12.125" style="161" customWidth="1"/>
    <col min="1822" max="1822" width="10.625" style="161" customWidth="1"/>
    <col min="1823" max="1823" width="10.875" style="161" customWidth="1"/>
    <col min="1824" max="1824" width="11.25" style="161" customWidth="1"/>
    <col min="1825" max="2046" width="9" style="161"/>
    <col min="2047" max="2047" width="15.875" style="161" customWidth="1"/>
    <col min="2048" max="2048" width="14" style="161" customWidth="1"/>
    <col min="2049" max="2049" width="12.75" style="161" customWidth="1"/>
    <col min="2050" max="2050" width="12.25" style="161" customWidth="1"/>
    <col min="2051" max="2051" width="13.75" style="161" customWidth="1"/>
    <col min="2052" max="2052" width="9.625" style="161" customWidth="1"/>
    <col min="2053" max="2053" width="10.25" style="161" customWidth="1"/>
    <col min="2054" max="2054" width="10.125" style="161" customWidth="1"/>
    <col min="2055" max="2055" width="7" style="161" customWidth="1"/>
    <col min="2056" max="2056" width="11.75" style="161" customWidth="1"/>
    <col min="2057" max="2057" width="11.5" style="161" customWidth="1"/>
    <col min="2058" max="2058" width="9.75" style="161" customWidth="1"/>
    <col min="2059" max="2059" width="10.25" style="161" customWidth="1"/>
    <col min="2060" max="2060" width="9.25" style="161" customWidth="1"/>
    <col min="2061" max="2061" width="9.5" style="161" customWidth="1"/>
    <col min="2062" max="2062" width="10.125" style="161" customWidth="1"/>
    <col min="2063" max="2063" width="16.875" style="161" customWidth="1"/>
    <col min="2064" max="2068" width="9" style="161"/>
    <col min="2069" max="2069" width="11.75" style="161" customWidth="1"/>
    <col min="2070" max="2070" width="9.875" style="161" customWidth="1"/>
    <col min="2071" max="2071" width="10.625" style="161" customWidth="1"/>
    <col min="2072" max="2072" width="12.75" style="161" customWidth="1"/>
    <col min="2073" max="2073" width="11.75" style="161" customWidth="1"/>
    <col min="2074" max="2074" width="9.875" style="161" customWidth="1"/>
    <col min="2075" max="2075" width="10.625" style="161" customWidth="1"/>
    <col min="2076" max="2076" width="12.75" style="161" customWidth="1"/>
    <col min="2077" max="2077" width="12.125" style="161" customWidth="1"/>
    <col min="2078" max="2078" width="10.625" style="161" customWidth="1"/>
    <col min="2079" max="2079" width="10.875" style="161" customWidth="1"/>
    <col min="2080" max="2080" width="11.25" style="161" customWidth="1"/>
    <col min="2081" max="2302" width="9" style="161"/>
    <col min="2303" max="2303" width="15.875" style="161" customWidth="1"/>
    <col min="2304" max="2304" width="14" style="161" customWidth="1"/>
    <col min="2305" max="2305" width="12.75" style="161" customWidth="1"/>
    <col min="2306" max="2306" width="12.25" style="161" customWidth="1"/>
    <col min="2307" max="2307" width="13.75" style="161" customWidth="1"/>
    <col min="2308" max="2308" width="9.625" style="161" customWidth="1"/>
    <col min="2309" max="2309" width="10.25" style="161" customWidth="1"/>
    <col min="2310" max="2310" width="10.125" style="161" customWidth="1"/>
    <col min="2311" max="2311" width="7" style="161" customWidth="1"/>
    <col min="2312" max="2312" width="11.75" style="161" customWidth="1"/>
    <col min="2313" max="2313" width="11.5" style="161" customWidth="1"/>
    <col min="2314" max="2314" width="9.75" style="161" customWidth="1"/>
    <col min="2315" max="2315" width="10.25" style="161" customWidth="1"/>
    <col min="2316" max="2316" width="9.25" style="161" customWidth="1"/>
    <col min="2317" max="2317" width="9.5" style="161" customWidth="1"/>
    <col min="2318" max="2318" width="10.125" style="161" customWidth="1"/>
    <col min="2319" max="2319" width="16.875" style="161" customWidth="1"/>
    <col min="2320" max="2324" width="9" style="161"/>
    <col min="2325" max="2325" width="11.75" style="161" customWidth="1"/>
    <col min="2326" max="2326" width="9.875" style="161" customWidth="1"/>
    <col min="2327" max="2327" width="10.625" style="161" customWidth="1"/>
    <col min="2328" max="2328" width="12.75" style="161" customWidth="1"/>
    <col min="2329" max="2329" width="11.75" style="161" customWidth="1"/>
    <col min="2330" max="2330" width="9.875" style="161" customWidth="1"/>
    <col min="2331" max="2331" width="10.625" style="161" customWidth="1"/>
    <col min="2332" max="2332" width="12.75" style="161" customWidth="1"/>
    <col min="2333" max="2333" width="12.125" style="161" customWidth="1"/>
    <col min="2334" max="2334" width="10.625" style="161" customWidth="1"/>
    <col min="2335" max="2335" width="10.875" style="161" customWidth="1"/>
    <col min="2336" max="2336" width="11.25" style="161" customWidth="1"/>
    <col min="2337" max="2558" width="9" style="161"/>
    <col min="2559" max="2559" width="15.875" style="161" customWidth="1"/>
    <col min="2560" max="2560" width="14" style="161" customWidth="1"/>
    <col min="2561" max="2561" width="12.75" style="161" customWidth="1"/>
    <col min="2562" max="2562" width="12.25" style="161" customWidth="1"/>
    <col min="2563" max="2563" width="13.75" style="161" customWidth="1"/>
    <col min="2564" max="2564" width="9.625" style="161" customWidth="1"/>
    <col min="2565" max="2565" width="10.25" style="161" customWidth="1"/>
    <col min="2566" max="2566" width="10.125" style="161" customWidth="1"/>
    <col min="2567" max="2567" width="7" style="161" customWidth="1"/>
    <col min="2568" max="2568" width="11.75" style="161" customWidth="1"/>
    <col min="2569" max="2569" width="11.5" style="161" customWidth="1"/>
    <col min="2570" max="2570" width="9.75" style="161" customWidth="1"/>
    <col min="2571" max="2571" width="10.25" style="161" customWidth="1"/>
    <col min="2572" max="2572" width="9.25" style="161" customWidth="1"/>
    <col min="2573" max="2573" width="9.5" style="161" customWidth="1"/>
    <col min="2574" max="2574" width="10.125" style="161" customWidth="1"/>
    <col min="2575" max="2575" width="16.875" style="161" customWidth="1"/>
    <col min="2576" max="2580" width="9" style="161"/>
    <col min="2581" max="2581" width="11.75" style="161" customWidth="1"/>
    <col min="2582" max="2582" width="9.875" style="161" customWidth="1"/>
    <col min="2583" max="2583" width="10.625" style="161" customWidth="1"/>
    <col min="2584" max="2584" width="12.75" style="161" customWidth="1"/>
    <col min="2585" max="2585" width="11.75" style="161" customWidth="1"/>
    <col min="2586" max="2586" width="9.875" style="161" customWidth="1"/>
    <col min="2587" max="2587" width="10.625" style="161" customWidth="1"/>
    <col min="2588" max="2588" width="12.75" style="161" customWidth="1"/>
    <col min="2589" max="2589" width="12.125" style="161" customWidth="1"/>
    <col min="2590" max="2590" width="10.625" style="161" customWidth="1"/>
    <col min="2591" max="2591" width="10.875" style="161" customWidth="1"/>
    <col min="2592" max="2592" width="11.25" style="161" customWidth="1"/>
    <col min="2593" max="2814" width="9" style="161"/>
    <col min="2815" max="2815" width="15.875" style="161" customWidth="1"/>
    <col min="2816" max="2816" width="14" style="161" customWidth="1"/>
    <col min="2817" max="2817" width="12.75" style="161" customWidth="1"/>
    <col min="2818" max="2818" width="12.25" style="161" customWidth="1"/>
    <col min="2819" max="2819" width="13.75" style="161" customWidth="1"/>
    <col min="2820" max="2820" width="9.625" style="161" customWidth="1"/>
    <col min="2821" max="2821" width="10.25" style="161" customWidth="1"/>
    <col min="2822" max="2822" width="10.125" style="161" customWidth="1"/>
    <col min="2823" max="2823" width="7" style="161" customWidth="1"/>
    <col min="2824" max="2824" width="11.75" style="161" customWidth="1"/>
    <col min="2825" max="2825" width="11.5" style="161" customWidth="1"/>
    <col min="2826" max="2826" width="9.75" style="161" customWidth="1"/>
    <col min="2827" max="2827" width="10.25" style="161" customWidth="1"/>
    <col min="2828" max="2828" width="9.25" style="161" customWidth="1"/>
    <col min="2829" max="2829" width="9.5" style="161" customWidth="1"/>
    <col min="2830" max="2830" width="10.125" style="161" customWidth="1"/>
    <col min="2831" max="2831" width="16.875" style="161" customWidth="1"/>
    <col min="2832" max="2836" width="9" style="161"/>
    <col min="2837" max="2837" width="11.75" style="161" customWidth="1"/>
    <col min="2838" max="2838" width="9.875" style="161" customWidth="1"/>
    <col min="2839" max="2839" width="10.625" style="161" customWidth="1"/>
    <col min="2840" max="2840" width="12.75" style="161" customWidth="1"/>
    <col min="2841" max="2841" width="11.75" style="161" customWidth="1"/>
    <col min="2842" max="2842" width="9.875" style="161" customWidth="1"/>
    <col min="2843" max="2843" width="10.625" style="161" customWidth="1"/>
    <col min="2844" max="2844" width="12.75" style="161" customWidth="1"/>
    <col min="2845" max="2845" width="12.125" style="161" customWidth="1"/>
    <col min="2846" max="2846" width="10.625" style="161" customWidth="1"/>
    <col min="2847" max="2847" width="10.875" style="161" customWidth="1"/>
    <col min="2848" max="2848" width="11.25" style="161" customWidth="1"/>
    <col min="2849" max="3070" width="9" style="161"/>
    <col min="3071" max="3071" width="15.875" style="161" customWidth="1"/>
    <col min="3072" max="3072" width="14" style="161" customWidth="1"/>
    <col min="3073" max="3073" width="12.75" style="161" customWidth="1"/>
    <col min="3074" max="3074" width="12.25" style="161" customWidth="1"/>
    <col min="3075" max="3075" width="13.75" style="161" customWidth="1"/>
    <col min="3076" max="3076" width="9.625" style="161" customWidth="1"/>
    <col min="3077" max="3077" width="10.25" style="161" customWidth="1"/>
    <col min="3078" max="3078" width="10.125" style="161" customWidth="1"/>
    <col min="3079" max="3079" width="7" style="161" customWidth="1"/>
    <col min="3080" max="3080" width="11.75" style="161" customWidth="1"/>
    <col min="3081" max="3081" width="11.5" style="161" customWidth="1"/>
    <col min="3082" max="3082" width="9.75" style="161" customWidth="1"/>
    <col min="3083" max="3083" width="10.25" style="161" customWidth="1"/>
    <col min="3084" max="3084" width="9.25" style="161" customWidth="1"/>
    <col min="3085" max="3085" width="9.5" style="161" customWidth="1"/>
    <col min="3086" max="3086" width="10.125" style="161" customWidth="1"/>
    <col min="3087" max="3087" width="16.875" style="161" customWidth="1"/>
    <col min="3088" max="3092" width="9" style="161"/>
    <col min="3093" max="3093" width="11.75" style="161" customWidth="1"/>
    <col min="3094" max="3094" width="9.875" style="161" customWidth="1"/>
    <col min="3095" max="3095" width="10.625" style="161" customWidth="1"/>
    <col min="3096" max="3096" width="12.75" style="161" customWidth="1"/>
    <col min="3097" max="3097" width="11.75" style="161" customWidth="1"/>
    <col min="3098" max="3098" width="9.875" style="161" customWidth="1"/>
    <col min="3099" max="3099" width="10.625" style="161" customWidth="1"/>
    <col min="3100" max="3100" width="12.75" style="161" customWidth="1"/>
    <col min="3101" max="3101" width="12.125" style="161" customWidth="1"/>
    <col min="3102" max="3102" width="10.625" style="161" customWidth="1"/>
    <col min="3103" max="3103" width="10.875" style="161" customWidth="1"/>
    <col min="3104" max="3104" width="11.25" style="161" customWidth="1"/>
    <col min="3105" max="3326" width="9" style="161"/>
    <col min="3327" max="3327" width="15.875" style="161" customWidth="1"/>
    <col min="3328" max="3328" width="14" style="161" customWidth="1"/>
    <col min="3329" max="3329" width="12.75" style="161" customWidth="1"/>
    <col min="3330" max="3330" width="12.25" style="161" customWidth="1"/>
    <col min="3331" max="3331" width="13.75" style="161" customWidth="1"/>
    <col min="3332" max="3332" width="9.625" style="161" customWidth="1"/>
    <col min="3333" max="3333" width="10.25" style="161" customWidth="1"/>
    <col min="3334" max="3334" width="10.125" style="161" customWidth="1"/>
    <col min="3335" max="3335" width="7" style="161" customWidth="1"/>
    <col min="3336" max="3336" width="11.75" style="161" customWidth="1"/>
    <col min="3337" max="3337" width="11.5" style="161" customWidth="1"/>
    <col min="3338" max="3338" width="9.75" style="161" customWidth="1"/>
    <col min="3339" max="3339" width="10.25" style="161" customWidth="1"/>
    <col min="3340" max="3340" width="9.25" style="161" customWidth="1"/>
    <col min="3341" max="3341" width="9.5" style="161" customWidth="1"/>
    <col min="3342" max="3342" width="10.125" style="161" customWidth="1"/>
    <col min="3343" max="3343" width="16.875" style="161" customWidth="1"/>
    <col min="3344" max="3348" width="9" style="161"/>
    <col min="3349" max="3349" width="11.75" style="161" customWidth="1"/>
    <col min="3350" max="3350" width="9.875" style="161" customWidth="1"/>
    <col min="3351" max="3351" width="10.625" style="161" customWidth="1"/>
    <col min="3352" max="3352" width="12.75" style="161" customWidth="1"/>
    <col min="3353" max="3353" width="11.75" style="161" customWidth="1"/>
    <col min="3354" max="3354" width="9.875" style="161" customWidth="1"/>
    <col min="3355" max="3355" width="10.625" style="161" customWidth="1"/>
    <col min="3356" max="3356" width="12.75" style="161" customWidth="1"/>
    <col min="3357" max="3357" width="12.125" style="161" customWidth="1"/>
    <col min="3358" max="3358" width="10.625" style="161" customWidth="1"/>
    <col min="3359" max="3359" width="10.875" style="161" customWidth="1"/>
    <col min="3360" max="3360" width="11.25" style="161" customWidth="1"/>
    <col min="3361" max="3582" width="9" style="161"/>
    <col min="3583" max="3583" width="15.875" style="161" customWidth="1"/>
    <col min="3584" max="3584" width="14" style="161" customWidth="1"/>
    <col min="3585" max="3585" width="12.75" style="161" customWidth="1"/>
    <col min="3586" max="3586" width="12.25" style="161" customWidth="1"/>
    <col min="3587" max="3587" width="13.75" style="161" customWidth="1"/>
    <col min="3588" max="3588" width="9.625" style="161" customWidth="1"/>
    <col min="3589" max="3589" width="10.25" style="161" customWidth="1"/>
    <col min="3590" max="3590" width="10.125" style="161" customWidth="1"/>
    <col min="3591" max="3591" width="7" style="161" customWidth="1"/>
    <col min="3592" max="3592" width="11.75" style="161" customWidth="1"/>
    <col min="3593" max="3593" width="11.5" style="161" customWidth="1"/>
    <col min="3594" max="3594" width="9.75" style="161" customWidth="1"/>
    <col min="3595" max="3595" width="10.25" style="161" customWidth="1"/>
    <col min="3596" max="3596" width="9.25" style="161" customWidth="1"/>
    <col min="3597" max="3597" width="9.5" style="161" customWidth="1"/>
    <col min="3598" max="3598" width="10.125" style="161" customWidth="1"/>
    <col min="3599" max="3599" width="16.875" style="161" customWidth="1"/>
    <col min="3600" max="3604" width="9" style="161"/>
    <col min="3605" max="3605" width="11.75" style="161" customWidth="1"/>
    <col min="3606" max="3606" width="9.875" style="161" customWidth="1"/>
    <col min="3607" max="3607" width="10.625" style="161" customWidth="1"/>
    <col min="3608" max="3608" width="12.75" style="161" customWidth="1"/>
    <col min="3609" max="3609" width="11.75" style="161" customWidth="1"/>
    <col min="3610" max="3610" width="9.875" style="161" customWidth="1"/>
    <col min="3611" max="3611" width="10.625" style="161" customWidth="1"/>
    <col min="3612" max="3612" width="12.75" style="161" customWidth="1"/>
    <col min="3613" max="3613" width="12.125" style="161" customWidth="1"/>
    <col min="3614" max="3614" width="10.625" style="161" customWidth="1"/>
    <col min="3615" max="3615" width="10.875" style="161" customWidth="1"/>
    <col min="3616" max="3616" width="11.25" style="161" customWidth="1"/>
    <col min="3617" max="3838" width="9" style="161"/>
    <col min="3839" max="3839" width="15.875" style="161" customWidth="1"/>
    <col min="3840" max="3840" width="14" style="161" customWidth="1"/>
    <col min="3841" max="3841" width="12.75" style="161" customWidth="1"/>
    <col min="3842" max="3842" width="12.25" style="161" customWidth="1"/>
    <col min="3843" max="3843" width="13.75" style="161" customWidth="1"/>
    <col min="3844" max="3844" width="9.625" style="161" customWidth="1"/>
    <col min="3845" max="3845" width="10.25" style="161" customWidth="1"/>
    <col min="3846" max="3846" width="10.125" style="161" customWidth="1"/>
    <col min="3847" max="3847" width="7" style="161" customWidth="1"/>
    <col min="3848" max="3848" width="11.75" style="161" customWidth="1"/>
    <col min="3849" max="3849" width="11.5" style="161" customWidth="1"/>
    <col min="3850" max="3850" width="9.75" style="161" customWidth="1"/>
    <col min="3851" max="3851" width="10.25" style="161" customWidth="1"/>
    <col min="3852" max="3852" width="9.25" style="161" customWidth="1"/>
    <col min="3853" max="3853" width="9.5" style="161" customWidth="1"/>
    <col min="3854" max="3854" width="10.125" style="161" customWidth="1"/>
    <col min="3855" max="3855" width="16.875" style="161" customWidth="1"/>
    <col min="3856" max="3860" width="9" style="161"/>
    <col min="3861" max="3861" width="11.75" style="161" customWidth="1"/>
    <col min="3862" max="3862" width="9.875" style="161" customWidth="1"/>
    <col min="3863" max="3863" width="10.625" style="161" customWidth="1"/>
    <col min="3864" max="3864" width="12.75" style="161" customWidth="1"/>
    <col min="3865" max="3865" width="11.75" style="161" customWidth="1"/>
    <col min="3866" max="3866" width="9.875" style="161" customWidth="1"/>
    <col min="3867" max="3867" width="10.625" style="161" customWidth="1"/>
    <col min="3868" max="3868" width="12.75" style="161" customWidth="1"/>
    <col min="3869" max="3869" width="12.125" style="161" customWidth="1"/>
    <col min="3870" max="3870" width="10.625" style="161" customWidth="1"/>
    <col min="3871" max="3871" width="10.875" style="161" customWidth="1"/>
    <col min="3872" max="3872" width="11.25" style="161" customWidth="1"/>
    <col min="3873" max="4094" width="9" style="161"/>
    <col min="4095" max="4095" width="15.875" style="161" customWidth="1"/>
    <col min="4096" max="4096" width="14" style="161" customWidth="1"/>
    <col min="4097" max="4097" width="12.75" style="161" customWidth="1"/>
    <col min="4098" max="4098" width="12.25" style="161" customWidth="1"/>
    <col min="4099" max="4099" width="13.75" style="161" customWidth="1"/>
    <col min="4100" max="4100" width="9.625" style="161" customWidth="1"/>
    <col min="4101" max="4101" width="10.25" style="161" customWidth="1"/>
    <col min="4102" max="4102" width="10.125" style="161" customWidth="1"/>
    <col min="4103" max="4103" width="7" style="161" customWidth="1"/>
    <col min="4104" max="4104" width="11.75" style="161" customWidth="1"/>
    <col min="4105" max="4105" width="11.5" style="161" customWidth="1"/>
    <col min="4106" max="4106" width="9.75" style="161" customWidth="1"/>
    <col min="4107" max="4107" width="10.25" style="161" customWidth="1"/>
    <col min="4108" max="4108" width="9.25" style="161" customWidth="1"/>
    <col min="4109" max="4109" width="9.5" style="161" customWidth="1"/>
    <col min="4110" max="4110" width="10.125" style="161" customWidth="1"/>
    <col min="4111" max="4111" width="16.875" style="161" customWidth="1"/>
    <col min="4112" max="4116" width="9" style="161"/>
    <col min="4117" max="4117" width="11.75" style="161" customWidth="1"/>
    <col min="4118" max="4118" width="9.875" style="161" customWidth="1"/>
    <col min="4119" max="4119" width="10.625" style="161" customWidth="1"/>
    <col min="4120" max="4120" width="12.75" style="161" customWidth="1"/>
    <col min="4121" max="4121" width="11.75" style="161" customWidth="1"/>
    <col min="4122" max="4122" width="9.875" style="161" customWidth="1"/>
    <col min="4123" max="4123" width="10.625" style="161" customWidth="1"/>
    <col min="4124" max="4124" width="12.75" style="161" customWidth="1"/>
    <col min="4125" max="4125" width="12.125" style="161" customWidth="1"/>
    <col min="4126" max="4126" width="10.625" style="161" customWidth="1"/>
    <col min="4127" max="4127" width="10.875" style="161" customWidth="1"/>
    <col min="4128" max="4128" width="11.25" style="161" customWidth="1"/>
    <col min="4129" max="4350" width="9" style="161"/>
    <col min="4351" max="4351" width="15.875" style="161" customWidth="1"/>
    <col min="4352" max="4352" width="14" style="161" customWidth="1"/>
    <col min="4353" max="4353" width="12.75" style="161" customWidth="1"/>
    <col min="4354" max="4354" width="12.25" style="161" customWidth="1"/>
    <col min="4355" max="4355" width="13.75" style="161" customWidth="1"/>
    <col min="4356" max="4356" width="9.625" style="161" customWidth="1"/>
    <col min="4357" max="4357" width="10.25" style="161" customWidth="1"/>
    <col min="4358" max="4358" width="10.125" style="161" customWidth="1"/>
    <col min="4359" max="4359" width="7" style="161" customWidth="1"/>
    <col min="4360" max="4360" width="11.75" style="161" customWidth="1"/>
    <col min="4361" max="4361" width="11.5" style="161" customWidth="1"/>
    <col min="4362" max="4362" width="9.75" style="161" customWidth="1"/>
    <col min="4363" max="4363" width="10.25" style="161" customWidth="1"/>
    <col min="4364" max="4364" width="9.25" style="161" customWidth="1"/>
    <col min="4365" max="4365" width="9.5" style="161" customWidth="1"/>
    <col min="4366" max="4366" width="10.125" style="161" customWidth="1"/>
    <col min="4367" max="4367" width="16.875" style="161" customWidth="1"/>
    <col min="4368" max="4372" width="9" style="161"/>
    <col min="4373" max="4373" width="11.75" style="161" customWidth="1"/>
    <col min="4374" max="4374" width="9.875" style="161" customWidth="1"/>
    <col min="4375" max="4375" width="10.625" style="161" customWidth="1"/>
    <col min="4376" max="4376" width="12.75" style="161" customWidth="1"/>
    <col min="4377" max="4377" width="11.75" style="161" customWidth="1"/>
    <col min="4378" max="4378" width="9.875" style="161" customWidth="1"/>
    <col min="4379" max="4379" width="10.625" style="161" customWidth="1"/>
    <col min="4380" max="4380" width="12.75" style="161" customWidth="1"/>
    <col min="4381" max="4381" width="12.125" style="161" customWidth="1"/>
    <col min="4382" max="4382" width="10.625" style="161" customWidth="1"/>
    <col min="4383" max="4383" width="10.875" style="161" customWidth="1"/>
    <col min="4384" max="4384" width="11.25" style="161" customWidth="1"/>
    <col min="4385" max="4606" width="9" style="161"/>
    <col min="4607" max="4607" width="15.875" style="161" customWidth="1"/>
    <col min="4608" max="4608" width="14" style="161" customWidth="1"/>
    <col min="4609" max="4609" width="12.75" style="161" customWidth="1"/>
    <col min="4610" max="4610" width="12.25" style="161" customWidth="1"/>
    <col min="4611" max="4611" width="13.75" style="161" customWidth="1"/>
    <col min="4612" max="4612" width="9.625" style="161" customWidth="1"/>
    <col min="4613" max="4613" width="10.25" style="161" customWidth="1"/>
    <col min="4614" max="4614" width="10.125" style="161" customWidth="1"/>
    <col min="4615" max="4615" width="7" style="161" customWidth="1"/>
    <col min="4616" max="4616" width="11.75" style="161" customWidth="1"/>
    <col min="4617" max="4617" width="11.5" style="161" customWidth="1"/>
    <col min="4618" max="4618" width="9.75" style="161" customWidth="1"/>
    <col min="4619" max="4619" width="10.25" style="161" customWidth="1"/>
    <col min="4620" max="4620" width="9.25" style="161" customWidth="1"/>
    <col min="4621" max="4621" width="9.5" style="161" customWidth="1"/>
    <col min="4622" max="4622" width="10.125" style="161" customWidth="1"/>
    <col min="4623" max="4623" width="16.875" style="161" customWidth="1"/>
    <col min="4624" max="4628" width="9" style="161"/>
    <col min="4629" max="4629" width="11.75" style="161" customWidth="1"/>
    <col min="4630" max="4630" width="9.875" style="161" customWidth="1"/>
    <col min="4631" max="4631" width="10.625" style="161" customWidth="1"/>
    <col min="4632" max="4632" width="12.75" style="161" customWidth="1"/>
    <col min="4633" max="4633" width="11.75" style="161" customWidth="1"/>
    <col min="4634" max="4634" width="9.875" style="161" customWidth="1"/>
    <col min="4635" max="4635" width="10.625" style="161" customWidth="1"/>
    <col min="4636" max="4636" width="12.75" style="161" customWidth="1"/>
    <col min="4637" max="4637" width="12.125" style="161" customWidth="1"/>
    <col min="4638" max="4638" width="10.625" style="161" customWidth="1"/>
    <col min="4639" max="4639" width="10.875" style="161" customWidth="1"/>
    <col min="4640" max="4640" width="11.25" style="161" customWidth="1"/>
    <col min="4641" max="4862" width="9" style="161"/>
    <col min="4863" max="4863" width="15.875" style="161" customWidth="1"/>
    <col min="4864" max="4864" width="14" style="161" customWidth="1"/>
    <col min="4865" max="4865" width="12.75" style="161" customWidth="1"/>
    <col min="4866" max="4866" width="12.25" style="161" customWidth="1"/>
    <col min="4867" max="4867" width="13.75" style="161" customWidth="1"/>
    <col min="4868" max="4868" width="9.625" style="161" customWidth="1"/>
    <col min="4869" max="4869" width="10.25" style="161" customWidth="1"/>
    <col min="4870" max="4870" width="10.125" style="161" customWidth="1"/>
    <col min="4871" max="4871" width="7" style="161" customWidth="1"/>
    <col min="4872" max="4872" width="11.75" style="161" customWidth="1"/>
    <col min="4873" max="4873" width="11.5" style="161" customWidth="1"/>
    <col min="4874" max="4874" width="9.75" style="161" customWidth="1"/>
    <col min="4875" max="4875" width="10.25" style="161" customWidth="1"/>
    <col min="4876" max="4876" width="9.25" style="161" customWidth="1"/>
    <col min="4877" max="4877" width="9.5" style="161" customWidth="1"/>
    <col min="4878" max="4878" width="10.125" style="161" customWidth="1"/>
    <col min="4879" max="4879" width="16.875" style="161" customWidth="1"/>
    <col min="4880" max="4884" width="9" style="161"/>
    <col min="4885" max="4885" width="11.75" style="161" customWidth="1"/>
    <col min="4886" max="4886" width="9.875" style="161" customWidth="1"/>
    <col min="4887" max="4887" width="10.625" style="161" customWidth="1"/>
    <col min="4888" max="4888" width="12.75" style="161" customWidth="1"/>
    <col min="4889" max="4889" width="11.75" style="161" customWidth="1"/>
    <col min="4890" max="4890" width="9.875" style="161" customWidth="1"/>
    <col min="4891" max="4891" width="10.625" style="161" customWidth="1"/>
    <col min="4892" max="4892" width="12.75" style="161" customWidth="1"/>
    <col min="4893" max="4893" width="12.125" style="161" customWidth="1"/>
    <col min="4894" max="4894" width="10.625" style="161" customWidth="1"/>
    <col min="4895" max="4895" width="10.875" style="161" customWidth="1"/>
    <col min="4896" max="4896" width="11.25" style="161" customWidth="1"/>
    <col min="4897" max="5118" width="9" style="161"/>
    <col min="5119" max="5119" width="15.875" style="161" customWidth="1"/>
    <col min="5120" max="5120" width="14" style="161" customWidth="1"/>
    <col min="5121" max="5121" width="12.75" style="161" customWidth="1"/>
    <col min="5122" max="5122" width="12.25" style="161" customWidth="1"/>
    <col min="5123" max="5123" width="13.75" style="161" customWidth="1"/>
    <col min="5124" max="5124" width="9.625" style="161" customWidth="1"/>
    <col min="5125" max="5125" width="10.25" style="161" customWidth="1"/>
    <col min="5126" max="5126" width="10.125" style="161" customWidth="1"/>
    <col min="5127" max="5127" width="7" style="161" customWidth="1"/>
    <col min="5128" max="5128" width="11.75" style="161" customWidth="1"/>
    <col min="5129" max="5129" width="11.5" style="161" customWidth="1"/>
    <col min="5130" max="5130" width="9.75" style="161" customWidth="1"/>
    <col min="5131" max="5131" width="10.25" style="161" customWidth="1"/>
    <col min="5132" max="5132" width="9.25" style="161" customWidth="1"/>
    <col min="5133" max="5133" width="9.5" style="161" customWidth="1"/>
    <col min="5134" max="5134" width="10.125" style="161" customWidth="1"/>
    <col min="5135" max="5135" width="16.875" style="161" customWidth="1"/>
    <col min="5136" max="5140" width="9" style="161"/>
    <col min="5141" max="5141" width="11.75" style="161" customWidth="1"/>
    <col min="5142" max="5142" width="9.875" style="161" customWidth="1"/>
    <col min="5143" max="5143" width="10.625" style="161" customWidth="1"/>
    <col min="5144" max="5144" width="12.75" style="161" customWidth="1"/>
    <col min="5145" max="5145" width="11.75" style="161" customWidth="1"/>
    <col min="5146" max="5146" width="9.875" style="161" customWidth="1"/>
    <col min="5147" max="5147" width="10.625" style="161" customWidth="1"/>
    <col min="5148" max="5148" width="12.75" style="161" customWidth="1"/>
    <col min="5149" max="5149" width="12.125" style="161" customWidth="1"/>
    <col min="5150" max="5150" width="10.625" style="161" customWidth="1"/>
    <col min="5151" max="5151" width="10.875" style="161" customWidth="1"/>
    <col min="5152" max="5152" width="11.25" style="161" customWidth="1"/>
    <col min="5153" max="5374" width="9" style="161"/>
    <col min="5375" max="5375" width="15.875" style="161" customWidth="1"/>
    <col min="5376" max="5376" width="14" style="161" customWidth="1"/>
    <col min="5377" max="5377" width="12.75" style="161" customWidth="1"/>
    <col min="5378" max="5378" width="12.25" style="161" customWidth="1"/>
    <col min="5379" max="5379" width="13.75" style="161" customWidth="1"/>
    <col min="5380" max="5380" width="9.625" style="161" customWidth="1"/>
    <col min="5381" max="5381" width="10.25" style="161" customWidth="1"/>
    <col min="5382" max="5382" width="10.125" style="161" customWidth="1"/>
    <col min="5383" max="5383" width="7" style="161" customWidth="1"/>
    <col min="5384" max="5384" width="11.75" style="161" customWidth="1"/>
    <col min="5385" max="5385" width="11.5" style="161" customWidth="1"/>
    <col min="5386" max="5386" width="9.75" style="161" customWidth="1"/>
    <col min="5387" max="5387" width="10.25" style="161" customWidth="1"/>
    <col min="5388" max="5388" width="9.25" style="161" customWidth="1"/>
    <col min="5389" max="5389" width="9.5" style="161" customWidth="1"/>
    <col min="5390" max="5390" width="10.125" style="161" customWidth="1"/>
    <col min="5391" max="5391" width="16.875" style="161" customWidth="1"/>
    <col min="5392" max="5396" width="9" style="161"/>
    <col min="5397" max="5397" width="11.75" style="161" customWidth="1"/>
    <col min="5398" max="5398" width="9.875" style="161" customWidth="1"/>
    <col min="5399" max="5399" width="10.625" style="161" customWidth="1"/>
    <col min="5400" max="5400" width="12.75" style="161" customWidth="1"/>
    <col min="5401" max="5401" width="11.75" style="161" customWidth="1"/>
    <col min="5402" max="5402" width="9.875" style="161" customWidth="1"/>
    <col min="5403" max="5403" width="10.625" style="161" customWidth="1"/>
    <col min="5404" max="5404" width="12.75" style="161" customWidth="1"/>
    <col min="5405" max="5405" width="12.125" style="161" customWidth="1"/>
    <col min="5406" max="5406" width="10.625" style="161" customWidth="1"/>
    <col min="5407" max="5407" width="10.875" style="161" customWidth="1"/>
    <col min="5408" max="5408" width="11.25" style="161" customWidth="1"/>
    <col min="5409" max="5630" width="9" style="161"/>
    <col min="5631" max="5631" width="15.875" style="161" customWidth="1"/>
    <col min="5632" max="5632" width="14" style="161" customWidth="1"/>
    <col min="5633" max="5633" width="12.75" style="161" customWidth="1"/>
    <col min="5634" max="5634" width="12.25" style="161" customWidth="1"/>
    <col min="5635" max="5635" width="13.75" style="161" customWidth="1"/>
    <col min="5636" max="5636" width="9.625" style="161" customWidth="1"/>
    <col min="5637" max="5637" width="10.25" style="161" customWidth="1"/>
    <col min="5638" max="5638" width="10.125" style="161" customWidth="1"/>
    <col min="5639" max="5639" width="7" style="161" customWidth="1"/>
    <col min="5640" max="5640" width="11.75" style="161" customWidth="1"/>
    <col min="5641" max="5641" width="11.5" style="161" customWidth="1"/>
    <col min="5642" max="5642" width="9.75" style="161" customWidth="1"/>
    <col min="5643" max="5643" width="10.25" style="161" customWidth="1"/>
    <col min="5644" max="5644" width="9.25" style="161" customWidth="1"/>
    <col min="5645" max="5645" width="9.5" style="161" customWidth="1"/>
    <col min="5646" max="5646" width="10.125" style="161" customWidth="1"/>
    <col min="5647" max="5647" width="16.875" style="161" customWidth="1"/>
    <col min="5648" max="5652" width="9" style="161"/>
    <col min="5653" max="5653" width="11.75" style="161" customWidth="1"/>
    <col min="5654" max="5654" width="9.875" style="161" customWidth="1"/>
    <col min="5655" max="5655" width="10.625" style="161" customWidth="1"/>
    <col min="5656" max="5656" width="12.75" style="161" customWidth="1"/>
    <col min="5657" max="5657" width="11.75" style="161" customWidth="1"/>
    <col min="5658" max="5658" width="9.875" style="161" customWidth="1"/>
    <col min="5659" max="5659" width="10.625" style="161" customWidth="1"/>
    <col min="5660" max="5660" width="12.75" style="161" customWidth="1"/>
    <col min="5661" max="5661" width="12.125" style="161" customWidth="1"/>
    <col min="5662" max="5662" width="10.625" style="161" customWidth="1"/>
    <col min="5663" max="5663" width="10.875" style="161" customWidth="1"/>
    <col min="5664" max="5664" width="11.25" style="161" customWidth="1"/>
    <col min="5665" max="5886" width="9" style="161"/>
    <col min="5887" max="5887" width="15.875" style="161" customWidth="1"/>
    <col min="5888" max="5888" width="14" style="161" customWidth="1"/>
    <col min="5889" max="5889" width="12.75" style="161" customWidth="1"/>
    <col min="5890" max="5890" width="12.25" style="161" customWidth="1"/>
    <col min="5891" max="5891" width="13.75" style="161" customWidth="1"/>
    <col min="5892" max="5892" width="9.625" style="161" customWidth="1"/>
    <col min="5893" max="5893" width="10.25" style="161" customWidth="1"/>
    <col min="5894" max="5894" width="10.125" style="161" customWidth="1"/>
    <col min="5895" max="5895" width="7" style="161" customWidth="1"/>
    <col min="5896" max="5896" width="11.75" style="161" customWidth="1"/>
    <col min="5897" max="5897" width="11.5" style="161" customWidth="1"/>
    <col min="5898" max="5898" width="9.75" style="161" customWidth="1"/>
    <col min="5899" max="5899" width="10.25" style="161" customWidth="1"/>
    <col min="5900" max="5900" width="9.25" style="161" customWidth="1"/>
    <col min="5901" max="5901" width="9.5" style="161" customWidth="1"/>
    <col min="5902" max="5902" width="10.125" style="161" customWidth="1"/>
    <col min="5903" max="5903" width="16.875" style="161" customWidth="1"/>
    <col min="5904" max="5908" width="9" style="161"/>
    <col min="5909" max="5909" width="11.75" style="161" customWidth="1"/>
    <col min="5910" max="5910" width="9.875" style="161" customWidth="1"/>
    <col min="5911" max="5911" width="10.625" style="161" customWidth="1"/>
    <col min="5912" max="5912" width="12.75" style="161" customWidth="1"/>
    <col min="5913" max="5913" width="11.75" style="161" customWidth="1"/>
    <col min="5914" max="5914" width="9.875" style="161" customWidth="1"/>
    <col min="5915" max="5915" width="10.625" style="161" customWidth="1"/>
    <col min="5916" max="5916" width="12.75" style="161" customWidth="1"/>
    <col min="5917" max="5917" width="12.125" style="161" customWidth="1"/>
    <col min="5918" max="5918" width="10.625" style="161" customWidth="1"/>
    <col min="5919" max="5919" width="10.875" style="161" customWidth="1"/>
    <col min="5920" max="5920" width="11.25" style="161" customWidth="1"/>
    <col min="5921" max="6142" width="9" style="161"/>
    <col min="6143" max="6143" width="15.875" style="161" customWidth="1"/>
    <col min="6144" max="6144" width="14" style="161" customWidth="1"/>
    <col min="6145" max="6145" width="12.75" style="161" customWidth="1"/>
    <col min="6146" max="6146" width="12.25" style="161" customWidth="1"/>
    <col min="6147" max="6147" width="13.75" style="161" customWidth="1"/>
    <col min="6148" max="6148" width="9.625" style="161" customWidth="1"/>
    <col min="6149" max="6149" width="10.25" style="161" customWidth="1"/>
    <col min="6150" max="6150" width="10.125" style="161" customWidth="1"/>
    <col min="6151" max="6151" width="7" style="161" customWidth="1"/>
    <col min="6152" max="6152" width="11.75" style="161" customWidth="1"/>
    <col min="6153" max="6153" width="11.5" style="161" customWidth="1"/>
    <col min="6154" max="6154" width="9.75" style="161" customWidth="1"/>
    <col min="6155" max="6155" width="10.25" style="161" customWidth="1"/>
    <col min="6156" max="6156" width="9.25" style="161" customWidth="1"/>
    <col min="6157" max="6157" width="9.5" style="161" customWidth="1"/>
    <col min="6158" max="6158" width="10.125" style="161" customWidth="1"/>
    <col min="6159" max="6159" width="16.875" style="161" customWidth="1"/>
    <col min="6160" max="6164" width="9" style="161"/>
    <col min="6165" max="6165" width="11.75" style="161" customWidth="1"/>
    <col min="6166" max="6166" width="9.875" style="161" customWidth="1"/>
    <col min="6167" max="6167" width="10.625" style="161" customWidth="1"/>
    <col min="6168" max="6168" width="12.75" style="161" customWidth="1"/>
    <col min="6169" max="6169" width="11.75" style="161" customWidth="1"/>
    <col min="6170" max="6170" width="9.875" style="161" customWidth="1"/>
    <col min="6171" max="6171" width="10.625" style="161" customWidth="1"/>
    <col min="6172" max="6172" width="12.75" style="161" customWidth="1"/>
    <col min="6173" max="6173" width="12.125" style="161" customWidth="1"/>
    <col min="6174" max="6174" width="10.625" style="161" customWidth="1"/>
    <col min="6175" max="6175" width="10.875" style="161" customWidth="1"/>
    <col min="6176" max="6176" width="11.25" style="161" customWidth="1"/>
    <col min="6177" max="6398" width="9" style="161"/>
    <col min="6399" max="6399" width="15.875" style="161" customWidth="1"/>
    <col min="6400" max="6400" width="14" style="161" customWidth="1"/>
    <col min="6401" max="6401" width="12.75" style="161" customWidth="1"/>
    <col min="6402" max="6402" width="12.25" style="161" customWidth="1"/>
    <col min="6403" max="6403" width="13.75" style="161" customWidth="1"/>
    <col min="6404" max="6404" width="9.625" style="161" customWidth="1"/>
    <col min="6405" max="6405" width="10.25" style="161" customWidth="1"/>
    <col min="6406" max="6406" width="10.125" style="161" customWidth="1"/>
    <col min="6407" max="6407" width="7" style="161" customWidth="1"/>
    <col min="6408" max="6408" width="11.75" style="161" customWidth="1"/>
    <col min="6409" max="6409" width="11.5" style="161" customWidth="1"/>
    <col min="6410" max="6410" width="9.75" style="161" customWidth="1"/>
    <col min="6411" max="6411" width="10.25" style="161" customWidth="1"/>
    <col min="6412" max="6412" width="9.25" style="161" customWidth="1"/>
    <col min="6413" max="6413" width="9.5" style="161" customWidth="1"/>
    <col min="6414" max="6414" width="10.125" style="161" customWidth="1"/>
    <col min="6415" max="6415" width="16.875" style="161" customWidth="1"/>
    <col min="6416" max="6420" width="9" style="161"/>
    <col min="6421" max="6421" width="11.75" style="161" customWidth="1"/>
    <col min="6422" max="6422" width="9.875" style="161" customWidth="1"/>
    <col min="6423" max="6423" width="10.625" style="161" customWidth="1"/>
    <col min="6424" max="6424" width="12.75" style="161" customWidth="1"/>
    <col min="6425" max="6425" width="11.75" style="161" customWidth="1"/>
    <col min="6426" max="6426" width="9.875" style="161" customWidth="1"/>
    <col min="6427" max="6427" width="10.625" style="161" customWidth="1"/>
    <col min="6428" max="6428" width="12.75" style="161" customWidth="1"/>
    <col min="6429" max="6429" width="12.125" style="161" customWidth="1"/>
    <col min="6430" max="6430" width="10.625" style="161" customWidth="1"/>
    <col min="6431" max="6431" width="10.875" style="161" customWidth="1"/>
    <col min="6432" max="6432" width="11.25" style="161" customWidth="1"/>
    <col min="6433" max="6654" width="9" style="161"/>
    <col min="6655" max="6655" width="15.875" style="161" customWidth="1"/>
    <col min="6656" max="6656" width="14" style="161" customWidth="1"/>
    <col min="6657" max="6657" width="12.75" style="161" customWidth="1"/>
    <col min="6658" max="6658" width="12.25" style="161" customWidth="1"/>
    <col min="6659" max="6659" width="13.75" style="161" customWidth="1"/>
    <col min="6660" max="6660" width="9.625" style="161" customWidth="1"/>
    <col min="6661" max="6661" width="10.25" style="161" customWidth="1"/>
    <col min="6662" max="6662" width="10.125" style="161" customWidth="1"/>
    <col min="6663" max="6663" width="7" style="161" customWidth="1"/>
    <col min="6664" max="6664" width="11.75" style="161" customWidth="1"/>
    <col min="6665" max="6665" width="11.5" style="161" customWidth="1"/>
    <col min="6666" max="6666" width="9.75" style="161" customWidth="1"/>
    <col min="6667" max="6667" width="10.25" style="161" customWidth="1"/>
    <col min="6668" max="6668" width="9.25" style="161" customWidth="1"/>
    <col min="6669" max="6669" width="9.5" style="161" customWidth="1"/>
    <col min="6670" max="6670" width="10.125" style="161" customWidth="1"/>
    <col min="6671" max="6671" width="16.875" style="161" customWidth="1"/>
    <col min="6672" max="6676" width="9" style="161"/>
    <col min="6677" max="6677" width="11.75" style="161" customWidth="1"/>
    <col min="6678" max="6678" width="9.875" style="161" customWidth="1"/>
    <col min="6679" max="6679" width="10.625" style="161" customWidth="1"/>
    <col min="6680" max="6680" width="12.75" style="161" customWidth="1"/>
    <col min="6681" max="6681" width="11.75" style="161" customWidth="1"/>
    <col min="6682" max="6682" width="9.875" style="161" customWidth="1"/>
    <col min="6683" max="6683" width="10.625" style="161" customWidth="1"/>
    <col min="6684" max="6684" width="12.75" style="161" customWidth="1"/>
    <col min="6685" max="6685" width="12.125" style="161" customWidth="1"/>
    <col min="6686" max="6686" width="10.625" style="161" customWidth="1"/>
    <col min="6687" max="6687" width="10.875" style="161" customWidth="1"/>
    <col min="6688" max="6688" width="11.25" style="161" customWidth="1"/>
    <col min="6689" max="6910" width="9" style="161"/>
    <col min="6911" max="6911" width="15.875" style="161" customWidth="1"/>
    <col min="6912" max="6912" width="14" style="161" customWidth="1"/>
    <col min="6913" max="6913" width="12.75" style="161" customWidth="1"/>
    <col min="6914" max="6914" width="12.25" style="161" customWidth="1"/>
    <col min="6915" max="6915" width="13.75" style="161" customWidth="1"/>
    <col min="6916" max="6916" width="9.625" style="161" customWidth="1"/>
    <col min="6917" max="6917" width="10.25" style="161" customWidth="1"/>
    <col min="6918" max="6918" width="10.125" style="161" customWidth="1"/>
    <col min="6919" max="6919" width="7" style="161" customWidth="1"/>
    <col min="6920" max="6920" width="11.75" style="161" customWidth="1"/>
    <col min="6921" max="6921" width="11.5" style="161" customWidth="1"/>
    <col min="6922" max="6922" width="9.75" style="161" customWidth="1"/>
    <col min="6923" max="6923" width="10.25" style="161" customWidth="1"/>
    <col min="6924" max="6924" width="9.25" style="161" customWidth="1"/>
    <col min="6925" max="6925" width="9.5" style="161" customWidth="1"/>
    <col min="6926" max="6926" width="10.125" style="161" customWidth="1"/>
    <col min="6927" max="6927" width="16.875" style="161" customWidth="1"/>
    <col min="6928" max="6932" width="9" style="161"/>
    <col min="6933" max="6933" width="11.75" style="161" customWidth="1"/>
    <col min="6934" max="6934" width="9.875" style="161" customWidth="1"/>
    <col min="6935" max="6935" width="10.625" style="161" customWidth="1"/>
    <col min="6936" max="6936" width="12.75" style="161" customWidth="1"/>
    <col min="6937" max="6937" width="11.75" style="161" customWidth="1"/>
    <col min="6938" max="6938" width="9.875" style="161" customWidth="1"/>
    <col min="6939" max="6939" width="10.625" style="161" customWidth="1"/>
    <col min="6940" max="6940" width="12.75" style="161" customWidth="1"/>
    <col min="6941" max="6941" width="12.125" style="161" customWidth="1"/>
    <col min="6942" max="6942" width="10.625" style="161" customWidth="1"/>
    <col min="6943" max="6943" width="10.875" style="161" customWidth="1"/>
    <col min="6944" max="6944" width="11.25" style="161" customWidth="1"/>
    <col min="6945" max="7166" width="9" style="161"/>
    <col min="7167" max="7167" width="15.875" style="161" customWidth="1"/>
    <col min="7168" max="7168" width="14" style="161" customWidth="1"/>
    <col min="7169" max="7169" width="12.75" style="161" customWidth="1"/>
    <col min="7170" max="7170" width="12.25" style="161" customWidth="1"/>
    <col min="7171" max="7171" width="13.75" style="161" customWidth="1"/>
    <col min="7172" max="7172" width="9.625" style="161" customWidth="1"/>
    <col min="7173" max="7173" width="10.25" style="161" customWidth="1"/>
    <col min="7174" max="7174" width="10.125" style="161" customWidth="1"/>
    <col min="7175" max="7175" width="7" style="161" customWidth="1"/>
    <col min="7176" max="7176" width="11.75" style="161" customWidth="1"/>
    <col min="7177" max="7177" width="11.5" style="161" customWidth="1"/>
    <col min="7178" max="7178" width="9.75" style="161" customWidth="1"/>
    <col min="7179" max="7179" width="10.25" style="161" customWidth="1"/>
    <col min="7180" max="7180" width="9.25" style="161" customWidth="1"/>
    <col min="7181" max="7181" width="9.5" style="161" customWidth="1"/>
    <col min="7182" max="7182" width="10.125" style="161" customWidth="1"/>
    <col min="7183" max="7183" width="16.875" style="161" customWidth="1"/>
    <col min="7184" max="7188" width="9" style="161"/>
    <col min="7189" max="7189" width="11.75" style="161" customWidth="1"/>
    <col min="7190" max="7190" width="9.875" style="161" customWidth="1"/>
    <col min="7191" max="7191" width="10.625" style="161" customWidth="1"/>
    <col min="7192" max="7192" width="12.75" style="161" customWidth="1"/>
    <col min="7193" max="7193" width="11.75" style="161" customWidth="1"/>
    <col min="7194" max="7194" width="9.875" style="161" customWidth="1"/>
    <col min="7195" max="7195" width="10.625" style="161" customWidth="1"/>
    <col min="7196" max="7196" width="12.75" style="161" customWidth="1"/>
    <col min="7197" max="7197" width="12.125" style="161" customWidth="1"/>
    <col min="7198" max="7198" width="10.625" style="161" customWidth="1"/>
    <col min="7199" max="7199" width="10.875" style="161" customWidth="1"/>
    <col min="7200" max="7200" width="11.25" style="161" customWidth="1"/>
    <col min="7201" max="7422" width="9" style="161"/>
    <col min="7423" max="7423" width="15.875" style="161" customWidth="1"/>
    <col min="7424" max="7424" width="14" style="161" customWidth="1"/>
    <col min="7425" max="7425" width="12.75" style="161" customWidth="1"/>
    <col min="7426" max="7426" width="12.25" style="161" customWidth="1"/>
    <col min="7427" max="7427" width="13.75" style="161" customWidth="1"/>
    <col min="7428" max="7428" width="9.625" style="161" customWidth="1"/>
    <col min="7429" max="7429" width="10.25" style="161" customWidth="1"/>
    <col min="7430" max="7430" width="10.125" style="161" customWidth="1"/>
    <col min="7431" max="7431" width="7" style="161" customWidth="1"/>
    <col min="7432" max="7432" width="11.75" style="161" customWidth="1"/>
    <col min="7433" max="7433" width="11.5" style="161" customWidth="1"/>
    <col min="7434" max="7434" width="9.75" style="161" customWidth="1"/>
    <col min="7435" max="7435" width="10.25" style="161" customWidth="1"/>
    <col min="7436" max="7436" width="9.25" style="161" customWidth="1"/>
    <col min="7437" max="7437" width="9.5" style="161" customWidth="1"/>
    <col min="7438" max="7438" width="10.125" style="161" customWidth="1"/>
    <col min="7439" max="7439" width="16.875" style="161" customWidth="1"/>
    <col min="7440" max="7444" width="9" style="161"/>
    <col min="7445" max="7445" width="11.75" style="161" customWidth="1"/>
    <col min="7446" max="7446" width="9.875" style="161" customWidth="1"/>
    <col min="7447" max="7447" width="10.625" style="161" customWidth="1"/>
    <col min="7448" max="7448" width="12.75" style="161" customWidth="1"/>
    <col min="7449" max="7449" width="11.75" style="161" customWidth="1"/>
    <col min="7450" max="7450" width="9.875" style="161" customWidth="1"/>
    <col min="7451" max="7451" width="10.625" style="161" customWidth="1"/>
    <col min="7452" max="7452" width="12.75" style="161" customWidth="1"/>
    <col min="7453" max="7453" width="12.125" style="161" customWidth="1"/>
    <col min="7454" max="7454" width="10.625" style="161" customWidth="1"/>
    <col min="7455" max="7455" width="10.875" style="161" customWidth="1"/>
    <col min="7456" max="7456" width="11.25" style="161" customWidth="1"/>
    <col min="7457" max="7678" width="9" style="161"/>
    <col min="7679" max="7679" width="15.875" style="161" customWidth="1"/>
    <col min="7680" max="7680" width="14" style="161" customWidth="1"/>
    <col min="7681" max="7681" width="12.75" style="161" customWidth="1"/>
    <col min="7682" max="7682" width="12.25" style="161" customWidth="1"/>
    <col min="7683" max="7683" width="13.75" style="161" customWidth="1"/>
    <col min="7684" max="7684" width="9.625" style="161" customWidth="1"/>
    <col min="7685" max="7685" width="10.25" style="161" customWidth="1"/>
    <col min="7686" max="7686" width="10.125" style="161" customWidth="1"/>
    <col min="7687" max="7687" width="7" style="161" customWidth="1"/>
    <col min="7688" max="7688" width="11.75" style="161" customWidth="1"/>
    <col min="7689" max="7689" width="11.5" style="161" customWidth="1"/>
    <col min="7690" max="7690" width="9.75" style="161" customWidth="1"/>
    <col min="7691" max="7691" width="10.25" style="161" customWidth="1"/>
    <col min="7692" max="7692" width="9.25" style="161" customWidth="1"/>
    <col min="7693" max="7693" width="9.5" style="161" customWidth="1"/>
    <col min="7694" max="7694" width="10.125" style="161" customWidth="1"/>
    <col min="7695" max="7695" width="16.875" style="161" customWidth="1"/>
    <col min="7696" max="7700" width="9" style="161"/>
    <col min="7701" max="7701" width="11.75" style="161" customWidth="1"/>
    <col min="7702" max="7702" width="9.875" style="161" customWidth="1"/>
    <col min="7703" max="7703" width="10.625" style="161" customWidth="1"/>
    <col min="7704" max="7704" width="12.75" style="161" customWidth="1"/>
    <col min="7705" max="7705" width="11.75" style="161" customWidth="1"/>
    <col min="7706" max="7706" width="9.875" style="161" customWidth="1"/>
    <col min="7707" max="7707" width="10.625" style="161" customWidth="1"/>
    <col min="7708" max="7708" width="12.75" style="161" customWidth="1"/>
    <col min="7709" max="7709" width="12.125" style="161" customWidth="1"/>
    <col min="7710" max="7710" width="10.625" style="161" customWidth="1"/>
    <col min="7711" max="7711" width="10.875" style="161" customWidth="1"/>
    <col min="7712" max="7712" width="11.25" style="161" customWidth="1"/>
    <col min="7713" max="7934" width="9" style="161"/>
    <col min="7935" max="7935" width="15.875" style="161" customWidth="1"/>
    <col min="7936" max="7936" width="14" style="161" customWidth="1"/>
    <col min="7937" max="7937" width="12.75" style="161" customWidth="1"/>
    <col min="7938" max="7938" width="12.25" style="161" customWidth="1"/>
    <col min="7939" max="7939" width="13.75" style="161" customWidth="1"/>
    <col min="7940" max="7940" width="9.625" style="161" customWidth="1"/>
    <col min="7941" max="7941" width="10.25" style="161" customWidth="1"/>
    <col min="7942" max="7942" width="10.125" style="161" customWidth="1"/>
    <col min="7943" max="7943" width="7" style="161" customWidth="1"/>
    <col min="7944" max="7944" width="11.75" style="161" customWidth="1"/>
    <col min="7945" max="7945" width="11.5" style="161" customWidth="1"/>
    <col min="7946" max="7946" width="9.75" style="161" customWidth="1"/>
    <col min="7947" max="7947" width="10.25" style="161" customWidth="1"/>
    <col min="7948" max="7948" width="9.25" style="161" customWidth="1"/>
    <col min="7949" max="7949" width="9.5" style="161" customWidth="1"/>
    <col min="7950" max="7950" width="10.125" style="161" customWidth="1"/>
    <col min="7951" max="7951" width="16.875" style="161" customWidth="1"/>
    <col min="7952" max="7956" width="9" style="161"/>
    <col min="7957" max="7957" width="11.75" style="161" customWidth="1"/>
    <col min="7958" max="7958" width="9.875" style="161" customWidth="1"/>
    <col min="7959" max="7959" width="10.625" style="161" customWidth="1"/>
    <col min="7960" max="7960" width="12.75" style="161" customWidth="1"/>
    <col min="7961" max="7961" width="11.75" style="161" customWidth="1"/>
    <col min="7962" max="7962" width="9.875" style="161" customWidth="1"/>
    <col min="7963" max="7963" width="10.625" style="161" customWidth="1"/>
    <col min="7964" max="7964" width="12.75" style="161" customWidth="1"/>
    <col min="7965" max="7965" width="12.125" style="161" customWidth="1"/>
    <col min="7966" max="7966" width="10.625" style="161" customWidth="1"/>
    <col min="7967" max="7967" width="10.875" style="161" customWidth="1"/>
    <col min="7968" max="7968" width="11.25" style="161" customWidth="1"/>
    <col min="7969" max="8190" width="9" style="161"/>
    <col min="8191" max="8191" width="15.875" style="161" customWidth="1"/>
    <col min="8192" max="8192" width="14" style="161" customWidth="1"/>
    <col min="8193" max="8193" width="12.75" style="161" customWidth="1"/>
    <col min="8194" max="8194" width="12.25" style="161" customWidth="1"/>
    <col min="8195" max="8195" width="13.75" style="161" customWidth="1"/>
    <col min="8196" max="8196" width="9.625" style="161" customWidth="1"/>
    <col min="8197" max="8197" width="10.25" style="161" customWidth="1"/>
    <col min="8198" max="8198" width="10.125" style="161" customWidth="1"/>
    <col min="8199" max="8199" width="7" style="161" customWidth="1"/>
    <col min="8200" max="8200" width="11.75" style="161" customWidth="1"/>
    <col min="8201" max="8201" width="11.5" style="161" customWidth="1"/>
    <col min="8202" max="8202" width="9.75" style="161" customWidth="1"/>
    <col min="8203" max="8203" width="10.25" style="161" customWidth="1"/>
    <col min="8204" max="8204" width="9.25" style="161" customWidth="1"/>
    <col min="8205" max="8205" width="9.5" style="161" customWidth="1"/>
    <col min="8206" max="8206" width="10.125" style="161" customWidth="1"/>
    <col min="8207" max="8207" width="16.875" style="161" customWidth="1"/>
    <col min="8208" max="8212" width="9" style="161"/>
    <col min="8213" max="8213" width="11.75" style="161" customWidth="1"/>
    <col min="8214" max="8214" width="9.875" style="161" customWidth="1"/>
    <col min="8215" max="8215" width="10.625" style="161" customWidth="1"/>
    <col min="8216" max="8216" width="12.75" style="161" customWidth="1"/>
    <col min="8217" max="8217" width="11.75" style="161" customWidth="1"/>
    <col min="8218" max="8218" width="9.875" style="161" customWidth="1"/>
    <col min="8219" max="8219" width="10.625" style="161" customWidth="1"/>
    <col min="8220" max="8220" width="12.75" style="161" customWidth="1"/>
    <col min="8221" max="8221" width="12.125" style="161" customWidth="1"/>
    <col min="8222" max="8222" width="10.625" style="161" customWidth="1"/>
    <col min="8223" max="8223" width="10.875" style="161" customWidth="1"/>
    <col min="8224" max="8224" width="11.25" style="161" customWidth="1"/>
    <col min="8225" max="8446" width="9" style="161"/>
    <col min="8447" max="8447" width="15.875" style="161" customWidth="1"/>
    <col min="8448" max="8448" width="14" style="161" customWidth="1"/>
    <col min="8449" max="8449" width="12.75" style="161" customWidth="1"/>
    <col min="8450" max="8450" width="12.25" style="161" customWidth="1"/>
    <col min="8451" max="8451" width="13.75" style="161" customWidth="1"/>
    <col min="8452" max="8452" width="9.625" style="161" customWidth="1"/>
    <col min="8453" max="8453" width="10.25" style="161" customWidth="1"/>
    <col min="8454" max="8454" width="10.125" style="161" customWidth="1"/>
    <col min="8455" max="8455" width="7" style="161" customWidth="1"/>
    <col min="8456" max="8456" width="11.75" style="161" customWidth="1"/>
    <col min="8457" max="8457" width="11.5" style="161" customWidth="1"/>
    <col min="8458" max="8458" width="9.75" style="161" customWidth="1"/>
    <col min="8459" max="8459" width="10.25" style="161" customWidth="1"/>
    <col min="8460" max="8460" width="9.25" style="161" customWidth="1"/>
    <col min="8461" max="8461" width="9.5" style="161" customWidth="1"/>
    <col min="8462" max="8462" width="10.125" style="161" customWidth="1"/>
    <col min="8463" max="8463" width="16.875" style="161" customWidth="1"/>
    <col min="8464" max="8468" width="9" style="161"/>
    <col min="8469" max="8469" width="11.75" style="161" customWidth="1"/>
    <col min="8470" max="8470" width="9.875" style="161" customWidth="1"/>
    <col min="8471" max="8471" width="10.625" style="161" customWidth="1"/>
    <col min="8472" max="8472" width="12.75" style="161" customWidth="1"/>
    <col min="8473" max="8473" width="11.75" style="161" customWidth="1"/>
    <col min="8474" max="8474" width="9.875" style="161" customWidth="1"/>
    <col min="8475" max="8475" width="10.625" style="161" customWidth="1"/>
    <col min="8476" max="8476" width="12.75" style="161" customWidth="1"/>
    <col min="8477" max="8477" width="12.125" style="161" customWidth="1"/>
    <col min="8478" max="8478" width="10.625" style="161" customWidth="1"/>
    <col min="8479" max="8479" width="10.875" style="161" customWidth="1"/>
    <col min="8480" max="8480" width="11.25" style="161" customWidth="1"/>
    <col min="8481" max="8702" width="9" style="161"/>
    <col min="8703" max="8703" width="15.875" style="161" customWidth="1"/>
    <col min="8704" max="8704" width="14" style="161" customWidth="1"/>
    <col min="8705" max="8705" width="12.75" style="161" customWidth="1"/>
    <col min="8706" max="8706" width="12.25" style="161" customWidth="1"/>
    <col min="8707" max="8707" width="13.75" style="161" customWidth="1"/>
    <col min="8708" max="8708" width="9.625" style="161" customWidth="1"/>
    <col min="8709" max="8709" width="10.25" style="161" customWidth="1"/>
    <col min="8710" max="8710" width="10.125" style="161" customWidth="1"/>
    <col min="8711" max="8711" width="7" style="161" customWidth="1"/>
    <col min="8712" max="8712" width="11.75" style="161" customWidth="1"/>
    <col min="8713" max="8713" width="11.5" style="161" customWidth="1"/>
    <col min="8714" max="8714" width="9.75" style="161" customWidth="1"/>
    <col min="8715" max="8715" width="10.25" style="161" customWidth="1"/>
    <col min="8716" max="8716" width="9.25" style="161" customWidth="1"/>
    <col min="8717" max="8717" width="9.5" style="161" customWidth="1"/>
    <col min="8718" max="8718" width="10.125" style="161" customWidth="1"/>
    <col min="8719" max="8719" width="16.875" style="161" customWidth="1"/>
    <col min="8720" max="8724" width="9" style="161"/>
    <col min="8725" max="8725" width="11.75" style="161" customWidth="1"/>
    <col min="8726" max="8726" width="9.875" style="161" customWidth="1"/>
    <col min="8727" max="8727" width="10.625" style="161" customWidth="1"/>
    <col min="8728" max="8728" width="12.75" style="161" customWidth="1"/>
    <col min="8729" max="8729" width="11.75" style="161" customWidth="1"/>
    <col min="8730" max="8730" width="9.875" style="161" customWidth="1"/>
    <col min="8731" max="8731" width="10.625" style="161" customWidth="1"/>
    <col min="8732" max="8732" width="12.75" style="161" customWidth="1"/>
    <col min="8733" max="8733" width="12.125" style="161" customWidth="1"/>
    <col min="8734" max="8734" width="10.625" style="161" customWidth="1"/>
    <col min="8735" max="8735" width="10.875" style="161" customWidth="1"/>
    <col min="8736" max="8736" width="11.25" style="161" customWidth="1"/>
    <col min="8737" max="8958" width="9" style="161"/>
    <col min="8959" max="8959" width="15.875" style="161" customWidth="1"/>
    <col min="8960" max="8960" width="14" style="161" customWidth="1"/>
    <col min="8961" max="8961" width="12.75" style="161" customWidth="1"/>
    <col min="8962" max="8962" width="12.25" style="161" customWidth="1"/>
    <col min="8963" max="8963" width="13.75" style="161" customWidth="1"/>
    <col min="8964" max="8964" width="9.625" style="161" customWidth="1"/>
    <col min="8965" max="8965" width="10.25" style="161" customWidth="1"/>
    <col min="8966" max="8966" width="10.125" style="161" customWidth="1"/>
    <col min="8967" max="8967" width="7" style="161" customWidth="1"/>
    <col min="8968" max="8968" width="11.75" style="161" customWidth="1"/>
    <col min="8969" max="8969" width="11.5" style="161" customWidth="1"/>
    <col min="8970" max="8970" width="9.75" style="161" customWidth="1"/>
    <col min="8971" max="8971" width="10.25" style="161" customWidth="1"/>
    <col min="8972" max="8972" width="9.25" style="161" customWidth="1"/>
    <col min="8973" max="8973" width="9.5" style="161" customWidth="1"/>
    <col min="8974" max="8974" width="10.125" style="161" customWidth="1"/>
    <col min="8975" max="8975" width="16.875" style="161" customWidth="1"/>
    <col min="8976" max="8980" width="9" style="161"/>
    <col min="8981" max="8981" width="11.75" style="161" customWidth="1"/>
    <col min="8982" max="8982" width="9.875" style="161" customWidth="1"/>
    <col min="8983" max="8983" width="10.625" style="161" customWidth="1"/>
    <col min="8984" max="8984" width="12.75" style="161" customWidth="1"/>
    <col min="8985" max="8985" width="11.75" style="161" customWidth="1"/>
    <col min="8986" max="8986" width="9.875" style="161" customWidth="1"/>
    <col min="8987" max="8987" width="10.625" style="161" customWidth="1"/>
    <col min="8988" max="8988" width="12.75" style="161" customWidth="1"/>
    <col min="8989" max="8989" width="12.125" style="161" customWidth="1"/>
    <col min="8990" max="8990" width="10.625" style="161" customWidth="1"/>
    <col min="8991" max="8991" width="10.875" style="161" customWidth="1"/>
    <col min="8992" max="8992" width="11.25" style="161" customWidth="1"/>
    <col min="8993" max="9214" width="9" style="161"/>
    <col min="9215" max="9215" width="15.875" style="161" customWidth="1"/>
    <col min="9216" max="9216" width="14" style="161" customWidth="1"/>
    <col min="9217" max="9217" width="12.75" style="161" customWidth="1"/>
    <col min="9218" max="9218" width="12.25" style="161" customWidth="1"/>
    <col min="9219" max="9219" width="13.75" style="161" customWidth="1"/>
    <col min="9220" max="9220" width="9.625" style="161" customWidth="1"/>
    <col min="9221" max="9221" width="10.25" style="161" customWidth="1"/>
    <col min="9222" max="9222" width="10.125" style="161" customWidth="1"/>
    <col min="9223" max="9223" width="7" style="161" customWidth="1"/>
    <col min="9224" max="9224" width="11.75" style="161" customWidth="1"/>
    <col min="9225" max="9225" width="11.5" style="161" customWidth="1"/>
    <col min="9226" max="9226" width="9.75" style="161" customWidth="1"/>
    <col min="9227" max="9227" width="10.25" style="161" customWidth="1"/>
    <col min="9228" max="9228" width="9.25" style="161" customWidth="1"/>
    <col min="9229" max="9229" width="9.5" style="161" customWidth="1"/>
    <col min="9230" max="9230" width="10.125" style="161" customWidth="1"/>
    <col min="9231" max="9231" width="16.875" style="161" customWidth="1"/>
    <col min="9232" max="9236" width="9" style="161"/>
    <col min="9237" max="9237" width="11.75" style="161" customWidth="1"/>
    <col min="9238" max="9238" width="9.875" style="161" customWidth="1"/>
    <col min="9239" max="9239" width="10.625" style="161" customWidth="1"/>
    <col min="9240" max="9240" width="12.75" style="161" customWidth="1"/>
    <col min="9241" max="9241" width="11.75" style="161" customWidth="1"/>
    <col min="9242" max="9242" width="9.875" style="161" customWidth="1"/>
    <col min="9243" max="9243" width="10.625" style="161" customWidth="1"/>
    <col min="9244" max="9244" width="12.75" style="161" customWidth="1"/>
    <col min="9245" max="9245" width="12.125" style="161" customWidth="1"/>
    <col min="9246" max="9246" width="10.625" style="161" customWidth="1"/>
    <col min="9247" max="9247" width="10.875" style="161" customWidth="1"/>
    <col min="9248" max="9248" width="11.25" style="161" customWidth="1"/>
    <col min="9249" max="9470" width="9" style="161"/>
    <col min="9471" max="9471" width="15.875" style="161" customWidth="1"/>
    <col min="9472" max="9472" width="14" style="161" customWidth="1"/>
    <col min="9473" max="9473" width="12.75" style="161" customWidth="1"/>
    <col min="9474" max="9474" width="12.25" style="161" customWidth="1"/>
    <col min="9475" max="9475" width="13.75" style="161" customWidth="1"/>
    <col min="9476" max="9476" width="9.625" style="161" customWidth="1"/>
    <col min="9477" max="9477" width="10.25" style="161" customWidth="1"/>
    <col min="9478" max="9478" width="10.125" style="161" customWidth="1"/>
    <col min="9479" max="9479" width="7" style="161" customWidth="1"/>
    <col min="9480" max="9480" width="11.75" style="161" customWidth="1"/>
    <col min="9481" max="9481" width="11.5" style="161" customWidth="1"/>
    <col min="9482" max="9482" width="9.75" style="161" customWidth="1"/>
    <col min="9483" max="9483" width="10.25" style="161" customWidth="1"/>
    <col min="9484" max="9484" width="9.25" style="161" customWidth="1"/>
    <col min="9485" max="9485" width="9.5" style="161" customWidth="1"/>
    <col min="9486" max="9486" width="10.125" style="161" customWidth="1"/>
    <col min="9487" max="9487" width="16.875" style="161" customWidth="1"/>
    <col min="9488" max="9492" width="9" style="161"/>
    <col min="9493" max="9493" width="11.75" style="161" customWidth="1"/>
    <col min="9494" max="9494" width="9.875" style="161" customWidth="1"/>
    <col min="9495" max="9495" width="10.625" style="161" customWidth="1"/>
    <col min="9496" max="9496" width="12.75" style="161" customWidth="1"/>
    <col min="9497" max="9497" width="11.75" style="161" customWidth="1"/>
    <col min="9498" max="9498" width="9.875" style="161" customWidth="1"/>
    <col min="9499" max="9499" width="10.625" style="161" customWidth="1"/>
    <col min="9500" max="9500" width="12.75" style="161" customWidth="1"/>
    <col min="9501" max="9501" width="12.125" style="161" customWidth="1"/>
    <col min="9502" max="9502" width="10.625" style="161" customWidth="1"/>
    <col min="9503" max="9503" width="10.875" style="161" customWidth="1"/>
    <col min="9504" max="9504" width="11.25" style="161" customWidth="1"/>
    <col min="9505" max="9726" width="9" style="161"/>
    <col min="9727" max="9727" width="15.875" style="161" customWidth="1"/>
    <col min="9728" max="9728" width="14" style="161" customWidth="1"/>
    <col min="9729" max="9729" width="12.75" style="161" customWidth="1"/>
    <col min="9730" max="9730" width="12.25" style="161" customWidth="1"/>
    <col min="9731" max="9731" width="13.75" style="161" customWidth="1"/>
    <col min="9732" max="9732" width="9.625" style="161" customWidth="1"/>
    <col min="9733" max="9733" width="10.25" style="161" customWidth="1"/>
    <col min="9734" max="9734" width="10.125" style="161" customWidth="1"/>
    <col min="9735" max="9735" width="7" style="161" customWidth="1"/>
    <col min="9736" max="9736" width="11.75" style="161" customWidth="1"/>
    <col min="9737" max="9737" width="11.5" style="161" customWidth="1"/>
    <col min="9738" max="9738" width="9.75" style="161" customWidth="1"/>
    <col min="9739" max="9739" width="10.25" style="161" customWidth="1"/>
    <col min="9740" max="9740" width="9.25" style="161" customWidth="1"/>
    <col min="9741" max="9741" width="9.5" style="161" customWidth="1"/>
    <col min="9742" max="9742" width="10.125" style="161" customWidth="1"/>
    <col min="9743" max="9743" width="16.875" style="161" customWidth="1"/>
    <col min="9744" max="9748" width="9" style="161"/>
    <col min="9749" max="9749" width="11.75" style="161" customWidth="1"/>
    <col min="9750" max="9750" width="9.875" style="161" customWidth="1"/>
    <col min="9751" max="9751" width="10.625" style="161" customWidth="1"/>
    <col min="9752" max="9752" width="12.75" style="161" customWidth="1"/>
    <col min="9753" max="9753" width="11.75" style="161" customWidth="1"/>
    <col min="9754" max="9754" width="9.875" style="161" customWidth="1"/>
    <col min="9755" max="9755" width="10.625" style="161" customWidth="1"/>
    <col min="9756" max="9756" width="12.75" style="161" customWidth="1"/>
    <col min="9757" max="9757" width="12.125" style="161" customWidth="1"/>
    <col min="9758" max="9758" width="10.625" style="161" customWidth="1"/>
    <col min="9759" max="9759" width="10.875" style="161" customWidth="1"/>
    <col min="9760" max="9760" width="11.25" style="161" customWidth="1"/>
    <col min="9761" max="9982" width="9" style="161"/>
    <col min="9983" max="9983" width="15.875" style="161" customWidth="1"/>
    <col min="9984" max="9984" width="14" style="161" customWidth="1"/>
    <col min="9985" max="9985" width="12.75" style="161" customWidth="1"/>
    <col min="9986" max="9986" width="12.25" style="161" customWidth="1"/>
    <col min="9987" max="9987" width="13.75" style="161" customWidth="1"/>
    <col min="9988" max="9988" width="9.625" style="161" customWidth="1"/>
    <col min="9989" max="9989" width="10.25" style="161" customWidth="1"/>
    <col min="9990" max="9990" width="10.125" style="161" customWidth="1"/>
    <col min="9991" max="9991" width="7" style="161" customWidth="1"/>
    <col min="9992" max="9992" width="11.75" style="161" customWidth="1"/>
    <col min="9993" max="9993" width="11.5" style="161" customWidth="1"/>
    <col min="9994" max="9994" width="9.75" style="161" customWidth="1"/>
    <col min="9995" max="9995" width="10.25" style="161" customWidth="1"/>
    <col min="9996" max="9996" width="9.25" style="161" customWidth="1"/>
    <col min="9997" max="9997" width="9.5" style="161" customWidth="1"/>
    <col min="9998" max="9998" width="10.125" style="161" customWidth="1"/>
    <col min="9999" max="9999" width="16.875" style="161" customWidth="1"/>
    <col min="10000" max="10004" width="9" style="161"/>
    <col min="10005" max="10005" width="11.75" style="161" customWidth="1"/>
    <col min="10006" max="10006" width="9.875" style="161" customWidth="1"/>
    <col min="10007" max="10007" width="10.625" style="161" customWidth="1"/>
    <col min="10008" max="10008" width="12.75" style="161" customWidth="1"/>
    <col min="10009" max="10009" width="11.75" style="161" customWidth="1"/>
    <col min="10010" max="10010" width="9.875" style="161" customWidth="1"/>
    <col min="10011" max="10011" width="10.625" style="161" customWidth="1"/>
    <col min="10012" max="10012" width="12.75" style="161" customWidth="1"/>
    <col min="10013" max="10013" width="12.125" style="161" customWidth="1"/>
    <col min="10014" max="10014" width="10.625" style="161" customWidth="1"/>
    <col min="10015" max="10015" width="10.875" style="161" customWidth="1"/>
    <col min="10016" max="10016" width="11.25" style="161" customWidth="1"/>
    <col min="10017" max="10238" width="9" style="161"/>
    <col min="10239" max="10239" width="15.875" style="161" customWidth="1"/>
    <col min="10240" max="10240" width="14" style="161" customWidth="1"/>
    <col min="10241" max="10241" width="12.75" style="161" customWidth="1"/>
    <col min="10242" max="10242" width="12.25" style="161" customWidth="1"/>
    <col min="10243" max="10243" width="13.75" style="161" customWidth="1"/>
    <col min="10244" max="10244" width="9.625" style="161" customWidth="1"/>
    <col min="10245" max="10245" width="10.25" style="161" customWidth="1"/>
    <col min="10246" max="10246" width="10.125" style="161" customWidth="1"/>
    <col min="10247" max="10247" width="7" style="161" customWidth="1"/>
    <col min="10248" max="10248" width="11.75" style="161" customWidth="1"/>
    <col min="10249" max="10249" width="11.5" style="161" customWidth="1"/>
    <col min="10250" max="10250" width="9.75" style="161" customWidth="1"/>
    <col min="10251" max="10251" width="10.25" style="161" customWidth="1"/>
    <col min="10252" max="10252" width="9.25" style="161" customWidth="1"/>
    <col min="10253" max="10253" width="9.5" style="161" customWidth="1"/>
    <col min="10254" max="10254" width="10.125" style="161" customWidth="1"/>
    <col min="10255" max="10255" width="16.875" style="161" customWidth="1"/>
    <col min="10256" max="10260" width="9" style="161"/>
    <col min="10261" max="10261" width="11.75" style="161" customWidth="1"/>
    <col min="10262" max="10262" width="9.875" style="161" customWidth="1"/>
    <col min="10263" max="10263" width="10.625" style="161" customWidth="1"/>
    <col min="10264" max="10264" width="12.75" style="161" customWidth="1"/>
    <col min="10265" max="10265" width="11.75" style="161" customWidth="1"/>
    <col min="10266" max="10266" width="9.875" style="161" customWidth="1"/>
    <col min="10267" max="10267" width="10.625" style="161" customWidth="1"/>
    <col min="10268" max="10268" width="12.75" style="161" customWidth="1"/>
    <col min="10269" max="10269" width="12.125" style="161" customWidth="1"/>
    <col min="10270" max="10270" width="10.625" style="161" customWidth="1"/>
    <col min="10271" max="10271" width="10.875" style="161" customWidth="1"/>
    <col min="10272" max="10272" width="11.25" style="161" customWidth="1"/>
    <col min="10273" max="10494" width="9" style="161"/>
    <col min="10495" max="10495" width="15.875" style="161" customWidth="1"/>
    <col min="10496" max="10496" width="14" style="161" customWidth="1"/>
    <col min="10497" max="10497" width="12.75" style="161" customWidth="1"/>
    <col min="10498" max="10498" width="12.25" style="161" customWidth="1"/>
    <col min="10499" max="10499" width="13.75" style="161" customWidth="1"/>
    <col min="10500" max="10500" width="9.625" style="161" customWidth="1"/>
    <col min="10501" max="10501" width="10.25" style="161" customWidth="1"/>
    <col min="10502" max="10502" width="10.125" style="161" customWidth="1"/>
    <col min="10503" max="10503" width="7" style="161" customWidth="1"/>
    <col min="10504" max="10504" width="11.75" style="161" customWidth="1"/>
    <col min="10505" max="10505" width="11.5" style="161" customWidth="1"/>
    <col min="10506" max="10506" width="9.75" style="161" customWidth="1"/>
    <col min="10507" max="10507" width="10.25" style="161" customWidth="1"/>
    <col min="10508" max="10508" width="9.25" style="161" customWidth="1"/>
    <col min="10509" max="10509" width="9.5" style="161" customWidth="1"/>
    <col min="10510" max="10510" width="10.125" style="161" customWidth="1"/>
    <col min="10511" max="10511" width="16.875" style="161" customWidth="1"/>
    <col min="10512" max="10516" width="9" style="161"/>
    <col min="10517" max="10517" width="11.75" style="161" customWidth="1"/>
    <col min="10518" max="10518" width="9.875" style="161" customWidth="1"/>
    <col min="10519" max="10519" width="10.625" style="161" customWidth="1"/>
    <col min="10520" max="10520" width="12.75" style="161" customWidth="1"/>
    <col min="10521" max="10521" width="11.75" style="161" customWidth="1"/>
    <col min="10522" max="10522" width="9.875" style="161" customWidth="1"/>
    <col min="10523" max="10523" width="10.625" style="161" customWidth="1"/>
    <col min="10524" max="10524" width="12.75" style="161" customWidth="1"/>
    <col min="10525" max="10525" width="12.125" style="161" customWidth="1"/>
    <col min="10526" max="10526" width="10.625" style="161" customWidth="1"/>
    <col min="10527" max="10527" width="10.875" style="161" customWidth="1"/>
    <col min="10528" max="10528" width="11.25" style="161" customWidth="1"/>
    <col min="10529" max="10750" width="9" style="161"/>
    <col min="10751" max="10751" width="15.875" style="161" customWidth="1"/>
    <col min="10752" max="10752" width="14" style="161" customWidth="1"/>
    <col min="10753" max="10753" width="12.75" style="161" customWidth="1"/>
    <col min="10754" max="10754" width="12.25" style="161" customWidth="1"/>
    <col min="10755" max="10755" width="13.75" style="161" customWidth="1"/>
    <col min="10756" max="10756" width="9.625" style="161" customWidth="1"/>
    <col min="10757" max="10757" width="10.25" style="161" customWidth="1"/>
    <col min="10758" max="10758" width="10.125" style="161" customWidth="1"/>
    <col min="10759" max="10759" width="7" style="161" customWidth="1"/>
    <col min="10760" max="10760" width="11.75" style="161" customWidth="1"/>
    <col min="10761" max="10761" width="11.5" style="161" customWidth="1"/>
    <col min="10762" max="10762" width="9.75" style="161" customWidth="1"/>
    <col min="10763" max="10763" width="10.25" style="161" customWidth="1"/>
    <col min="10764" max="10764" width="9.25" style="161" customWidth="1"/>
    <col min="10765" max="10765" width="9.5" style="161" customWidth="1"/>
    <col min="10766" max="10766" width="10.125" style="161" customWidth="1"/>
    <col min="10767" max="10767" width="16.875" style="161" customWidth="1"/>
    <col min="10768" max="10772" width="9" style="161"/>
    <col min="10773" max="10773" width="11.75" style="161" customWidth="1"/>
    <col min="10774" max="10774" width="9.875" style="161" customWidth="1"/>
    <col min="10775" max="10775" width="10.625" style="161" customWidth="1"/>
    <col min="10776" max="10776" width="12.75" style="161" customWidth="1"/>
    <col min="10777" max="10777" width="11.75" style="161" customWidth="1"/>
    <col min="10778" max="10778" width="9.875" style="161" customWidth="1"/>
    <col min="10779" max="10779" width="10.625" style="161" customWidth="1"/>
    <col min="10780" max="10780" width="12.75" style="161" customWidth="1"/>
    <col min="10781" max="10781" width="12.125" style="161" customWidth="1"/>
    <col min="10782" max="10782" width="10.625" style="161" customWidth="1"/>
    <col min="10783" max="10783" width="10.875" style="161" customWidth="1"/>
    <col min="10784" max="10784" width="11.25" style="161" customWidth="1"/>
    <col min="10785" max="11006" width="9" style="161"/>
    <col min="11007" max="11007" width="15.875" style="161" customWidth="1"/>
    <col min="11008" max="11008" width="14" style="161" customWidth="1"/>
    <col min="11009" max="11009" width="12.75" style="161" customWidth="1"/>
    <col min="11010" max="11010" width="12.25" style="161" customWidth="1"/>
    <col min="11011" max="11011" width="13.75" style="161" customWidth="1"/>
    <col min="11012" max="11012" width="9.625" style="161" customWidth="1"/>
    <col min="11013" max="11013" width="10.25" style="161" customWidth="1"/>
    <col min="11014" max="11014" width="10.125" style="161" customWidth="1"/>
    <col min="11015" max="11015" width="7" style="161" customWidth="1"/>
    <col min="11016" max="11016" width="11.75" style="161" customWidth="1"/>
    <col min="11017" max="11017" width="11.5" style="161" customWidth="1"/>
    <col min="11018" max="11018" width="9.75" style="161" customWidth="1"/>
    <col min="11019" max="11019" width="10.25" style="161" customWidth="1"/>
    <col min="11020" max="11020" width="9.25" style="161" customWidth="1"/>
    <col min="11021" max="11021" width="9.5" style="161" customWidth="1"/>
    <col min="11022" max="11022" width="10.125" style="161" customWidth="1"/>
    <col min="11023" max="11023" width="16.875" style="161" customWidth="1"/>
    <col min="11024" max="11028" width="9" style="161"/>
    <col min="11029" max="11029" width="11.75" style="161" customWidth="1"/>
    <col min="11030" max="11030" width="9.875" style="161" customWidth="1"/>
    <col min="11031" max="11031" width="10.625" style="161" customWidth="1"/>
    <col min="11032" max="11032" width="12.75" style="161" customWidth="1"/>
    <col min="11033" max="11033" width="11.75" style="161" customWidth="1"/>
    <col min="11034" max="11034" width="9.875" style="161" customWidth="1"/>
    <col min="11035" max="11035" width="10.625" style="161" customWidth="1"/>
    <col min="11036" max="11036" width="12.75" style="161" customWidth="1"/>
    <col min="11037" max="11037" width="12.125" style="161" customWidth="1"/>
    <col min="11038" max="11038" width="10.625" style="161" customWidth="1"/>
    <col min="11039" max="11039" width="10.875" style="161" customWidth="1"/>
    <col min="11040" max="11040" width="11.25" style="161" customWidth="1"/>
    <col min="11041" max="11262" width="9" style="161"/>
    <col min="11263" max="11263" width="15.875" style="161" customWidth="1"/>
    <col min="11264" max="11264" width="14" style="161" customWidth="1"/>
    <col min="11265" max="11265" width="12.75" style="161" customWidth="1"/>
    <col min="11266" max="11266" width="12.25" style="161" customWidth="1"/>
    <col min="11267" max="11267" width="13.75" style="161" customWidth="1"/>
    <col min="11268" max="11268" width="9.625" style="161" customWidth="1"/>
    <col min="11269" max="11269" width="10.25" style="161" customWidth="1"/>
    <col min="11270" max="11270" width="10.125" style="161" customWidth="1"/>
    <col min="11271" max="11271" width="7" style="161" customWidth="1"/>
    <col min="11272" max="11272" width="11.75" style="161" customWidth="1"/>
    <col min="11273" max="11273" width="11.5" style="161" customWidth="1"/>
    <col min="11274" max="11274" width="9.75" style="161" customWidth="1"/>
    <col min="11275" max="11275" width="10.25" style="161" customWidth="1"/>
    <col min="11276" max="11276" width="9.25" style="161" customWidth="1"/>
    <col min="11277" max="11277" width="9.5" style="161" customWidth="1"/>
    <col min="11278" max="11278" width="10.125" style="161" customWidth="1"/>
    <col min="11279" max="11279" width="16.875" style="161" customWidth="1"/>
    <col min="11280" max="11284" width="9" style="161"/>
    <col min="11285" max="11285" width="11.75" style="161" customWidth="1"/>
    <col min="11286" max="11286" width="9.875" style="161" customWidth="1"/>
    <col min="11287" max="11287" width="10.625" style="161" customWidth="1"/>
    <col min="11288" max="11288" width="12.75" style="161" customWidth="1"/>
    <col min="11289" max="11289" width="11.75" style="161" customWidth="1"/>
    <col min="11290" max="11290" width="9.875" style="161" customWidth="1"/>
    <col min="11291" max="11291" width="10.625" style="161" customWidth="1"/>
    <col min="11292" max="11292" width="12.75" style="161" customWidth="1"/>
    <col min="11293" max="11293" width="12.125" style="161" customWidth="1"/>
    <col min="11294" max="11294" width="10.625" style="161" customWidth="1"/>
    <col min="11295" max="11295" width="10.875" style="161" customWidth="1"/>
    <col min="11296" max="11296" width="11.25" style="161" customWidth="1"/>
    <col min="11297" max="11518" width="9" style="161"/>
    <col min="11519" max="11519" width="15.875" style="161" customWidth="1"/>
    <col min="11520" max="11520" width="14" style="161" customWidth="1"/>
    <col min="11521" max="11521" width="12.75" style="161" customWidth="1"/>
    <col min="11522" max="11522" width="12.25" style="161" customWidth="1"/>
    <col min="11523" max="11523" width="13.75" style="161" customWidth="1"/>
    <col min="11524" max="11524" width="9.625" style="161" customWidth="1"/>
    <col min="11525" max="11525" width="10.25" style="161" customWidth="1"/>
    <col min="11526" max="11526" width="10.125" style="161" customWidth="1"/>
    <col min="11527" max="11527" width="7" style="161" customWidth="1"/>
    <col min="11528" max="11528" width="11.75" style="161" customWidth="1"/>
    <col min="11529" max="11529" width="11.5" style="161" customWidth="1"/>
    <col min="11530" max="11530" width="9.75" style="161" customWidth="1"/>
    <col min="11531" max="11531" width="10.25" style="161" customWidth="1"/>
    <col min="11532" max="11532" width="9.25" style="161" customWidth="1"/>
    <col min="11533" max="11533" width="9.5" style="161" customWidth="1"/>
    <col min="11534" max="11534" width="10.125" style="161" customWidth="1"/>
    <col min="11535" max="11535" width="16.875" style="161" customWidth="1"/>
    <col min="11536" max="11540" width="9" style="161"/>
    <col min="11541" max="11541" width="11.75" style="161" customWidth="1"/>
    <col min="11542" max="11542" width="9.875" style="161" customWidth="1"/>
    <col min="11543" max="11543" width="10.625" style="161" customWidth="1"/>
    <col min="11544" max="11544" width="12.75" style="161" customWidth="1"/>
    <col min="11545" max="11545" width="11.75" style="161" customWidth="1"/>
    <col min="11546" max="11546" width="9.875" style="161" customWidth="1"/>
    <col min="11547" max="11547" width="10.625" style="161" customWidth="1"/>
    <col min="11548" max="11548" width="12.75" style="161" customWidth="1"/>
    <col min="11549" max="11549" width="12.125" style="161" customWidth="1"/>
    <col min="11550" max="11550" width="10.625" style="161" customWidth="1"/>
    <col min="11551" max="11551" width="10.875" style="161" customWidth="1"/>
    <col min="11552" max="11552" width="11.25" style="161" customWidth="1"/>
    <col min="11553" max="11774" width="9" style="161"/>
    <col min="11775" max="11775" width="15.875" style="161" customWidth="1"/>
    <col min="11776" max="11776" width="14" style="161" customWidth="1"/>
    <col min="11777" max="11777" width="12.75" style="161" customWidth="1"/>
    <col min="11778" max="11778" width="12.25" style="161" customWidth="1"/>
    <col min="11779" max="11779" width="13.75" style="161" customWidth="1"/>
    <col min="11780" max="11780" width="9.625" style="161" customWidth="1"/>
    <col min="11781" max="11781" width="10.25" style="161" customWidth="1"/>
    <col min="11782" max="11782" width="10.125" style="161" customWidth="1"/>
    <col min="11783" max="11783" width="7" style="161" customWidth="1"/>
    <col min="11784" max="11784" width="11.75" style="161" customWidth="1"/>
    <col min="11785" max="11785" width="11.5" style="161" customWidth="1"/>
    <col min="11786" max="11786" width="9.75" style="161" customWidth="1"/>
    <col min="11787" max="11787" width="10.25" style="161" customWidth="1"/>
    <col min="11788" max="11788" width="9.25" style="161" customWidth="1"/>
    <col min="11789" max="11789" width="9.5" style="161" customWidth="1"/>
    <col min="11790" max="11790" width="10.125" style="161" customWidth="1"/>
    <col min="11791" max="11791" width="16.875" style="161" customWidth="1"/>
    <col min="11792" max="11796" width="9" style="161"/>
    <col min="11797" max="11797" width="11.75" style="161" customWidth="1"/>
    <col min="11798" max="11798" width="9.875" style="161" customWidth="1"/>
    <col min="11799" max="11799" width="10.625" style="161" customWidth="1"/>
    <col min="11800" max="11800" width="12.75" style="161" customWidth="1"/>
    <col min="11801" max="11801" width="11.75" style="161" customWidth="1"/>
    <col min="11802" max="11802" width="9.875" style="161" customWidth="1"/>
    <col min="11803" max="11803" width="10.625" style="161" customWidth="1"/>
    <col min="11804" max="11804" width="12.75" style="161" customWidth="1"/>
    <col min="11805" max="11805" width="12.125" style="161" customWidth="1"/>
    <col min="11806" max="11806" width="10.625" style="161" customWidth="1"/>
    <col min="11807" max="11807" width="10.875" style="161" customWidth="1"/>
    <col min="11808" max="11808" width="11.25" style="161" customWidth="1"/>
    <col min="11809" max="12030" width="9" style="161"/>
    <col min="12031" max="12031" width="15.875" style="161" customWidth="1"/>
    <col min="12032" max="12032" width="14" style="161" customWidth="1"/>
    <col min="12033" max="12033" width="12.75" style="161" customWidth="1"/>
    <col min="12034" max="12034" width="12.25" style="161" customWidth="1"/>
    <col min="12035" max="12035" width="13.75" style="161" customWidth="1"/>
    <col min="12036" max="12036" width="9.625" style="161" customWidth="1"/>
    <col min="12037" max="12037" width="10.25" style="161" customWidth="1"/>
    <col min="12038" max="12038" width="10.125" style="161" customWidth="1"/>
    <col min="12039" max="12039" width="7" style="161" customWidth="1"/>
    <col min="12040" max="12040" width="11.75" style="161" customWidth="1"/>
    <col min="12041" max="12041" width="11.5" style="161" customWidth="1"/>
    <col min="12042" max="12042" width="9.75" style="161" customWidth="1"/>
    <col min="12043" max="12043" width="10.25" style="161" customWidth="1"/>
    <col min="12044" max="12044" width="9.25" style="161" customWidth="1"/>
    <col min="12045" max="12045" width="9.5" style="161" customWidth="1"/>
    <col min="12046" max="12046" width="10.125" style="161" customWidth="1"/>
    <col min="12047" max="12047" width="16.875" style="161" customWidth="1"/>
    <col min="12048" max="12052" width="9" style="161"/>
    <col min="12053" max="12053" width="11.75" style="161" customWidth="1"/>
    <col min="12054" max="12054" width="9.875" style="161" customWidth="1"/>
    <col min="12055" max="12055" width="10.625" style="161" customWidth="1"/>
    <col min="12056" max="12056" width="12.75" style="161" customWidth="1"/>
    <col min="12057" max="12057" width="11.75" style="161" customWidth="1"/>
    <col min="12058" max="12058" width="9.875" style="161" customWidth="1"/>
    <col min="12059" max="12059" width="10.625" style="161" customWidth="1"/>
    <col min="12060" max="12060" width="12.75" style="161" customWidth="1"/>
    <col min="12061" max="12061" width="12.125" style="161" customWidth="1"/>
    <col min="12062" max="12062" width="10.625" style="161" customWidth="1"/>
    <col min="12063" max="12063" width="10.875" style="161" customWidth="1"/>
    <col min="12064" max="12064" width="11.25" style="161" customWidth="1"/>
    <col min="12065" max="12286" width="9" style="161"/>
    <col min="12287" max="12287" width="15.875" style="161" customWidth="1"/>
    <col min="12288" max="12288" width="14" style="161" customWidth="1"/>
    <col min="12289" max="12289" width="12.75" style="161" customWidth="1"/>
    <col min="12290" max="12290" width="12.25" style="161" customWidth="1"/>
    <col min="12291" max="12291" width="13.75" style="161" customWidth="1"/>
    <col min="12292" max="12292" width="9.625" style="161" customWidth="1"/>
    <col min="12293" max="12293" width="10.25" style="161" customWidth="1"/>
    <col min="12294" max="12294" width="10.125" style="161" customWidth="1"/>
    <col min="12295" max="12295" width="7" style="161" customWidth="1"/>
    <col min="12296" max="12296" width="11.75" style="161" customWidth="1"/>
    <col min="12297" max="12297" width="11.5" style="161" customWidth="1"/>
    <col min="12298" max="12298" width="9.75" style="161" customWidth="1"/>
    <col min="12299" max="12299" width="10.25" style="161" customWidth="1"/>
    <col min="12300" max="12300" width="9.25" style="161" customWidth="1"/>
    <col min="12301" max="12301" width="9.5" style="161" customWidth="1"/>
    <col min="12302" max="12302" width="10.125" style="161" customWidth="1"/>
    <col min="12303" max="12303" width="16.875" style="161" customWidth="1"/>
    <col min="12304" max="12308" width="9" style="161"/>
    <col min="12309" max="12309" width="11.75" style="161" customWidth="1"/>
    <col min="12310" max="12310" width="9.875" style="161" customWidth="1"/>
    <col min="12311" max="12311" width="10.625" style="161" customWidth="1"/>
    <col min="12312" max="12312" width="12.75" style="161" customWidth="1"/>
    <col min="12313" max="12313" width="11.75" style="161" customWidth="1"/>
    <col min="12314" max="12314" width="9.875" style="161" customWidth="1"/>
    <col min="12315" max="12315" width="10.625" style="161" customWidth="1"/>
    <col min="12316" max="12316" width="12.75" style="161" customWidth="1"/>
    <col min="12317" max="12317" width="12.125" style="161" customWidth="1"/>
    <col min="12318" max="12318" width="10.625" style="161" customWidth="1"/>
    <col min="12319" max="12319" width="10.875" style="161" customWidth="1"/>
    <col min="12320" max="12320" width="11.25" style="161" customWidth="1"/>
    <col min="12321" max="12542" width="9" style="161"/>
    <col min="12543" max="12543" width="15.875" style="161" customWidth="1"/>
    <col min="12544" max="12544" width="14" style="161" customWidth="1"/>
    <col min="12545" max="12545" width="12.75" style="161" customWidth="1"/>
    <col min="12546" max="12546" width="12.25" style="161" customWidth="1"/>
    <col min="12547" max="12547" width="13.75" style="161" customWidth="1"/>
    <col min="12548" max="12548" width="9.625" style="161" customWidth="1"/>
    <col min="12549" max="12549" width="10.25" style="161" customWidth="1"/>
    <col min="12550" max="12550" width="10.125" style="161" customWidth="1"/>
    <col min="12551" max="12551" width="7" style="161" customWidth="1"/>
    <col min="12552" max="12552" width="11.75" style="161" customWidth="1"/>
    <col min="12553" max="12553" width="11.5" style="161" customWidth="1"/>
    <col min="12554" max="12554" width="9.75" style="161" customWidth="1"/>
    <col min="12555" max="12555" width="10.25" style="161" customWidth="1"/>
    <col min="12556" max="12556" width="9.25" style="161" customWidth="1"/>
    <col min="12557" max="12557" width="9.5" style="161" customWidth="1"/>
    <col min="12558" max="12558" width="10.125" style="161" customWidth="1"/>
    <col min="12559" max="12559" width="16.875" style="161" customWidth="1"/>
    <col min="12560" max="12564" width="9" style="161"/>
    <col min="12565" max="12565" width="11.75" style="161" customWidth="1"/>
    <col min="12566" max="12566" width="9.875" style="161" customWidth="1"/>
    <col min="12567" max="12567" width="10.625" style="161" customWidth="1"/>
    <col min="12568" max="12568" width="12.75" style="161" customWidth="1"/>
    <col min="12569" max="12569" width="11.75" style="161" customWidth="1"/>
    <col min="12570" max="12570" width="9.875" style="161" customWidth="1"/>
    <col min="12571" max="12571" width="10.625" style="161" customWidth="1"/>
    <col min="12572" max="12572" width="12.75" style="161" customWidth="1"/>
    <col min="12573" max="12573" width="12.125" style="161" customWidth="1"/>
    <col min="12574" max="12574" width="10.625" style="161" customWidth="1"/>
    <col min="12575" max="12575" width="10.875" style="161" customWidth="1"/>
    <col min="12576" max="12576" width="11.25" style="161" customWidth="1"/>
    <col min="12577" max="12798" width="9" style="161"/>
    <col min="12799" max="12799" width="15.875" style="161" customWidth="1"/>
    <col min="12800" max="12800" width="14" style="161" customWidth="1"/>
    <col min="12801" max="12801" width="12.75" style="161" customWidth="1"/>
    <col min="12802" max="12802" width="12.25" style="161" customWidth="1"/>
    <col min="12803" max="12803" width="13.75" style="161" customWidth="1"/>
    <col min="12804" max="12804" width="9.625" style="161" customWidth="1"/>
    <col min="12805" max="12805" width="10.25" style="161" customWidth="1"/>
    <col min="12806" max="12806" width="10.125" style="161" customWidth="1"/>
    <col min="12807" max="12807" width="7" style="161" customWidth="1"/>
    <col min="12808" max="12808" width="11.75" style="161" customWidth="1"/>
    <col min="12809" max="12809" width="11.5" style="161" customWidth="1"/>
    <col min="12810" max="12810" width="9.75" style="161" customWidth="1"/>
    <col min="12811" max="12811" width="10.25" style="161" customWidth="1"/>
    <col min="12812" max="12812" width="9.25" style="161" customWidth="1"/>
    <col min="12813" max="12813" width="9.5" style="161" customWidth="1"/>
    <col min="12814" max="12814" width="10.125" style="161" customWidth="1"/>
    <col min="12815" max="12815" width="16.875" style="161" customWidth="1"/>
    <col min="12816" max="12820" width="9" style="161"/>
    <col min="12821" max="12821" width="11.75" style="161" customWidth="1"/>
    <col min="12822" max="12822" width="9.875" style="161" customWidth="1"/>
    <col min="12823" max="12823" width="10.625" style="161" customWidth="1"/>
    <col min="12824" max="12824" width="12.75" style="161" customWidth="1"/>
    <col min="12825" max="12825" width="11.75" style="161" customWidth="1"/>
    <col min="12826" max="12826" width="9.875" style="161" customWidth="1"/>
    <col min="12827" max="12827" width="10.625" style="161" customWidth="1"/>
    <col min="12828" max="12828" width="12.75" style="161" customWidth="1"/>
    <col min="12829" max="12829" width="12.125" style="161" customWidth="1"/>
    <col min="12830" max="12830" width="10.625" style="161" customWidth="1"/>
    <col min="12831" max="12831" width="10.875" style="161" customWidth="1"/>
    <col min="12832" max="12832" width="11.25" style="161" customWidth="1"/>
    <col min="12833" max="13054" width="9" style="161"/>
    <col min="13055" max="13055" width="15.875" style="161" customWidth="1"/>
    <col min="13056" max="13056" width="14" style="161" customWidth="1"/>
    <col min="13057" max="13057" width="12.75" style="161" customWidth="1"/>
    <col min="13058" max="13058" width="12.25" style="161" customWidth="1"/>
    <col min="13059" max="13059" width="13.75" style="161" customWidth="1"/>
    <col min="13060" max="13060" width="9.625" style="161" customWidth="1"/>
    <col min="13061" max="13061" width="10.25" style="161" customWidth="1"/>
    <col min="13062" max="13062" width="10.125" style="161" customWidth="1"/>
    <col min="13063" max="13063" width="7" style="161" customWidth="1"/>
    <col min="13064" max="13064" width="11.75" style="161" customWidth="1"/>
    <col min="13065" max="13065" width="11.5" style="161" customWidth="1"/>
    <col min="13066" max="13066" width="9.75" style="161" customWidth="1"/>
    <col min="13067" max="13067" width="10.25" style="161" customWidth="1"/>
    <col min="13068" max="13068" width="9.25" style="161" customWidth="1"/>
    <col min="13069" max="13069" width="9.5" style="161" customWidth="1"/>
    <col min="13070" max="13070" width="10.125" style="161" customWidth="1"/>
    <col min="13071" max="13071" width="16.875" style="161" customWidth="1"/>
    <col min="13072" max="13076" width="9" style="161"/>
    <col min="13077" max="13077" width="11.75" style="161" customWidth="1"/>
    <col min="13078" max="13078" width="9.875" style="161" customWidth="1"/>
    <col min="13079" max="13079" width="10.625" style="161" customWidth="1"/>
    <col min="13080" max="13080" width="12.75" style="161" customWidth="1"/>
    <col min="13081" max="13081" width="11.75" style="161" customWidth="1"/>
    <col min="13082" max="13082" width="9.875" style="161" customWidth="1"/>
    <col min="13083" max="13083" width="10.625" style="161" customWidth="1"/>
    <col min="13084" max="13084" width="12.75" style="161" customWidth="1"/>
    <col min="13085" max="13085" width="12.125" style="161" customWidth="1"/>
    <col min="13086" max="13086" width="10.625" style="161" customWidth="1"/>
    <col min="13087" max="13087" width="10.875" style="161" customWidth="1"/>
    <col min="13088" max="13088" width="11.25" style="161" customWidth="1"/>
    <col min="13089" max="13310" width="9" style="161"/>
    <col min="13311" max="13311" width="15.875" style="161" customWidth="1"/>
    <col min="13312" max="13312" width="14" style="161" customWidth="1"/>
    <col min="13313" max="13313" width="12.75" style="161" customWidth="1"/>
    <col min="13314" max="13314" width="12.25" style="161" customWidth="1"/>
    <col min="13315" max="13315" width="13.75" style="161" customWidth="1"/>
    <col min="13316" max="13316" width="9.625" style="161" customWidth="1"/>
    <col min="13317" max="13317" width="10.25" style="161" customWidth="1"/>
    <col min="13318" max="13318" width="10.125" style="161" customWidth="1"/>
    <col min="13319" max="13319" width="7" style="161" customWidth="1"/>
    <col min="13320" max="13320" width="11.75" style="161" customWidth="1"/>
    <col min="13321" max="13321" width="11.5" style="161" customWidth="1"/>
    <col min="13322" max="13322" width="9.75" style="161" customWidth="1"/>
    <col min="13323" max="13323" width="10.25" style="161" customWidth="1"/>
    <col min="13324" max="13324" width="9.25" style="161" customWidth="1"/>
    <col min="13325" max="13325" width="9.5" style="161" customWidth="1"/>
    <col min="13326" max="13326" width="10.125" style="161" customWidth="1"/>
    <col min="13327" max="13327" width="16.875" style="161" customWidth="1"/>
    <col min="13328" max="13332" width="9" style="161"/>
    <col min="13333" max="13333" width="11.75" style="161" customWidth="1"/>
    <col min="13334" max="13334" width="9.875" style="161" customWidth="1"/>
    <col min="13335" max="13335" width="10.625" style="161" customWidth="1"/>
    <col min="13336" max="13336" width="12.75" style="161" customWidth="1"/>
    <col min="13337" max="13337" width="11.75" style="161" customWidth="1"/>
    <col min="13338" max="13338" width="9.875" style="161" customWidth="1"/>
    <col min="13339" max="13339" width="10.625" style="161" customWidth="1"/>
    <col min="13340" max="13340" width="12.75" style="161" customWidth="1"/>
    <col min="13341" max="13341" width="12.125" style="161" customWidth="1"/>
    <col min="13342" max="13342" width="10.625" style="161" customWidth="1"/>
    <col min="13343" max="13343" width="10.875" style="161" customWidth="1"/>
    <col min="13344" max="13344" width="11.25" style="161" customWidth="1"/>
    <col min="13345" max="13566" width="9" style="161"/>
    <col min="13567" max="13567" width="15.875" style="161" customWidth="1"/>
    <col min="13568" max="13568" width="14" style="161" customWidth="1"/>
    <col min="13569" max="13569" width="12.75" style="161" customWidth="1"/>
    <col min="13570" max="13570" width="12.25" style="161" customWidth="1"/>
    <col min="13571" max="13571" width="13.75" style="161" customWidth="1"/>
    <col min="13572" max="13572" width="9.625" style="161" customWidth="1"/>
    <col min="13573" max="13573" width="10.25" style="161" customWidth="1"/>
    <col min="13574" max="13574" width="10.125" style="161" customWidth="1"/>
    <col min="13575" max="13575" width="7" style="161" customWidth="1"/>
    <col min="13576" max="13576" width="11.75" style="161" customWidth="1"/>
    <col min="13577" max="13577" width="11.5" style="161" customWidth="1"/>
    <col min="13578" max="13578" width="9.75" style="161" customWidth="1"/>
    <col min="13579" max="13579" width="10.25" style="161" customWidth="1"/>
    <col min="13580" max="13580" width="9.25" style="161" customWidth="1"/>
    <col min="13581" max="13581" width="9.5" style="161" customWidth="1"/>
    <col min="13582" max="13582" width="10.125" style="161" customWidth="1"/>
    <col min="13583" max="13583" width="16.875" style="161" customWidth="1"/>
    <col min="13584" max="13588" width="9" style="161"/>
    <col min="13589" max="13589" width="11.75" style="161" customWidth="1"/>
    <col min="13590" max="13590" width="9.875" style="161" customWidth="1"/>
    <col min="13591" max="13591" width="10.625" style="161" customWidth="1"/>
    <col min="13592" max="13592" width="12.75" style="161" customWidth="1"/>
    <col min="13593" max="13593" width="11.75" style="161" customWidth="1"/>
    <col min="13594" max="13594" width="9.875" style="161" customWidth="1"/>
    <col min="13595" max="13595" width="10.625" style="161" customWidth="1"/>
    <col min="13596" max="13596" width="12.75" style="161" customWidth="1"/>
    <col min="13597" max="13597" width="12.125" style="161" customWidth="1"/>
    <col min="13598" max="13598" width="10.625" style="161" customWidth="1"/>
    <col min="13599" max="13599" width="10.875" style="161" customWidth="1"/>
    <col min="13600" max="13600" width="11.25" style="161" customWidth="1"/>
    <col min="13601" max="13822" width="9" style="161"/>
    <col min="13823" max="13823" width="15.875" style="161" customWidth="1"/>
    <col min="13824" max="13824" width="14" style="161" customWidth="1"/>
    <col min="13825" max="13825" width="12.75" style="161" customWidth="1"/>
    <col min="13826" max="13826" width="12.25" style="161" customWidth="1"/>
    <col min="13827" max="13827" width="13.75" style="161" customWidth="1"/>
    <col min="13828" max="13828" width="9.625" style="161" customWidth="1"/>
    <col min="13829" max="13829" width="10.25" style="161" customWidth="1"/>
    <col min="13830" max="13830" width="10.125" style="161" customWidth="1"/>
    <col min="13831" max="13831" width="7" style="161" customWidth="1"/>
    <col min="13832" max="13832" width="11.75" style="161" customWidth="1"/>
    <col min="13833" max="13833" width="11.5" style="161" customWidth="1"/>
    <col min="13834" max="13834" width="9.75" style="161" customWidth="1"/>
    <col min="13835" max="13835" width="10.25" style="161" customWidth="1"/>
    <col min="13836" max="13836" width="9.25" style="161" customWidth="1"/>
    <col min="13837" max="13837" width="9.5" style="161" customWidth="1"/>
    <col min="13838" max="13838" width="10.125" style="161" customWidth="1"/>
    <col min="13839" max="13839" width="16.875" style="161" customWidth="1"/>
    <col min="13840" max="13844" width="9" style="161"/>
    <col min="13845" max="13845" width="11.75" style="161" customWidth="1"/>
    <col min="13846" max="13846" width="9.875" style="161" customWidth="1"/>
    <col min="13847" max="13847" width="10.625" style="161" customWidth="1"/>
    <col min="13848" max="13848" width="12.75" style="161" customWidth="1"/>
    <col min="13849" max="13849" width="11.75" style="161" customWidth="1"/>
    <col min="13850" max="13850" width="9.875" style="161" customWidth="1"/>
    <col min="13851" max="13851" width="10.625" style="161" customWidth="1"/>
    <col min="13852" max="13852" width="12.75" style="161" customWidth="1"/>
    <col min="13853" max="13853" width="12.125" style="161" customWidth="1"/>
    <col min="13854" max="13854" width="10.625" style="161" customWidth="1"/>
    <col min="13855" max="13855" width="10.875" style="161" customWidth="1"/>
    <col min="13856" max="13856" width="11.25" style="161" customWidth="1"/>
    <col min="13857" max="14078" width="9" style="161"/>
    <col min="14079" max="14079" width="15.875" style="161" customWidth="1"/>
    <col min="14080" max="14080" width="14" style="161" customWidth="1"/>
    <col min="14081" max="14081" width="12.75" style="161" customWidth="1"/>
    <col min="14082" max="14082" width="12.25" style="161" customWidth="1"/>
    <col min="14083" max="14083" width="13.75" style="161" customWidth="1"/>
    <col min="14084" max="14084" width="9.625" style="161" customWidth="1"/>
    <col min="14085" max="14085" width="10.25" style="161" customWidth="1"/>
    <col min="14086" max="14086" width="10.125" style="161" customWidth="1"/>
    <col min="14087" max="14087" width="7" style="161" customWidth="1"/>
    <col min="14088" max="14088" width="11.75" style="161" customWidth="1"/>
    <col min="14089" max="14089" width="11.5" style="161" customWidth="1"/>
    <col min="14090" max="14090" width="9.75" style="161" customWidth="1"/>
    <col min="14091" max="14091" width="10.25" style="161" customWidth="1"/>
    <col min="14092" max="14092" width="9.25" style="161" customWidth="1"/>
    <col min="14093" max="14093" width="9.5" style="161" customWidth="1"/>
    <col min="14094" max="14094" width="10.125" style="161" customWidth="1"/>
    <col min="14095" max="14095" width="16.875" style="161" customWidth="1"/>
    <col min="14096" max="14100" width="9" style="161"/>
    <col min="14101" max="14101" width="11.75" style="161" customWidth="1"/>
    <col min="14102" max="14102" width="9.875" style="161" customWidth="1"/>
    <col min="14103" max="14103" width="10.625" style="161" customWidth="1"/>
    <col min="14104" max="14104" width="12.75" style="161" customWidth="1"/>
    <col min="14105" max="14105" width="11.75" style="161" customWidth="1"/>
    <col min="14106" max="14106" width="9.875" style="161" customWidth="1"/>
    <col min="14107" max="14107" width="10.625" style="161" customWidth="1"/>
    <col min="14108" max="14108" width="12.75" style="161" customWidth="1"/>
    <col min="14109" max="14109" width="12.125" style="161" customWidth="1"/>
    <col min="14110" max="14110" width="10.625" style="161" customWidth="1"/>
    <col min="14111" max="14111" width="10.875" style="161" customWidth="1"/>
    <col min="14112" max="14112" width="11.25" style="161" customWidth="1"/>
    <col min="14113" max="14334" width="9" style="161"/>
    <col min="14335" max="14335" width="15.875" style="161" customWidth="1"/>
    <col min="14336" max="14336" width="14" style="161" customWidth="1"/>
    <col min="14337" max="14337" width="12.75" style="161" customWidth="1"/>
    <col min="14338" max="14338" width="12.25" style="161" customWidth="1"/>
    <col min="14339" max="14339" width="13.75" style="161" customWidth="1"/>
    <col min="14340" max="14340" width="9.625" style="161" customWidth="1"/>
    <col min="14341" max="14341" width="10.25" style="161" customWidth="1"/>
    <col min="14342" max="14342" width="10.125" style="161" customWidth="1"/>
    <col min="14343" max="14343" width="7" style="161" customWidth="1"/>
    <col min="14344" max="14344" width="11.75" style="161" customWidth="1"/>
    <col min="14345" max="14345" width="11.5" style="161" customWidth="1"/>
    <col min="14346" max="14346" width="9.75" style="161" customWidth="1"/>
    <col min="14347" max="14347" width="10.25" style="161" customWidth="1"/>
    <col min="14348" max="14348" width="9.25" style="161" customWidth="1"/>
    <col min="14349" max="14349" width="9.5" style="161" customWidth="1"/>
    <col min="14350" max="14350" width="10.125" style="161" customWidth="1"/>
    <col min="14351" max="14351" width="16.875" style="161" customWidth="1"/>
    <col min="14352" max="14356" width="9" style="161"/>
    <col min="14357" max="14357" width="11.75" style="161" customWidth="1"/>
    <col min="14358" max="14358" width="9.875" style="161" customWidth="1"/>
    <col min="14359" max="14359" width="10.625" style="161" customWidth="1"/>
    <col min="14360" max="14360" width="12.75" style="161" customWidth="1"/>
    <col min="14361" max="14361" width="11.75" style="161" customWidth="1"/>
    <col min="14362" max="14362" width="9.875" style="161" customWidth="1"/>
    <col min="14363" max="14363" width="10.625" style="161" customWidth="1"/>
    <col min="14364" max="14364" width="12.75" style="161" customWidth="1"/>
    <col min="14365" max="14365" width="12.125" style="161" customWidth="1"/>
    <col min="14366" max="14366" width="10.625" style="161" customWidth="1"/>
    <col min="14367" max="14367" width="10.875" style="161" customWidth="1"/>
    <col min="14368" max="14368" width="11.25" style="161" customWidth="1"/>
    <col min="14369" max="14590" width="9" style="161"/>
    <col min="14591" max="14591" width="15.875" style="161" customWidth="1"/>
    <col min="14592" max="14592" width="14" style="161" customWidth="1"/>
    <col min="14593" max="14593" width="12.75" style="161" customWidth="1"/>
    <col min="14594" max="14594" width="12.25" style="161" customWidth="1"/>
    <col min="14595" max="14595" width="13.75" style="161" customWidth="1"/>
    <col min="14596" max="14596" width="9.625" style="161" customWidth="1"/>
    <col min="14597" max="14597" width="10.25" style="161" customWidth="1"/>
    <col min="14598" max="14598" width="10.125" style="161" customWidth="1"/>
    <col min="14599" max="14599" width="7" style="161" customWidth="1"/>
    <col min="14600" max="14600" width="11.75" style="161" customWidth="1"/>
    <col min="14601" max="14601" width="11.5" style="161" customWidth="1"/>
    <col min="14602" max="14602" width="9.75" style="161" customWidth="1"/>
    <col min="14603" max="14603" width="10.25" style="161" customWidth="1"/>
    <col min="14604" max="14604" width="9.25" style="161" customWidth="1"/>
    <col min="14605" max="14605" width="9.5" style="161" customWidth="1"/>
    <col min="14606" max="14606" width="10.125" style="161" customWidth="1"/>
    <col min="14607" max="14607" width="16.875" style="161" customWidth="1"/>
    <col min="14608" max="14612" width="9" style="161"/>
    <col min="14613" max="14613" width="11.75" style="161" customWidth="1"/>
    <col min="14614" max="14614" width="9.875" style="161" customWidth="1"/>
    <col min="14615" max="14615" width="10.625" style="161" customWidth="1"/>
    <col min="14616" max="14616" width="12.75" style="161" customWidth="1"/>
    <col min="14617" max="14617" width="11.75" style="161" customWidth="1"/>
    <col min="14618" max="14618" width="9.875" style="161" customWidth="1"/>
    <col min="14619" max="14619" width="10.625" style="161" customWidth="1"/>
    <col min="14620" max="14620" width="12.75" style="161" customWidth="1"/>
    <col min="14621" max="14621" width="12.125" style="161" customWidth="1"/>
    <col min="14622" max="14622" width="10.625" style="161" customWidth="1"/>
    <col min="14623" max="14623" width="10.875" style="161" customWidth="1"/>
    <col min="14624" max="14624" width="11.25" style="161" customWidth="1"/>
    <col min="14625" max="14846" width="9" style="161"/>
    <col min="14847" max="14847" width="15.875" style="161" customWidth="1"/>
    <col min="14848" max="14848" width="14" style="161" customWidth="1"/>
    <col min="14849" max="14849" width="12.75" style="161" customWidth="1"/>
    <col min="14850" max="14850" width="12.25" style="161" customWidth="1"/>
    <col min="14851" max="14851" width="13.75" style="161" customWidth="1"/>
    <col min="14852" max="14852" width="9.625" style="161" customWidth="1"/>
    <col min="14853" max="14853" width="10.25" style="161" customWidth="1"/>
    <col min="14854" max="14854" width="10.125" style="161" customWidth="1"/>
    <col min="14855" max="14855" width="7" style="161" customWidth="1"/>
    <col min="14856" max="14856" width="11.75" style="161" customWidth="1"/>
    <col min="14857" max="14857" width="11.5" style="161" customWidth="1"/>
    <col min="14858" max="14858" width="9.75" style="161" customWidth="1"/>
    <col min="14859" max="14859" width="10.25" style="161" customWidth="1"/>
    <col min="14860" max="14860" width="9.25" style="161" customWidth="1"/>
    <col min="14861" max="14861" width="9.5" style="161" customWidth="1"/>
    <col min="14862" max="14862" width="10.125" style="161" customWidth="1"/>
    <col min="14863" max="14863" width="16.875" style="161" customWidth="1"/>
    <col min="14864" max="14868" width="9" style="161"/>
    <col min="14869" max="14869" width="11.75" style="161" customWidth="1"/>
    <col min="14870" max="14870" width="9.875" style="161" customWidth="1"/>
    <col min="14871" max="14871" width="10.625" style="161" customWidth="1"/>
    <col min="14872" max="14872" width="12.75" style="161" customWidth="1"/>
    <col min="14873" max="14873" width="11.75" style="161" customWidth="1"/>
    <col min="14874" max="14874" width="9.875" style="161" customWidth="1"/>
    <col min="14875" max="14875" width="10.625" style="161" customWidth="1"/>
    <col min="14876" max="14876" width="12.75" style="161" customWidth="1"/>
    <col min="14877" max="14877" width="12.125" style="161" customWidth="1"/>
    <col min="14878" max="14878" width="10.625" style="161" customWidth="1"/>
    <col min="14879" max="14879" width="10.875" style="161" customWidth="1"/>
    <col min="14880" max="14880" width="11.25" style="161" customWidth="1"/>
    <col min="14881" max="15102" width="9" style="161"/>
    <col min="15103" max="15103" width="15.875" style="161" customWidth="1"/>
    <col min="15104" max="15104" width="14" style="161" customWidth="1"/>
    <col min="15105" max="15105" width="12.75" style="161" customWidth="1"/>
    <col min="15106" max="15106" width="12.25" style="161" customWidth="1"/>
    <col min="15107" max="15107" width="13.75" style="161" customWidth="1"/>
    <col min="15108" max="15108" width="9.625" style="161" customWidth="1"/>
    <col min="15109" max="15109" width="10.25" style="161" customWidth="1"/>
    <col min="15110" max="15110" width="10.125" style="161" customWidth="1"/>
    <col min="15111" max="15111" width="7" style="161" customWidth="1"/>
    <col min="15112" max="15112" width="11.75" style="161" customWidth="1"/>
    <col min="15113" max="15113" width="11.5" style="161" customWidth="1"/>
    <col min="15114" max="15114" width="9.75" style="161" customWidth="1"/>
    <col min="15115" max="15115" width="10.25" style="161" customWidth="1"/>
    <col min="15116" max="15116" width="9.25" style="161" customWidth="1"/>
    <col min="15117" max="15117" width="9.5" style="161" customWidth="1"/>
    <col min="15118" max="15118" width="10.125" style="161" customWidth="1"/>
    <col min="15119" max="15119" width="16.875" style="161" customWidth="1"/>
    <col min="15120" max="15124" width="9" style="161"/>
    <col min="15125" max="15125" width="11.75" style="161" customWidth="1"/>
    <col min="15126" max="15126" width="9.875" style="161" customWidth="1"/>
    <col min="15127" max="15127" width="10.625" style="161" customWidth="1"/>
    <col min="15128" max="15128" width="12.75" style="161" customWidth="1"/>
    <col min="15129" max="15129" width="11.75" style="161" customWidth="1"/>
    <col min="15130" max="15130" width="9.875" style="161" customWidth="1"/>
    <col min="15131" max="15131" width="10.625" style="161" customWidth="1"/>
    <col min="15132" max="15132" width="12.75" style="161" customWidth="1"/>
    <col min="15133" max="15133" width="12.125" style="161" customWidth="1"/>
    <col min="15134" max="15134" width="10.625" style="161" customWidth="1"/>
    <col min="15135" max="15135" width="10.875" style="161" customWidth="1"/>
    <col min="15136" max="15136" width="11.25" style="161" customWidth="1"/>
    <col min="15137" max="15358" width="9" style="161"/>
    <col min="15359" max="15359" width="15.875" style="161" customWidth="1"/>
    <col min="15360" max="15360" width="14" style="161" customWidth="1"/>
    <col min="15361" max="15361" width="12.75" style="161" customWidth="1"/>
    <col min="15362" max="15362" width="12.25" style="161" customWidth="1"/>
    <col min="15363" max="15363" width="13.75" style="161" customWidth="1"/>
    <col min="15364" max="15364" width="9.625" style="161" customWidth="1"/>
    <col min="15365" max="15365" width="10.25" style="161" customWidth="1"/>
    <col min="15366" max="15366" width="10.125" style="161" customWidth="1"/>
    <col min="15367" max="15367" width="7" style="161" customWidth="1"/>
    <col min="15368" max="15368" width="11.75" style="161" customWidth="1"/>
    <col min="15369" max="15369" width="11.5" style="161" customWidth="1"/>
    <col min="15370" max="15370" width="9.75" style="161" customWidth="1"/>
    <col min="15371" max="15371" width="10.25" style="161" customWidth="1"/>
    <col min="15372" max="15372" width="9.25" style="161" customWidth="1"/>
    <col min="15373" max="15373" width="9.5" style="161" customWidth="1"/>
    <col min="15374" max="15374" width="10.125" style="161" customWidth="1"/>
    <col min="15375" max="15375" width="16.875" style="161" customWidth="1"/>
    <col min="15376" max="15380" width="9" style="161"/>
    <col min="15381" max="15381" width="11.75" style="161" customWidth="1"/>
    <col min="15382" max="15382" width="9.875" style="161" customWidth="1"/>
    <col min="15383" max="15383" width="10.625" style="161" customWidth="1"/>
    <col min="15384" max="15384" width="12.75" style="161" customWidth="1"/>
    <col min="15385" max="15385" width="11.75" style="161" customWidth="1"/>
    <col min="15386" max="15386" width="9.875" style="161" customWidth="1"/>
    <col min="15387" max="15387" width="10.625" style="161" customWidth="1"/>
    <col min="15388" max="15388" width="12.75" style="161" customWidth="1"/>
    <col min="15389" max="15389" width="12.125" style="161" customWidth="1"/>
    <col min="15390" max="15390" width="10.625" style="161" customWidth="1"/>
    <col min="15391" max="15391" width="10.875" style="161" customWidth="1"/>
    <col min="15392" max="15392" width="11.25" style="161" customWidth="1"/>
    <col min="15393" max="15614" width="9" style="161"/>
    <col min="15615" max="15615" width="15.875" style="161" customWidth="1"/>
    <col min="15616" max="15616" width="14" style="161" customWidth="1"/>
    <col min="15617" max="15617" width="12.75" style="161" customWidth="1"/>
    <col min="15618" max="15618" width="12.25" style="161" customWidth="1"/>
    <col min="15619" max="15619" width="13.75" style="161" customWidth="1"/>
    <col min="15620" max="15620" width="9.625" style="161" customWidth="1"/>
    <col min="15621" max="15621" width="10.25" style="161" customWidth="1"/>
    <col min="15622" max="15622" width="10.125" style="161" customWidth="1"/>
    <col min="15623" max="15623" width="7" style="161" customWidth="1"/>
    <col min="15624" max="15624" width="11.75" style="161" customWidth="1"/>
    <col min="15625" max="15625" width="11.5" style="161" customWidth="1"/>
    <col min="15626" max="15626" width="9.75" style="161" customWidth="1"/>
    <col min="15627" max="15627" width="10.25" style="161" customWidth="1"/>
    <col min="15628" max="15628" width="9.25" style="161" customWidth="1"/>
    <col min="15629" max="15629" width="9.5" style="161" customWidth="1"/>
    <col min="15630" max="15630" width="10.125" style="161" customWidth="1"/>
    <col min="15631" max="15631" width="16.875" style="161" customWidth="1"/>
    <col min="15632" max="15636" width="9" style="161"/>
    <col min="15637" max="15637" width="11.75" style="161" customWidth="1"/>
    <col min="15638" max="15638" width="9.875" style="161" customWidth="1"/>
    <col min="15639" max="15639" width="10.625" style="161" customWidth="1"/>
    <col min="15640" max="15640" width="12.75" style="161" customWidth="1"/>
    <col min="15641" max="15641" width="11.75" style="161" customWidth="1"/>
    <col min="15642" max="15642" width="9.875" style="161" customWidth="1"/>
    <col min="15643" max="15643" width="10.625" style="161" customWidth="1"/>
    <col min="15644" max="15644" width="12.75" style="161" customWidth="1"/>
    <col min="15645" max="15645" width="12.125" style="161" customWidth="1"/>
    <col min="15646" max="15646" width="10.625" style="161" customWidth="1"/>
    <col min="15647" max="15647" width="10.875" style="161" customWidth="1"/>
    <col min="15648" max="15648" width="11.25" style="161" customWidth="1"/>
    <col min="15649" max="15870" width="9" style="161"/>
    <col min="15871" max="15871" width="15.875" style="161" customWidth="1"/>
    <col min="15872" max="15872" width="14" style="161" customWidth="1"/>
    <col min="15873" max="15873" width="12.75" style="161" customWidth="1"/>
    <col min="15874" max="15874" width="12.25" style="161" customWidth="1"/>
    <col min="15875" max="15875" width="13.75" style="161" customWidth="1"/>
    <col min="15876" max="15876" width="9.625" style="161" customWidth="1"/>
    <col min="15877" max="15877" width="10.25" style="161" customWidth="1"/>
    <col min="15878" max="15878" width="10.125" style="161" customWidth="1"/>
    <col min="15879" max="15879" width="7" style="161" customWidth="1"/>
    <col min="15880" max="15880" width="11.75" style="161" customWidth="1"/>
    <col min="15881" max="15881" width="11.5" style="161" customWidth="1"/>
    <col min="15882" max="15882" width="9.75" style="161" customWidth="1"/>
    <col min="15883" max="15883" width="10.25" style="161" customWidth="1"/>
    <col min="15884" max="15884" width="9.25" style="161" customWidth="1"/>
    <col min="15885" max="15885" width="9.5" style="161" customWidth="1"/>
    <col min="15886" max="15886" width="10.125" style="161" customWidth="1"/>
    <col min="15887" max="15887" width="16.875" style="161" customWidth="1"/>
    <col min="15888" max="15892" width="9" style="161"/>
    <col min="15893" max="15893" width="11.75" style="161" customWidth="1"/>
    <col min="15894" max="15894" width="9.875" style="161" customWidth="1"/>
    <col min="15895" max="15895" width="10.625" style="161" customWidth="1"/>
    <col min="15896" max="15896" width="12.75" style="161" customWidth="1"/>
    <col min="15897" max="15897" width="11.75" style="161" customWidth="1"/>
    <col min="15898" max="15898" width="9.875" style="161" customWidth="1"/>
    <col min="15899" max="15899" width="10.625" style="161" customWidth="1"/>
    <col min="15900" max="15900" width="12.75" style="161" customWidth="1"/>
    <col min="15901" max="15901" width="12.125" style="161" customWidth="1"/>
    <col min="15902" max="15902" width="10.625" style="161" customWidth="1"/>
    <col min="15903" max="15903" width="10.875" style="161" customWidth="1"/>
    <col min="15904" max="15904" width="11.25" style="161" customWidth="1"/>
    <col min="15905" max="16126" width="9" style="161"/>
    <col min="16127" max="16127" width="15.875" style="161" customWidth="1"/>
    <col min="16128" max="16128" width="14" style="161" customWidth="1"/>
    <col min="16129" max="16129" width="12.75" style="161" customWidth="1"/>
    <col min="16130" max="16130" width="12.25" style="161" customWidth="1"/>
    <col min="16131" max="16131" width="13.75" style="161" customWidth="1"/>
    <col min="16132" max="16132" width="9.625" style="161" customWidth="1"/>
    <col min="16133" max="16133" width="10.25" style="161" customWidth="1"/>
    <col min="16134" max="16134" width="10.125" style="161" customWidth="1"/>
    <col min="16135" max="16135" width="7" style="161" customWidth="1"/>
    <col min="16136" max="16136" width="11.75" style="161" customWidth="1"/>
    <col min="16137" max="16137" width="11.5" style="161" customWidth="1"/>
    <col min="16138" max="16138" width="9.75" style="161" customWidth="1"/>
    <col min="16139" max="16139" width="10.25" style="161" customWidth="1"/>
    <col min="16140" max="16140" width="9.25" style="161" customWidth="1"/>
    <col min="16141" max="16141" width="9.5" style="161" customWidth="1"/>
    <col min="16142" max="16142" width="10.125" style="161" customWidth="1"/>
    <col min="16143" max="16143" width="16.875" style="161" customWidth="1"/>
    <col min="16144" max="16148" width="9" style="161"/>
    <col min="16149" max="16149" width="11.75" style="161" customWidth="1"/>
    <col min="16150" max="16150" width="9.875" style="161" customWidth="1"/>
    <col min="16151" max="16151" width="10.625" style="161" customWidth="1"/>
    <col min="16152" max="16152" width="12.75" style="161" customWidth="1"/>
    <col min="16153" max="16153" width="11.75" style="161" customWidth="1"/>
    <col min="16154" max="16154" width="9.875" style="161" customWidth="1"/>
    <col min="16155" max="16155" width="10.625" style="161" customWidth="1"/>
    <col min="16156" max="16156" width="12.75" style="161" customWidth="1"/>
    <col min="16157" max="16157" width="12.125" style="161" customWidth="1"/>
    <col min="16158" max="16158" width="10.625" style="161" customWidth="1"/>
    <col min="16159" max="16159" width="10.875" style="161" customWidth="1"/>
    <col min="16160" max="16160" width="11.25" style="161" customWidth="1"/>
    <col min="16161" max="16384" width="9" style="161"/>
  </cols>
  <sheetData>
    <row r="1" spans="1:32" s="160" customFormat="1" ht="32.25">
      <c r="A1" s="695" t="s">
        <v>175</v>
      </c>
      <c r="B1" s="696"/>
      <c r="C1" s="696"/>
      <c r="D1" s="696"/>
      <c r="E1" s="696"/>
      <c r="F1" s="696"/>
      <c r="G1" s="696"/>
      <c r="H1" s="696"/>
      <c r="I1" s="696"/>
      <c r="J1" s="696"/>
      <c r="K1" s="696"/>
      <c r="L1" s="696"/>
      <c r="M1" s="696"/>
      <c r="N1" s="161"/>
      <c r="O1" s="198"/>
      <c r="P1" s="198"/>
      <c r="Q1" s="198"/>
      <c r="R1" s="198"/>
      <c r="S1" s="198"/>
      <c r="T1" s="198"/>
      <c r="U1" s="198"/>
      <c r="V1" s="198"/>
      <c r="W1" s="198"/>
      <c r="X1" s="198"/>
      <c r="Y1" s="198"/>
      <c r="Z1" s="198"/>
      <c r="AA1" s="198"/>
      <c r="AB1" s="198"/>
      <c r="AC1" s="198"/>
    </row>
    <row r="2" spans="1:32" s="160" customFormat="1" ht="17.25">
      <c r="A2" s="163" t="s">
        <v>176</v>
      </c>
      <c r="B2" s="697" t="s">
        <v>177</v>
      </c>
      <c r="C2" s="698"/>
      <c r="D2" s="698"/>
      <c r="E2" s="698"/>
      <c r="F2" s="698"/>
      <c r="G2" s="699" t="s">
        <v>178</v>
      </c>
      <c r="H2" s="699"/>
      <c r="I2" s="699"/>
      <c r="J2" s="699"/>
      <c r="K2" s="699"/>
      <c r="L2" s="699"/>
      <c r="M2" s="699"/>
      <c r="N2" s="161"/>
      <c r="O2" s="161"/>
      <c r="P2" s="161"/>
      <c r="Q2" s="161"/>
      <c r="R2" s="161"/>
      <c r="S2" s="161"/>
      <c r="T2" s="161"/>
      <c r="U2" s="161"/>
      <c r="V2" s="161"/>
      <c r="W2" s="161"/>
      <c r="X2" s="161"/>
      <c r="Y2" s="161"/>
      <c r="Z2" s="161"/>
      <c r="AA2" s="161"/>
      <c r="AB2" s="161"/>
      <c r="AC2" s="161"/>
    </row>
    <row r="3" spans="1:32" s="160" customFormat="1" ht="57">
      <c r="A3" s="164" t="s">
        <v>179</v>
      </c>
      <c r="B3" s="165" t="str">
        <f t="shared" ref="B3" si="0">B5&amp;"层板灯"</f>
        <v>760mm层板灯</v>
      </c>
      <c r="C3" s="165" t="str">
        <f>C5&amp;"层板灯"</f>
        <v>960mm层板灯</v>
      </c>
      <c r="D3" s="165" t="str">
        <f>D5&amp;"层板灯"</f>
        <v>1110mm层板灯</v>
      </c>
      <c r="E3" s="165" t="str">
        <f>E5&amp;"层板灯"</f>
        <v>1160mm层板灯</v>
      </c>
      <c r="F3" s="165" t="str">
        <f>F5&amp;"层板灯"</f>
        <v>1210mm层板灯</v>
      </c>
      <c r="G3" s="166" t="s">
        <v>180</v>
      </c>
      <c r="H3" s="166" t="s">
        <v>181</v>
      </c>
      <c r="I3" s="166" t="s">
        <v>182</v>
      </c>
      <c r="J3" s="166" t="s">
        <v>183</v>
      </c>
      <c r="K3" s="166" t="s">
        <v>184</v>
      </c>
      <c r="L3" s="166" t="s">
        <v>185</v>
      </c>
      <c r="M3" s="199" t="s">
        <v>186</v>
      </c>
      <c r="N3" s="161"/>
      <c r="O3" s="161"/>
      <c r="P3" s="161"/>
      <c r="Q3" s="161"/>
      <c r="R3" s="161"/>
      <c r="S3" s="161"/>
      <c r="T3" s="161"/>
      <c r="U3" s="161"/>
      <c r="V3" s="161"/>
      <c r="W3" s="161"/>
      <c r="X3" s="161"/>
      <c r="Y3" s="161"/>
      <c r="Z3" s="161"/>
    </row>
    <row r="4" spans="1:32" s="160" customFormat="1" ht="28.5">
      <c r="A4" s="164" t="s">
        <v>187</v>
      </c>
      <c r="B4" s="167" t="s">
        <v>188</v>
      </c>
      <c r="C4" s="167" t="s">
        <v>188</v>
      </c>
      <c r="D4" s="167" t="s">
        <v>188</v>
      </c>
      <c r="E4" s="167" t="s">
        <v>188</v>
      </c>
      <c r="F4" s="167" t="s">
        <v>188</v>
      </c>
      <c r="G4" s="168" t="s">
        <v>189</v>
      </c>
      <c r="H4" s="168" t="s">
        <v>190</v>
      </c>
      <c r="I4" s="168" t="s">
        <v>191</v>
      </c>
      <c r="J4" s="168" t="s">
        <v>192</v>
      </c>
      <c r="K4" s="168" t="s">
        <v>193</v>
      </c>
      <c r="L4" s="168" t="s">
        <v>194</v>
      </c>
      <c r="M4" s="171" t="s">
        <v>195</v>
      </c>
      <c r="N4" s="161"/>
      <c r="O4" s="161"/>
      <c r="P4" s="161"/>
      <c r="Q4" s="161"/>
      <c r="R4" s="161"/>
      <c r="S4" s="161"/>
      <c r="T4" s="161"/>
      <c r="U4" s="161"/>
      <c r="V4" s="161"/>
      <c r="W4" s="161"/>
      <c r="X4" s="161"/>
      <c r="Y4" s="161"/>
      <c r="Z4" s="161"/>
    </row>
    <row r="5" spans="1:32" s="160" customFormat="1" ht="17.25">
      <c r="A5" s="164" t="s">
        <v>196</v>
      </c>
      <c r="B5" s="169" t="s">
        <v>197</v>
      </c>
      <c r="C5" s="170" t="s">
        <v>198</v>
      </c>
      <c r="D5" s="170" t="s">
        <v>199</v>
      </c>
      <c r="E5" s="169" t="s">
        <v>200</v>
      </c>
      <c r="F5" s="169" t="s">
        <v>201</v>
      </c>
      <c r="G5" s="171" t="s">
        <v>202</v>
      </c>
      <c r="H5" s="168" t="s">
        <v>203</v>
      </c>
      <c r="I5" s="168" t="s">
        <v>204</v>
      </c>
      <c r="J5" s="168" t="s">
        <v>205</v>
      </c>
      <c r="K5" s="168" t="s">
        <v>206</v>
      </c>
      <c r="L5" s="168" t="s">
        <v>207</v>
      </c>
      <c r="M5" s="171" t="s">
        <v>208</v>
      </c>
      <c r="N5" s="161"/>
      <c r="O5" s="161"/>
      <c r="P5" s="161"/>
      <c r="Q5" s="161"/>
      <c r="R5" s="161"/>
      <c r="S5" s="161"/>
      <c r="T5" s="161"/>
      <c r="U5" s="161"/>
      <c r="V5" s="161"/>
      <c r="W5" s="161"/>
      <c r="X5" s="161"/>
      <c r="Y5" s="161"/>
      <c r="Z5" s="161"/>
    </row>
    <row r="6" spans="1:32" s="160" customFormat="1" ht="17.25">
      <c r="A6" s="164" t="s">
        <v>209</v>
      </c>
      <c r="B6" s="168"/>
      <c r="C6" s="168"/>
      <c r="D6" s="168"/>
      <c r="E6" s="172"/>
      <c r="F6" s="171"/>
      <c r="G6" s="168" t="s">
        <v>210</v>
      </c>
      <c r="H6" s="168" t="s">
        <v>211</v>
      </c>
      <c r="I6" s="168" t="s">
        <v>211</v>
      </c>
      <c r="J6" s="168" t="s">
        <v>211</v>
      </c>
      <c r="K6" s="168" t="s">
        <v>211</v>
      </c>
      <c r="L6" s="168" t="s">
        <v>211</v>
      </c>
      <c r="M6" s="168" t="s">
        <v>211</v>
      </c>
      <c r="N6" s="161"/>
      <c r="O6" s="161"/>
      <c r="P6" s="161"/>
      <c r="Q6" s="161"/>
      <c r="R6" s="161"/>
      <c r="S6" s="161"/>
      <c r="T6" s="161"/>
      <c r="U6" s="161"/>
      <c r="V6" s="161"/>
      <c r="W6" s="161"/>
      <c r="X6" s="161"/>
      <c r="Y6" s="161"/>
      <c r="Z6" s="161"/>
    </row>
    <row r="7" spans="1:32" s="160" customFormat="1" ht="17.25" hidden="1">
      <c r="A7" s="173" t="s">
        <v>212</v>
      </c>
      <c r="B7" s="700">
        <v>162</v>
      </c>
      <c r="C7" s="701"/>
      <c r="D7" s="701"/>
      <c r="E7" s="701"/>
      <c r="F7" s="702"/>
      <c r="G7" s="174">
        <v>635</v>
      </c>
      <c r="H7" s="703">
        <v>33</v>
      </c>
      <c r="I7" s="703"/>
      <c r="J7" s="703"/>
      <c r="K7" s="703"/>
      <c r="L7" s="703"/>
      <c r="M7" s="703"/>
      <c r="N7" s="161"/>
      <c r="O7" s="161"/>
      <c r="P7" s="161"/>
      <c r="Q7" s="161"/>
      <c r="R7" s="161"/>
      <c r="S7" s="161"/>
      <c r="T7" s="161"/>
      <c r="U7" s="161"/>
      <c r="V7" s="161"/>
      <c r="W7" s="161"/>
      <c r="X7" s="161"/>
      <c r="Y7" s="161"/>
      <c r="Z7" s="161"/>
    </row>
    <row r="8" spans="1:32" s="160" customFormat="1" ht="17.25" hidden="1">
      <c r="A8" s="173" t="s">
        <v>213</v>
      </c>
      <c r="B8" s="700">
        <v>189.54</v>
      </c>
      <c r="C8" s="701"/>
      <c r="D8" s="701"/>
      <c r="E8" s="701"/>
      <c r="F8" s="702"/>
      <c r="G8" s="175">
        <v>742.95</v>
      </c>
      <c r="H8" s="704">
        <v>38.61</v>
      </c>
      <c r="I8" s="704"/>
      <c r="J8" s="704"/>
      <c r="K8" s="704"/>
      <c r="L8" s="704"/>
      <c r="M8" s="704"/>
      <c r="N8" s="161"/>
      <c r="O8" s="161"/>
      <c r="P8" s="161"/>
      <c r="Q8" s="161"/>
      <c r="R8" s="161"/>
      <c r="S8" s="161"/>
      <c r="T8" s="161"/>
      <c r="U8" s="161"/>
      <c r="V8" s="161"/>
      <c r="W8" s="161"/>
      <c r="X8" s="161"/>
      <c r="Y8" s="161"/>
      <c r="Z8" s="161"/>
    </row>
    <row r="9" spans="1:32" s="160" customFormat="1" ht="17.25" hidden="1">
      <c r="A9" s="173" t="s">
        <v>214</v>
      </c>
      <c r="B9" s="176">
        <f>0.76*$B$7</f>
        <v>123.12</v>
      </c>
      <c r="C9" s="176">
        <f>0.96*$B$7</f>
        <v>155.51999999999998</v>
      </c>
      <c r="D9" s="176">
        <f>1.11*$B$7</f>
        <v>179.82000000000002</v>
      </c>
      <c r="E9" s="176">
        <f>1.16*$B$7</f>
        <v>187.92</v>
      </c>
      <c r="F9" s="176">
        <f>1.21*$B$7</f>
        <v>196.01999999999998</v>
      </c>
      <c r="G9" s="176">
        <v>635</v>
      </c>
      <c r="H9" s="176">
        <v>37.950000000000003</v>
      </c>
      <c r="I9" s="176">
        <v>34.65</v>
      </c>
      <c r="J9" s="176">
        <v>36.630000000000003</v>
      </c>
      <c r="K9" s="176">
        <v>25.08</v>
      </c>
      <c r="L9" s="176">
        <v>42.9</v>
      </c>
      <c r="M9" s="176">
        <v>52.8</v>
      </c>
      <c r="N9" s="161"/>
      <c r="O9" s="161"/>
      <c r="P9" s="161"/>
      <c r="Q9" s="161"/>
      <c r="R9" s="161"/>
      <c r="S9" s="161"/>
      <c r="T9" s="161"/>
      <c r="U9" s="161"/>
      <c r="V9" s="161"/>
      <c r="W9" s="161"/>
      <c r="X9" s="161"/>
      <c r="Y9" s="161"/>
      <c r="Z9" s="161"/>
    </row>
    <row r="10" spans="1:32" s="160" customFormat="1" ht="17.25" hidden="1">
      <c r="A10" s="173" t="s">
        <v>215</v>
      </c>
      <c r="B10" s="176">
        <f t="shared" ref="B10" si="1">B9*1.17</f>
        <v>144.0504</v>
      </c>
      <c r="C10" s="176">
        <f t="shared" ref="C10:M10" si="2">C9*1.17</f>
        <v>181.95839999999995</v>
      </c>
      <c r="D10" s="176">
        <f t="shared" si="2"/>
        <v>210.38940000000002</v>
      </c>
      <c r="E10" s="176">
        <f t="shared" si="2"/>
        <v>219.86639999999997</v>
      </c>
      <c r="F10" s="176">
        <f t="shared" si="2"/>
        <v>229.34339999999997</v>
      </c>
      <c r="G10" s="176">
        <f t="shared" si="2"/>
        <v>742.94999999999993</v>
      </c>
      <c r="H10" s="176">
        <f t="shared" si="2"/>
        <v>44.401499999999999</v>
      </c>
      <c r="I10" s="176">
        <f t="shared" si="2"/>
        <v>40.540499999999994</v>
      </c>
      <c r="J10" s="176">
        <f t="shared" si="2"/>
        <v>42.857100000000003</v>
      </c>
      <c r="K10" s="176">
        <f t="shared" si="2"/>
        <v>29.343599999999995</v>
      </c>
      <c r="L10" s="176">
        <f t="shared" si="2"/>
        <v>50.192999999999998</v>
      </c>
      <c r="M10" s="176">
        <f t="shared" si="2"/>
        <v>61.775999999999996</v>
      </c>
      <c r="N10" s="161"/>
      <c r="O10" s="161"/>
      <c r="P10" s="161"/>
      <c r="Q10" s="161"/>
      <c r="R10" s="161"/>
      <c r="S10" s="161"/>
      <c r="T10" s="161"/>
      <c r="U10" s="161"/>
      <c r="V10" s="161"/>
      <c r="W10" s="161"/>
      <c r="X10" s="161"/>
      <c r="Y10" s="161"/>
      <c r="Z10" s="161"/>
    </row>
    <row r="11" spans="1:32" s="160" customFormat="1" ht="17.25" hidden="1">
      <c r="A11" s="164" t="s">
        <v>216</v>
      </c>
      <c r="B11" s="168">
        <f>7+8+16</f>
        <v>31</v>
      </c>
      <c r="C11" s="168">
        <v>0</v>
      </c>
      <c r="D11" s="168">
        <v>0</v>
      </c>
      <c r="E11" s="168">
        <f>32+16</f>
        <v>48</v>
      </c>
      <c r="F11" s="168"/>
      <c r="G11" s="168">
        <v>3</v>
      </c>
      <c r="H11" s="168">
        <v>7</v>
      </c>
      <c r="I11" s="168"/>
      <c r="J11" s="168">
        <v>7</v>
      </c>
      <c r="K11" s="168"/>
      <c r="L11" s="168"/>
      <c r="M11" s="171"/>
      <c r="N11" s="161"/>
      <c r="O11" s="161"/>
      <c r="P11" s="161"/>
      <c r="Q11" s="161"/>
      <c r="R11" s="161"/>
      <c r="S11" s="161"/>
      <c r="T11" s="161"/>
      <c r="U11" s="161"/>
      <c r="V11" s="161"/>
      <c r="W11" s="161"/>
      <c r="X11" s="161"/>
      <c r="Y11" s="161"/>
      <c r="Z11" s="161"/>
    </row>
    <row r="12" spans="1:32" s="160" customFormat="1" ht="17.25" hidden="1">
      <c r="A12" s="177" t="s">
        <v>217</v>
      </c>
      <c r="B12" s="178">
        <f t="shared" ref="B12" si="3">B11*B9</f>
        <v>3816.7200000000003</v>
      </c>
      <c r="C12" s="178">
        <f t="shared" ref="C12:M12" si="4">C11*C9</f>
        <v>0</v>
      </c>
      <c r="D12" s="178">
        <f t="shared" si="4"/>
        <v>0</v>
      </c>
      <c r="E12" s="178">
        <f t="shared" si="4"/>
        <v>9020.16</v>
      </c>
      <c r="F12" s="178">
        <f t="shared" si="4"/>
        <v>0</v>
      </c>
      <c r="G12" s="178">
        <f t="shared" si="4"/>
        <v>1905</v>
      </c>
      <c r="H12" s="178">
        <f t="shared" si="4"/>
        <v>265.65000000000003</v>
      </c>
      <c r="I12" s="178">
        <f t="shared" si="4"/>
        <v>0</v>
      </c>
      <c r="J12" s="178">
        <f t="shared" si="4"/>
        <v>256.41000000000003</v>
      </c>
      <c r="K12" s="178">
        <f t="shared" si="4"/>
        <v>0</v>
      </c>
      <c r="L12" s="178">
        <f t="shared" si="4"/>
        <v>0</v>
      </c>
      <c r="M12" s="178">
        <f t="shared" si="4"/>
        <v>0</v>
      </c>
      <c r="N12" s="200">
        <f>SUM(B12:M12)</f>
        <v>15263.94</v>
      </c>
      <c r="O12" s="161"/>
      <c r="P12" s="161"/>
      <c r="Q12" s="161"/>
      <c r="R12" s="161"/>
      <c r="S12" s="161"/>
      <c r="T12" s="161"/>
      <c r="U12" s="161"/>
      <c r="V12" s="161"/>
      <c r="W12" s="161"/>
      <c r="X12" s="161"/>
      <c r="Y12" s="161"/>
      <c r="Z12" s="161"/>
    </row>
    <row r="13" spans="1:32" s="160" customFormat="1" ht="17.25">
      <c r="A13" s="164" t="s">
        <v>218</v>
      </c>
      <c r="B13" s="705" t="s">
        <v>219</v>
      </c>
      <c r="C13" s="706"/>
      <c r="D13" s="706"/>
      <c r="E13" s="706"/>
      <c r="F13" s="706"/>
      <c r="G13" s="179"/>
      <c r="H13" s="179"/>
      <c r="I13" s="179"/>
      <c r="J13" s="179"/>
      <c r="K13" s="179"/>
      <c r="L13" s="201"/>
      <c r="M13" s="202"/>
      <c r="N13" s="161"/>
      <c r="O13" s="161"/>
      <c r="P13" s="161"/>
      <c r="Q13" s="161"/>
      <c r="R13" s="161"/>
      <c r="S13" s="161"/>
      <c r="T13" s="161"/>
      <c r="U13" s="161"/>
      <c r="V13" s="161"/>
      <c r="W13" s="161"/>
      <c r="X13" s="161"/>
      <c r="Y13" s="161"/>
      <c r="Z13" s="161"/>
      <c r="AA13" s="161"/>
      <c r="AB13" s="161"/>
      <c r="AC13" s="161"/>
    </row>
    <row r="14" spans="1:32" s="160" customFormat="1" ht="17.25">
      <c r="A14" s="180" t="s">
        <v>220</v>
      </c>
      <c r="B14" s="707"/>
      <c r="C14" s="707"/>
      <c r="D14" s="707"/>
      <c r="E14" s="707"/>
      <c r="F14" s="707"/>
      <c r="G14" s="181"/>
      <c r="H14" s="707"/>
      <c r="I14" s="707"/>
      <c r="J14" s="707"/>
      <c r="K14" s="707"/>
      <c r="L14" s="707"/>
      <c r="M14" s="707"/>
      <c r="N14" s="161"/>
      <c r="O14" s="161"/>
      <c r="P14" s="161"/>
      <c r="Q14" s="161"/>
      <c r="R14" s="161"/>
      <c r="S14" s="161"/>
      <c r="T14" s="161"/>
      <c r="U14" s="161"/>
      <c r="V14" s="161"/>
      <c r="W14" s="161"/>
      <c r="X14" s="161"/>
      <c r="Y14" s="161"/>
      <c r="Z14" s="161"/>
      <c r="AA14" s="161"/>
      <c r="AB14" s="161"/>
      <c r="AC14" s="161"/>
      <c r="AD14" s="161"/>
      <c r="AE14" s="161"/>
      <c r="AF14" s="161"/>
    </row>
    <row r="15" spans="1:32" s="160" customFormat="1" ht="17.25">
      <c r="A15" s="182"/>
      <c r="B15" s="183"/>
      <c r="C15" s="183"/>
      <c r="D15" s="183"/>
      <c r="E15" s="183"/>
      <c r="F15" s="183"/>
      <c r="G15" s="183"/>
      <c r="H15" s="183"/>
      <c r="I15" s="183"/>
      <c r="J15" s="183"/>
      <c r="K15" s="183"/>
      <c r="L15" s="183"/>
      <c r="M15" s="183"/>
      <c r="N15" s="183"/>
      <c r="O15" s="183"/>
      <c r="P15" s="183"/>
      <c r="Q15" s="183"/>
      <c r="R15" s="183"/>
      <c r="S15" s="183"/>
      <c r="T15" s="183"/>
      <c r="U15" s="193"/>
      <c r="V15" s="193"/>
      <c r="W15" s="193"/>
      <c r="X15" s="212"/>
      <c r="Y15" s="213"/>
      <c r="Z15" s="213"/>
      <c r="AA15" s="213"/>
      <c r="AB15" s="213"/>
      <c r="AC15" s="214"/>
      <c r="AD15" s="214"/>
      <c r="AE15" s="214"/>
      <c r="AF15" s="214"/>
    </row>
    <row r="16" spans="1:32">
      <c r="A16" s="161" t="s">
        <v>221</v>
      </c>
      <c r="B16" s="184" t="s">
        <v>425</v>
      </c>
      <c r="E16" s="161" t="s">
        <v>426</v>
      </c>
      <c r="H16" s="161" t="s">
        <v>261</v>
      </c>
      <c r="J16" s="161" t="s">
        <v>261</v>
      </c>
    </row>
    <row r="17" spans="1:15">
      <c r="E17" s="161" t="s">
        <v>222</v>
      </c>
    </row>
    <row r="18" spans="1:15">
      <c r="A18" s="708"/>
      <c r="B18" s="708"/>
      <c r="C18" s="708"/>
      <c r="D18" s="708"/>
      <c r="E18" s="708"/>
      <c r="F18" s="709"/>
      <c r="G18" s="709"/>
      <c r="H18" s="709"/>
      <c r="I18" s="709"/>
      <c r="J18" s="709"/>
      <c r="K18" s="709"/>
      <c r="L18" s="709"/>
      <c r="M18" s="709"/>
      <c r="N18" s="709"/>
    </row>
    <row r="19" spans="1:15">
      <c r="A19" s="186" t="s">
        <v>176</v>
      </c>
      <c r="B19" s="710" t="s">
        <v>223</v>
      </c>
      <c r="C19" s="710"/>
      <c r="D19" s="710"/>
      <c r="E19" s="710"/>
      <c r="F19" s="711" t="s">
        <v>224</v>
      </c>
      <c r="G19" s="711"/>
      <c r="H19" s="711"/>
      <c r="I19" s="711"/>
      <c r="J19" s="711" t="s">
        <v>225</v>
      </c>
      <c r="K19" s="711"/>
      <c r="L19" s="711"/>
    </row>
    <row r="20" spans="1:15" ht="57">
      <c r="A20" s="164" t="s">
        <v>179</v>
      </c>
      <c r="B20" s="187" t="s">
        <v>226</v>
      </c>
      <c r="C20" s="187" t="s">
        <v>227</v>
      </c>
      <c r="D20" s="187" t="s">
        <v>228</v>
      </c>
      <c r="E20" s="187" t="s">
        <v>229</v>
      </c>
      <c r="F20" s="712" t="s">
        <v>230</v>
      </c>
      <c r="G20" s="712"/>
      <c r="H20" s="712" t="s">
        <v>231</v>
      </c>
      <c r="I20" s="712"/>
      <c r="J20" s="203" t="s">
        <v>232</v>
      </c>
      <c r="K20" s="203" t="s">
        <v>233</v>
      </c>
      <c r="L20" s="188" t="s">
        <v>234</v>
      </c>
    </row>
    <row r="21" spans="1:15">
      <c r="A21" s="164" t="s">
        <v>187</v>
      </c>
      <c r="B21" s="168" t="s">
        <v>235</v>
      </c>
      <c r="C21" s="168" t="s">
        <v>236</v>
      </c>
      <c r="D21" s="168" t="s">
        <v>237</v>
      </c>
      <c r="E21" s="168" t="s">
        <v>238</v>
      </c>
      <c r="F21" s="713" t="s">
        <v>239</v>
      </c>
      <c r="G21" s="713"/>
      <c r="H21" s="713" t="s">
        <v>240</v>
      </c>
      <c r="I21" s="713"/>
      <c r="J21" s="202" t="s">
        <v>188</v>
      </c>
      <c r="K21" s="202" t="s">
        <v>188</v>
      </c>
      <c r="L21" s="168" t="s">
        <v>188</v>
      </c>
    </row>
    <row r="22" spans="1:15" ht="28.5">
      <c r="A22" s="164" t="s">
        <v>196</v>
      </c>
      <c r="B22" s="168" t="s">
        <v>241</v>
      </c>
      <c r="C22" s="168" t="s">
        <v>241</v>
      </c>
      <c r="D22" s="168" t="s">
        <v>241</v>
      </c>
      <c r="E22" s="168" t="s">
        <v>241</v>
      </c>
      <c r="F22" s="713" t="s">
        <v>242</v>
      </c>
      <c r="G22" s="713"/>
      <c r="H22" s="713" t="s">
        <v>242</v>
      </c>
      <c r="I22" s="713"/>
      <c r="J22" s="202" t="s">
        <v>243</v>
      </c>
      <c r="K22" s="202" t="s">
        <v>244</v>
      </c>
      <c r="L22" s="204" t="s">
        <v>245</v>
      </c>
    </row>
    <row r="23" spans="1:15">
      <c r="A23" s="164" t="s">
        <v>209</v>
      </c>
      <c r="B23" s="168" t="s">
        <v>246</v>
      </c>
      <c r="C23" s="168" t="s">
        <v>246</v>
      </c>
      <c r="D23" s="168" t="s">
        <v>246</v>
      </c>
      <c r="E23" s="168" t="s">
        <v>246</v>
      </c>
      <c r="F23" s="713" t="s">
        <v>247</v>
      </c>
      <c r="G23" s="713"/>
      <c r="H23" s="713" t="s">
        <v>247</v>
      </c>
      <c r="I23" s="713"/>
      <c r="J23" s="202"/>
      <c r="K23" s="205"/>
      <c r="L23" s="205"/>
    </row>
    <row r="24" spans="1:15" ht="30" hidden="1">
      <c r="A24" s="173" t="s">
        <v>248</v>
      </c>
      <c r="B24" s="714">
        <v>1367.52</v>
      </c>
      <c r="C24" s="715"/>
      <c r="D24" s="715"/>
      <c r="E24" s="716"/>
      <c r="F24" s="704">
        <v>72.5</v>
      </c>
      <c r="G24" s="704"/>
      <c r="H24" s="704"/>
      <c r="I24" s="704"/>
      <c r="J24" s="206">
        <v>500</v>
      </c>
      <c r="K24" s="206">
        <v>235</v>
      </c>
      <c r="L24" s="189">
        <v>162</v>
      </c>
    </row>
    <row r="25" spans="1:15" ht="30" hidden="1">
      <c r="A25" s="173" t="s">
        <v>249</v>
      </c>
      <c r="B25" s="717">
        <v>1600</v>
      </c>
      <c r="C25" s="718"/>
      <c r="D25" s="718"/>
      <c r="E25" s="719"/>
      <c r="F25" s="704">
        <v>84.83</v>
      </c>
      <c r="G25" s="704"/>
      <c r="H25" s="704"/>
      <c r="I25" s="704"/>
      <c r="J25" s="206">
        <f t="shared" ref="J25" si="5">J24*1.17</f>
        <v>585</v>
      </c>
      <c r="K25" s="206">
        <f>K24*1.17</f>
        <v>274.95</v>
      </c>
      <c r="L25" s="189">
        <f>L24*1.17</f>
        <v>189.54</v>
      </c>
    </row>
    <row r="26" spans="1:15" hidden="1">
      <c r="A26" s="164" t="s">
        <v>216</v>
      </c>
      <c r="B26" s="168">
        <v>0</v>
      </c>
      <c r="C26" s="168">
        <v>0</v>
      </c>
      <c r="D26" s="168">
        <v>0</v>
      </c>
      <c r="E26" s="168">
        <v>0</v>
      </c>
      <c r="F26" s="720">
        <f>2*3</f>
        <v>6</v>
      </c>
      <c r="G26" s="720"/>
      <c r="H26" s="720">
        <f>1.75*5+1.2*2</f>
        <v>11.15</v>
      </c>
      <c r="I26" s="720"/>
      <c r="J26" s="206"/>
      <c r="K26" s="206"/>
      <c r="L26" s="189"/>
    </row>
    <row r="27" spans="1:15" hidden="1">
      <c r="A27" s="177" t="s">
        <v>217</v>
      </c>
      <c r="B27" s="190">
        <f t="shared" ref="B27" si="6">B26*B24</f>
        <v>0</v>
      </c>
      <c r="C27" s="190">
        <f>C26*C24</f>
        <v>0</v>
      </c>
      <c r="D27" s="190">
        <f>D26*D24</f>
        <v>0</v>
      </c>
      <c r="E27" s="190">
        <f>E26*E24</f>
        <v>0</v>
      </c>
      <c r="F27" s="725">
        <f>F26*F24</f>
        <v>435</v>
      </c>
      <c r="G27" s="725"/>
      <c r="H27" s="725">
        <f>H26*F24</f>
        <v>808.375</v>
      </c>
      <c r="I27" s="725"/>
      <c r="J27" s="207">
        <f t="shared" ref="J27" si="7">J24*J26</f>
        <v>0</v>
      </c>
      <c r="K27" s="207">
        <f>K24*K26</f>
        <v>0</v>
      </c>
      <c r="L27" s="191">
        <f>L24*L26</f>
        <v>0</v>
      </c>
      <c r="N27" s="200">
        <f>SUM(F27:L27)</f>
        <v>1243.375</v>
      </c>
    </row>
    <row r="28" spans="1:15">
      <c r="A28" s="164" t="s">
        <v>218</v>
      </c>
      <c r="B28" s="726" t="s">
        <v>250</v>
      </c>
      <c r="C28" s="727"/>
      <c r="D28" s="727"/>
      <c r="E28" s="728"/>
      <c r="F28" s="729" t="s">
        <v>251</v>
      </c>
      <c r="G28" s="729"/>
      <c r="H28" s="730" t="s">
        <v>252</v>
      </c>
      <c r="I28" s="730"/>
      <c r="J28" s="205"/>
      <c r="K28" s="205"/>
      <c r="L28" s="205"/>
    </row>
    <row r="29" spans="1:15">
      <c r="A29" s="180" t="s">
        <v>220</v>
      </c>
      <c r="B29" s="721"/>
      <c r="C29" s="722"/>
      <c r="D29" s="722"/>
      <c r="E29" s="723"/>
      <c r="F29" s="724"/>
      <c r="G29" s="724"/>
      <c r="H29" s="724"/>
      <c r="I29" s="724"/>
      <c r="J29" s="724"/>
      <c r="K29" s="724"/>
      <c r="L29" s="208"/>
    </row>
    <row r="30" spans="1:15">
      <c r="A30" s="192"/>
      <c r="B30" s="193"/>
      <c r="C30" s="193"/>
      <c r="D30" s="193"/>
      <c r="E30" s="193"/>
      <c r="F30" s="185" t="s">
        <v>253</v>
      </c>
      <c r="G30" s="185"/>
      <c r="H30" s="185" t="s">
        <v>427</v>
      </c>
      <c r="I30" s="185"/>
      <c r="J30" s="185"/>
      <c r="K30" s="185"/>
      <c r="L30" s="185"/>
      <c r="M30" s="193"/>
      <c r="N30" s="193"/>
    </row>
    <row r="31" spans="1:15">
      <c r="A31" s="194" t="s">
        <v>221</v>
      </c>
      <c r="B31" s="194"/>
      <c r="C31" s="194"/>
      <c r="D31" s="194"/>
      <c r="E31" s="194"/>
      <c r="F31" s="194" t="s">
        <v>438</v>
      </c>
      <c r="G31" s="194"/>
      <c r="H31" s="194"/>
      <c r="I31" s="194"/>
      <c r="J31" s="194"/>
      <c r="K31" s="194"/>
      <c r="L31" s="194"/>
      <c r="M31" s="194"/>
      <c r="N31" s="209">
        <f>N12+N27</f>
        <v>16507.315000000002</v>
      </c>
      <c r="O31" s="210"/>
    </row>
    <row r="32" spans="1:15">
      <c r="A32" s="192"/>
      <c r="B32" s="193"/>
      <c r="C32" s="193"/>
      <c r="D32" s="193"/>
      <c r="E32" s="193"/>
      <c r="F32" s="185"/>
      <c r="G32" s="185"/>
      <c r="H32" s="185"/>
      <c r="I32" s="185"/>
      <c r="J32" s="185"/>
      <c r="K32" s="185"/>
      <c r="L32" s="185"/>
      <c r="M32" s="193"/>
      <c r="N32" s="193"/>
    </row>
    <row r="33" spans="1:14">
      <c r="A33" s="195"/>
      <c r="N33" s="193"/>
    </row>
    <row r="34" spans="1:14">
      <c r="A34" s="196"/>
      <c r="N34" s="211"/>
    </row>
    <row r="35" spans="1:14">
      <c r="A35" s="196"/>
    </row>
    <row r="36" spans="1:14">
      <c r="A36" s="197"/>
    </row>
  </sheetData>
  <sheetProtection algorithmName="SHA-512" hashValue="8FpYCN35InXDxYaWWVhjo6fqk3pYEM7RgN0tzI8duQzAtsEwM7VtYVIcvSCUEuZ8hPfzhrQBOx9S81kQOEbiCg==" saltValue="AqkYtTPZQUjsncZt5da0og==" spinCount="100000" sheet="1" objects="1" scenarios="1"/>
  <mergeCells count="36">
    <mergeCell ref="B29:E29"/>
    <mergeCell ref="F29:I29"/>
    <mergeCell ref="J29:K29"/>
    <mergeCell ref="F27:G27"/>
    <mergeCell ref="H27:I27"/>
    <mergeCell ref="B28:E28"/>
    <mergeCell ref="F28:G28"/>
    <mergeCell ref="H28:I28"/>
    <mergeCell ref="B24:E24"/>
    <mergeCell ref="F24:I24"/>
    <mergeCell ref="B25:E25"/>
    <mergeCell ref="F25:I25"/>
    <mergeCell ref="F26:G26"/>
    <mergeCell ref="H26:I26"/>
    <mergeCell ref="F21:G21"/>
    <mergeCell ref="H21:I21"/>
    <mergeCell ref="F22:G22"/>
    <mergeCell ref="H22:I22"/>
    <mergeCell ref="F23:G23"/>
    <mergeCell ref="H23:I23"/>
    <mergeCell ref="A18:N18"/>
    <mergeCell ref="B19:E19"/>
    <mergeCell ref="F19:I19"/>
    <mergeCell ref="J19:L19"/>
    <mergeCell ref="F20:G20"/>
    <mergeCell ref="H20:I20"/>
    <mergeCell ref="B8:F8"/>
    <mergeCell ref="H8:M8"/>
    <mergeCell ref="B13:F13"/>
    <mergeCell ref="B14:F14"/>
    <mergeCell ref="H14:M14"/>
    <mergeCell ref="A1:M1"/>
    <mergeCell ref="B2:F2"/>
    <mergeCell ref="G2:M2"/>
    <mergeCell ref="B7:F7"/>
    <mergeCell ref="H7:M7"/>
  </mergeCells>
  <phoneticPr fontId="29" type="noConversion"/>
  <pageMargins left="0.69930555555555596" right="0.69930555555555596"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6"/>
  <sheetViews>
    <sheetView topLeftCell="A26" zoomScale="73" zoomScaleNormal="73" workbookViewId="0">
      <selection activeCell="D16" sqref="D16"/>
    </sheetView>
  </sheetViews>
  <sheetFormatPr defaultColWidth="9" defaultRowHeight="13.5"/>
  <cols>
    <col min="4" max="11" width="9" hidden="1" customWidth="1"/>
    <col min="12" max="12" width="10.875" hidden="1" customWidth="1"/>
    <col min="13" max="15" width="9" hidden="1" customWidth="1"/>
    <col min="16" max="16" width="9.875" customWidth="1"/>
  </cols>
  <sheetData>
    <row r="1" spans="1:20" ht="22.5">
      <c r="A1" s="734" t="s">
        <v>512</v>
      </c>
      <c r="B1" s="734"/>
      <c r="C1" s="734"/>
      <c r="D1" s="734"/>
      <c r="E1" s="734"/>
      <c r="F1" s="734"/>
      <c r="G1" s="734"/>
      <c r="H1" s="734"/>
      <c r="I1" s="734"/>
      <c r="J1" s="134"/>
      <c r="K1" s="135"/>
      <c r="L1" s="135"/>
      <c r="M1" s="135"/>
      <c r="N1" s="135"/>
      <c r="O1" s="136"/>
      <c r="P1" s="137"/>
      <c r="Q1" s="147"/>
      <c r="R1" s="148"/>
      <c r="S1" s="149"/>
      <c r="T1" s="135"/>
    </row>
    <row r="2" spans="1:20" ht="54">
      <c r="A2" s="735" t="s">
        <v>439</v>
      </c>
      <c r="B2" s="735" t="s">
        <v>440</v>
      </c>
      <c r="C2" s="735" t="s">
        <v>441</v>
      </c>
      <c r="D2" s="130" t="s">
        <v>513</v>
      </c>
      <c r="E2" s="131" t="s">
        <v>514</v>
      </c>
      <c r="F2" s="131" t="s">
        <v>515</v>
      </c>
      <c r="G2" s="131" t="s">
        <v>516</v>
      </c>
      <c r="H2" s="131" t="s">
        <v>517</v>
      </c>
      <c r="I2" s="138" t="s">
        <v>518</v>
      </c>
      <c r="J2" s="138" t="s">
        <v>519</v>
      </c>
      <c r="K2" s="131" t="s">
        <v>520</v>
      </c>
      <c r="L2" s="138" t="s">
        <v>521</v>
      </c>
      <c r="M2" s="139" t="s">
        <v>522</v>
      </c>
      <c r="N2" s="138" t="s">
        <v>523</v>
      </c>
      <c r="O2" s="140" t="s">
        <v>524</v>
      </c>
      <c r="P2" s="141" t="s">
        <v>525</v>
      </c>
      <c r="Q2" s="150" t="s">
        <v>442</v>
      </c>
      <c r="R2" s="100" t="s">
        <v>526</v>
      </c>
      <c r="S2" s="135"/>
      <c r="T2" s="135"/>
    </row>
    <row r="3" spans="1:20" ht="18">
      <c r="A3" s="736"/>
      <c r="B3" s="736"/>
      <c r="C3" s="736"/>
      <c r="D3" s="133" t="s">
        <v>527</v>
      </c>
      <c r="E3" s="131" t="s">
        <v>528</v>
      </c>
      <c r="F3" s="131" t="s">
        <v>529</v>
      </c>
      <c r="G3" s="131" t="s">
        <v>530</v>
      </c>
      <c r="H3" s="131" t="s">
        <v>531</v>
      </c>
      <c r="I3" s="138" t="s">
        <v>532</v>
      </c>
      <c r="J3" s="138" t="s">
        <v>533</v>
      </c>
      <c r="K3" s="131" t="s">
        <v>534</v>
      </c>
      <c r="L3" s="138" t="s">
        <v>535</v>
      </c>
      <c r="M3" s="142" t="s">
        <v>536</v>
      </c>
      <c r="N3" s="138" t="s">
        <v>537</v>
      </c>
      <c r="O3" s="140" t="s">
        <v>538</v>
      </c>
      <c r="P3" s="143" t="s">
        <v>539</v>
      </c>
      <c r="Q3" s="140" t="s">
        <v>540</v>
      </c>
      <c r="R3" s="138" t="s">
        <v>541</v>
      </c>
      <c r="S3" s="151"/>
      <c r="T3" s="135"/>
    </row>
    <row r="4" spans="1:20" ht="18">
      <c r="A4" s="97" t="s">
        <v>467</v>
      </c>
      <c r="B4" s="98" t="s">
        <v>468</v>
      </c>
      <c r="C4" s="98" t="s">
        <v>469</v>
      </c>
      <c r="D4" s="102">
        <v>265</v>
      </c>
      <c r="E4" s="100">
        <v>8.1999999999999993</v>
      </c>
      <c r="F4" s="100">
        <f t="shared" ref="F4" si="0">E4+0.3</f>
        <v>8.5</v>
      </c>
      <c r="G4" s="100">
        <v>0.45</v>
      </c>
      <c r="H4" s="100">
        <f>G4+0.3</f>
        <v>0.75</v>
      </c>
      <c r="I4" s="100">
        <v>1.6</v>
      </c>
      <c r="J4" s="100">
        <f>I4+0.3</f>
        <v>1.9000000000000001</v>
      </c>
      <c r="K4" s="126">
        <f t="shared" ref="K4" si="1">E4*G4*I4</f>
        <v>5.9039999999999999</v>
      </c>
      <c r="L4" s="126">
        <f>F4*H4*J4+1</f>
        <v>13.112500000000001</v>
      </c>
      <c r="M4" s="100">
        <v>1</v>
      </c>
      <c r="N4" s="144">
        <f t="shared" ref="N4" si="2">D4*L4*M4</f>
        <v>3474.8125</v>
      </c>
      <c r="O4" s="145">
        <v>0.1</v>
      </c>
      <c r="P4" s="146">
        <f t="shared" ref="P4" si="3">N4*(1+O4)</f>
        <v>3822.2937500000003</v>
      </c>
      <c r="Q4" s="117">
        <v>0.17</v>
      </c>
      <c r="R4" s="126">
        <f t="shared" ref="R4" si="4">P4*(1+Q4)</f>
        <v>4472.0836875000005</v>
      </c>
      <c r="S4" s="152"/>
      <c r="T4" s="135"/>
    </row>
    <row r="5" spans="1:20" ht="18">
      <c r="A5" s="97" t="s">
        <v>467</v>
      </c>
      <c r="B5" s="98" t="s">
        <v>468</v>
      </c>
      <c r="C5" s="98" t="s">
        <v>448</v>
      </c>
      <c r="D5" s="102">
        <v>375</v>
      </c>
      <c r="E5" s="100">
        <v>8.1999999999999993</v>
      </c>
      <c r="F5" s="100">
        <f t="shared" ref="F5" si="5">E5+0.3</f>
        <v>8.5</v>
      </c>
      <c r="G5" s="100">
        <v>0.45</v>
      </c>
      <c r="H5" s="100">
        <f t="shared" ref="H5" si="6">G5+0.3</f>
        <v>0.75</v>
      </c>
      <c r="I5" s="100">
        <v>1.6</v>
      </c>
      <c r="J5" s="100">
        <f t="shared" ref="J5" si="7">I5+0.3</f>
        <v>1.9000000000000001</v>
      </c>
      <c r="K5" s="126">
        <f t="shared" ref="K5:K43" si="8">E5*G5*I5</f>
        <v>5.9039999999999999</v>
      </c>
      <c r="L5" s="126">
        <f t="shared" ref="L5" si="9">F5*H5*J5+1</f>
        <v>13.112500000000001</v>
      </c>
      <c r="M5" s="100">
        <v>1</v>
      </c>
      <c r="N5" s="144">
        <f t="shared" ref="N5:N43" si="10">D5*L5*M5</f>
        <v>4917.1875</v>
      </c>
      <c r="O5" s="145">
        <v>0.1</v>
      </c>
      <c r="P5" s="146">
        <f t="shared" ref="P5:P43" si="11">N5*(1+O5)</f>
        <v>5408.90625</v>
      </c>
      <c r="Q5" s="117">
        <v>0.17</v>
      </c>
      <c r="R5" s="126">
        <f t="shared" ref="R5:R43" si="12">P5*(1+Q5)</f>
        <v>6328.4203124999995</v>
      </c>
      <c r="S5" s="152"/>
      <c r="T5" s="135"/>
    </row>
    <row r="6" spans="1:20" ht="18">
      <c r="A6" s="97" t="s">
        <v>467</v>
      </c>
      <c r="B6" s="98" t="s">
        <v>470</v>
      </c>
      <c r="C6" s="98" t="s">
        <v>471</v>
      </c>
      <c r="D6" s="102">
        <v>340</v>
      </c>
      <c r="E6" s="100">
        <v>8.1999999999999993</v>
      </c>
      <c r="F6" s="100">
        <f t="shared" ref="F6:F43" si="13">E6+0.3</f>
        <v>8.5</v>
      </c>
      <c r="G6" s="100">
        <v>0.45</v>
      </c>
      <c r="H6" s="100">
        <f t="shared" ref="H6:H43" si="14">G6+0.3</f>
        <v>0.75</v>
      </c>
      <c r="I6" s="100">
        <v>1.6</v>
      </c>
      <c r="J6" s="100">
        <f t="shared" ref="J6:J43" si="15">I6+0.3</f>
        <v>1.9000000000000001</v>
      </c>
      <c r="K6" s="126">
        <f t="shared" si="8"/>
        <v>5.9039999999999999</v>
      </c>
      <c r="L6" s="126">
        <f t="shared" ref="L6:L43" si="16">F6*H6*J6+1</f>
        <v>13.112500000000001</v>
      </c>
      <c r="M6" s="100">
        <v>1</v>
      </c>
      <c r="N6" s="144">
        <f t="shared" si="10"/>
        <v>4458.25</v>
      </c>
      <c r="O6" s="145">
        <v>0.1</v>
      </c>
      <c r="P6" s="146">
        <f t="shared" si="11"/>
        <v>4904.0750000000007</v>
      </c>
      <c r="Q6" s="117">
        <v>0.17</v>
      </c>
      <c r="R6" s="126">
        <f t="shared" si="12"/>
        <v>5737.7677500000009</v>
      </c>
      <c r="S6" s="152"/>
      <c r="T6" s="135"/>
    </row>
    <row r="7" spans="1:20" ht="18">
      <c r="A7" s="97" t="s">
        <v>467</v>
      </c>
      <c r="B7" s="98" t="s">
        <v>470</v>
      </c>
      <c r="C7" s="98" t="s">
        <v>448</v>
      </c>
      <c r="D7" s="102">
        <v>340</v>
      </c>
      <c r="E7" s="100">
        <v>8.1999999999999993</v>
      </c>
      <c r="F7" s="100">
        <f t="shared" si="13"/>
        <v>8.5</v>
      </c>
      <c r="G7" s="100">
        <v>0.45</v>
      </c>
      <c r="H7" s="100">
        <f t="shared" si="14"/>
        <v>0.75</v>
      </c>
      <c r="I7" s="100">
        <v>1.6</v>
      </c>
      <c r="J7" s="100">
        <f t="shared" si="15"/>
        <v>1.9000000000000001</v>
      </c>
      <c r="K7" s="126">
        <f t="shared" si="8"/>
        <v>5.9039999999999999</v>
      </c>
      <c r="L7" s="126">
        <f t="shared" si="16"/>
        <v>13.112500000000001</v>
      </c>
      <c r="M7" s="100">
        <v>1</v>
      </c>
      <c r="N7" s="144">
        <f t="shared" si="10"/>
        <v>4458.25</v>
      </c>
      <c r="O7" s="145">
        <v>0.1</v>
      </c>
      <c r="P7" s="146">
        <f t="shared" si="11"/>
        <v>4904.0750000000007</v>
      </c>
      <c r="Q7" s="117">
        <v>0.17</v>
      </c>
      <c r="R7" s="126">
        <f t="shared" si="12"/>
        <v>5737.7677500000009</v>
      </c>
      <c r="S7" s="152"/>
      <c r="T7" s="135"/>
    </row>
    <row r="8" spans="1:20" ht="18">
      <c r="A8" s="97" t="s">
        <v>467</v>
      </c>
      <c r="B8" s="98" t="s">
        <v>472</v>
      </c>
      <c r="C8" s="98" t="s">
        <v>472</v>
      </c>
      <c r="D8" s="102">
        <v>310</v>
      </c>
      <c r="E8" s="100">
        <v>8.1999999999999993</v>
      </c>
      <c r="F8" s="100">
        <f t="shared" si="13"/>
        <v>8.5</v>
      </c>
      <c r="G8" s="100">
        <v>0.45</v>
      </c>
      <c r="H8" s="100">
        <f t="shared" si="14"/>
        <v>0.75</v>
      </c>
      <c r="I8" s="100">
        <v>1.6</v>
      </c>
      <c r="J8" s="100">
        <f t="shared" si="15"/>
        <v>1.9000000000000001</v>
      </c>
      <c r="K8" s="126">
        <f t="shared" si="8"/>
        <v>5.9039999999999999</v>
      </c>
      <c r="L8" s="126">
        <f t="shared" si="16"/>
        <v>13.112500000000001</v>
      </c>
      <c r="M8" s="100">
        <v>1</v>
      </c>
      <c r="N8" s="144">
        <f t="shared" si="10"/>
        <v>4064.875</v>
      </c>
      <c r="O8" s="145">
        <v>0.1</v>
      </c>
      <c r="P8" s="146">
        <f t="shared" si="11"/>
        <v>4471.3625000000002</v>
      </c>
      <c r="Q8" s="117">
        <v>0.17</v>
      </c>
      <c r="R8" s="126">
        <f t="shared" si="12"/>
        <v>5231.4941250000002</v>
      </c>
      <c r="S8" s="152"/>
      <c r="T8" s="135"/>
    </row>
    <row r="9" spans="1:20" ht="18">
      <c r="A9" s="97" t="s">
        <v>467</v>
      </c>
      <c r="B9" s="98" t="s">
        <v>473</v>
      </c>
      <c r="C9" s="98" t="s">
        <v>474</v>
      </c>
      <c r="D9" s="102">
        <v>270</v>
      </c>
      <c r="E9" s="100">
        <v>8.1999999999999993</v>
      </c>
      <c r="F9" s="100">
        <f t="shared" si="13"/>
        <v>8.5</v>
      </c>
      <c r="G9" s="100">
        <v>0.45</v>
      </c>
      <c r="H9" s="100">
        <f t="shared" si="14"/>
        <v>0.75</v>
      </c>
      <c r="I9" s="100">
        <v>1.6</v>
      </c>
      <c r="J9" s="100">
        <f t="shared" si="15"/>
        <v>1.9000000000000001</v>
      </c>
      <c r="K9" s="126">
        <f t="shared" si="8"/>
        <v>5.9039999999999999</v>
      </c>
      <c r="L9" s="126">
        <f t="shared" si="16"/>
        <v>13.112500000000001</v>
      </c>
      <c r="M9" s="100">
        <v>1</v>
      </c>
      <c r="N9" s="144">
        <f t="shared" si="10"/>
        <v>3540.375</v>
      </c>
      <c r="O9" s="145">
        <v>0.1</v>
      </c>
      <c r="P9" s="146">
        <f t="shared" si="11"/>
        <v>3894.4125000000004</v>
      </c>
      <c r="Q9" s="117">
        <v>0.17</v>
      </c>
      <c r="R9" s="126">
        <f t="shared" si="12"/>
        <v>4556.4626250000001</v>
      </c>
      <c r="S9" s="152"/>
      <c r="T9" s="135"/>
    </row>
    <row r="10" spans="1:20" ht="18">
      <c r="A10" s="97" t="s">
        <v>467</v>
      </c>
      <c r="B10" s="98" t="s">
        <v>473</v>
      </c>
      <c r="C10" s="98" t="s">
        <v>475</v>
      </c>
      <c r="D10" s="102">
        <v>300</v>
      </c>
      <c r="E10" s="100">
        <v>8.1999999999999993</v>
      </c>
      <c r="F10" s="100">
        <f t="shared" si="13"/>
        <v>8.5</v>
      </c>
      <c r="G10" s="100">
        <v>0.45</v>
      </c>
      <c r="H10" s="100">
        <f t="shared" si="14"/>
        <v>0.75</v>
      </c>
      <c r="I10" s="100">
        <v>1.6</v>
      </c>
      <c r="J10" s="100">
        <f t="shared" si="15"/>
        <v>1.9000000000000001</v>
      </c>
      <c r="K10" s="126">
        <f t="shared" si="8"/>
        <v>5.9039999999999999</v>
      </c>
      <c r="L10" s="126">
        <f t="shared" si="16"/>
        <v>13.112500000000001</v>
      </c>
      <c r="M10" s="100">
        <v>1</v>
      </c>
      <c r="N10" s="144">
        <f t="shared" si="10"/>
        <v>3933.75</v>
      </c>
      <c r="O10" s="145">
        <v>0.1</v>
      </c>
      <c r="P10" s="146">
        <f t="shared" si="11"/>
        <v>4327.125</v>
      </c>
      <c r="Q10" s="117">
        <v>0.17</v>
      </c>
      <c r="R10" s="126">
        <f t="shared" si="12"/>
        <v>5062.7362499999999</v>
      </c>
      <c r="S10" s="152"/>
      <c r="T10" s="135"/>
    </row>
    <row r="11" spans="1:20" ht="18">
      <c r="A11" s="97" t="s">
        <v>467</v>
      </c>
      <c r="B11" s="98" t="s">
        <v>473</v>
      </c>
      <c r="C11" s="98" t="s">
        <v>448</v>
      </c>
      <c r="D11" s="102">
        <v>310</v>
      </c>
      <c r="E11" s="100">
        <v>8.1999999999999993</v>
      </c>
      <c r="F11" s="100">
        <f t="shared" si="13"/>
        <v>8.5</v>
      </c>
      <c r="G11" s="100">
        <v>0.45</v>
      </c>
      <c r="H11" s="100">
        <f t="shared" si="14"/>
        <v>0.75</v>
      </c>
      <c r="I11" s="100">
        <v>1.6</v>
      </c>
      <c r="J11" s="100">
        <f t="shared" si="15"/>
        <v>1.9000000000000001</v>
      </c>
      <c r="K11" s="126">
        <f t="shared" si="8"/>
        <v>5.9039999999999999</v>
      </c>
      <c r="L11" s="126">
        <f t="shared" si="16"/>
        <v>13.112500000000001</v>
      </c>
      <c r="M11" s="100">
        <v>1</v>
      </c>
      <c r="N11" s="144">
        <f t="shared" si="10"/>
        <v>4064.875</v>
      </c>
      <c r="O11" s="145">
        <v>0.1</v>
      </c>
      <c r="P11" s="146">
        <f t="shared" si="11"/>
        <v>4471.3625000000002</v>
      </c>
      <c r="Q11" s="117">
        <v>0.17</v>
      </c>
      <c r="R11" s="126">
        <f t="shared" si="12"/>
        <v>5231.4941250000002</v>
      </c>
      <c r="S11" s="152"/>
      <c r="T11" s="135"/>
    </row>
    <row r="12" spans="1:20" ht="18">
      <c r="A12" s="97" t="s">
        <v>476</v>
      </c>
      <c r="B12" s="98" t="s">
        <v>477</v>
      </c>
      <c r="C12" s="98" t="s">
        <v>478</v>
      </c>
      <c r="D12" s="102">
        <v>300</v>
      </c>
      <c r="E12" s="100">
        <v>8.1999999999999993</v>
      </c>
      <c r="F12" s="100">
        <f t="shared" si="13"/>
        <v>8.5</v>
      </c>
      <c r="G12" s="100">
        <v>0.45</v>
      </c>
      <c r="H12" s="100">
        <f t="shared" si="14"/>
        <v>0.75</v>
      </c>
      <c r="I12" s="100">
        <v>1.6</v>
      </c>
      <c r="J12" s="100">
        <f t="shared" si="15"/>
        <v>1.9000000000000001</v>
      </c>
      <c r="K12" s="126">
        <f t="shared" si="8"/>
        <v>5.9039999999999999</v>
      </c>
      <c r="L12" s="126">
        <f t="shared" si="16"/>
        <v>13.112500000000001</v>
      </c>
      <c r="M12" s="100">
        <v>1</v>
      </c>
      <c r="N12" s="144">
        <f t="shared" si="10"/>
        <v>3933.75</v>
      </c>
      <c r="O12" s="145">
        <v>0.1</v>
      </c>
      <c r="P12" s="146">
        <f t="shared" si="11"/>
        <v>4327.125</v>
      </c>
      <c r="Q12" s="117">
        <v>0.17</v>
      </c>
      <c r="R12" s="126">
        <f t="shared" si="12"/>
        <v>5062.7362499999999</v>
      </c>
      <c r="S12" s="152"/>
      <c r="T12" s="135"/>
    </row>
    <row r="13" spans="1:20" ht="18">
      <c r="A13" s="97" t="s">
        <v>476</v>
      </c>
      <c r="B13" s="98" t="s">
        <v>477</v>
      </c>
      <c r="C13" s="98" t="s">
        <v>448</v>
      </c>
      <c r="D13" s="102">
        <v>300</v>
      </c>
      <c r="E13" s="100">
        <v>8.1999999999999993</v>
      </c>
      <c r="F13" s="100">
        <f t="shared" si="13"/>
        <v>8.5</v>
      </c>
      <c r="G13" s="100">
        <v>0.45</v>
      </c>
      <c r="H13" s="100">
        <f t="shared" si="14"/>
        <v>0.75</v>
      </c>
      <c r="I13" s="100">
        <v>1.6</v>
      </c>
      <c r="J13" s="100">
        <f t="shared" si="15"/>
        <v>1.9000000000000001</v>
      </c>
      <c r="K13" s="126">
        <f t="shared" si="8"/>
        <v>5.9039999999999999</v>
      </c>
      <c r="L13" s="126">
        <f t="shared" si="16"/>
        <v>13.112500000000001</v>
      </c>
      <c r="M13" s="100">
        <v>1</v>
      </c>
      <c r="N13" s="144">
        <f t="shared" si="10"/>
        <v>3933.75</v>
      </c>
      <c r="O13" s="145">
        <v>0.1</v>
      </c>
      <c r="P13" s="146">
        <f t="shared" si="11"/>
        <v>4327.125</v>
      </c>
      <c r="Q13" s="117">
        <v>0.17</v>
      </c>
      <c r="R13" s="126">
        <f t="shared" si="12"/>
        <v>5062.7362499999999</v>
      </c>
      <c r="S13" s="152"/>
      <c r="T13" s="135"/>
    </row>
    <row r="14" spans="1:20" ht="18">
      <c r="A14" s="97" t="s">
        <v>476</v>
      </c>
      <c r="B14" s="98" t="s">
        <v>479</v>
      </c>
      <c r="C14" s="98" t="s">
        <v>480</v>
      </c>
      <c r="D14" s="102">
        <v>185</v>
      </c>
      <c r="E14" s="100">
        <v>8.1999999999999993</v>
      </c>
      <c r="F14" s="100">
        <f t="shared" si="13"/>
        <v>8.5</v>
      </c>
      <c r="G14" s="100">
        <v>0.45</v>
      </c>
      <c r="H14" s="100">
        <f t="shared" si="14"/>
        <v>0.75</v>
      </c>
      <c r="I14" s="100">
        <v>1.6</v>
      </c>
      <c r="J14" s="100">
        <f t="shared" si="15"/>
        <v>1.9000000000000001</v>
      </c>
      <c r="K14" s="126">
        <f t="shared" si="8"/>
        <v>5.9039999999999999</v>
      </c>
      <c r="L14" s="126">
        <f t="shared" si="16"/>
        <v>13.112500000000001</v>
      </c>
      <c r="M14" s="100">
        <v>1</v>
      </c>
      <c r="N14" s="144">
        <f t="shared" si="10"/>
        <v>2425.8125</v>
      </c>
      <c r="O14" s="145">
        <v>0.1</v>
      </c>
      <c r="P14" s="146">
        <f t="shared" si="11"/>
        <v>2668.3937500000002</v>
      </c>
      <c r="Q14" s="117">
        <v>0.17</v>
      </c>
      <c r="R14" s="126">
        <f t="shared" si="12"/>
        <v>3122.0206874999999</v>
      </c>
      <c r="S14" s="152"/>
      <c r="T14" s="135"/>
    </row>
    <row r="15" spans="1:20" ht="18">
      <c r="A15" s="97" t="s">
        <v>476</v>
      </c>
      <c r="B15" s="98" t="s">
        <v>479</v>
      </c>
      <c r="C15" s="98" t="s">
        <v>481</v>
      </c>
      <c r="D15" s="102">
        <v>185</v>
      </c>
      <c r="E15" s="100">
        <v>8.1999999999999993</v>
      </c>
      <c r="F15" s="100">
        <f t="shared" si="13"/>
        <v>8.5</v>
      </c>
      <c r="G15" s="100">
        <v>0.45</v>
      </c>
      <c r="H15" s="100">
        <f t="shared" si="14"/>
        <v>0.75</v>
      </c>
      <c r="I15" s="100">
        <v>1.6</v>
      </c>
      <c r="J15" s="100">
        <f t="shared" si="15"/>
        <v>1.9000000000000001</v>
      </c>
      <c r="K15" s="126">
        <f t="shared" si="8"/>
        <v>5.9039999999999999</v>
      </c>
      <c r="L15" s="126">
        <f t="shared" si="16"/>
        <v>13.112500000000001</v>
      </c>
      <c r="M15" s="100">
        <v>1</v>
      </c>
      <c r="N15" s="144">
        <f t="shared" si="10"/>
        <v>2425.8125</v>
      </c>
      <c r="O15" s="145">
        <v>0.1</v>
      </c>
      <c r="P15" s="146">
        <f t="shared" si="11"/>
        <v>2668.3937500000002</v>
      </c>
      <c r="Q15" s="117">
        <v>0.17</v>
      </c>
      <c r="R15" s="126">
        <f t="shared" si="12"/>
        <v>3122.0206874999999</v>
      </c>
      <c r="S15" s="152"/>
      <c r="T15" s="135"/>
    </row>
    <row r="16" spans="1:20" ht="18">
      <c r="A16" s="97" t="s">
        <v>476</v>
      </c>
      <c r="B16" s="98" t="s">
        <v>479</v>
      </c>
      <c r="C16" s="98" t="s">
        <v>448</v>
      </c>
      <c r="D16" s="102">
        <v>190</v>
      </c>
      <c r="E16" s="100">
        <v>8.1999999999999993</v>
      </c>
      <c r="F16" s="100">
        <f t="shared" si="13"/>
        <v>8.5</v>
      </c>
      <c r="G16" s="100">
        <v>0.45</v>
      </c>
      <c r="H16" s="100">
        <f t="shared" si="14"/>
        <v>0.75</v>
      </c>
      <c r="I16" s="100">
        <v>1.6</v>
      </c>
      <c r="J16" s="100">
        <f t="shared" si="15"/>
        <v>1.9000000000000001</v>
      </c>
      <c r="K16" s="126">
        <f t="shared" si="8"/>
        <v>5.9039999999999999</v>
      </c>
      <c r="L16" s="126">
        <f t="shared" si="16"/>
        <v>13.112500000000001</v>
      </c>
      <c r="M16" s="100">
        <v>1</v>
      </c>
      <c r="N16" s="144">
        <f t="shared" si="10"/>
        <v>2491.375</v>
      </c>
      <c r="O16" s="145">
        <v>0.1</v>
      </c>
      <c r="P16" s="146">
        <f t="shared" si="11"/>
        <v>2740.5125000000003</v>
      </c>
      <c r="Q16" s="117">
        <v>0.17</v>
      </c>
      <c r="R16" s="126">
        <f t="shared" si="12"/>
        <v>3206.399625</v>
      </c>
      <c r="S16" s="152"/>
      <c r="T16" s="135"/>
    </row>
    <row r="17" spans="1:20" ht="18">
      <c r="A17" s="97" t="s">
        <v>476</v>
      </c>
      <c r="B17" s="98" t="s">
        <v>482</v>
      </c>
      <c r="C17" s="98" t="s">
        <v>483</v>
      </c>
      <c r="D17" s="102">
        <v>252</v>
      </c>
      <c r="E17" s="100">
        <v>8.1999999999999993</v>
      </c>
      <c r="F17" s="100">
        <f t="shared" si="13"/>
        <v>8.5</v>
      </c>
      <c r="G17" s="100">
        <v>0.45</v>
      </c>
      <c r="H17" s="100">
        <f t="shared" si="14"/>
        <v>0.75</v>
      </c>
      <c r="I17" s="100">
        <v>1.6</v>
      </c>
      <c r="J17" s="100">
        <f t="shared" si="15"/>
        <v>1.9000000000000001</v>
      </c>
      <c r="K17" s="126">
        <f t="shared" si="8"/>
        <v>5.9039999999999999</v>
      </c>
      <c r="L17" s="126">
        <f t="shared" si="16"/>
        <v>13.112500000000001</v>
      </c>
      <c r="M17" s="100">
        <v>1</v>
      </c>
      <c r="N17" s="144">
        <f t="shared" si="10"/>
        <v>3304.3500000000004</v>
      </c>
      <c r="O17" s="145">
        <v>0.1</v>
      </c>
      <c r="P17" s="146">
        <f t="shared" si="11"/>
        <v>3634.7850000000008</v>
      </c>
      <c r="Q17" s="117">
        <v>0.17</v>
      </c>
      <c r="R17" s="126">
        <f t="shared" si="12"/>
        <v>4252.6984500000008</v>
      </c>
      <c r="S17" s="152"/>
      <c r="T17" s="135"/>
    </row>
    <row r="18" spans="1:20" ht="18">
      <c r="A18" s="97" t="s">
        <v>476</v>
      </c>
      <c r="B18" s="98" t="s">
        <v>482</v>
      </c>
      <c r="C18" s="98" t="s">
        <v>448</v>
      </c>
      <c r="D18" s="102">
        <v>290</v>
      </c>
      <c r="E18" s="100">
        <v>8.1999999999999993</v>
      </c>
      <c r="F18" s="100">
        <f t="shared" si="13"/>
        <v>8.5</v>
      </c>
      <c r="G18" s="100">
        <v>0.45</v>
      </c>
      <c r="H18" s="100">
        <f t="shared" si="14"/>
        <v>0.75</v>
      </c>
      <c r="I18" s="100">
        <v>1.6</v>
      </c>
      <c r="J18" s="100">
        <f t="shared" si="15"/>
        <v>1.9000000000000001</v>
      </c>
      <c r="K18" s="126">
        <f t="shared" si="8"/>
        <v>5.9039999999999999</v>
      </c>
      <c r="L18" s="126">
        <f t="shared" si="16"/>
        <v>13.112500000000001</v>
      </c>
      <c r="M18" s="100">
        <v>1</v>
      </c>
      <c r="N18" s="144">
        <f t="shared" si="10"/>
        <v>3802.625</v>
      </c>
      <c r="O18" s="145">
        <v>0.1</v>
      </c>
      <c r="P18" s="146">
        <f t="shared" si="11"/>
        <v>4182.8875000000007</v>
      </c>
      <c r="Q18" s="117">
        <v>0.17</v>
      </c>
      <c r="R18" s="126">
        <f t="shared" si="12"/>
        <v>4893.9783750000006</v>
      </c>
      <c r="S18" s="152"/>
      <c r="T18" s="135"/>
    </row>
    <row r="19" spans="1:20" ht="18">
      <c r="A19" s="97" t="s">
        <v>484</v>
      </c>
      <c r="B19" s="98" t="s">
        <v>485</v>
      </c>
      <c r="C19" s="98" t="s">
        <v>486</v>
      </c>
      <c r="D19" s="102">
        <v>490</v>
      </c>
      <c r="E19" s="100">
        <v>8.1999999999999993</v>
      </c>
      <c r="F19" s="100">
        <f t="shared" si="13"/>
        <v>8.5</v>
      </c>
      <c r="G19" s="100">
        <v>0.45</v>
      </c>
      <c r="H19" s="100">
        <f t="shared" si="14"/>
        <v>0.75</v>
      </c>
      <c r="I19" s="100">
        <v>1.6</v>
      </c>
      <c r="J19" s="100">
        <f t="shared" si="15"/>
        <v>1.9000000000000001</v>
      </c>
      <c r="K19" s="126">
        <f t="shared" si="8"/>
        <v>5.9039999999999999</v>
      </c>
      <c r="L19" s="126">
        <f t="shared" si="16"/>
        <v>13.112500000000001</v>
      </c>
      <c r="M19" s="100">
        <v>1</v>
      </c>
      <c r="N19" s="144">
        <f t="shared" si="10"/>
        <v>6425.125</v>
      </c>
      <c r="O19" s="145">
        <v>0.1</v>
      </c>
      <c r="P19" s="146">
        <f t="shared" si="11"/>
        <v>7067.6375000000007</v>
      </c>
      <c r="Q19" s="117">
        <v>0.17</v>
      </c>
      <c r="R19" s="126">
        <f t="shared" si="12"/>
        <v>8269.1358749999999</v>
      </c>
      <c r="S19" s="152"/>
      <c r="T19" s="135"/>
    </row>
    <row r="20" spans="1:20" ht="18">
      <c r="A20" s="97" t="s">
        <v>484</v>
      </c>
      <c r="B20" s="98" t="s">
        <v>485</v>
      </c>
      <c r="C20" s="98" t="s">
        <v>448</v>
      </c>
      <c r="D20" s="102">
        <v>490</v>
      </c>
      <c r="E20" s="100">
        <v>8.1999999999999993</v>
      </c>
      <c r="F20" s="100">
        <f t="shared" si="13"/>
        <v>8.5</v>
      </c>
      <c r="G20" s="100">
        <v>0.45</v>
      </c>
      <c r="H20" s="100">
        <f t="shared" si="14"/>
        <v>0.75</v>
      </c>
      <c r="I20" s="100">
        <v>1.6</v>
      </c>
      <c r="J20" s="100">
        <f t="shared" si="15"/>
        <v>1.9000000000000001</v>
      </c>
      <c r="K20" s="126">
        <f t="shared" si="8"/>
        <v>5.9039999999999999</v>
      </c>
      <c r="L20" s="126">
        <f t="shared" si="16"/>
        <v>13.112500000000001</v>
      </c>
      <c r="M20" s="100">
        <v>1</v>
      </c>
      <c r="N20" s="144">
        <f t="shared" si="10"/>
        <v>6425.125</v>
      </c>
      <c r="O20" s="145">
        <v>0.1</v>
      </c>
      <c r="P20" s="146">
        <f t="shared" si="11"/>
        <v>7067.6375000000007</v>
      </c>
      <c r="Q20" s="117">
        <v>0.17</v>
      </c>
      <c r="R20" s="126">
        <f t="shared" si="12"/>
        <v>8269.1358749999999</v>
      </c>
      <c r="S20" s="152"/>
      <c r="T20" s="135"/>
    </row>
    <row r="21" spans="1:20" ht="18">
      <c r="A21" s="97" t="s">
        <v>484</v>
      </c>
      <c r="B21" s="98" t="s">
        <v>487</v>
      </c>
      <c r="C21" s="98" t="s">
        <v>488</v>
      </c>
      <c r="D21" s="102">
        <v>265</v>
      </c>
      <c r="E21" s="100">
        <v>8.1999999999999993</v>
      </c>
      <c r="F21" s="100">
        <f t="shared" si="13"/>
        <v>8.5</v>
      </c>
      <c r="G21" s="100">
        <v>0.45</v>
      </c>
      <c r="H21" s="100">
        <f t="shared" si="14"/>
        <v>0.75</v>
      </c>
      <c r="I21" s="100">
        <v>1.6</v>
      </c>
      <c r="J21" s="100">
        <f t="shared" si="15"/>
        <v>1.9000000000000001</v>
      </c>
      <c r="K21" s="126">
        <f t="shared" si="8"/>
        <v>5.9039999999999999</v>
      </c>
      <c r="L21" s="126">
        <f t="shared" si="16"/>
        <v>13.112500000000001</v>
      </c>
      <c r="M21" s="100">
        <v>1</v>
      </c>
      <c r="N21" s="144">
        <f t="shared" si="10"/>
        <v>3474.8125</v>
      </c>
      <c r="O21" s="145">
        <v>0.1</v>
      </c>
      <c r="P21" s="146">
        <f t="shared" si="11"/>
        <v>3822.2937500000003</v>
      </c>
      <c r="Q21" s="117">
        <v>0.17</v>
      </c>
      <c r="R21" s="126">
        <f t="shared" si="12"/>
        <v>4472.0836875000005</v>
      </c>
      <c r="S21" s="152"/>
      <c r="T21" s="135"/>
    </row>
    <row r="22" spans="1:20" ht="18">
      <c r="A22" s="97" t="s">
        <v>484</v>
      </c>
      <c r="B22" s="98" t="s">
        <v>487</v>
      </c>
      <c r="C22" s="98" t="s">
        <v>448</v>
      </c>
      <c r="D22" s="102">
        <v>265</v>
      </c>
      <c r="E22" s="100">
        <v>8.1999999999999993</v>
      </c>
      <c r="F22" s="100">
        <f t="shared" si="13"/>
        <v>8.5</v>
      </c>
      <c r="G22" s="100">
        <v>0.45</v>
      </c>
      <c r="H22" s="100">
        <f t="shared" si="14"/>
        <v>0.75</v>
      </c>
      <c r="I22" s="100">
        <v>1.6</v>
      </c>
      <c r="J22" s="100">
        <f t="shared" si="15"/>
        <v>1.9000000000000001</v>
      </c>
      <c r="K22" s="126">
        <f t="shared" si="8"/>
        <v>5.9039999999999999</v>
      </c>
      <c r="L22" s="126">
        <f t="shared" si="16"/>
        <v>13.112500000000001</v>
      </c>
      <c r="M22" s="100">
        <v>1</v>
      </c>
      <c r="N22" s="144">
        <f t="shared" si="10"/>
        <v>3474.8125</v>
      </c>
      <c r="O22" s="145">
        <v>0.1</v>
      </c>
      <c r="P22" s="146">
        <f t="shared" si="11"/>
        <v>3822.2937500000003</v>
      </c>
      <c r="Q22" s="117">
        <v>0.17</v>
      </c>
      <c r="R22" s="126">
        <f t="shared" si="12"/>
        <v>4472.0836875000005</v>
      </c>
      <c r="S22" s="152"/>
      <c r="T22" s="135"/>
    </row>
    <row r="23" spans="1:20" ht="18">
      <c r="A23" s="97" t="s">
        <v>484</v>
      </c>
      <c r="B23" s="98" t="s">
        <v>489</v>
      </c>
      <c r="C23" s="98" t="s">
        <v>490</v>
      </c>
      <c r="D23" s="102">
        <v>310</v>
      </c>
      <c r="E23" s="100">
        <v>8.1999999999999993</v>
      </c>
      <c r="F23" s="100">
        <f t="shared" si="13"/>
        <v>8.5</v>
      </c>
      <c r="G23" s="100">
        <v>0.45</v>
      </c>
      <c r="H23" s="100">
        <f t="shared" si="14"/>
        <v>0.75</v>
      </c>
      <c r="I23" s="100">
        <v>1.6</v>
      </c>
      <c r="J23" s="100">
        <f t="shared" si="15"/>
        <v>1.9000000000000001</v>
      </c>
      <c r="K23" s="126">
        <f t="shared" si="8"/>
        <v>5.9039999999999999</v>
      </c>
      <c r="L23" s="126">
        <f t="shared" si="16"/>
        <v>13.112500000000001</v>
      </c>
      <c r="M23" s="100">
        <v>1</v>
      </c>
      <c r="N23" s="144">
        <f t="shared" si="10"/>
        <v>4064.875</v>
      </c>
      <c r="O23" s="145">
        <v>0.1</v>
      </c>
      <c r="P23" s="146">
        <f t="shared" si="11"/>
        <v>4471.3625000000002</v>
      </c>
      <c r="Q23" s="117">
        <v>0.17</v>
      </c>
      <c r="R23" s="126">
        <f t="shared" si="12"/>
        <v>5231.4941250000002</v>
      </c>
      <c r="S23" s="152"/>
      <c r="T23" s="135"/>
    </row>
    <row r="24" spans="1:20" ht="18">
      <c r="A24" s="97" t="s">
        <v>484</v>
      </c>
      <c r="B24" s="98" t="s">
        <v>489</v>
      </c>
      <c r="C24" s="98" t="s">
        <v>448</v>
      </c>
      <c r="D24" s="102">
        <v>330</v>
      </c>
      <c r="E24" s="100">
        <v>8.1999999999999993</v>
      </c>
      <c r="F24" s="100">
        <f t="shared" si="13"/>
        <v>8.5</v>
      </c>
      <c r="G24" s="100">
        <v>0.45</v>
      </c>
      <c r="H24" s="100">
        <f t="shared" si="14"/>
        <v>0.75</v>
      </c>
      <c r="I24" s="100">
        <v>1.6</v>
      </c>
      <c r="J24" s="100">
        <f t="shared" si="15"/>
        <v>1.9000000000000001</v>
      </c>
      <c r="K24" s="126">
        <f t="shared" si="8"/>
        <v>5.9039999999999999</v>
      </c>
      <c r="L24" s="126">
        <f t="shared" si="16"/>
        <v>13.112500000000001</v>
      </c>
      <c r="M24" s="100">
        <v>1</v>
      </c>
      <c r="N24" s="144">
        <f t="shared" si="10"/>
        <v>4327.125</v>
      </c>
      <c r="O24" s="145">
        <v>0.1</v>
      </c>
      <c r="P24" s="146">
        <f t="shared" si="11"/>
        <v>4759.8375000000005</v>
      </c>
      <c r="Q24" s="117">
        <v>0.17</v>
      </c>
      <c r="R24" s="126">
        <f t="shared" si="12"/>
        <v>5569.0098750000006</v>
      </c>
      <c r="S24" s="152"/>
      <c r="T24" s="135"/>
    </row>
    <row r="25" spans="1:20" ht="18">
      <c r="A25" s="97" t="s">
        <v>484</v>
      </c>
      <c r="B25" s="98" t="s">
        <v>491</v>
      </c>
      <c r="C25" s="98" t="s">
        <v>492</v>
      </c>
      <c r="D25" s="102">
        <v>250</v>
      </c>
      <c r="E25" s="100">
        <v>8.1999999999999993</v>
      </c>
      <c r="F25" s="100">
        <f t="shared" si="13"/>
        <v>8.5</v>
      </c>
      <c r="G25" s="100">
        <v>0.45</v>
      </c>
      <c r="H25" s="100">
        <f t="shared" si="14"/>
        <v>0.75</v>
      </c>
      <c r="I25" s="100">
        <v>1.6</v>
      </c>
      <c r="J25" s="100">
        <f t="shared" si="15"/>
        <v>1.9000000000000001</v>
      </c>
      <c r="K25" s="126">
        <f t="shared" si="8"/>
        <v>5.9039999999999999</v>
      </c>
      <c r="L25" s="126">
        <f t="shared" si="16"/>
        <v>13.112500000000001</v>
      </c>
      <c r="M25" s="100">
        <v>1</v>
      </c>
      <c r="N25" s="144">
        <f t="shared" si="10"/>
        <v>3278.125</v>
      </c>
      <c r="O25" s="145">
        <v>0.1</v>
      </c>
      <c r="P25" s="146">
        <f t="shared" si="11"/>
        <v>3605.9375000000005</v>
      </c>
      <c r="Q25" s="117">
        <v>0.17</v>
      </c>
      <c r="R25" s="126">
        <f t="shared" si="12"/>
        <v>4218.9468750000005</v>
      </c>
      <c r="S25" s="152"/>
      <c r="T25" s="135"/>
    </row>
    <row r="26" spans="1:20" ht="18">
      <c r="A26" s="97" t="s">
        <v>484</v>
      </c>
      <c r="B26" s="98" t="s">
        <v>491</v>
      </c>
      <c r="C26" s="98" t="s">
        <v>448</v>
      </c>
      <c r="D26" s="102">
        <v>280</v>
      </c>
      <c r="E26" s="100">
        <v>8.1999999999999993</v>
      </c>
      <c r="F26" s="100">
        <f t="shared" si="13"/>
        <v>8.5</v>
      </c>
      <c r="G26" s="100">
        <v>0.45</v>
      </c>
      <c r="H26" s="100">
        <f t="shared" si="14"/>
        <v>0.75</v>
      </c>
      <c r="I26" s="100">
        <v>1.6</v>
      </c>
      <c r="J26" s="100">
        <f t="shared" si="15"/>
        <v>1.9000000000000001</v>
      </c>
      <c r="K26" s="126">
        <f t="shared" si="8"/>
        <v>5.9039999999999999</v>
      </c>
      <c r="L26" s="126">
        <f t="shared" si="16"/>
        <v>13.112500000000001</v>
      </c>
      <c r="M26" s="100">
        <v>1</v>
      </c>
      <c r="N26" s="144">
        <f t="shared" si="10"/>
        <v>3671.5</v>
      </c>
      <c r="O26" s="145">
        <v>0.1</v>
      </c>
      <c r="P26" s="146">
        <f t="shared" si="11"/>
        <v>4038.6500000000005</v>
      </c>
      <c r="Q26" s="117">
        <v>0.17</v>
      </c>
      <c r="R26" s="126">
        <f t="shared" si="12"/>
        <v>4725.2205000000004</v>
      </c>
      <c r="S26" s="152"/>
      <c r="T26" s="135"/>
    </row>
    <row r="27" spans="1:20" ht="18">
      <c r="A27" s="97" t="s">
        <v>484</v>
      </c>
      <c r="B27" s="98" t="s">
        <v>493</v>
      </c>
      <c r="C27" s="98" t="s">
        <v>494</v>
      </c>
      <c r="D27" s="102">
        <v>240</v>
      </c>
      <c r="E27" s="100">
        <v>8.1999999999999993</v>
      </c>
      <c r="F27" s="100">
        <f t="shared" si="13"/>
        <v>8.5</v>
      </c>
      <c r="G27" s="100">
        <v>0.45</v>
      </c>
      <c r="H27" s="100">
        <f t="shared" si="14"/>
        <v>0.75</v>
      </c>
      <c r="I27" s="100">
        <v>1.6</v>
      </c>
      <c r="J27" s="100">
        <f t="shared" si="15"/>
        <v>1.9000000000000001</v>
      </c>
      <c r="K27" s="126">
        <f t="shared" si="8"/>
        <v>5.9039999999999999</v>
      </c>
      <c r="L27" s="126">
        <f t="shared" si="16"/>
        <v>13.112500000000001</v>
      </c>
      <c r="M27" s="100">
        <v>1</v>
      </c>
      <c r="N27" s="144">
        <f t="shared" si="10"/>
        <v>3147</v>
      </c>
      <c r="O27" s="145">
        <v>0.1</v>
      </c>
      <c r="P27" s="146">
        <f t="shared" si="11"/>
        <v>3461.7000000000003</v>
      </c>
      <c r="Q27" s="117">
        <v>0.17</v>
      </c>
      <c r="R27" s="126">
        <f t="shared" si="12"/>
        <v>4050.1889999999999</v>
      </c>
      <c r="S27" s="152"/>
      <c r="T27" s="135"/>
    </row>
    <row r="28" spans="1:20" ht="18">
      <c r="A28" s="97" t="s">
        <v>484</v>
      </c>
      <c r="B28" s="98" t="s">
        <v>493</v>
      </c>
      <c r="C28" s="98" t="s">
        <v>448</v>
      </c>
      <c r="D28" s="102">
        <v>250</v>
      </c>
      <c r="E28" s="100">
        <v>8.1999999999999993</v>
      </c>
      <c r="F28" s="100">
        <f t="shared" si="13"/>
        <v>8.5</v>
      </c>
      <c r="G28" s="100">
        <v>0.45</v>
      </c>
      <c r="H28" s="100">
        <f t="shared" si="14"/>
        <v>0.75</v>
      </c>
      <c r="I28" s="100">
        <v>1.6</v>
      </c>
      <c r="J28" s="100">
        <f t="shared" si="15"/>
        <v>1.9000000000000001</v>
      </c>
      <c r="K28" s="126">
        <f t="shared" si="8"/>
        <v>5.9039999999999999</v>
      </c>
      <c r="L28" s="126">
        <f t="shared" si="16"/>
        <v>13.112500000000001</v>
      </c>
      <c r="M28" s="100">
        <v>1</v>
      </c>
      <c r="N28" s="144">
        <f t="shared" si="10"/>
        <v>3278.125</v>
      </c>
      <c r="O28" s="145">
        <v>0.1</v>
      </c>
      <c r="P28" s="146">
        <f t="shared" si="11"/>
        <v>3605.9375000000005</v>
      </c>
      <c r="Q28" s="117">
        <v>0.17</v>
      </c>
      <c r="R28" s="126">
        <f t="shared" si="12"/>
        <v>4218.9468750000005</v>
      </c>
      <c r="S28" s="152"/>
      <c r="T28" s="135"/>
    </row>
    <row r="29" spans="1:20" ht="18">
      <c r="A29" s="97" t="s">
        <v>484</v>
      </c>
      <c r="B29" s="98" t="s">
        <v>495</v>
      </c>
      <c r="C29" s="98" t="s">
        <v>496</v>
      </c>
      <c r="D29" s="102">
        <v>260</v>
      </c>
      <c r="E29" s="100">
        <v>8.1999999999999993</v>
      </c>
      <c r="F29" s="100">
        <f t="shared" si="13"/>
        <v>8.5</v>
      </c>
      <c r="G29" s="100">
        <v>0.45</v>
      </c>
      <c r="H29" s="100">
        <f t="shared" si="14"/>
        <v>0.75</v>
      </c>
      <c r="I29" s="100">
        <v>1.6</v>
      </c>
      <c r="J29" s="100">
        <f t="shared" si="15"/>
        <v>1.9000000000000001</v>
      </c>
      <c r="K29" s="126">
        <f t="shared" si="8"/>
        <v>5.9039999999999999</v>
      </c>
      <c r="L29" s="126">
        <f t="shared" si="16"/>
        <v>13.112500000000001</v>
      </c>
      <c r="M29" s="100">
        <v>1</v>
      </c>
      <c r="N29" s="144">
        <f t="shared" si="10"/>
        <v>3409.25</v>
      </c>
      <c r="O29" s="145">
        <v>0.1</v>
      </c>
      <c r="P29" s="146">
        <f t="shared" si="11"/>
        <v>3750.1750000000002</v>
      </c>
      <c r="Q29" s="117">
        <v>0.17</v>
      </c>
      <c r="R29" s="126">
        <f t="shared" si="12"/>
        <v>4387.7047499999999</v>
      </c>
      <c r="S29" s="152"/>
      <c r="T29" s="135"/>
    </row>
    <row r="30" spans="1:20" ht="18">
      <c r="A30" s="97" t="s">
        <v>484</v>
      </c>
      <c r="B30" s="98" t="s">
        <v>495</v>
      </c>
      <c r="C30" s="98" t="s">
        <v>448</v>
      </c>
      <c r="D30" s="102">
        <v>285</v>
      </c>
      <c r="E30" s="100">
        <v>8.1999999999999993</v>
      </c>
      <c r="F30" s="100">
        <f t="shared" si="13"/>
        <v>8.5</v>
      </c>
      <c r="G30" s="100">
        <v>0.45</v>
      </c>
      <c r="H30" s="100">
        <f t="shared" si="14"/>
        <v>0.75</v>
      </c>
      <c r="I30" s="100">
        <v>1.6</v>
      </c>
      <c r="J30" s="100">
        <f t="shared" si="15"/>
        <v>1.9000000000000001</v>
      </c>
      <c r="K30" s="126">
        <f t="shared" si="8"/>
        <v>5.9039999999999999</v>
      </c>
      <c r="L30" s="126">
        <f t="shared" si="16"/>
        <v>13.112500000000001</v>
      </c>
      <c r="M30" s="100">
        <v>1</v>
      </c>
      <c r="N30" s="144">
        <f t="shared" si="10"/>
        <v>3737.0625</v>
      </c>
      <c r="O30" s="145">
        <v>0.1</v>
      </c>
      <c r="P30" s="146">
        <f t="shared" si="11"/>
        <v>4110.7687500000002</v>
      </c>
      <c r="Q30" s="117">
        <v>0.17</v>
      </c>
      <c r="R30" s="126">
        <f t="shared" si="12"/>
        <v>4809.5994375</v>
      </c>
      <c r="S30" s="152"/>
      <c r="T30" s="135"/>
    </row>
    <row r="31" spans="1:20" ht="18">
      <c r="A31" s="97" t="s">
        <v>484</v>
      </c>
      <c r="B31" s="98" t="s">
        <v>497</v>
      </c>
      <c r="C31" s="98" t="s">
        <v>498</v>
      </c>
      <c r="D31" s="102">
        <v>480</v>
      </c>
      <c r="E31" s="100">
        <v>8.1999999999999993</v>
      </c>
      <c r="F31" s="100">
        <f t="shared" si="13"/>
        <v>8.5</v>
      </c>
      <c r="G31" s="100">
        <v>0.45</v>
      </c>
      <c r="H31" s="100">
        <f t="shared" si="14"/>
        <v>0.75</v>
      </c>
      <c r="I31" s="100">
        <v>1.6</v>
      </c>
      <c r="J31" s="100">
        <f t="shared" si="15"/>
        <v>1.9000000000000001</v>
      </c>
      <c r="K31" s="126">
        <f t="shared" si="8"/>
        <v>5.9039999999999999</v>
      </c>
      <c r="L31" s="126">
        <f t="shared" si="16"/>
        <v>13.112500000000001</v>
      </c>
      <c r="M31" s="100">
        <v>1</v>
      </c>
      <c r="N31" s="144">
        <f t="shared" si="10"/>
        <v>6294</v>
      </c>
      <c r="O31" s="145">
        <v>0.1</v>
      </c>
      <c r="P31" s="146">
        <f t="shared" si="11"/>
        <v>6923.4000000000005</v>
      </c>
      <c r="Q31" s="117">
        <v>0.17</v>
      </c>
      <c r="R31" s="126">
        <f t="shared" si="12"/>
        <v>8100.3779999999997</v>
      </c>
      <c r="S31" s="152"/>
      <c r="T31" s="135"/>
    </row>
    <row r="32" spans="1:20" ht="18">
      <c r="A32" s="97" t="s">
        <v>484</v>
      </c>
      <c r="B32" s="98" t="s">
        <v>497</v>
      </c>
      <c r="C32" s="98" t="s">
        <v>448</v>
      </c>
      <c r="D32" s="102">
        <v>490</v>
      </c>
      <c r="E32" s="100">
        <v>8.1999999999999993</v>
      </c>
      <c r="F32" s="100">
        <f t="shared" si="13"/>
        <v>8.5</v>
      </c>
      <c r="G32" s="100">
        <v>0.45</v>
      </c>
      <c r="H32" s="100">
        <f t="shared" si="14"/>
        <v>0.75</v>
      </c>
      <c r="I32" s="100">
        <v>1.6</v>
      </c>
      <c r="J32" s="100">
        <f t="shared" si="15"/>
        <v>1.9000000000000001</v>
      </c>
      <c r="K32" s="126">
        <f t="shared" si="8"/>
        <v>5.9039999999999999</v>
      </c>
      <c r="L32" s="126">
        <f t="shared" si="16"/>
        <v>13.112500000000001</v>
      </c>
      <c r="M32" s="100">
        <v>1</v>
      </c>
      <c r="N32" s="144">
        <f t="shared" si="10"/>
        <v>6425.125</v>
      </c>
      <c r="O32" s="145">
        <v>0.1</v>
      </c>
      <c r="P32" s="146">
        <f t="shared" si="11"/>
        <v>7067.6375000000007</v>
      </c>
      <c r="Q32" s="117">
        <v>0.17</v>
      </c>
      <c r="R32" s="126">
        <f t="shared" si="12"/>
        <v>8269.1358749999999</v>
      </c>
      <c r="S32" s="152"/>
      <c r="T32" s="135"/>
    </row>
    <row r="33" spans="1:20" ht="18">
      <c r="A33" s="97" t="s">
        <v>484</v>
      </c>
      <c r="B33" s="98" t="s">
        <v>499</v>
      </c>
      <c r="C33" s="98" t="s">
        <v>500</v>
      </c>
      <c r="D33" s="102">
        <v>490</v>
      </c>
      <c r="E33" s="100">
        <v>8.1999999999999993</v>
      </c>
      <c r="F33" s="100">
        <f t="shared" si="13"/>
        <v>8.5</v>
      </c>
      <c r="G33" s="100">
        <v>0.45</v>
      </c>
      <c r="H33" s="100">
        <f t="shared" si="14"/>
        <v>0.75</v>
      </c>
      <c r="I33" s="100">
        <v>1.6</v>
      </c>
      <c r="J33" s="100">
        <f t="shared" si="15"/>
        <v>1.9000000000000001</v>
      </c>
      <c r="K33" s="126">
        <f t="shared" si="8"/>
        <v>5.9039999999999999</v>
      </c>
      <c r="L33" s="126">
        <f t="shared" si="16"/>
        <v>13.112500000000001</v>
      </c>
      <c r="M33" s="100">
        <v>1</v>
      </c>
      <c r="N33" s="144">
        <f t="shared" si="10"/>
        <v>6425.125</v>
      </c>
      <c r="O33" s="145">
        <v>0.1</v>
      </c>
      <c r="P33" s="146">
        <f t="shared" si="11"/>
        <v>7067.6375000000007</v>
      </c>
      <c r="Q33" s="117">
        <v>0.17</v>
      </c>
      <c r="R33" s="126">
        <f t="shared" si="12"/>
        <v>8269.1358749999999</v>
      </c>
      <c r="S33" s="152"/>
      <c r="T33" s="135"/>
    </row>
    <row r="34" spans="1:20" ht="18">
      <c r="A34" s="97" t="s">
        <v>484</v>
      </c>
      <c r="B34" s="98" t="s">
        <v>501</v>
      </c>
      <c r="C34" s="98" t="s">
        <v>502</v>
      </c>
      <c r="D34" s="102">
        <v>380</v>
      </c>
      <c r="E34" s="100">
        <v>8.1999999999999993</v>
      </c>
      <c r="F34" s="100">
        <f t="shared" si="13"/>
        <v>8.5</v>
      </c>
      <c r="G34" s="100">
        <v>0.45</v>
      </c>
      <c r="H34" s="100">
        <f t="shared" si="14"/>
        <v>0.75</v>
      </c>
      <c r="I34" s="100">
        <v>1.6</v>
      </c>
      <c r="J34" s="100">
        <f t="shared" si="15"/>
        <v>1.9000000000000001</v>
      </c>
      <c r="K34" s="126">
        <f t="shared" si="8"/>
        <v>5.9039999999999999</v>
      </c>
      <c r="L34" s="126">
        <f t="shared" si="16"/>
        <v>13.112500000000001</v>
      </c>
      <c r="M34" s="100">
        <v>1</v>
      </c>
      <c r="N34" s="144">
        <f t="shared" si="10"/>
        <v>4982.75</v>
      </c>
      <c r="O34" s="145">
        <v>0.1</v>
      </c>
      <c r="P34" s="146">
        <f t="shared" si="11"/>
        <v>5481.0250000000005</v>
      </c>
      <c r="Q34" s="117">
        <v>0.17</v>
      </c>
      <c r="R34" s="126">
        <f t="shared" si="12"/>
        <v>6412.79925</v>
      </c>
      <c r="S34" s="152"/>
      <c r="T34" s="135"/>
    </row>
    <row r="35" spans="1:20" ht="18">
      <c r="A35" s="97" t="s">
        <v>484</v>
      </c>
      <c r="B35" s="98" t="s">
        <v>501</v>
      </c>
      <c r="C35" s="98" t="s">
        <v>448</v>
      </c>
      <c r="D35" s="102">
        <v>380</v>
      </c>
      <c r="E35" s="100">
        <v>8.1999999999999993</v>
      </c>
      <c r="F35" s="100">
        <f t="shared" si="13"/>
        <v>8.5</v>
      </c>
      <c r="G35" s="100">
        <v>0.45</v>
      </c>
      <c r="H35" s="100">
        <f t="shared" si="14"/>
        <v>0.75</v>
      </c>
      <c r="I35" s="100">
        <v>1.6</v>
      </c>
      <c r="J35" s="100">
        <f t="shared" si="15"/>
        <v>1.9000000000000001</v>
      </c>
      <c r="K35" s="126">
        <f t="shared" si="8"/>
        <v>5.9039999999999999</v>
      </c>
      <c r="L35" s="126">
        <f t="shared" si="16"/>
        <v>13.112500000000001</v>
      </c>
      <c r="M35" s="100">
        <v>1</v>
      </c>
      <c r="N35" s="144">
        <f t="shared" si="10"/>
        <v>4982.75</v>
      </c>
      <c r="O35" s="145">
        <v>0.1</v>
      </c>
      <c r="P35" s="146">
        <f t="shared" si="11"/>
        <v>5481.0250000000005</v>
      </c>
      <c r="Q35" s="117">
        <v>0.17</v>
      </c>
      <c r="R35" s="126">
        <f t="shared" si="12"/>
        <v>6412.79925</v>
      </c>
      <c r="S35" s="152"/>
      <c r="T35" s="135"/>
    </row>
    <row r="36" spans="1:20" ht="18">
      <c r="A36" s="97" t="s">
        <v>484</v>
      </c>
      <c r="B36" s="98" t="s">
        <v>503</v>
      </c>
      <c r="C36" s="98" t="s">
        <v>504</v>
      </c>
      <c r="D36" s="102">
        <v>395</v>
      </c>
      <c r="E36" s="100">
        <v>8.1999999999999993</v>
      </c>
      <c r="F36" s="100">
        <f t="shared" si="13"/>
        <v>8.5</v>
      </c>
      <c r="G36" s="100">
        <v>0.45</v>
      </c>
      <c r="H36" s="100">
        <f t="shared" si="14"/>
        <v>0.75</v>
      </c>
      <c r="I36" s="100">
        <v>1.6</v>
      </c>
      <c r="J36" s="100">
        <f t="shared" si="15"/>
        <v>1.9000000000000001</v>
      </c>
      <c r="K36" s="126">
        <f t="shared" si="8"/>
        <v>5.9039999999999999</v>
      </c>
      <c r="L36" s="126">
        <f t="shared" si="16"/>
        <v>13.112500000000001</v>
      </c>
      <c r="M36" s="100">
        <v>1</v>
      </c>
      <c r="N36" s="144">
        <f t="shared" si="10"/>
        <v>5179.4375</v>
      </c>
      <c r="O36" s="145">
        <v>0.1</v>
      </c>
      <c r="P36" s="146">
        <f t="shared" si="11"/>
        <v>5697.3812500000004</v>
      </c>
      <c r="Q36" s="117">
        <v>0.17</v>
      </c>
      <c r="R36" s="126">
        <f t="shared" si="12"/>
        <v>6665.9360624999999</v>
      </c>
      <c r="S36" s="152"/>
      <c r="T36" s="135"/>
    </row>
    <row r="37" spans="1:20" ht="18">
      <c r="A37" s="97" t="s">
        <v>484</v>
      </c>
      <c r="B37" s="98" t="s">
        <v>503</v>
      </c>
      <c r="C37" s="98" t="s">
        <v>448</v>
      </c>
      <c r="D37" s="102">
        <v>475</v>
      </c>
      <c r="E37" s="100">
        <v>8.1999999999999993</v>
      </c>
      <c r="F37" s="100">
        <f t="shared" si="13"/>
        <v>8.5</v>
      </c>
      <c r="G37" s="100">
        <v>0.45</v>
      </c>
      <c r="H37" s="100">
        <f t="shared" si="14"/>
        <v>0.75</v>
      </c>
      <c r="I37" s="100">
        <v>1.6</v>
      </c>
      <c r="J37" s="100">
        <f t="shared" si="15"/>
        <v>1.9000000000000001</v>
      </c>
      <c r="K37" s="126">
        <f t="shared" si="8"/>
        <v>5.9039999999999999</v>
      </c>
      <c r="L37" s="126">
        <f t="shared" si="16"/>
        <v>13.112500000000001</v>
      </c>
      <c r="M37" s="100">
        <v>1</v>
      </c>
      <c r="N37" s="144">
        <f t="shared" si="10"/>
        <v>6228.4375</v>
      </c>
      <c r="O37" s="145">
        <v>0.1</v>
      </c>
      <c r="P37" s="146">
        <f t="shared" si="11"/>
        <v>6851.2812500000009</v>
      </c>
      <c r="Q37" s="117">
        <v>0.17</v>
      </c>
      <c r="R37" s="126">
        <f t="shared" si="12"/>
        <v>8015.9990625000009</v>
      </c>
      <c r="S37" s="152"/>
      <c r="T37" s="135"/>
    </row>
    <row r="38" spans="1:20" ht="18">
      <c r="A38" s="97" t="s">
        <v>484</v>
      </c>
      <c r="B38" s="98" t="s">
        <v>505</v>
      </c>
      <c r="C38" s="98" t="s">
        <v>506</v>
      </c>
      <c r="D38" s="102">
        <v>566</v>
      </c>
      <c r="E38" s="100">
        <v>8.1999999999999993</v>
      </c>
      <c r="F38" s="100">
        <f t="shared" si="13"/>
        <v>8.5</v>
      </c>
      <c r="G38" s="100">
        <v>0.45</v>
      </c>
      <c r="H38" s="100">
        <f t="shared" si="14"/>
        <v>0.75</v>
      </c>
      <c r="I38" s="100">
        <v>1.6</v>
      </c>
      <c r="J38" s="100">
        <f t="shared" si="15"/>
        <v>1.9000000000000001</v>
      </c>
      <c r="K38" s="126">
        <f t="shared" si="8"/>
        <v>5.9039999999999999</v>
      </c>
      <c r="L38" s="126">
        <f t="shared" si="16"/>
        <v>13.112500000000001</v>
      </c>
      <c r="M38" s="100">
        <v>1</v>
      </c>
      <c r="N38" s="144">
        <f t="shared" si="10"/>
        <v>7421.6750000000002</v>
      </c>
      <c r="O38" s="145">
        <v>0.1</v>
      </c>
      <c r="P38" s="146">
        <f t="shared" si="11"/>
        <v>8163.8425000000007</v>
      </c>
      <c r="Q38" s="117">
        <v>0.17</v>
      </c>
      <c r="R38" s="126">
        <f t="shared" si="12"/>
        <v>9551.6957249999996</v>
      </c>
      <c r="S38" s="152"/>
      <c r="T38" s="135"/>
    </row>
    <row r="39" spans="1:20" ht="18">
      <c r="A39" s="97" t="s">
        <v>484</v>
      </c>
      <c r="B39" s="98" t="s">
        <v>507</v>
      </c>
      <c r="C39" s="98" t="s">
        <v>508</v>
      </c>
      <c r="D39" s="102">
        <v>560</v>
      </c>
      <c r="E39" s="100">
        <v>8.1999999999999993</v>
      </c>
      <c r="F39" s="100">
        <f t="shared" si="13"/>
        <v>8.5</v>
      </c>
      <c r="G39" s="100">
        <v>0.45</v>
      </c>
      <c r="H39" s="100">
        <f t="shared" si="14"/>
        <v>0.75</v>
      </c>
      <c r="I39" s="100">
        <v>1.6</v>
      </c>
      <c r="J39" s="100">
        <f t="shared" si="15"/>
        <v>1.9000000000000001</v>
      </c>
      <c r="K39" s="126">
        <f t="shared" si="8"/>
        <v>5.9039999999999999</v>
      </c>
      <c r="L39" s="126">
        <f t="shared" si="16"/>
        <v>13.112500000000001</v>
      </c>
      <c r="M39" s="100">
        <v>1</v>
      </c>
      <c r="N39" s="144">
        <f t="shared" si="10"/>
        <v>7343</v>
      </c>
      <c r="O39" s="145">
        <v>0.1</v>
      </c>
      <c r="P39" s="146">
        <f t="shared" si="11"/>
        <v>8077.3000000000011</v>
      </c>
      <c r="Q39" s="117">
        <v>0.17</v>
      </c>
      <c r="R39" s="126">
        <f t="shared" si="12"/>
        <v>9450.4410000000007</v>
      </c>
      <c r="S39" s="152"/>
      <c r="T39" s="135"/>
    </row>
    <row r="40" spans="1:20" ht="18">
      <c r="A40" s="97" t="s">
        <v>484</v>
      </c>
      <c r="B40" s="98" t="s">
        <v>507</v>
      </c>
      <c r="C40" s="98" t="s">
        <v>448</v>
      </c>
      <c r="D40" s="102">
        <v>670</v>
      </c>
      <c r="E40" s="100">
        <v>8.1999999999999993</v>
      </c>
      <c r="F40" s="100">
        <f t="shared" si="13"/>
        <v>8.5</v>
      </c>
      <c r="G40" s="100">
        <v>0.45</v>
      </c>
      <c r="H40" s="100">
        <f t="shared" si="14"/>
        <v>0.75</v>
      </c>
      <c r="I40" s="100">
        <v>1.6</v>
      </c>
      <c r="J40" s="100">
        <f t="shared" si="15"/>
        <v>1.9000000000000001</v>
      </c>
      <c r="K40" s="126">
        <f t="shared" si="8"/>
        <v>5.9039999999999999</v>
      </c>
      <c r="L40" s="126">
        <f t="shared" si="16"/>
        <v>13.112500000000001</v>
      </c>
      <c r="M40" s="100">
        <v>1</v>
      </c>
      <c r="N40" s="144">
        <f t="shared" si="10"/>
        <v>8785.375</v>
      </c>
      <c r="O40" s="145">
        <v>0.1</v>
      </c>
      <c r="P40" s="146">
        <f t="shared" si="11"/>
        <v>9663.9125000000004</v>
      </c>
      <c r="Q40" s="117">
        <v>0.17</v>
      </c>
      <c r="R40" s="126">
        <f t="shared" si="12"/>
        <v>11306.777625000001</v>
      </c>
      <c r="S40" s="152"/>
      <c r="T40" s="135"/>
    </row>
    <row r="41" spans="1:20" ht="18">
      <c r="A41" s="97" t="s">
        <v>484</v>
      </c>
      <c r="B41" s="98" t="s">
        <v>509</v>
      </c>
      <c r="C41" s="98" t="s">
        <v>510</v>
      </c>
      <c r="D41" s="102">
        <v>330</v>
      </c>
      <c r="E41" s="100">
        <v>8.1999999999999993</v>
      </c>
      <c r="F41" s="100">
        <f t="shared" si="13"/>
        <v>8.5</v>
      </c>
      <c r="G41" s="100">
        <v>0.45</v>
      </c>
      <c r="H41" s="100">
        <f t="shared" si="14"/>
        <v>0.75</v>
      </c>
      <c r="I41" s="100">
        <v>1.6</v>
      </c>
      <c r="J41" s="100">
        <f t="shared" si="15"/>
        <v>1.9000000000000001</v>
      </c>
      <c r="K41" s="126">
        <f t="shared" si="8"/>
        <v>5.9039999999999999</v>
      </c>
      <c r="L41" s="126">
        <f t="shared" si="16"/>
        <v>13.112500000000001</v>
      </c>
      <c r="M41" s="100">
        <v>1</v>
      </c>
      <c r="N41" s="144">
        <f t="shared" si="10"/>
        <v>4327.125</v>
      </c>
      <c r="O41" s="145">
        <v>0.1</v>
      </c>
      <c r="P41" s="146">
        <f t="shared" si="11"/>
        <v>4759.8375000000005</v>
      </c>
      <c r="Q41" s="117">
        <v>0.17</v>
      </c>
      <c r="R41" s="126">
        <f t="shared" si="12"/>
        <v>5569.0098750000006</v>
      </c>
      <c r="S41" s="152"/>
      <c r="T41" s="135"/>
    </row>
    <row r="42" spans="1:20" ht="18">
      <c r="A42" s="97" t="s">
        <v>484</v>
      </c>
      <c r="B42" s="98" t="s">
        <v>509</v>
      </c>
      <c r="C42" s="98" t="s">
        <v>448</v>
      </c>
      <c r="D42" s="102">
        <v>350</v>
      </c>
      <c r="E42" s="100">
        <v>8.1999999999999993</v>
      </c>
      <c r="F42" s="100">
        <f t="shared" si="13"/>
        <v>8.5</v>
      </c>
      <c r="G42" s="100">
        <v>0.45</v>
      </c>
      <c r="H42" s="100">
        <f t="shared" si="14"/>
        <v>0.75</v>
      </c>
      <c r="I42" s="100">
        <v>1.6</v>
      </c>
      <c r="J42" s="100">
        <f t="shared" si="15"/>
        <v>1.9000000000000001</v>
      </c>
      <c r="K42" s="126">
        <f t="shared" si="8"/>
        <v>5.9039999999999999</v>
      </c>
      <c r="L42" s="126">
        <f t="shared" si="16"/>
        <v>13.112500000000001</v>
      </c>
      <c r="M42" s="100">
        <v>1</v>
      </c>
      <c r="N42" s="144">
        <f t="shared" si="10"/>
        <v>4589.375</v>
      </c>
      <c r="O42" s="145">
        <v>0.1</v>
      </c>
      <c r="P42" s="146">
        <f t="shared" si="11"/>
        <v>5048.3125</v>
      </c>
      <c r="Q42" s="117">
        <v>0.17</v>
      </c>
      <c r="R42" s="126">
        <f t="shared" si="12"/>
        <v>5906.5256249999993</v>
      </c>
      <c r="S42" s="152"/>
      <c r="T42" s="135"/>
    </row>
    <row r="43" spans="1:20" ht="18">
      <c r="A43" s="97" t="s">
        <v>484</v>
      </c>
      <c r="B43" s="98" t="s">
        <v>511</v>
      </c>
      <c r="C43" s="98" t="s">
        <v>511</v>
      </c>
      <c r="D43" s="102">
        <v>390</v>
      </c>
      <c r="E43" s="100">
        <v>8.1999999999999993</v>
      </c>
      <c r="F43" s="100">
        <f t="shared" si="13"/>
        <v>8.5</v>
      </c>
      <c r="G43" s="100">
        <v>0.45</v>
      </c>
      <c r="H43" s="100">
        <f t="shared" si="14"/>
        <v>0.75</v>
      </c>
      <c r="I43" s="100">
        <v>1.6</v>
      </c>
      <c r="J43" s="100">
        <f t="shared" si="15"/>
        <v>1.9000000000000001</v>
      </c>
      <c r="K43" s="126">
        <f t="shared" si="8"/>
        <v>5.9039999999999999</v>
      </c>
      <c r="L43" s="126">
        <f t="shared" si="16"/>
        <v>13.112500000000001</v>
      </c>
      <c r="M43" s="100">
        <v>1</v>
      </c>
      <c r="N43" s="144">
        <f t="shared" si="10"/>
        <v>5113.875</v>
      </c>
      <c r="O43" s="145">
        <v>0.1</v>
      </c>
      <c r="P43" s="146">
        <f t="shared" si="11"/>
        <v>5625.2625000000007</v>
      </c>
      <c r="Q43" s="117">
        <v>0.17</v>
      </c>
      <c r="R43" s="126">
        <f t="shared" si="12"/>
        <v>6581.5571250000003</v>
      </c>
      <c r="S43" s="152"/>
      <c r="T43" s="94"/>
    </row>
    <row r="44" spans="1:20" ht="16.5">
      <c r="A44" s="94"/>
      <c r="B44" s="104"/>
      <c r="C44" s="94"/>
      <c r="D44" s="94"/>
      <c r="E44" s="94"/>
      <c r="F44" s="94"/>
      <c r="G44" s="94"/>
      <c r="H44" s="94"/>
      <c r="I44" s="94"/>
      <c r="J44" s="94"/>
      <c r="K44" s="94"/>
      <c r="L44" s="94"/>
      <c r="M44" s="94"/>
      <c r="N44" s="94"/>
      <c r="O44" s="94"/>
      <c r="P44" s="159">
        <f>AVERAGE(P4:P43)</f>
        <v>5006.1230312499993</v>
      </c>
      <c r="Q44" s="95"/>
      <c r="R44" s="95"/>
      <c r="S44" s="94"/>
      <c r="T44" s="94"/>
    </row>
    <row r="45" spans="1:20" ht="16.5">
      <c r="A45" s="153"/>
      <c r="B45" s="94"/>
      <c r="C45" s="94"/>
      <c r="D45" s="94"/>
      <c r="E45" s="94"/>
      <c r="F45" s="94"/>
      <c r="G45" s="94"/>
      <c r="H45" s="94"/>
      <c r="I45" s="94"/>
      <c r="J45" s="94"/>
      <c r="K45" s="94"/>
      <c r="L45" s="94"/>
      <c r="M45" s="94"/>
      <c r="N45" s="94"/>
      <c r="O45" s="94"/>
      <c r="P45" s="112"/>
      <c r="Q45" s="95"/>
      <c r="R45" s="95"/>
      <c r="S45" s="94"/>
      <c r="T45" s="94"/>
    </row>
    <row r="46" spans="1:20" ht="16.5">
      <c r="A46" s="153"/>
      <c r="B46" s="94"/>
      <c r="C46" s="94"/>
      <c r="D46" s="94"/>
      <c r="E46" s="154"/>
      <c r="F46" s="94"/>
      <c r="G46" s="94"/>
      <c r="H46" s="94"/>
      <c r="I46" s="94"/>
      <c r="J46" s="94"/>
      <c r="K46" s="94"/>
      <c r="L46" s="94"/>
      <c r="M46" s="94"/>
      <c r="N46" s="94"/>
      <c r="O46" s="94"/>
      <c r="P46" s="112"/>
      <c r="Q46" s="95"/>
      <c r="R46" s="95"/>
      <c r="S46" s="94"/>
      <c r="T46" s="94"/>
    </row>
    <row r="47" spans="1:20" ht="16.5">
      <c r="A47" s="153"/>
      <c r="B47" s="94"/>
      <c r="C47" s="94"/>
      <c r="D47" s="94"/>
      <c r="E47" s="94"/>
      <c r="F47" s="94"/>
      <c r="G47" s="94"/>
      <c r="H47" s="94"/>
      <c r="I47" s="94"/>
      <c r="J47" s="94"/>
      <c r="K47" s="94"/>
      <c r="L47" s="94"/>
      <c r="M47" s="94"/>
      <c r="N47" s="94"/>
      <c r="O47" s="94"/>
      <c r="P47" s="112"/>
      <c r="Q47" s="95"/>
      <c r="R47" s="95"/>
      <c r="S47" s="94"/>
      <c r="T47" s="94"/>
    </row>
    <row r="48" spans="1:20" ht="16.5">
      <c r="A48" s="93" t="s">
        <v>542</v>
      </c>
      <c r="B48" s="94"/>
      <c r="C48" s="94"/>
      <c r="D48" s="94"/>
      <c r="E48" s="94"/>
      <c r="F48" s="94"/>
      <c r="G48" s="94"/>
      <c r="H48" s="94"/>
      <c r="I48" s="94"/>
      <c r="J48" s="94"/>
      <c r="K48" s="94"/>
      <c r="L48" s="94"/>
      <c r="M48" s="94"/>
      <c r="N48" s="94"/>
      <c r="O48" s="94"/>
      <c r="P48" s="112"/>
      <c r="Q48" s="95"/>
      <c r="R48" s="95"/>
      <c r="S48" s="94"/>
      <c r="T48" s="94"/>
    </row>
    <row r="49" spans="1:20" ht="16.5">
      <c r="A49" s="93"/>
      <c r="B49" s="94"/>
      <c r="C49" s="94"/>
      <c r="D49" s="94"/>
      <c r="E49" s="94"/>
      <c r="F49" s="94"/>
      <c r="G49" s="94"/>
      <c r="H49" s="94"/>
      <c r="I49" s="94"/>
      <c r="J49" s="94"/>
      <c r="K49" s="94"/>
      <c r="L49" s="94"/>
      <c r="M49" s="94"/>
      <c r="N49" s="94"/>
      <c r="O49" s="94"/>
      <c r="P49" s="112"/>
      <c r="Q49" s="95"/>
      <c r="R49" s="95"/>
      <c r="S49" s="94"/>
      <c r="T49" s="94"/>
    </row>
    <row r="50" spans="1:20" ht="49.5">
      <c r="A50" s="98" t="s">
        <v>543</v>
      </c>
      <c r="B50" s="98" t="s">
        <v>544</v>
      </c>
      <c r="C50" s="98"/>
      <c r="D50" s="94"/>
      <c r="E50" s="94"/>
      <c r="F50" s="94"/>
      <c r="G50" s="94"/>
      <c r="H50" s="94"/>
      <c r="I50" s="94"/>
      <c r="J50" s="94"/>
      <c r="K50" s="94"/>
      <c r="L50" s="94"/>
      <c r="M50" s="94"/>
      <c r="N50" s="94"/>
      <c r="O50" s="94"/>
      <c r="P50" s="112"/>
      <c r="Q50" s="95"/>
      <c r="R50" s="95"/>
      <c r="S50" s="94"/>
      <c r="T50" s="94"/>
    </row>
    <row r="51" spans="1:20" ht="16.5">
      <c r="A51" s="155">
        <v>15</v>
      </c>
      <c r="B51" s="156">
        <v>40</v>
      </c>
      <c r="C51" s="108" t="s">
        <v>545</v>
      </c>
      <c r="D51" s="94"/>
      <c r="E51" s="94"/>
      <c r="F51" s="94"/>
      <c r="G51" s="154"/>
      <c r="H51" s="94"/>
      <c r="I51" s="94"/>
      <c r="J51" s="94"/>
      <c r="K51" s="94"/>
      <c r="L51" s="94"/>
      <c r="M51" s="94"/>
      <c r="N51" s="94"/>
      <c r="O51" s="94"/>
      <c r="P51" s="112"/>
      <c r="Q51" s="95"/>
      <c r="R51" s="94"/>
      <c r="S51" s="94"/>
      <c r="T51" s="94"/>
    </row>
    <row r="52" spans="1:20" ht="16.5">
      <c r="A52" s="155">
        <v>0</v>
      </c>
      <c r="B52" s="157">
        <v>48</v>
      </c>
      <c r="C52" s="158" t="s">
        <v>546</v>
      </c>
      <c r="D52" s="94"/>
      <c r="E52" s="94"/>
      <c r="F52" s="94"/>
      <c r="G52" s="154"/>
      <c r="H52" s="94"/>
      <c r="I52" s="94"/>
      <c r="J52" s="94"/>
      <c r="K52" s="94"/>
      <c r="L52" s="94"/>
      <c r="M52" s="94"/>
      <c r="N52" s="94"/>
      <c r="O52" s="94"/>
      <c r="P52" s="112"/>
      <c r="Q52" s="95"/>
      <c r="R52" s="94"/>
      <c r="S52" s="94"/>
      <c r="T52" s="94"/>
    </row>
    <row r="53" spans="1:20" ht="16.5">
      <c r="A53" s="94"/>
      <c r="B53" s="94"/>
      <c r="C53" s="94"/>
      <c r="D53" s="94"/>
      <c r="E53" s="94"/>
      <c r="F53" s="94"/>
      <c r="G53" s="94"/>
      <c r="H53" s="94"/>
      <c r="I53" s="94"/>
      <c r="J53" s="94"/>
      <c r="K53" s="94"/>
      <c r="L53" s="94"/>
      <c r="M53" s="94"/>
      <c r="N53" s="94"/>
      <c r="O53" s="94"/>
      <c r="P53" s="112"/>
      <c r="Q53" s="95"/>
      <c r="R53" s="95"/>
      <c r="S53" s="94"/>
      <c r="T53" s="94"/>
    </row>
    <row r="54" spans="1:20" ht="16.5">
      <c r="A54" s="94"/>
      <c r="B54" s="94"/>
      <c r="C54" s="94"/>
      <c r="D54" s="94"/>
      <c r="E54" s="94"/>
      <c r="F54" s="94"/>
      <c r="G54" s="94"/>
      <c r="H54" s="94"/>
      <c r="I54" s="94"/>
      <c r="J54" s="94"/>
      <c r="K54" s="94"/>
      <c r="L54" s="94"/>
      <c r="M54" s="94"/>
      <c r="N54" s="94"/>
      <c r="O54" s="94"/>
      <c r="P54" s="112"/>
      <c r="Q54" s="95"/>
      <c r="R54" s="95"/>
      <c r="S54" s="94"/>
      <c r="T54" s="94"/>
    </row>
    <row r="55" spans="1:20" ht="16.5">
      <c r="A55" s="94"/>
      <c r="B55" s="94"/>
      <c r="C55" s="94"/>
      <c r="D55" s="94"/>
      <c r="E55" s="94"/>
      <c r="F55" s="94"/>
      <c r="G55" s="94"/>
      <c r="H55" s="94"/>
      <c r="I55" s="94"/>
      <c r="J55" s="94"/>
      <c r="K55" s="94"/>
      <c r="L55" s="94"/>
      <c r="M55" s="94"/>
      <c r="N55" s="94"/>
      <c r="O55" s="94"/>
      <c r="P55" s="112"/>
      <c r="Q55" s="95"/>
      <c r="R55" s="95"/>
      <c r="S55" s="94"/>
      <c r="T55" s="94"/>
    </row>
    <row r="56" spans="1:20" ht="16.5">
      <c r="A56" s="94"/>
      <c r="B56" s="94"/>
      <c r="C56" s="94"/>
      <c r="D56" s="94"/>
      <c r="E56" s="94"/>
      <c r="F56" s="94"/>
      <c r="G56" s="94"/>
      <c r="H56" s="94"/>
      <c r="I56" s="94"/>
      <c r="J56" s="94"/>
      <c r="K56" s="94"/>
      <c r="L56" s="94"/>
      <c r="M56" s="94"/>
      <c r="N56" s="94"/>
      <c r="O56" s="94"/>
      <c r="P56" s="112"/>
      <c r="Q56" s="95"/>
      <c r="R56" s="95"/>
      <c r="S56" s="94"/>
      <c r="T56" s="94"/>
    </row>
  </sheetData>
  <sheetProtection algorithmName="SHA-512" hashValue="HwwrZ7V6Z4SgA/MfCDuvOaEiB8zWMaYq04gpIIU9aldvbUD09oUKyyEufsEMQCDTT8TLFXfuqZiQk8rU83IqOQ==" saltValue="V6snWQhojSzDv6MrXmZLGw==" spinCount="100000" sheet="1" objects="1" scenarios="1"/>
  <autoFilter ref="A3:T44"/>
  <mergeCells count="4">
    <mergeCell ref="A1:I1"/>
    <mergeCell ref="A2:A3"/>
    <mergeCell ref="B2:B3"/>
    <mergeCell ref="C2:C3"/>
  </mergeCells>
  <phoneticPr fontId="29" type="noConversion"/>
  <pageMargins left="0.69930555555555596" right="0.69930555555555596" top="0.75" bottom="0.75" header="0.3" footer="0.3"/>
  <pageSetup paperSize="9" orientation="portrait"/>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S74"/>
  <sheetViews>
    <sheetView topLeftCell="A50" zoomScale="80" zoomScaleNormal="80" workbookViewId="0">
      <selection activeCell="D16" sqref="D16"/>
    </sheetView>
  </sheetViews>
  <sheetFormatPr defaultColWidth="9" defaultRowHeight="13.5"/>
  <cols>
    <col min="4" max="15" width="9" hidden="1" customWidth="1"/>
  </cols>
  <sheetData>
    <row r="1" spans="1:19" ht="22.5">
      <c r="A1" s="128" t="s">
        <v>512</v>
      </c>
      <c r="B1" s="128"/>
      <c r="C1" s="128"/>
      <c r="D1" s="128"/>
      <c r="E1" s="128"/>
      <c r="F1" s="128"/>
      <c r="G1" s="128"/>
      <c r="H1" s="128"/>
      <c r="I1" s="128"/>
      <c r="J1" s="134"/>
      <c r="K1" s="135"/>
      <c r="L1" s="135"/>
      <c r="M1" s="135"/>
      <c r="N1" s="135"/>
      <c r="O1" s="136"/>
      <c r="P1" s="137"/>
      <c r="Q1" s="147"/>
      <c r="R1" s="148"/>
      <c r="S1" s="149"/>
    </row>
    <row r="2" spans="1:19" ht="66">
      <c r="A2" s="129" t="s">
        <v>439</v>
      </c>
      <c r="B2" s="129" t="s">
        <v>440</v>
      </c>
      <c r="C2" s="129" t="s">
        <v>441</v>
      </c>
      <c r="D2" s="130" t="s">
        <v>513</v>
      </c>
      <c r="E2" s="131" t="s">
        <v>514</v>
      </c>
      <c r="F2" s="131" t="s">
        <v>515</v>
      </c>
      <c r="G2" s="131" t="s">
        <v>516</v>
      </c>
      <c r="H2" s="131" t="s">
        <v>517</v>
      </c>
      <c r="I2" s="138" t="s">
        <v>518</v>
      </c>
      <c r="J2" s="138" t="s">
        <v>519</v>
      </c>
      <c r="K2" s="131" t="s">
        <v>520</v>
      </c>
      <c r="L2" s="138" t="s">
        <v>547</v>
      </c>
      <c r="M2" s="139" t="s">
        <v>522</v>
      </c>
      <c r="N2" s="138" t="s">
        <v>523</v>
      </c>
      <c r="O2" s="140" t="s">
        <v>524</v>
      </c>
      <c r="P2" s="141" t="s">
        <v>525</v>
      </c>
      <c r="Q2" s="150" t="s">
        <v>442</v>
      </c>
      <c r="R2" s="100" t="s">
        <v>526</v>
      </c>
      <c r="S2" s="135"/>
    </row>
    <row r="3" spans="1:19" ht="33">
      <c r="A3" s="132"/>
      <c r="B3" s="132"/>
      <c r="C3" s="132"/>
      <c r="D3" s="133" t="s">
        <v>527</v>
      </c>
      <c r="E3" s="131" t="s">
        <v>528</v>
      </c>
      <c r="F3" s="131" t="s">
        <v>529</v>
      </c>
      <c r="G3" s="131" t="s">
        <v>530</v>
      </c>
      <c r="H3" s="131" t="s">
        <v>531</v>
      </c>
      <c r="I3" s="138" t="s">
        <v>532</v>
      </c>
      <c r="J3" s="138" t="s">
        <v>533</v>
      </c>
      <c r="K3" s="131" t="s">
        <v>534</v>
      </c>
      <c r="L3" s="138" t="s">
        <v>535</v>
      </c>
      <c r="M3" s="142" t="s">
        <v>536</v>
      </c>
      <c r="N3" s="138" t="s">
        <v>537</v>
      </c>
      <c r="O3" s="140" t="s">
        <v>538</v>
      </c>
      <c r="P3" s="143" t="s">
        <v>539</v>
      </c>
      <c r="Q3" s="140" t="s">
        <v>540</v>
      </c>
      <c r="R3" s="138" t="s">
        <v>541</v>
      </c>
      <c r="S3" s="151"/>
    </row>
    <row r="4" spans="1:19" ht="18" hidden="1">
      <c r="A4" s="97" t="s">
        <v>444</v>
      </c>
      <c r="B4" s="98" t="s">
        <v>445</v>
      </c>
      <c r="C4" s="98" t="s">
        <v>445</v>
      </c>
      <c r="D4" s="102">
        <v>326</v>
      </c>
      <c r="E4" s="100">
        <v>0</v>
      </c>
      <c r="F4" s="100">
        <v>0</v>
      </c>
      <c r="G4" s="100">
        <v>0</v>
      </c>
      <c r="H4" s="100">
        <v>0</v>
      </c>
      <c r="I4" s="100">
        <v>0</v>
      </c>
      <c r="J4" s="100">
        <v>0</v>
      </c>
      <c r="K4" s="126">
        <f t="shared" ref="K4" si="0">E4*G4*I4</f>
        <v>0</v>
      </c>
      <c r="L4" s="126">
        <f t="shared" ref="L4" si="1">F4*H4*J4</f>
        <v>0</v>
      </c>
      <c r="M4" s="100">
        <v>1</v>
      </c>
      <c r="N4" s="144">
        <f t="shared" ref="N4" si="2">D4*L4*M4</f>
        <v>0</v>
      </c>
      <c r="O4" s="145">
        <v>0.1</v>
      </c>
      <c r="P4" s="146">
        <f t="shared" ref="P4" si="3">N4*(1+O4)</f>
        <v>0</v>
      </c>
      <c r="Q4" s="117">
        <v>0.17</v>
      </c>
      <c r="R4" s="126">
        <f t="shared" ref="R4" si="4">P4*(1+Q4)</f>
        <v>0</v>
      </c>
      <c r="S4" s="152">
        <v>5.8282208588957198E-2</v>
      </c>
    </row>
    <row r="5" spans="1:19" ht="18" hidden="1">
      <c r="A5" s="97" t="s">
        <v>444</v>
      </c>
      <c r="B5" s="98" t="s">
        <v>446</v>
      </c>
      <c r="C5" s="98" t="s">
        <v>447</v>
      </c>
      <c r="D5" s="102">
        <v>290</v>
      </c>
      <c r="E5" s="100">
        <v>0</v>
      </c>
      <c r="F5" s="100">
        <v>0</v>
      </c>
      <c r="G5" s="100">
        <v>0</v>
      </c>
      <c r="H5" s="100">
        <v>0</v>
      </c>
      <c r="I5" s="100">
        <v>0</v>
      </c>
      <c r="J5" s="100">
        <v>0</v>
      </c>
      <c r="K5" s="126">
        <f t="shared" ref="K5" si="5">E5*G5*I5</f>
        <v>0</v>
      </c>
      <c r="L5" s="126">
        <f t="shared" ref="L5:L24" si="6">F5*H5*J5</f>
        <v>0</v>
      </c>
      <c r="M5" s="100">
        <v>1</v>
      </c>
      <c r="N5" s="144">
        <f t="shared" ref="N5:N36" si="7">D5*L5*M5</f>
        <v>0</v>
      </c>
      <c r="O5" s="145">
        <v>0.1</v>
      </c>
      <c r="P5" s="146">
        <f t="shared" ref="P5:P36" si="8">N5*(1+O5)</f>
        <v>0</v>
      </c>
      <c r="Q5" s="117">
        <v>0.17</v>
      </c>
      <c r="R5" s="126">
        <f t="shared" ref="R5:R36" si="9">P5*(1+Q5)</f>
        <v>0</v>
      </c>
      <c r="S5" s="152">
        <v>7.5862068965517199E-2</v>
      </c>
    </row>
    <row r="6" spans="1:19" ht="18" hidden="1">
      <c r="A6" s="97" t="s">
        <v>444</v>
      </c>
      <c r="B6" s="98" t="s">
        <v>446</v>
      </c>
      <c r="C6" s="98" t="s">
        <v>448</v>
      </c>
      <c r="D6" s="102">
        <v>325</v>
      </c>
      <c r="E6" s="100">
        <v>0</v>
      </c>
      <c r="F6" s="100">
        <v>0</v>
      </c>
      <c r="G6" s="100">
        <v>0</v>
      </c>
      <c r="H6" s="100">
        <v>0</v>
      </c>
      <c r="I6" s="100">
        <v>0</v>
      </c>
      <c r="J6" s="100">
        <v>0</v>
      </c>
      <c r="K6" s="126">
        <f t="shared" ref="K6" si="10">E6*G6*I6</f>
        <v>0</v>
      </c>
      <c r="L6" s="126">
        <f t="shared" si="6"/>
        <v>0</v>
      </c>
      <c r="M6" s="100">
        <v>1</v>
      </c>
      <c r="N6" s="144">
        <f t="shared" si="7"/>
        <v>0</v>
      </c>
      <c r="O6" s="145">
        <v>0.1</v>
      </c>
      <c r="P6" s="146">
        <f t="shared" si="8"/>
        <v>0</v>
      </c>
      <c r="Q6" s="117">
        <v>0.17</v>
      </c>
      <c r="R6" s="126">
        <f t="shared" si="9"/>
        <v>0</v>
      </c>
      <c r="S6" s="152">
        <v>0.12068965517241401</v>
      </c>
    </row>
    <row r="7" spans="1:19" ht="18" hidden="1">
      <c r="A7" s="97" t="s">
        <v>444</v>
      </c>
      <c r="B7" s="98" t="s">
        <v>449</v>
      </c>
      <c r="C7" s="98" t="s">
        <v>450</v>
      </c>
      <c r="D7" s="102">
        <v>290</v>
      </c>
      <c r="E7" s="100">
        <v>0</v>
      </c>
      <c r="F7" s="100">
        <v>0</v>
      </c>
      <c r="G7" s="100">
        <v>0</v>
      </c>
      <c r="H7" s="100">
        <v>0</v>
      </c>
      <c r="I7" s="100">
        <v>0</v>
      </c>
      <c r="J7" s="100">
        <v>0</v>
      </c>
      <c r="K7" s="126">
        <f t="shared" ref="K7:K38" si="11">E7*G7*I7</f>
        <v>0</v>
      </c>
      <c r="L7" s="126">
        <f t="shared" si="6"/>
        <v>0</v>
      </c>
      <c r="M7" s="100">
        <v>1</v>
      </c>
      <c r="N7" s="144">
        <f t="shared" si="7"/>
        <v>0</v>
      </c>
      <c r="O7" s="145">
        <v>0.1</v>
      </c>
      <c r="P7" s="146">
        <f t="shared" si="8"/>
        <v>0</v>
      </c>
      <c r="Q7" s="117">
        <v>0.17</v>
      </c>
      <c r="R7" s="126">
        <f t="shared" si="9"/>
        <v>0</v>
      </c>
      <c r="S7" s="152">
        <v>0.115384615384615</v>
      </c>
    </row>
    <row r="8" spans="1:19" ht="18" hidden="1">
      <c r="A8" s="97" t="s">
        <v>444</v>
      </c>
      <c r="B8" s="98" t="s">
        <v>449</v>
      </c>
      <c r="C8" s="98" t="s">
        <v>448</v>
      </c>
      <c r="D8" s="102">
        <v>325</v>
      </c>
      <c r="E8" s="100">
        <v>0</v>
      </c>
      <c r="F8" s="100">
        <v>0</v>
      </c>
      <c r="G8" s="100">
        <v>0</v>
      </c>
      <c r="H8" s="100">
        <v>0</v>
      </c>
      <c r="I8" s="100">
        <v>0</v>
      </c>
      <c r="J8" s="100">
        <v>0</v>
      </c>
      <c r="K8" s="126">
        <f t="shared" si="11"/>
        <v>0</v>
      </c>
      <c r="L8" s="126">
        <f t="shared" si="6"/>
        <v>0</v>
      </c>
      <c r="M8" s="100">
        <v>1</v>
      </c>
      <c r="N8" s="144">
        <f t="shared" si="7"/>
        <v>0</v>
      </c>
      <c r="O8" s="145">
        <v>0.1</v>
      </c>
      <c r="P8" s="146">
        <f t="shared" si="8"/>
        <v>0</v>
      </c>
      <c r="Q8" s="117">
        <v>0.17</v>
      </c>
      <c r="R8" s="126">
        <f t="shared" si="9"/>
        <v>0</v>
      </c>
      <c r="S8" s="152">
        <v>0.107692307692308</v>
      </c>
    </row>
    <row r="9" spans="1:19" ht="18" hidden="1">
      <c r="A9" s="97" t="s">
        <v>444</v>
      </c>
      <c r="B9" s="98" t="s">
        <v>451</v>
      </c>
      <c r="C9" s="98" t="s">
        <v>452</v>
      </c>
      <c r="D9" s="102">
        <v>420</v>
      </c>
      <c r="E9" s="100">
        <v>0</v>
      </c>
      <c r="F9" s="100">
        <v>0</v>
      </c>
      <c r="G9" s="100">
        <v>0</v>
      </c>
      <c r="H9" s="100">
        <v>0</v>
      </c>
      <c r="I9" s="100">
        <v>0</v>
      </c>
      <c r="J9" s="100">
        <v>0</v>
      </c>
      <c r="K9" s="126">
        <f t="shared" si="11"/>
        <v>0</v>
      </c>
      <c r="L9" s="126">
        <f t="shared" si="6"/>
        <v>0</v>
      </c>
      <c r="M9" s="100">
        <v>1</v>
      </c>
      <c r="N9" s="144">
        <f t="shared" si="7"/>
        <v>0</v>
      </c>
      <c r="O9" s="145">
        <v>0.1</v>
      </c>
      <c r="P9" s="146">
        <f t="shared" si="8"/>
        <v>0</v>
      </c>
      <c r="Q9" s="117">
        <v>0.17</v>
      </c>
      <c r="R9" s="126">
        <f t="shared" si="9"/>
        <v>0</v>
      </c>
      <c r="S9" s="152">
        <v>7.1428571428571397E-2</v>
      </c>
    </row>
    <row r="10" spans="1:19" ht="18" hidden="1">
      <c r="A10" s="97" t="s">
        <v>444</v>
      </c>
      <c r="B10" s="98" t="s">
        <v>451</v>
      </c>
      <c r="C10" s="98" t="s">
        <v>448</v>
      </c>
      <c r="D10" s="102">
        <v>450</v>
      </c>
      <c r="E10" s="100">
        <v>0</v>
      </c>
      <c r="F10" s="100">
        <v>0</v>
      </c>
      <c r="G10" s="100">
        <v>0</v>
      </c>
      <c r="H10" s="100">
        <v>0</v>
      </c>
      <c r="I10" s="100">
        <v>0</v>
      </c>
      <c r="J10" s="100">
        <v>0</v>
      </c>
      <c r="K10" s="126">
        <f t="shared" si="11"/>
        <v>0</v>
      </c>
      <c r="L10" s="126">
        <f t="shared" si="6"/>
        <v>0</v>
      </c>
      <c r="M10" s="100">
        <v>1</v>
      </c>
      <c r="N10" s="144">
        <f t="shared" si="7"/>
        <v>0</v>
      </c>
      <c r="O10" s="145">
        <v>0.1</v>
      </c>
      <c r="P10" s="146">
        <f t="shared" si="8"/>
        <v>0</v>
      </c>
      <c r="Q10" s="117">
        <v>0.17</v>
      </c>
      <c r="R10" s="126">
        <f t="shared" si="9"/>
        <v>0</v>
      </c>
      <c r="S10" s="152">
        <v>9.5238095238095302E-2</v>
      </c>
    </row>
    <row r="11" spans="1:19" ht="18" hidden="1">
      <c r="A11" s="97" t="s">
        <v>444</v>
      </c>
      <c r="B11" s="98" t="s">
        <v>453</v>
      </c>
      <c r="C11" s="98" t="s">
        <v>454</v>
      </c>
      <c r="D11" s="102">
        <v>390</v>
      </c>
      <c r="E11" s="100">
        <v>0</v>
      </c>
      <c r="F11" s="100">
        <v>0</v>
      </c>
      <c r="G11" s="100">
        <v>0</v>
      </c>
      <c r="H11" s="100">
        <v>0</v>
      </c>
      <c r="I11" s="100">
        <v>0</v>
      </c>
      <c r="J11" s="100">
        <v>0</v>
      </c>
      <c r="K11" s="126">
        <f t="shared" si="11"/>
        <v>0</v>
      </c>
      <c r="L11" s="126">
        <f t="shared" si="6"/>
        <v>0</v>
      </c>
      <c r="M11" s="100">
        <v>1</v>
      </c>
      <c r="N11" s="144">
        <f t="shared" si="7"/>
        <v>0</v>
      </c>
      <c r="O11" s="145">
        <v>0.1</v>
      </c>
      <c r="P11" s="146">
        <f t="shared" si="8"/>
        <v>0</v>
      </c>
      <c r="Q11" s="117">
        <v>0.17</v>
      </c>
      <c r="R11" s="126">
        <f t="shared" si="9"/>
        <v>0</v>
      </c>
      <c r="S11" s="152">
        <v>7.69230769230769E-2</v>
      </c>
    </row>
    <row r="12" spans="1:19" ht="18" hidden="1">
      <c r="A12" s="97" t="s">
        <v>444</v>
      </c>
      <c r="B12" s="98" t="s">
        <v>453</v>
      </c>
      <c r="C12" s="98" t="s">
        <v>448</v>
      </c>
      <c r="D12" s="102">
        <v>400</v>
      </c>
      <c r="E12" s="100">
        <v>0</v>
      </c>
      <c r="F12" s="100">
        <v>0</v>
      </c>
      <c r="G12" s="100">
        <v>0</v>
      </c>
      <c r="H12" s="100">
        <v>0</v>
      </c>
      <c r="I12" s="100">
        <v>0</v>
      </c>
      <c r="J12" s="100">
        <v>0</v>
      </c>
      <c r="K12" s="126">
        <f t="shared" si="11"/>
        <v>0</v>
      </c>
      <c r="L12" s="126">
        <f t="shared" si="6"/>
        <v>0</v>
      </c>
      <c r="M12" s="100">
        <v>1</v>
      </c>
      <c r="N12" s="144">
        <f t="shared" si="7"/>
        <v>0</v>
      </c>
      <c r="O12" s="145">
        <v>0.1</v>
      </c>
      <c r="P12" s="146">
        <f t="shared" si="8"/>
        <v>0</v>
      </c>
      <c r="Q12" s="117">
        <v>0.17</v>
      </c>
      <c r="R12" s="126">
        <f t="shared" si="9"/>
        <v>0</v>
      </c>
      <c r="S12" s="152">
        <v>0.108247422680412</v>
      </c>
    </row>
    <row r="13" spans="1:19" ht="18" hidden="1">
      <c r="A13" s="97" t="s">
        <v>444</v>
      </c>
      <c r="B13" s="98" t="s">
        <v>455</v>
      </c>
      <c r="C13" s="98" t="s">
        <v>456</v>
      </c>
      <c r="D13" s="102">
        <v>380</v>
      </c>
      <c r="E13" s="100">
        <v>0</v>
      </c>
      <c r="F13" s="100">
        <v>0</v>
      </c>
      <c r="G13" s="100">
        <v>0</v>
      </c>
      <c r="H13" s="100">
        <v>0</v>
      </c>
      <c r="I13" s="100">
        <v>0</v>
      </c>
      <c r="J13" s="100">
        <v>0</v>
      </c>
      <c r="K13" s="126">
        <f t="shared" si="11"/>
        <v>0</v>
      </c>
      <c r="L13" s="126">
        <f t="shared" si="6"/>
        <v>0</v>
      </c>
      <c r="M13" s="100">
        <v>1</v>
      </c>
      <c r="N13" s="144">
        <f t="shared" si="7"/>
        <v>0</v>
      </c>
      <c r="O13" s="145">
        <v>0.1</v>
      </c>
      <c r="P13" s="146">
        <f t="shared" si="8"/>
        <v>0</v>
      </c>
      <c r="Q13" s="117">
        <v>0.17</v>
      </c>
      <c r="R13" s="126">
        <f t="shared" si="9"/>
        <v>0</v>
      </c>
      <c r="S13" s="152">
        <v>7.0422535211267498E-2</v>
      </c>
    </row>
    <row r="14" spans="1:19" ht="18" hidden="1">
      <c r="A14" s="97" t="s">
        <v>444</v>
      </c>
      <c r="B14" s="98" t="s">
        <v>455</v>
      </c>
      <c r="C14" s="98" t="s">
        <v>457</v>
      </c>
      <c r="D14" s="102">
        <v>400</v>
      </c>
      <c r="E14" s="100">
        <v>0</v>
      </c>
      <c r="F14" s="100">
        <v>0</v>
      </c>
      <c r="G14" s="100">
        <v>0</v>
      </c>
      <c r="H14" s="100">
        <v>0</v>
      </c>
      <c r="I14" s="100">
        <v>0</v>
      </c>
      <c r="J14" s="100">
        <v>0</v>
      </c>
      <c r="K14" s="126">
        <f t="shared" si="11"/>
        <v>0</v>
      </c>
      <c r="L14" s="126">
        <f t="shared" si="6"/>
        <v>0</v>
      </c>
      <c r="M14" s="100">
        <v>1</v>
      </c>
      <c r="N14" s="144">
        <f t="shared" si="7"/>
        <v>0</v>
      </c>
      <c r="O14" s="145">
        <v>0.1</v>
      </c>
      <c r="P14" s="146">
        <f t="shared" si="8"/>
        <v>0</v>
      </c>
      <c r="Q14" s="117">
        <v>0.17</v>
      </c>
      <c r="R14" s="126">
        <f t="shared" si="9"/>
        <v>0</v>
      </c>
      <c r="S14" s="152">
        <v>7.4999999999999997E-2</v>
      </c>
    </row>
    <row r="15" spans="1:19" ht="18" hidden="1">
      <c r="A15" s="97" t="s">
        <v>444</v>
      </c>
      <c r="B15" s="98" t="s">
        <v>455</v>
      </c>
      <c r="C15" s="98" t="s">
        <v>448</v>
      </c>
      <c r="D15" s="102">
        <v>460</v>
      </c>
      <c r="E15" s="100">
        <v>0</v>
      </c>
      <c r="F15" s="100">
        <v>0</v>
      </c>
      <c r="G15" s="100">
        <v>0</v>
      </c>
      <c r="H15" s="100">
        <v>0</v>
      </c>
      <c r="I15" s="100">
        <v>0</v>
      </c>
      <c r="J15" s="100">
        <v>0</v>
      </c>
      <c r="K15" s="126">
        <f t="shared" si="11"/>
        <v>0</v>
      </c>
      <c r="L15" s="126">
        <f t="shared" si="6"/>
        <v>0</v>
      </c>
      <c r="M15" s="100">
        <v>1</v>
      </c>
      <c r="N15" s="144">
        <f t="shared" si="7"/>
        <v>0</v>
      </c>
      <c r="O15" s="145">
        <v>0.1</v>
      </c>
      <c r="P15" s="146">
        <f t="shared" si="8"/>
        <v>0</v>
      </c>
      <c r="Q15" s="117">
        <v>0.17</v>
      </c>
      <c r="R15" s="126">
        <f t="shared" si="9"/>
        <v>0</v>
      </c>
      <c r="S15" s="152">
        <v>9.7826086956521702E-2</v>
      </c>
    </row>
    <row r="16" spans="1:19" ht="18" hidden="1">
      <c r="A16" s="97" t="s">
        <v>444</v>
      </c>
      <c r="B16" s="98" t="s">
        <v>458</v>
      </c>
      <c r="C16" s="98" t="s">
        <v>459</v>
      </c>
      <c r="D16" s="102">
        <v>515</v>
      </c>
      <c r="E16" s="100">
        <v>0</v>
      </c>
      <c r="F16" s="100">
        <v>0</v>
      </c>
      <c r="G16" s="100">
        <v>0</v>
      </c>
      <c r="H16" s="100">
        <v>0</v>
      </c>
      <c r="I16" s="100">
        <v>0</v>
      </c>
      <c r="J16" s="100">
        <v>0</v>
      </c>
      <c r="K16" s="126">
        <f t="shared" si="11"/>
        <v>0</v>
      </c>
      <c r="L16" s="126">
        <f t="shared" si="6"/>
        <v>0</v>
      </c>
      <c r="M16" s="100">
        <v>1</v>
      </c>
      <c r="N16" s="144">
        <f t="shared" si="7"/>
        <v>0</v>
      </c>
      <c r="O16" s="145">
        <v>0.1</v>
      </c>
      <c r="P16" s="146">
        <f t="shared" si="8"/>
        <v>0</v>
      </c>
      <c r="Q16" s="117">
        <v>0.17</v>
      </c>
      <c r="R16" s="126">
        <f t="shared" si="9"/>
        <v>0</v>
      </c>
      <c r="S16" s="152">
        <v>7.7669902912621297E-2</v>
      </c>
    </row>
    <row r="17" spans="1:19" ht="18" hidden="1">
      <c r="A17" s="97" t="s">
        <v>444</v>
      </c>
      <c r="B17" s="98" t="s">
        <v>458</v>
      </c>
      <c r="C17" s="98" t="s">
        <v>448</v>
      </c>
      <c r="D17" s="102">
        <v>510</v>
      </c>
      <c r="E17" s="100">
        <v>0</v>
      </c>
      <c r="F17" s="100">
        <v>0</v>
      </c>
      <c r="G17" s="100">
        <v>0</v>
      </c>
      <c r="H17" s="100">
        <v>0</v>
      </c>
      <c r="I17" s="100">
        <v>0</v>
      </c>
      <c r="J17" s="100">
        <v>0</v>
      </c>
      <c r="K17" s="126">
        <f t="shared" si="11"/>
        <v>0</v>
      </c>
      <c r="L17" s="126">
        <f t="shared" si="6"/>
        <v>0</v>
      </c>
      <c r="M17" s="100">
        <v>1</v>
      </c>
      <c r="N17" s="144">
        <f t="shared" si="7"/>
        <v>0</v>
      </c>
      <c r="O17" s="145">
        <v>0.1</v>
      </c>
      <c r="P17" s="146">
        <f t="shared" si="8"/>
        <v>0</v>
      </c>
      <c r="Q17" s="117">
        <v>0.17</v>
      </c>
      <c r="R17" s="126">
        <f t="shared" si="9"/>
        <v>0</v>
      </c>
      <c r="S17" s="152">
        <v>9.8039215686274606E-2</v>
      </c>
    </row>
    <row r="18" spans="1:19" ht="18" hidden="1">
      <c r="A18" s="97" t="s">
        <v>444</v>
      </c>
      <c r="B18" s="98" t="s">
        <v>460</v>
      </c>
      <c r="C18" s="98" t="s">
        <v>461</v>
      </c>
      <c r="D18" s="102">
        <v>320</v>
      </c>
      <c r="E18" s="100">
        <v>0</v>
      </c>
      <c r="F18" s="100">
        <v>0</v>
      </c>
      <c r="G18" s="100">
        <v>0</v>
      </c>
      <c r="H18" s="100">
        <v>0</v>
      </c>
      <c r="I18" s="100">
        <v>0</v>
      </c>
      <c r="J18" s="100">
        <v>0</v>
      </c>
      <c r="K18" s="126">
        <f t="shared" si="11"/>
        <v>0</v>
      </c>
      <c r="L18" s="126">
        <f t="shared" si="6"/>
        <v>0</v>
      </c>
      <c r="M18" s="100">
        <v>1</v>
      </c>
      <c r="N18" s="144">
        <f t="shared" si="7"/>
        <v>0</v>
      </c>
      <c r="O18" s="145">
        <v>0.1</v>
      </c>
      <c r="P18" s="146">
        <f t="shared" si="8"/>
        <v>0</v>
      </c>
      <c r="Q18" s="117">
        <v>0.17</v>
      </c>
      <c r="R18" s="126">
        <f t="shared" si="9"/>
        <v>0</v>
      </c>
      <c r="S18" s="152">
        <v>0.10062893081761</v>
      </c>
    </row>
    <row r="19" spans="1:19" ht="18" hidden="1">
      <c r="A19" s="97" t="s">
        <v>444</v>
      </c>
      <c r="B19" s="98" t="s">
        <v>460</v>
      </c>
      <c r="C19" s="98" t="s">
        <v>462</v>
      </c>
      <c r="D19" s="102">
        <v>320</v>
      </c>
      <c r="E19" s="100">
        <v>0</v>
      </c>
      <c r="F19" s="100">
        <v>0</v>
      </c>
      <c r="G19" s="100">
        <v>0</v>
      </c>
      <c r="H19" s="100">
        <v>0</v>
      </c>
      <c r="I19" s="100">
        <v>0</v>
      </c>
      <c r="J19" s="100">
        <v>0</v>
      </c>
      <c r="K19" s="126">
        <f t="shared" si="11"/>
        <v>0</v>
      </c>
      <c r="L19" s="126">
        <f t="shared" si="6"/>
        <v>0</v>
      </c>
      <c r="M19" s="100">
        <v>1</v>
      </c>
      <c r="N19" s="144">
        <f t="shared" si="7"/>
        <v>0</v>
      </c>
      <c r="O19" s="145">
        <v>0.1</v>
      </c>
      <c r="P19" s="146">
        <f t="shared" si="8"/>
        <v>0</v>
      </c>
      <c r="Q19" s="117">
        <v>0.17</v>
      </c>
      <c r="R19" s="126">
        <f t="shared" si="9"/>
        <v>0</v>
      </c>
      <c r="S19" s="152">
        <v>9.5238095238095302E-2</v>
      </c>
    </row>
    <row r="20" spans="1:19" ht="18" hidden="1">
      <c r="A20" s="97" t="s">
        <v>444</v>
      </c>
      <c r="B20" s="98" t="s">
        <v>460</v>
      </c>
      <c r="C20" s="98" t="s">
        <v>463</v>
      </c>
      <c r="D20" s="102">
        <v>355</v>
      </c>
      <c r="E20" s="100">
        <v>0</v>
      </c>
      <c r="F20" s="100">
        <v>0</v>
      </c>
      <c r="G20" s="100">
        <v>0</v>
      </c>
      <c r="H20" s="100">
        <v>0</v>
      </c>
      <c r="I20" s="100">
        <v>0</v>
      </c>
      <c r="J20" s="100">
        <v>0</v>
      </c>
      <c r="K20" s="126">
        <f t="shared" si="11"/>
        <v>0</v>
      </c>
      <c r="L20" s="126">
        <f t="shared" si="6"/>
        <v>0</v>
      </c>
      <c r="M20" s="100">
        <v>1</v>
      </c>
      <c r="N20" s="144">
        <f t="shared" si="7"/>
        <v>0</v>
      </c>
      <c r="O20" s="145">
        <v>0.1</v>
      </c>
      <c r="P20" s="146">
        <f t="shared" si="8"/>
        <v>0</v>
      </c>
      <c r="Q20" s="117">
        <v>0.17</v>
      </c>
      <c r="R20" s="126">
        <f t="shared" si="9"/>
        <v>0</v>
      </c>
      <c r="S20" s="152">
        <v>9.8591549295774697E-2</v>
      </c>
    </row>
    <row r="21" spans="1:19" ht="18" hidden="1">
      <c r="A21" s="97" t="s">
        <v>444</v>
      </c>
      <c r="B21" s="98" t="s">
        <v>460</v>
      </c>
      <c r="C21" s="98" t="s">
        <v>448</v>
      </c>
      <c r="D21" s="102">
        <v>346</v>
      </c>
      <c r="E21" s="100">
        <v>0</v>
      </c>
      <c r="F21" s="100">
        <v>0</v>
      </c>
      <c r="G21" s="100">
        <v>0</v>
      </c>
      <c r="H21" s="100">
        <v>0</v>
      </c>
      <c r="I21" s="100">
        <v>0</v>
      </c>
      <c r="J21" s="100">
        <v>0</v>
      </c>
      <c r="K21" s="126">
        <f t="shared" si="11"/>
        <v>0</v>
      </c>
      <c r="L21" s="126">
        <f t="shared" si="6"/>
        <v>0</v>
      </c>
      <c r="M21" s="100">
        <v>1</v>
      </c>
      <c r="N21" s="144">
        <f t="shared" si="7"/>
        <v>0</v>
      </c>
      <c r="O21" s="145">
        <v>0.1</v>
      </c>
      <c r="P21" s="146">
        <f t="shared" si="8"/>
        <v>0</v>
      </c>
      <c r="Q21" s="117">
        <v>0.17</v>
      </c>
      <c r="R21" s="126">
        <f t="shared" si="9"/>
        <v>0</v>
      </c>
      <c r="S21" s="152">
        <v>9.8265895953757204E-2</v>
      </c>
    </row>
    <row r="22" spans="1:19" ht="18" hidden="1">
      <c r="A22" s="97" t="s">
        <v>444</v>
      </c>
      <c r="B22" s="98" t="s">
        <v>464</v>
      </c>
      <c r="C22" s="98" t="s">
        <v>465</v>
      </c>
      <c r="D22" s="102">
        <v>390</v>
      </c>
      <c r="E22" s="100">
        <v>0</v>
      </c>
      <c r="F22" s="100">
        <v>0</v>
      </c>
      <c r="G22" s="100">
        <v>0</v>
      </c>
      <c r="H22" s="100">
        <v>0</v>
      </c>
      <c r="I22" s="100">
        <v>0</v>
      </c>
      <c r="J22" s="100">
        <v>0</v>
      </c>
      <c r="K22" s="126">
        <f t="shared" si="11"/>
        <v>0</v>
      </c>
      <c r="L22" s="126">
        <f t="shared" si="6"/>
        <v>0</v>
      </c>
      <c r="M22" s="100">
        <v>1</v>
      </c>
      <c r="N22" s="144">
        <f t="shared" si="7"/>
        <v>0</v>
      </c>
      <c r="O22" s="145">
        <v>0.1</v>
      </c>
      <c r="P22" s="146">
        <f t="shared" si="8"/>
        <v>0</v>
      </c>
      <c r="Q22" s="117">
        <v>0.17</v>
      </c>
      <c r="R22" s="126">
        <f t="shared" si="9"/>
        <v>0</v>
      </c>
      <c r="S22" s="152">
        <v>5.1282051282051301E-2</v>
      </c>
    </row>
    <row r="23" spans="1:19" ht="18" hidden="1">
      <c r="A23" s="97" t="s">
        <v>444</v>
      </c>
      <c r="B23" s="98" t="s">
        <v>464</v>
      </c>
      <c r="C23" s="98" t="s">
        <v>448</v>
      </c>
      <c r="D23" s="102">
        <v>420</v>
      </c>
      <c r="E23" s="100">
        <v>0</v>
      </c>
      <c r="F23" s="100">
        <v>0</v>
      </c>
      <c r="G23" s="100">
        <v>0</v>
      </c>
      <c r="H23" s="100">
        <v>0</v>
      </c>
      <c r="I23" s="100">
        <v>0</v>
      </c>
      <c r="J23" s="100">
        <v>0</v>
      </c>
      <c r="K23" s="126">
        <f t="shared" si="11"/>
        <v>0</v>
      </c>
      <c r="L23" s="126">
        <f t="shared" si="6"/>
        <v>0</v>
      </c>
      <c r="M23" s="100">
        <v>1</v>
      </c>
      <c r="N23" s="144">
        <f t="shared" si="7"/>
        <v>0</v>
      </c>
      <c r="O23" s="145">
        <v>0.1</v>
      </c>
      <c r="P23" s="146">
        <f t="shared" si="8"/>
        <v>0</v>
      </c>
      <c r="Q23" s="117">
        <v>0.17</v>
      </c>
      <c r="R23" s="126">
        <f t="shared" si="9"/>
        <v>0</v>
      </c>
      <c r="S23" s="152">
        <v>5.1282051282051301E-2</v>
      </c>
    </row>
    <row r="24" spans="1:19" ht="18" hidden="1">
      <c r="A24" s="97" t="s">
        <v>444</v>
      </c>
      <c r="B24" s="98" t="s">
        <v>466</v>
      </c>
      <c r="C24" s="98" t="s">
        <v>466</v>
      </c>
      <c r="D24" s="102">
        <v>335</v>
      </c>
      <c r="E24" s="100">
        <v>0</v>
      </c>
      <c r="F24" s="100">
        <v>0</v>
      </c>
      <c r="G24" s="100">
        <v>0</v>
      </c>
      <c r="H24" s="100">
        <v>0</v>
      </c>
      <c r="I24" s="100">
        <v>0</v>
      </c>
      <c r="J24" s="100">
        <v>0</v>
      </c>
      <c r="K24" s="126">
        <f t="shared" si="11"/>
        <v>0</v>
      </c>
      <c r="L24" s="126">
        <f t="shared" si="6"/>
        <v>0</v>
      </c>
      <c r="M24" s="100">
        <v>1</v>
      </c>
      <c r="N24" s="144">
        <f t="shared" si="7"/>
        <v>0</v>
      </c>
      <c r="O24" s="145">
        <v>0.1</v>
      </c>
      <c r="P24" s="146">
        <f t="shared" si="8"/>
        <v>0</v>
      </c>
      <c r="Q24" s="117">
        <v>0.17</v>
      </c>
      <c r="R24" s="126">
        <f t="shared" si="9"/>
        <v>0</v>
      </c>
      <c r="S24" s="152">
        <v>9.8360655737704999E-2</v>
      </c>
    </row>
    <row r="25" spans="1:19" ht="18">
      <c r="A25" s="97" t="s">
        <v>467</v>
      </c>
      <c r="B25" s="98" t="s">
        <v>468</v>
      </c>
      <c r="C25" s="98" t="s">
        <v>469</v>
      </c>
      <c r="D25" s="102">
        <v>265</v>
      </c>
      <c r="E25" s="100">
        <v>4.8</v>
      </c>
      <c r="F25" s="100">
        <v>5.0999999999999996</v>
      </c>
      <c r="G25" s="100">
        <v>0.45</v>
      </c>
      <c r="H25" s="100">
        <f>G25+0.3</f>
        <v>0.75</v>
      </c>
      <c r="I25" s="100">
        <v>2.4</v>
      </c>
      <c r="J25" s="100">
        <v>2.7</v>
      </c>
      <c r="K25" s="126">
        <f t="shared" si="11"/>
        <v>5.1840000000000002</v>
      </c>
      <c r="L25" s="126">
        <f>F25*H25*J25+1</f>
        <v>11.327500000000001</v>
      </c>
      <c r="M25" s="100">
        <v>1</v>
      </c>
      <c r="N25" s="144">
        <f t="shared" si="7"/>
        <v>3001.7875000000004</v>
      </c>
      <c r="O25" s="145">
        <v>0.1</v>
      </c>
      <c r="P25" s="146">
        <f t="shared" si="8"/>
        <v>3301.9662500000009</v>
      </c>
      <c r="Q25" s="117">
        <v>0.17</v>
      </c>
      <c r="R25" s="126">
        <f t="shared" si="9"/>
        <v>3863.3005125000009</v>
      </c>
      <c r="S25" s="152"/>
    </row>
    <row r="26" spans="1:19" ht="18">
      <c r="A26" s="97" t="s">
        <v>467</v>
      </c>
      <c r="B26" s="98" t="s">
        <v>468</v>
      </c>
      <c r="C26" s="98" t="s">
        <v>448</v>
      </c>
      <c r="D26" s="102">
        <v>375</v>
      </c>
      <c r="E26" s="100">
        <v>4.8</v>
      </c>
      <c r="F26" s="100">
        <v>5.0999999999999996</v>
      </c>
      <c r="G26" s="100">
        <v>0.45</v>
      </c>
      <c r="H26" s="100">
        <f t="shared" ref="H26" si="12">G26+0.3</f>
        <v>0.75</v>
      </c>
      <c r="I26" s="100">
        <v>2.4</v>
      </c>
      <c r="J26" s="100">
        <v>2.7</v>
      </c>
      <c r="K26" s="126">
        <f t="shared" si="11"/>
        <v>5.1840000000000002</v>
      </c>
      <c r="L26" s="126">
        <f t="shared" ref="L26" si="13">F26*H26*J26+1</f>
        <v>11.327500000000001</v>
      </c>
      <c r="M26" s="100">
        <v>1</v>
      </c>
      <c r="N26" s="144">
        <f t="shared" si="7"/>
        <v>4247.8125</v>
      </c>
      <c r="O26" s="145">
        <v>0.1</v>
      </c>
      <c r="P26" s="146">
        <f t="shared" si="8"/>
        <v>4672.59375</v>
      </c>
      <c r="Q26" s="117">
        <v>0.17</v>
      </c>
      <c r="R26" s="126">
        <f t="shared" si="9"/>
        <v>5466.9346875000001</v>
      </c>
      <c r="S26" s="152"/>
    </row>
    <row r="27" spans="1:19" ht="18">
      <c r="A27" s="97" t="s">
        <v>467</v>
      </c>
      <c r="B27" s="98" t="s">
        <v>470</v>
      </c>
      <c r="C27" s="98" t="s">
        <v>471</v>
      </c>
      <c r="D27" s="102">
        <v>340</v>
      </c>
      <c r="E27" s="100">
        <v>4.8</v>
      </c>
      <c r="F27" s="100">
        <v>5.0999999999999996</v>
      </c>
      <c r="G27" s="100">
        <v>0.45</v>
      </c>
      <c r="H27" s="100">
        <f t="shared" ref="H27:H64" si="14">G27+0.3</f>
        <v>0.75</v>
      </c>
      <c r="I27" s="100">
        <v>2.4</v>
      </c>
      <c r="J27" s="100">
        <v>2.7</v>
      </c>
      <c r="K27" s="126">
        <f t="shared" si="11"/>
        <v>5.1840000000000002</v>
      </c>
      <c r="L27" s="126">
        <f t="shared" ref="L27:L64" si="15">F27*H27*J27+1</f>
        <v>11.327500000000001</v>
      </c>
      <c r="M27" s="100">
        <v>1</v>
      </c>
      <c r="N27" s="144">
        <f t="shared" si="7"/>
        <v>3851.3500000000004</v>
      </c>
      <c r="O27" s="145">
        <v>0.1</v>
      </c>
      <c r="P27" s="146">
        <f t="shared" si="8"/>
        <v>4236.4850000000006</v>
      </c>
      <c r="Q27" s="117">
        <v>0.17</v>
      </c>
      <c r="R27" s="126">
        <f t="shared" si="9"/>
        <v>4956.6874500000004</v>
      </c>
      <c r="S27" s="152"/>
    </row>
    <row r="28" spans="1:19" ht="18">
      <c r="A28" s="97" t="s">
        <v>467</v>
      </c>
      <c r="B28" s="98" t="s">
        <v>470</v>
      </c>
      <c r="C28" s="98" t="s">
        <v>448</v>
      </c>
      <c r="D28" s="102">
        <v>340</v>
      </c>
      <c r="E28" s="100">
        <v>4.8</v>
      </c>
      <c r="F28" s="100">
        <v>5.0999999999999996</v>
      </c>
      <c r="G28" s="100">
        <v>0.45</v>
      </c>
      <c r="H28" s="100">
        <f t="shared" si="14"/>
        <v>0.75</v>
      </c>
      <c r="I28" s="100">
        <v>2.4</v>
      </c>
      <c r="J28" s="100">
        <v>2.7</v>
      </c>
      <c r="K28" s="126">
        <f t="shared" si="11"/>
        <v>5.1840000000000002</v>
      </c>
      <c r="L28" s="126">
        <f t="shared" si="15"/>
        <v>11.327500000000001</v>
      </c>
      <c r="M28" s="100">
        <v>1</v>
      </c>
      <c r="N28" s="144">
        <f t="shared" si="7"/>
        <v>3851.3500000000004</v>
      </c>
      <c r="O28" s="145">
        <v>0.1</v>
      </c>
      <c r="P28" s="146">
        <f t="shared" si="8"/>
        <v>4236.4850000000006</v>
      </c>
      <c r="Q28" s="117">
        <v>0.17</v>
      </c>
      <c r="R28" s="126">
        <f t="shared" si="9"/>
        <v>4956.6874500000004</v>
      </c>
      <c r="S28" s="152"/>
    </row>
    <row r="29" spans="1:19" ht="18">
      <c r="A29" s="97" t="s">
        <v>467</v>
      </c>
      <c r="B29" s="98" t="s">
        <v>472</v>
      </c>
      <c r="C29" s="98" t="s">
        <v>472</v>
      </c>
      <c r="D29" s="102">
        <v>310</v>
      </c>
      <c r="E29" s="100">
        <v>4.8</v>
      </c>
      <c r="F29" s="100">
        <v>5.0999999999999996</v>
      </c>
      <c r="G29" s="100">
        <v>0.45</v>
      </c>
      <c r="H29" s="100">
        <f t="shared" si="14"/>
        <v>0.75</v>
      </c>
      <c r="I29" s="100">
        <v>2.4</v>
      </c>
      <c r="J29" s="100">
        <v>2.7</v>
      </c>
      <c r="K29" s="126">
        <f t="shared" si="11"/>
        <v>5.1840000000000002</v>
      </c>
      <c r="L29" s="126">
        <f t="shared" si="15"/>
        <v>11.327500000000001</v>
      </c>
      <c r="M29" s="100">
        <v>1</v>
      </c>
      <c r="N29" s="144">
        <f t="shared" si="7"/>
        <v>3511.5250000000001</v>
      </c>
      <c r="O29" s="145">
        <v>0.1</v>
      </c>
      <c r="P29" s="146">
        <f t="shared" si="8"/>
        <v>3862.6775000000002</v>
      </c>
      <c r="Q29" s="117">
        <v>0.17</v>
      </c>
      <c r="R29" s="126">
        <f t="shared" si="9"/>
        <v>4519.3326749999997</v>
      </c>
      <c r="S29" s="152"/>
    </row>
    <row r="30" spans="1:19" ht="18">
      <c r="A30" s="97" t="s">
        <v>467</v>
      </c>
      <c r="B30" s="98" t="s">
        <v>473</v>
      </c>
      <c r="C30" s="98" t="s">
        <v>474</v>
      </c>
      <c r="D30" s="102">
        <v>270</v>
      </c>
      <c r="E30" s="100">
        <v>4.8</v>
      </c>
      <c r="F30" s="100">
        <v>5.0999999999999996</v>
      </c>
      <c r="G30" s="100">
        <v>0.45</v>
      </c>
      <c r="H30" s="100">
        <f t="shared" si="14"/>
        <v>0.75</v>
      </c>
      <c r="I30" s="100">
        <v>2.4</v>
      </c>
      <c r="J30" s="100">
        <v>2.7</v>
      </c>
      <c r="K30" s="126">
        <f t="shared" si="11"/>
        <v>5.1840000000000002</v>
      </c>
      <c r="L30" s="126">
        <f t="shared" si="15"/>
        <v>11.327500000000001</v>
      </c>
      <c r="M30" s="100">
        <v>1</v>
      </c>
      <c r="N30" s="144">
        <f t="shared" si="7"/>
        <v>3058.4250000000002</v>
      </c>
      <c r="O30" s="145">
        <v>0.1</v>
      </c>
      <c r="P30" s="146">
        <f t="shared" si="8"/>
        <v>3364.2675000000004</v>
      </c>
      <c r="Q30" s="117">
        <v>0.17</v>
      </c>
      <c r="R30" s="126">
        <f t="shared" si="9"/>
        <v>3936.1929750000004</v>
      </c>
      <c r="S30" s="152"/>
    </row>
    <row r="31" spans="1:19" ht="18">
      <c r="A31" s="97" t="s">
        <v>467</v>
      </c>
      <c r="B31" s="98" t="s">
        <v>473</v>
      </c>
      <c r="C31" s="98" t="s">
        <v>475</v>
      </c>
      <c r="D31" s="102">
        <v>300</v>
      </c>
      <c r="E31" s="100">
        <v>4.8</v>
      </c>
      <c r="F31" s="100">
        <v>5.0999999999999996</v>
      </c>
      <c r="G31" s="100">
        <v>0.45</v>
      </c>
      <c r="H31" s="100">
        <f t="shared" si="14"/>
        <v>0.75</v>
      </c>
      <c r="I31" s="100">
        <v>2.4</v>
      </c>
      <c r="J31" s="100">
        <v>2.7</v>
      </c>
      <c r="K31" s="126">
        <f t="shared" si="11"/>
        <v>5.1840000000000002</v>
      </c>
      <c r="L31" s="126">
        <f t="shared" si="15"/>
        <v>11.327500000000001</v>
      </c>
      <c r="M31" s="100">
        <v>1</v>
      </c>
      <c r="N31" s="144">
        <f t="shared" si="7"/>
        <v>3398.25</v>
      </c>
      <c r="O31" s="145">
        <v>0.1</v>
      </c>
      <c r="P31" s="146">
        <f t="shared" si="8"/>
        <v>3738.0750000000003</v>
      </c>
      <c r="Q31" s="117">
        <v>0.17</v>
      </c>
      <c r="R31" s="126">
        <f t="shared" si="9"/>
        <v>4373.5477499999997</v>
      </c>
      <c r="S31" s="152"/>
    </row>
    <row r="32" spans="1:19" ht="18">
      <c r="A32" s="97" t="s">
        <v>467</v>
      </c>
      <c r="B32" s="98" t="s">
        <v>473</v>
      </c>
      <c r="C32" s="98" t="s">
        <v>448</v>
      </c>
      <c r="D32" s="102">
        <v>310</v>
      </c>
      <c r="E32" s="100">
        <v>4.8</v>
      </c>
      <c r="F32" s="100">
        <v>5.0999999999999996</v>
      </c>
      <c r="G32" s="100">
        <v>0.45</v>
      </c>
      <c r="H32" s="100">
        <f t="shared" si="14"/>
        <v>0.75</v>
      </c>
      <c r="I32" s="100">
        <v>2.4</v>
      </c>
      <c r="J32" s="100">
        <v>2.7</v>
      </c>
      <c r="K32" s="126">
        <f t="shared" si="11"/>
        <v>5.1840000000000002</v>
      </c>
      <c r="L32" s="126">
        <f t="shared" si="15"/>
        <v>11.327500000000001</v>
      </c>
      <c r="M32" s="100">
        <v>1</v>
      </c>
      <c r="N32" s="144">
        <f t="shared" si="7"/>
        <v>3511.5250000000001</v>
      </c>
      <c r="O32" s="145">
        <v>0.1</v>
      </c>
      <c r="P32" s="146">
        <f t="shared" si="8"/>
        <v>3862.6775000000002</v>
      </c>
      <c r="Q32" s="117">
        <v>0.17</v>
      </c>
      <c r="R32" s="126">
        <f t="shared" si="9"/>
        <v>4519.3326749999997</v>
      </c>
      <c r="S32" s="152"/>
    </row>
    <row r="33" spans="1:19" ht="18">
      <c r="A33" s="97" t="s">
        <v>476</v>
      </c>
      <c r="B33" s="98" t="s">
        <v>477</v>
      </c>
      <c r="C33" s="98" t="s">
        <v>478</v>
      </c>
      <c r="D33" s="102">
        <v>300</v>
      </c>
      <c r="E33" s="100">
        <v>4.8</v>
      </c>
      <c r="F33" s="100">
        <v>5.0999999999999996</v>
      </c>
      <c r="G33" s="100">
        <v>0.45</v>
      </c>
      <c r="H33" s="100">
        <f t="shared" si="14"/>
        <v>0.75</v>
      </c>
      <c r="I33" s="100">
        <v>2.4</v>
      </c>
      <c r="J33" s="100">
        <v>2.7</v>
      </c>
      <c r="K33" s="126">
        <f t="shared" si="11"/>
        <v>5.1840000000000002</v>
      </c>
      <c r="L33" s="126">
        <f t="shared" si="15"/>
        <v>11.327500000000001</v>
      </c>
      <c r="M33" s="100">
        <v>1</v>
      </c>
      <c r="N33" s="144">
        <f t="shared" si="7"/>
        <v>3398.25</v>
      </c>
      <c r="O33" s="145">
        <v>0.1</v>
      </c>
      <c r="P33" s="146">
        <f t="shared" si="8"/>
        <v>3738.0750000000003</v>
      </c>
      <c r="Q33" s="117">
        <v>0.17</v>
      </c>
      <c r="R33" s="126">
        <f t="shared" si="9"/>
        <v>4373.5477499999997</v>
      </c>
      <c r="S33" s="152"/>
    </row>
    <row r="34" spans="1:19" ht="18">
      <c r="A34" s="97" t="s">
        <v>476</v>
      </c>
      <c r="B34" s="98" t="s">
        <v>477</v>
      </c>
      <c r="C34" s="98" t="s">
        <v>448</v>
      </c>
      <c r="D34" s="102">
        <v>300</v>
      </c>
      <c r="E34" s="100">
        <v>4.8</v>
      </c>
      <c r="F34" s="100">
        <v>5.0999999999999996</v>
      </c>
      <c r="G34" s="100">
        <v>0.45</v>
      </c>
      <c r="H34" s="100">
        <f t="shared" si="14"/>
        <v>0.75</v>
      </c>
      <c r="I34" s="100">
        <v>2.4</v>
      </c>
      <c r="J34" s="100">
        <v>2.7</v>
      </c>
      <c r="K34" s="126">
        <f t="shared" si="11"/>
        <v>5.1840000000000002</v>
      </c>
      <c r="L34" s="126">
        <f t="shared" si="15"/>
        <v>11.327500000000001</v>
      </c>
      <c r="M34" s="100">
        <v>1</v>
      </c>
      <c r="N34" s="144">
        <f t="shared" si="7"/>
        <v>3398.25</v>
      </c>
      <c r="O34" s="145">
        <v>0.1</v>
      </c>
      <c r="P34" s="146">
        <f t="shared" si="8"/>
        <v>3738.0750000000003</v>
      </c>
      <c r="Q34" s="117">
        <v>0.17</v>
      </c>
      <c r="R34" s="126">
        <f t="shared" si="9"/>
        <v>4373.5477499999997</v>
      </c>
      <c r="S34" s="152"/>
    </row>
    <row r="35" spans="1:19" ht="18">
      <c r="A35" s="97" t="s">
        <v>476</v>
      </c>
      <c r="B35" s="98" t="s">
        <v>479</v>
      </c>
      <c r="C35" s="98" t="s">
        <v>480</v>
      </c>
      <c r="D35" s="102">
        <v>185</v>
      </c>
      <c r="E35" s="100">
        <v>4.8</v>
      </c>
      <c r="F35" s="100">
        <v>5.0999999999999996</v>
      </c>
      <c r="G35" s="100">
        <v>0.45</v>
      </c>
      <c r="H35" s="100">
        <f t="shared" si="14"/>
        <v>0.75</v>
      </c>
      <c r="I35" s="100">
        <v>2.4</v>
      </c>
      <c r="J35" s="100">
        <v>2.7</v>
      </c>
      <c r="K35" s="126">
        <f t="shared" si="11"/>
        <v>5.1840000000000002</v>
      </c>
      <c r="L35" s="126">
        <f t="shared" si="15"/>
        <v>11.327500000000001</v>
      </c>
      <c r="M35" s="100">
        <v>1</v>
      </c>
      <c r="N35" s="144">
        <f t="shared" si="7"/>
        <v>2095.5875000000001</v>
      </c>
      <c r="O35" s="145">
        <v>0.1</v>
      </c>
      <c r="P35" s="146">
        <f t="shared" si="8"/>
        <v>2305.1462500000002</v>
      </c>
      <c r="Q35" s="117">
        <v>0.17</v>
      </c>
      <c r="R35" s="126">
        <f t="shared" si="9"/>
        <v>2697.0211125000001</v>
      </c>
      <c r="S35" s="152"/>
    </row>
    <row r="36" spans="1:19" ht="18">
      <c r="A36" s="97" t="s">
        <v>476</v>
      </c>
      <c r="B36" s="98" t="s">
        <v>479</v>
      </c>
      <c r="C36" s="98" t="s">
        <v>481</v>
      </c>
      <c r="D36" s="102">
        <v>185</v>
      </c>
      <c r="E36" s="100">
        <v>4.8</v>
      </c>
      <c r="F36" s="100">
        <v>5.0999999999999996</v>
      </c>
      <c r="G36" s="100">
        <v>0.45</v>
      </c>
      <c r="H36" s="100">
        <f t="shared" si="14"/>
        <v>0.75</v>
      </c>
      <c r="I36" s="100">
        <v>2.4</v>
      </c>
      <c r="J36" s="100">
        <v>2.7</v>
      </c>
      <c r="K36" s="126">
        <f t="shared" si="11"/>
        <v>5.1840000000000002</v>
      </c>
      <c r="L36" s="126">
        <f t="shared" si="15"/>
        <v>11.327500000000001</v>
      </c>
      <c r="M36" s="100">
        <v>1</v>
      </c>
      <c r="N36" s="144">
        <f t="shared" si="7"/>
        <v>2095.5875000000001</v>
      </c>
      <c r="O36" s="145">
        <v>0.1</v>
      </c>
      <c r="P36" s="146">
        <f t="shared" si="8"/>
        <v>2305.1462500000002</v>
      </c>
      <c r="Q36" s="117">
        <v>0.17</v>
      </c>
      <c r="R36" s="126">
        <f t="shared" si="9"/>
        <v>2697.0211125000001</v>
      </c>
      <c r="S36" s="152"/>
    </row>
    <row r="37" spans="1:19" ht="18">
      <c r="A37" s="97" t="s">
        <v>476</v>
      </c>
      <c r="B37" s="98" t="s">
        <v>479</v>
      </c>
      <c r="C37" s="98" t="s">
        <v>448</v>
      </c>
      <c r="D37" s="102">
        <v>190</v>
      </c>
      <c r="E37" s="100">
        <v>4.8</v>
      </c>
      <c r="F37" s="100">
        <v>5.0999999999999996</v>
      </c>
      <c r="G37" s="100">
        <v>0.45</v>
      </c>
      <c r="H37" s="100">
        <f t="shared" si="14"/>
        <v>0.75</v>
      </c>
      <c r="I37" s="100">
        <v>2.4</v>
      </c>
      <c r="J37" s="100">
        <v>2.7</v>
      </c>
      <c r="K37" s="126">
        <f t="shared" si="11"/>
        <v>5.1840000000000002</v>
      </c>
      <c r="L37" s="126">
        <f t="shared" si="15"/>
        <v>11.327500000000001</v>
      </c>
      <c r="M37" s="100">
        <v>1</v>
      </c>
      <c r="N37" s="144">
        <f t="shared" ref="N37:N64" si="16">D37*L37*M37</f>
        <v>2152.2249999999999</v>
      </c>
      <c r="O37" s="145">
        <v>0.1</v>
      </c>
      <c r="P37" s="146">
        <f t="shared" ref="P37:P64" si="17">N37*(1+O37)</f>
        <v>2367.4475000000002</v>
      </c>
      <c r="Q37" s="117">
        <v>0.17</v>
      </c>
      <c r="R37" s="126">
        <f t="shared" ref="R37:R64" si="18">P37*(1+Q37)</f>
        <v>2769.913575</v>
      </c>
      <c r="S37" s="152"/>
    </row>
    <row r="38" spans="1:19" ht="18">
      <c r="A38" s="97" t="s">
        <v>476</v>
      </c>
      <c r="B38" s="98" t="s">
        <v>482</v>
      </c>
      <c r="C38" s="98" t="s">
        <v>483</v>
      </c>
      <c r="D38" s="102">
        <v>252</v>
      </c>
      <c r="E38" s="100">
        <v>4.8</v>
      </c>
      <c r="F38" s="100">
        <v>5.0999999999999996</v>
      </c>
      <c r="G38" s="100">
        <v>0.45</v>
      </c>
      <c r="H38" s="100">
        <f t="shared" si="14"/>
        <v>0.75</v>
      </c>
      <c r="I38" s="100">
        <v>2.4</v>
      </c>
      <c r="J38" s="100">
        <v>2.7</v>
      </c>
      <c r="K38" s="126">
        <f t="shared" si="11"/>
        <v>5.1840000000000002</v>
      </c>
      <c r="L38" s="126">
        <f t="shared" si="15"/>
        <v>11.327500000000001</v>
      </c>
      <c r="M38" s="100">
        <v>1</v>
      </c>
      <c r="N38" s="144">
        <f t="shared" si="16"/>
        <v>2854.53</v>
      </c>
      <c r="O38" s="145">
        <v>0.1</v>
      </c>
      <c r="P38" s="146">
        <f t="shared" si="17"/>
        <v>3139.9830000000006</v>
      </c>
      <c r="Q38" s="117">
        <v>0.17</v>
      </c>
      <c r="R38" s="126">
        <f t="shared" si="18"/>
        <v>3673.7801100000006</v>
      </c>
      <c r="S38" s="152"/>
    </row>
    <row r="39" spans="1:19" ht="18">
      <c r="A39" s="97" t="s">
        <v>476</v>
      </c>
      <c r="B39" s="98" t="s">
        <v>482</v>
      </c>
      <c r="C39" s="98" t="s">
        <v>448</v>
      </c>
      <c r="D39" s="102">
        <v>290</v>
      </c>
      <c r="E39" s="100">
        <v>4.8</v>
      </c>
      <c r="F39" s="100">
        <v>5.0999999999999996</v>
      </c>
      <c r="G39" s="100">
        <v>0.45</v>
      </c>
      <c r="H39" s="100">
        <f t="shared" si="14"/>
        <v>0.75</v>
      </c>
      <c r="I39" s="100">
        <v>2.4</v>
      </c>
      <c r="J39" s="100">
        <v>2.7</v>
      </c>
      <c r="K39" s="126">
        <f t="shared" ref="K39:K64" si="19">E39*G39*I39</f>
        <v>5.1840000000000002</v>
      </c>
      <c r="L39" s="126">
        <f t="shared" si="15"/>
        <v>11.327500000000001</v>
      </c>
      <c r="M39" s="100">
        <v>1</v>
      </c>
      <c r="N39" s="144">
        <f t="shared" si="16"/>
        <v>3284.9750000000004</v>
      </c>
      <c r="O39" s="145">
        <v>0.1</v>
      </c>
      <c r="P39" s="146">
        <f t="shared" si="17"/>
        <v>3613.4725000000008</v>
      </c>
      <c r="Q39" s="117">
        <v>0.17</v>
      </c>
      <c r="R39" s="126">
        <f t="shared" si="18"/>
        <v>4227.7628250000007</v>
      </c>
      <c r="S39" s="152"/>
    </row>
    <row r="40" spans="1:19" ht="18">
      <c r="A40" s="97" t="s">
        <v>484</v>
      </c>
      <c r="B40" s="98" t="s">
        <v>485</v>
      </c>
      <c r="C40" s="98" t="s">
        <v>486</v>
      </c>
      <c r="D40" s="102">
        <v>490</v>
      </c>
      <c r="E40" s="100">
        <v>4.8</v>
      </c>
      <c r="F40" s="100">
        <v>5.0999999999999996</v>
      </c>
      <c r="G40" s="100">
        <v>0.45</v>
      </c>
      <c r="H40" s="100">
        <f t="shared" si="14"/>
        <v>0.75</v>
      </c>
      <c r="I40" s="100">
        <v>2.4</v>
      </c>
      <c r="J40" s="100">
        <v>2.7</v>
      </c>
      <c r="K40" s="126">
        <f t="shared" si="19"/>
        <v>5.1840000000000002</v>
      </c>
      <c r="L40" s="126">
        <f t="shared" si="15"/>
        <v>11.327500000000001</v>
      </c>
      <c r="M40" s="100">
        <v>1</v>
      </c>
      <c r="N40" s="144">
        <f t="shared" si="16"/>
        <v>5550.4750000000004</v>
      </c>
      <c r="O40" s="145">
        <v>0.1</v>
      </c>
      <c r="P40" s="146">
        <f t="shared" si="17"/>
        <v>6105.5225000000009</v>
      </c>
      <c r="Q40" s="117">
        <v>0.17</v>
      </c>
      <c r="R40" s="126">
        <f t="shared" si="18"/>
        <v>7143.4613250000011</v>
      </c>
      <c r="S40" s="152"/>
    </row>
    <row r="41" spans="1:19" ht="18">
      <c r="A41" s="97" t="s">
        <v>484</v>
      </c>
      <c r="B41" s="98" t="s">
        <v>485</v>
      </c>
      <c r="C41" s="98" t="s">
        <v>448</v>
      </c>
      <c r="D41" s="102">
        <v>490</v>
      </c>
      <c r="E41" s="100">
        <v>4.8</v>
      </c>
      <c r="F41" s="100">
        <v>5.0999999999999996</v>
      </c>
      <c r="G41" s="100">
        <v>0.45</v>
      </c>
      <c r="H41" s="100">
        <f t="shared" si="14"/>
        <v>0.75</v>
      </c>
      <c r="I41" s="100">
        <v>2.4</v>
      </c>
      <c r="J41" s="100">
        <v>2.7</v>
      </c>
      <c r="K41" s="126">
        <f t="shared" si="19"/>
        <v>5.1840000000000002</v>
      </c>
      <c r="L41" s="126">
        <f t="shared" si="15"/>
        <v>11.327500000000001</v>
      </c>
      <c r="M41" s="100">
        <v>1</v>
      </c>
      <c r="N41" s="144">
        <f t="shared" si="16"/>
        <v>5550.4750000000004</v>
      </c>
      <c r="O41" s="145">
        <v>0.1</v>
      </c>
      <c r="P41" s="146">
        <f t="shared" si="17"/>
        <v>6105.5225000000009</v>
      </c>
      <c r="Q41" s="117">
        <v>0.17</v>
      </c>
      <c r="R41" s="126">
        <f t="shared" si="18"/>
        <v>7143.4613250000011</v>
      </c>
      <c r="S41" s="152"/>
    </row>
    <row r="42" spans="1:19" ht="18">
      <c r="A42" s="97" t="s">
        <v>484</v>
      </c>
      <c r="B42" s="98" t="s">
        <v>487</v>
      </c>
      <c r="C42" s="98" t="s">
        <v>488</v>
      </c>
      <c r="D42" s="102">
        <v>265</v>
      </c>
      <c r="E42" s="100">
        <v>4.8</v>
      </c>
      <c r="F42" s="100">
        <v>5.0999999999999996</v>
      </c>
      <c r="G42" s="100">
        <v>0.45</v>
      </c>
      <c r="H42" s="100">
        <f t="shared" si="14"/>
        <v>0.75</v>
      </c>
      <c r="I42" s="100">
        <v>2.4</v>
      </c>
      <c r="J42" s="100">
        <v>2.7</v>
      </c>
      <c r="K42" s="126">
        <f t="shared" si="19"/>
        <v>5.1840000000000002</v>
      </c>
      <c r="L42" s="126">
        <f t="shared" si="15"/>
        <v>11.327500000000001</v>
      </c>
      <c r="M42" s="100">
        <v>1</v>
      </c>
      <c r="N42" s="144">
        <f t="shared" si="16"/>
        <v>3001.7875000000004</v>
      </c>
      <c r="O42" s="145">
        <v>0.1</v>
      </c>
      <c r="P42" s="146">
        <f t="shared" si="17"/>
        <v>3301.9662500000009</v>
      </c>
      <c r="Q42" s="117">
        <v>0.17</v>
      </c>
      <c r="R42" s="126">
        <f t="shared" si="18"/>
        <v>3863.3005125000009</v>
      </c>
      <c r="S42" s="152"/>
    </row>
    <row r="43" spans="1:19" ht="18">
      <c r="A43" s="97" t="s">
        <v>484</v>
      </c>
      <c r="B43" s="98" t="s">
        <v>487</v>
      </c>
      <c r="C43" s="98" t="s">
        <v>448</v>
      </c>
      <c r="D43" s="102">
        <v>265</v>
      </c>
      <c r="E43" s="100">
        <v>4.8</v>
      </c>
      <c r="F43" s="100">
        <v>5.0999999999999996</v>
      </c>
      <c r="G43" s="100">
        <v>0.45</v>
      </c>
      <c r="H43" s="100">
        <f t="shared" si="14"/>
        <v>0.75</v>
      </c>
      <c r="I43" s="100">
        <v>2.4</v>
      </c>
      <c r="J43" s="100">
        <v>2.7</v>
      </c>
      <c r="K43" s="126">
        <f t="shared" si="19"/>
        <v>5.1840000000000002</v>
      </c>
      <c r="L43" s="126">
        <f t="shared" si="15"/>
        <v>11.327500000000001</v>
      </c>
      <c r="M43" s="100">
        <v>1</v>
      </c>
      <c r="N43" s="144">
        <f t="shared" si="16"/>
        <v>3001.7875000000004</v>
      </c>
      <c r="O43" s="145">
        <v>0.1</v>
      </c>
      <c r="P43" s="146">
        <f t="shared" si="17"/>
        <v>3301.9662500000009</v>
      </c>
      <c r="Q43" s="117">
        <v>0.17</v>
      </c>
      <c r="R43" s="126">
        <f t="shared" si="18"/>
        <v>3863.3005125000009</v>
      </c>
      <c r="S43" s="152"/>
    </row>
    <row r="44" spans="1:19" ht="18">
      <c r="A44" s="97" t="s">
        <v>484</v>
      </c>
      <c r="B44" s="98" t="s">
        <v>489</v>
      </c>
      <c r="C44" s="98" t="s">
        <v>490</v>
      </c>
      <c r="D44" s="102">
        <v>310</v>
      </c>
      <c r="E44" s="100">
        <v>4.8</v>
      </c>
      <c r="F44" s="100">
        <v>5.0999999999999996</v>
      </c>
      <c r="G44" s="100">
        <v>0.45</v>
      </c>
      <c r="H44" s="100">
        <f t="shared" si="14"/>
        <v>0.75</v>
      </c>
      <c r="I44" s="100">
        <v>2.4</v>
      </c>
      <c r="J44" s="100">
        <v>2.7</v>
      </c>
      <c r="K44" s="126">
        <f t="shared" si="19"/>
        <v>5.1840000000000002</v>
      </c>
      <c r="L44" s="126">
        <f t="shared" si="15"/>
        <v>11.327500000000001</v>
      </c>
      <c r="M44" s="100">
        <v>1</v>
      </c>
      <c r="N44" s="144">
        <f t="shared" si="16"/>
        <v>3511.5250000000001</v>
      </c>
      <c r="O44" s="145">
        <v>0.1</v>
      </c>
      <c r="P44" s="146">
        <f t="shared" si="17"/>
        <v>3862.6775000000002</v>
      </c>
      <c r="Q44" s="117">
        <v>0.17</v>
      </c>
      <c r="R44" s="126">
        <f t="shared" si="18"/>
        <v>4519.3326749999997</v>
      </c>
      <c r="S44" s="152"/>
    </row>
    <row r="45" spans="1:19" ht="18">
      <c r="A45" s="97" t="s">
        <v>484</v>
      </c>
      <c r="B45" s="98" t="s">
        <v>489</v>
      </c>
      <c r="C45" s="98" t="s">
        <v>448</v>
      </c>
      <c r="D45" s="102">
        <v>330</v>
      </c>
      <c r="E45" s="100">
        <v>4.8</v>
      </c>
      <c r="F45" s="100">
        <v>5.0999999999999996</v>
      </c>
      <c r="G45" s="100">
        <v>0.45</v>
      </c>
      <c r="H45" s="100">
        <f t="shared" si="14"/>
        <v>0.75</v>
      </c>
      <c r="I45" s="100">
        <v>2.4</v>
      </c>
      <c r="J45" s="100">
        <v>2.7</v>
      </c>
      <c r="K45" s="126">
        <f t="shared" si="19"/>
        <v>5.1840000000000002</v>
      </c>
      <c r="L45" s="126">
        <f t="shared" si="15"/>
        <v>11.327500000000001</v>
      </c>
      <c r="M45" s="100">
        <v>1</v>
      </c>
      <c r="N45" s="144">
        <f t="shared" si="16"/>
        <v>3738.0750000000003</v>
      </c>
      <c r="O45" s="145">
        <v>0.1</v>
      </c>
      <c r="P45" s="146">
        <f t="shared" si="17"/>
        <v>4111.8825000000006</v>
      </c>
      <c r="Q45" s="117">
        <v>0.17</v>
      </c>
      <c r="R45" s="126">
        <f t="shared" si="18"/>
        <v>4810.9025250000004</v>
      </c>
      <c r="S45" s="152"/>
    </row>
    <row r="46" spans="1:19" ht="18">
      <c r="A46" s="97" t="s">
        <v>484</v>
      </c>
      <c r="B46" s="98" t="s">
        <v>491</v>
      </c>
      <c r="C46" s="98" t="s">
        <v>492</v>
      </c>
      <c r="D46" s="102">
        <v>250</v>
      </c>
      <c r="E46" s="100">
        <v>4.8</v>
      </c>
      <c r="F46" s="100">
        <v>5.0999999999999996</v>
      </c>
      <c r="G46" s="100">
        <v>0.45</v>
      </c>
      <c r="H46" s="100">
        <f t="shared" si="14"/>
        <v>0.75</v>
      </c>
      <c r="I46" s="100">
        <v>2.4</v>
      </c>
      <c r="J46" s="100">
        <v>2.7</v>
      </c>
      <c r="K46" s="126">
        <f t="shared" si="19"/>
        <v>5.1840000000000002</v>
      </c>
      <c r="L46" s="126">
        <f t="shared" si="15"/>
        <v>11.327500000000001</v>
      </c>
      <c r="M46" s="100">
        <v>1</v>
      </c>
      <c r="N46" s="144">
        <f t="shared" si="16"/>
        <v>2831.875</v>
      </c>
      <c r="O46" s="145">
        <v>0.1</v>
      </c>
      <c r="P46" s="146">
        <f t="shared" si="17"/>
        <v>3115.0625000000005</v>
      </c>
      <c r="Q46" s="117">
        <v>0.17</v>
      </c>
      <c r="R46" s="126">
        <f t="shared" si="18"/>
        <v>3644.6231250000005</v>
      </c>
      <c r="S46" s="152"/>
    </row>
    <row r="47" spans="1:19" ht="18">
      <c r="A47" s="97" t="s">
        <v>484</v>
      </c>
      <c r="B47" s="98" t="s">
        <v>491</v>
      </c>
      <c r="C47" s="98" t="s">
        <v>448</v>
      </c>
      <c r="D47" s="102">
        <v>280</v>
      </c>
      <c r="E47" s="100">
        <v>4.8</v>
      </c>
      <c r="F47" s="100">
        <v>5.0999999999999996</v>
      </c>
      <c r="G47" s="100">
        <v>0.45</v>
      </c>
      <c r="H47" s="100">
        <f t="shared" si="14"/>
        <v>0.75</v>
      </c>
      <c r="I47" s="100">
        <v>2.4</v>
      </c>
      <c r="J47" s="100">
        <v>2.7</v>
      </c>
      <c r="K47" s="126">
        <f t="shared" si="19"/>
        <v>5.1840000000000002</v>
      </c>
      <c r="L47" s="126">
        <f t="shared" si="15"/>
        <v>11.327500000000001</v>
      </c>
      <c r="M47" s="100">
        <v>1</v>
      </c>
      <c r="N47" s="144">
        <f t="shared" si="16"/>
        <v>3171.7000000000003</v>
      </c>
      <c r="O47" s="145">
        <v>0.1</v>
      </c>
      <c r="P47" s="146">
        <f t="shared" si="17"/>
        <v>3488.8700000000008</v>
      </c>
      <c r="Q47" s="117">
        <v>0.17</v>
      </c>
      <c r="R47" s="126">
        <f t="shared" si="18"/>
        <v>4081.9779000000008</v>
      </c>
      <c r="S47" s="152"/>
    </row>
    <row r="48" spans="1:19" ht="18">
      <c r="A48" s="97" t="s">
        <v>484</v>
      </c>
      <c r="B48" s="98" t="s">
        <v>493</v>
      </c>
      <c r="C48" s="98" t="s">
        <v>494</v>
      </c>
      <c r="D48" s="102">
        <v>240</v>
      </c>
      <c r="E48" s="100">
        <v>4.8</v>
      </c>
      <c r="F48" s="100">
        <v>5.0999999999999996</v>
      </c>
      <c r="G48" s="100">
        <v>0.45</v>
      </c>
      <c r="H48" s="100">
        <f t="shared" si="14"/>
        <v>0.75</v>
      </c>
      <c r="I48" s="100">
        <v>2.4</v>
      </c>
      <c r="J48" s="100">
        <v>2.7</v>
      </c>
      <c r="K48" s="126">
        <f t="shared" si="19"/>
        <v>5.1840000000000002</v>
      </c>
      <c r="L48" s="126">
        <f t="shared" si="15"/>
        <v>11.327500000000001</v>
      </c>
      <c r="M48" s="100">
        <v>1</v>
      </c>
      <c r="N48" s="144">
        <f t="shared" si="16"/>
        <v>2718.6000000000004</v>
      </c>
      <c r="O48" s="145">
        <v>0.1</v>
      </c>
      <c r="P48" s="146">
        <f t="shared" si="17"/>
        <v>2990.4600000000005</v>
      </c>
      <c r="Q48" s="117">
        <v>0.17</v>
      </c>
      <c r="R48" s="126">
        <f t="shared" si="18"/>
        <v>3498.8382000000001</v>
      </c>
      <c r="S48" s="152"/>
    </row>
    <row r="49" spans="1:19" ht="18">
      <c r="A49" s="97" t="s">
        <v>484</v>
      </c>
      <c r="B49" s="98" t="s">
        <v>493</v>
      </c>
      <c r="C49" s="98" t="s">
        <v>448</v>
      </c>
      <c r="D49" s="102">
        <v>250</v>
      </c>
      <c r="E49" s="100">
        <v>4.8</v>
      </c>
      <c r="F49" s="100">
        <v>5.0999999999999996</v>
      </c>
      <c r="G49" s="100">
        <v>0.45</v>
      </c>
      <c r="H49" s="100">
        <f t="shared" si="14"/>
        <v>0.75</v>
      </c>
      <c r="I49" s="100">
        <v>2.4</v>
      </c>
      <c r="J49" s="100">
        <v>2.7</v>
      </c>
      <c r="K49" s="126">
        <f t="shared" si="19"/>
        <v>5.1840000000000002</v>
      </c>
      <c r="L49" s="126">
        <f t="shared" si="15"/>
        <v>11.327500000000001</v>
      </c>
      <c r="M49" s="100">
        <v>1</v>
      </c>
      <c r="N49" s="144">
        <f t="shared" si="16"/>
        <v>2831.875</v>
      </c>
      <c r="O49" s="145">
        <v>0.1</v>
      </c>
      <c r="P49" s="146">
        <f t="shared" si="17"/>
        <v>3115.0625000000005</v>
      </c>
      <c r="Q49" s="117">
        <v>0.17</v>
      </c>
      <c r="R49" s="126">
        <f t="shared" si="18"/>
        <v>3644.6231250000005</v>
      </c>
      <c r="S49" s="152"/>
    </row>
    <row r="50" spans="1:19" ht="18">
      <c r="A50" s="97" t="s">
        <v>484</v>
      </c>
      <c r="B50" s="98" t="s">
        <v>495</v>
      </c>
      <c r="C50" s="98" t="s">
        <v>496</v>
      </c>
      <c r="D50" s="102">
        <v>260</v>
      </c>
      <c r="E50" s="100">
        <v>4.8</v>
      </c>
      <c r="F50" s="100">
        <v>5.0999999999999996</v>
      </c>
      <c r="G50" s="100">
        <v>0.45</v>
      </c>
      <c r="H50" s="100">
        <f t="shared" si="14"/>
        <v>0.75</v>
      </c>
      <c r="I50" s="100">
        <v>2.4</v>
      </c>
      <c r="J50" s="100">
        <v>2.7</v>
      </c>
      <c r="K50" s="126">
        <f t="shared" si="19"/>
        <v>5.1840000000000002</v>
      </c>
      <c r="L50" s="126">
        <f t="shared" si="15"/>
        <v>11.327500000000001</v>
      </c>
      <c r="M50" s="100">
        <v>1</v>
      </c>
      <c r="N50" s="144">
        <f t="shared" si="16"/>
        <v>2945.15</v>
      </c>
      <c r="O50" s="145">
        <v>0.1</v>
      </c>
      <c r="P50" s="146">
        <f t="shared" si="17"/>
        <v>3239.6650000000004</v>
      </c>
      <c r="Q50" s="117">
        <v>0.17</v>
      </c>
      <c r="R50" s="126">
        <f t="shared" si="18"/>
        <v>3790.4080500000005</v>
      </c>
      <c r="S50" s="152"/>
    </row>
    <row r="51" spans="1:19" ht="18">
      <c r="A51" s="97" t="s">
        <v>484</v>
      </c>
      <c r="B51" s="98" t="s">
        <v>495</v>
      </c>
      <c r="C51" s="98" t="s">
        <v>448</v>
      </c>
      <c r="D51" s="102">
        <v>285</v>
      </c>
      <c r="E51" s="100">
        <v>4.8</v>
      </c>
      <c r="F51" s="100">
        <v>5.0999999999999996</v>
      </c>
      <c r="G51" s="100">
        <v>0.45</v>
      </c>
      <c r="H51" s="100">
        <f t="shared" si="14"/>
        <v>0.75</v>
      </c>
      <c r="I51" s="100">
        <v>2.4</v>
      </c>
      <c r="J51" s="100">
        <v>2.7</v>
      </c>
      <c r="K51" s="126">
        <f t="shared" si="19"/>
        <v>5.1840000000000002</v>
      </c>
      <c r="L51" s="126">
        <f t="shared" si="15"/>
        <v>11.327500000000001</v>
      </c>
      <c r="M51" s="100">
        <v>1</v>
      </c>
      <c r="N51" s="144">
        <f t="shared" si="16"/>
        <v>3228.3375000000001</v>
      </c>
      <c r="O51" s="145">
        <v>0.1</v>
      </c>
      <c r="P51" s="146">
        <f t="shared" si="17"/>
        <v>3551.1712500000003</v>
      </c>
      <c r="Q51" s="117">
        <v>0.17</v>
      </c>
      <c r="R51" s="126">
        <f t="shared" si="18"/>
        <v>4154.8703624999998</v>
      </c>
      <c r="S51" s="152"/>
    </row>
    <row r="52" spans="1:19" ht="18">
      <c r="A52" s="97" t="s">
        <v>484</v>
      </c>
      <c r="B52" s="98" t="s">
        <v>497</v>
      </c>
      <c r="C52" s="98" t="s">
        <v>498</v>
      </c>
      <c r="D52" s="102">
        <v>480</v>
      </c>
      <c r="E52" s="100">
        <v>4.8</v>
      </c>
      <c r="F52" s="100">
        <v>5.0999999999999996</v>
      </c>
      <c r="G52" s="100">
        <v>0.45</v>
      </c>
      <c r="H52" s="100">
        <f t="shared" si="14"/>
        <v>0.75</v>
      </c>
      <c r="I52" s="100">
        <v>2.4</v>
      </c>
      <c r="J52" s="100">
        <v>2.7</v>
      </c>
      <c r="K52" s="126">
        <f t="shared" si="19"/>
        <v>5.1840000000000002</v>
      </c>
      <c r="L52" s="126">
        <f t="shared" si="15"/>
        <v>11.327500000000001</v>
      </c>
      <c r="M52" s="100">
        <v>1</v>
      </c>
      <c r="N52" s="144">
        <f t="shared" si="16"/>
        <v>5437.2000000000007</v>
      </c>
      <c r="O52" s="145">
        <v>0.1</v>
      </c>
      <c r="P52" s="146">
        <f t="shared" si="17"/>
        <v>5980.920000000001</v>
      </c>
      <c r="Q52" s="117">
        <v>0.17</v>
      </c>
      <c r="R52" s="126">
        <f t="shared" si="18"/>
        <v>6997.6764000000003</v>
      </c>
      <c r="S52" s="152"/>
    </row>
    <row r="53" spans="1:19" ht="18">
      <c r="A53" s="97" t="s">
        <v>484</v>
      </c>
      <c r="B53" s="98" t="s">
        <v>497</v>
      </c>
      <c r="C53" s="98" t="s">
        <v>448</v>
      </c>
      <c r="D53" s="102">
        <v>490</v>
      </c>
      <c r="E53" s="100">
        <v>4.8</v>
      </c>
      <c r="F53" s="100">
        <v>5.0999999999999996</v>
      </c>
      <c r="G53" s="100">
        <v>0.45</v>
      </c>
      <c r="H53" s="100">
        <f t="shared" si="14"/>
        <v>0.75</v>
      </c>
      <c r="I53" s="100">
        <v>2.4</v>
      </c>
      <c r="J53" s="100">
        <v>2.7</v>
      </c>
      <c r="K53" s="126">
        <f t="shared" si="19"/>
        <v>5.1840000000000002</v>
      </c>
      <c r="L53" s="126">
        <f t="shared" si="15"/>
        <v>11.327500000000001</v>
      </c>
      <c r="M53" s="100">
        <v>1</v>
      </c>
      <c r="N53" s="144">
        <f t="shared" si="16"/>
        <v>5550.4750000000004</v>
      </c>
      <c r="O53" s="145">
        <v>0.1</v>
      </c>
      <c r="P53" s="146">
        <f t="shared" si="17"/>
        <v>6105.5225000000009</v>
      </c>
      <c r="Q53" s="117">
        <v>0.17</v>
      </c>
      <c r="R53" s="126">
        <f t="shared" si="18"/>
        <v>7143.4613250000011</v>
      </c>
      <c r="S53" s="152"/>
    </row>
    <row r="54" spans="1:19" ht="18">
      <c r="A54" s="97" t="s">
        <v>484</v>
      </c>
      <c r="B54" s="98" t="s">
        <v>499</v>
      </c>
      <c r="C54" s="98" t="s">
        <v>500</v>
      </c>
      <c r="D54" s="102">
        <v>490</v>
      </c>
      <c r="E54" s="100">
        <v>4.8</v>
      </c>
      <c r="F54" s="100">
        <v>5.0999999999999996</v>
      </c>
      <c r="G54" s="100">
        <v>0.45</v>
      </c>
      <c r="H54" s="100">
        <f t="shared" si="14"/>
        <v>0.75</v>
      </c>
      <c r="I54" s="100">
        <v>2.4</v>
      </c>
      <c r="J54" s="100">
        <v>2.7</v>
      </c>
      <c r="K54" s="126">
        <f t="shared" si="19"/>
        <v>5.1840000000000002</v>
      </c>
      <c r="L54" s="126">
        <f t="shared" si="15"/>
        <v>11.327500000000001</v>
      </c>
      <c r="M54" s="100">
        <v>1</v>
      </c>
      <c r="N54" s="144">
        <f t="shared" si="16"/>
        <v>5550.4750000000004</v>
      </c>
      <c r="O54" s="145">
        <v>0.1</v>
      </c>
      <c r="P54" s="146">
        <f t="shared" si="17"/>
        <v>6105.5225000000009</v>
      </c>
      <c r="Q54" s="117">
        <v>0.17</v>
      </c>
      <c r="R54" s="126">
        <f t="shared" si="18"/>
        <v>7143.4613250000011</v>
      </c>
      <c r="S54" s="152"/>
    </row>
    <row r="55" spans="1:19" ht="18">
      <c r="A55" s="97" t="s">
        <v>484</v>
      </c>
      <c r="B55" s="98" t="s">
        <v>501</v>
      </c>
      <c r="C55" s="98" t="s">
        <v>502</v>
      </c>
      <c r="D55" s="102">
        <v>380</v>
      </c>
      <c r="E55" s="100">
        <v>4.8</v>
      </c>
      <c r="F55" s="100">
        <v>5.0999999999999996</v>
      </c>
      <c r="G55" s="100">
        <v>0.45</v>
      </c>
      <c r="H55" s="100">
        <f t="shared" si="14"/>
        <v>0.75</v>
      </c>
      <c r="I55" s="100">
        <v>2.4</v>
      </c>
      <c r="J55" s="100">
        <v>2.7</v>
      </c>
      <c r="K55" s="126">
        <f t="shared" si="19"/>
        <v>5.1840000000000002</v>
      </c>
      <c r="L55" s="126">
        <f t="shared" si="15"/>
        <v>11.327500000000001</v>
      </c>
      <c r="M55" s="100">
        <v>1</v>
      </c>
      <c r="N55" s="144">
        <f t="shared" si="16"/>
        <v>4304.45</v>
      </c>
      <c r="O55" s="145">
        <v>0.1</v>
      </c>
      <c r="P55" s="146">
        <f t="shared" si="17"/>
        <v>4734.8950000000004</v>
      </c>
      <c r="Q55" s="117">
        <v>0.17</v>
      </c>
      <c r="R55" s="126">
        <f t="shared" si="18"/>
        <v>5539.8271500000001</v>
      </c>
      <c r="S55" s="152"/>
    </row>
    <row r="56" spans="1:19" ht="18">
      <c r="A56" s="97" t="s">
        <v>484</v>
      </c>
      <c r="B56" s="98" t="s">
        <v>501</v>
      </c>
      <c r="C56" s="98" t="s">
        <v>448</v>
      </c>
      <c r="D56" s="102">
        <v>380</v>
      </c>
      <c r="E56" s="100">
        <v>4.8</v>
      </c>
      <c r="F56" s="100">
        <v>5.0999999999999996</v>
      </c>
      <c r="G56" s="100">
        <v>0.45</v>
      </c>
      <c r="H56" s="100">
        <f t="shared" si="14"/>
        <v>0.75</v>
      </c>
      <c r="I56" s="100">
        <v>2.4</v>
      </c>
      <c r="J56" s="100">
        <v>2.7</v>
      </c>
      <c r="K56" s="126">
        <f t="shared" si="19"/>
        <v>5.1840000000000002</v>
      </c>
      <c r="L56" s="126">
        <f t="shared" si="15"/>
        <v>11.327500000000001</v>
      </c>
      <c r="M56" s="100">
        <v>1</v>
      </c>
      <c r="N56" s="144">
        <f t="shared" si="16"/>
        <v>4304.45</v>
      </c>
      <c r="O56" s="145">
        <v>0.1</v>
      </c>
      <c r="P56" s="146">
        <f t="shared" si="17"/>
        <v>4734.8950000000004</v>
      </c>
      <c r="Q56" s="117">
        <v>0.17</v>
      </c>
      <c r="R56" s="126">
        <f t="shared" si="18"/>
        <v>5539.8271500000001</v>
      </c>
      <c r="S56" s="152"/>
    </row>
    <row r="57" spans="1:19" ht="18">
      <c r="A57" s="97" t="s">
        <v>484</v>
      </c>
      <c r="B57" s="98" t="s">
        <v>503</v>
      </c>
      <c r="C57" s="98" t="s">
        <v>504</v>
      </c>
      <c r="D57" s="102">
        <v>395</v>
      </c>
      <c r="E57" s="100">
        <v>4.8</v>
      </c>
      <c r="F57" s="100">
        <v>5.0999999999999996</v>
      </c>
      <c r="G57" s="100">
        <v>0.45</v>
      </c>
      <c r="H57" s="100">
        <f t="shared" si="14"/>
        <v>0.75</v>
      </c>
      <c r="I57" s="100">
        <v>2.4</v>
      </c>
      <c r="J57" s="100">
        <v>2.7</v>
      </c>
      <c r="K57" s="126">
        <f t="shared" si="19"/>
        <v>5.1840000000000002</v>
      </c>
      <c r="L57" s="126">
        <f t="shared" si="15"/>
        <v>11.327500000000001</v>
      </c>
      <c r="M57" s="100">
        <v>1</v>
      </c>
      <c r="N57" s="144">
        <f t="shared" si="16"/>
        <v>4474.3625000000002</v>
      </c>
      <c r="O57" s="145">
        <v>0.1</v>
      </c>
      <c r="P57" s="146">
        <f t="shared" si="17"/>
        <v>4921.7987500000008</v>
      </c>
      <c r="Q57" s="117">
        <v>0.17</v>
      </c>
      <c r="R57" s="126">
        <f t="shared" si="18"/>
        <v>5758.5045375000009</v>
      </c>
      <c r="S57" s="152"/>
    </row>
    <row r="58" spans="1:19" ht="18">
      <c r="A58" s="97" t="s">
        <v>484</v>
      </c>
      <c r="B58" s="98" t="s">
        <v>503</v>
      </c>
      <c r="C58" s="98" t="s">
        <v>448</v>
      </c>
      <c r="D58" s="102">
        <v>475</v>
      </c>
      <c r="E58" s="100">
        <v>4.8</v>
      </c>
      <c r="F58" s="100">
        <v>5.0999999999999996</v>
      </c>
      <c r="G58" s="100">
        <v>0.45</v>
      </c>
      <c r="H58" s="100">
        <f t="shared" si="14"/>
        <v>0.75</v>
      </c>
      <c r="I58" s="100">
        <v>2.4</v>
      </c>
      <c r="J58" s="100">
        <v>2.7</v>
      </c>
      <c r="K58" s="126">
        <f t="shared" si="19"/>
        <v>5.1840000000000002</v>
      </c>
      <c r="L58" s="126">
        <f t="shared" si="15"/>
        <v>11.327500000000001</v>
      </c>
      <c r="M58" s="100">
        <v>1</v>
      </c>
      <c r="N58" s="144">
        <f t="shared" si="16"/>
        <v>5380.5625</v>
      </c>
      <c r="O58" s="145">
        <v>0.1</v>
      </c>
      <c r="P58" s="146">
        <f t="shared" si="17"/>
        <v>5918.6187500000005</v>
      </c>
      <c r="Q58" s="117">
        <v>0.17</v>
      </c>
      <c r="R58" s="126">
        <f t="shared" si="18"/>
        <v>6924.7839375000003</v>
      </c>
      <c r="S58" s="152"/>
    </row>
    <row r="59" spans="1:19" ht="18">
      <c r="A59" s="97" t="s">
        <v>484</v>
      </c>
      <c r="B59" s="98" t="s">
        <v>505</v>
      </c>
      <c r="C59" s="98" t="s">
        <v>506</v>
      </c>
      <c r="D59" s="102">
        <v>566</v>
      </c>
      <c r="E59" s="100">
        <v>4.8</v>
      </c>
      <c r="F59" s="100">
        <v>5.0999999999999996</v>
      </c>
      <c r="G59" s="100">
        <v>0.45</v>
      </c>
      <c r="H59" s="100">
        <f t="shared" si="14"/>
        <v>0.75</v>
      </c>
      <c r="I59" s="100">
        <v>2.4</v>
      </c>
      <c r="J59" s="100">
        <v>2.7</v>
      </c>
      <c r="K59" s="126">
        <f t="shared" si="19"/>
        <v>5.1840000000000002</v>
      </c>
      <c r="L59" s="126">
        <f t="shared" si="15"/>
        <v>11.327500000000001</v>
      </c>
      <c r="M59" s="100">
        <v>1</v>
      </c>
      <c r="N59" s="144">
        <f t="shared" si="16"/>
        <v>6411.3650000000007</v>
      </c>
      <c r="O59" s="145">
        <v>0.1</v>
      </c>
      <c r="P59" s="146">
        <f t="shared" si="17"/>
        <v>7052.5015000000012</v>
      </c>
      <c r="Q59" s="117">
        <v>0.17</v>
      </c>
      <c r="R59" s="126">
        <f t="shared" si="18"/>
        <v>8251.4267550000004</v>
      </c>
      <c r="S59" s="152"/>
    </row>
    <row r="60" spans="1:19" ht="18">
      <c r="A60" s="97" t="s">
        <v>484</v>
      </c>
      <c r="B60" s="98" t="s">
        <v>507</v>
      </c>
      <c r="C60" s="98" t="s">
        <v>508</v>
      </c>
      <c r="D60" s="102">
        <v>560</v>
      </c>
      <c r="E60" s="100">
        <v>4.8</v>
      </c>
      <c r="F60" s="100">
        <v>5.0999999999999996</v>
      </c>
      <c r="G60" s="100">
        <v>0.45</v>
      </c>
      <c r="H60" s="100">
        <f t="shared" si="14"/>
        <v>0.75</v>
      </c>
      <c r="I60" s="100">
        <v>2.4</v>
      </c>
      <c r="J60" s="100">
        <v>2.7</v>
      </c>
      <c r="K60" s="126">
        <f t="shared" si="19"/>
        <v>5.1840000000000002</v>
      </c>
      <c r="L60" s="126">
        <f t="shared" si="15"/>
        <v>11.327500000000001</v>
      </c>
      <c r="M60" s="100">
        <v>1</v>
      </c>
      <c r="N60" s="144">
        <f t="shared" si="16"/>
        <v>6343.4000000000005</v>
      </c>
      <c r="O60" s="145">
        <v>0.1</v>
      </c>
      <c r="P60" s="146">
        <f t="shared" si="17"/>
        <v>6977.7400000000016</v>
      </c>
      <c r="Q60" s="117">
        <v>0.17</v>
      </c>
      <c r="R60" s="126">
        <f t="shared" si="18"/>
        <v>8163.9558000000015</v>
      </c>
      <c r="S60" s="152"/>
    </row>
    <row r="61" spans="1:19" ht="18">
      <c r="A61" s="97" t="s">
        <v>484</v>
      </c>
      <c r="B61" s="98" t="s">
        <v>507</v>
      </c>
      <c r="C61" s="98" t="s">
        <v>448</v>
      </c>
      <c r="D61" s="102">
        <v>670</v>
      </c>
      <c r="E61" s="100">
        <v>4.8</v>
      </c>
      <c r="F61" s="100">
        <v>5.0999999999999996</v>
      </c>
      <c r="G61" s="100">
        <v>0.45</v>
      </c>
      <c r="H61" s="100">
        <f t="shared" si="14"/>
        <v>0.75</v>
      </c>
      <c r="I61" s="100">
        <v>2.4</v>
      </c>
      <c r="J61" s="100">
        <v>2.7</v>
      </c>
      <c r="K61" s="126">
        <f t="shared" si="19"/>
        <v>5.1840000000000002</v>
      </c>
      <c r="L61" s="126">
        <f t="shared" si="15"/>
        <v>11.327500000000001</v>
      </c>
      <c r="M61" s="100">
        <v>1</v>
      </c>
      <c r="N61" s="144">
        <f t="shared" si="16"/>
        <v>7589.4250000000002</v>
      </c>
      <c r="O61" s="145">
        <v>0.1</v>
      </c>
      <c r="P61" s="146">
        <f t="shared" si="17"/>
        <v>8348.3675000000003</v>
      </c>
      <c r="Q61" s="117">
        <v>0.17</v>
      </c>
      <c r="R61" s="126">
        <f t="shared" si="18"/>
        <v>9767.589974999999</v>
      </c>
      <c r="S61" s="152"/>
    </row>
    <row r="62" spans="1:19" ht="18">
      <c r="A62" s="97" t="s">
        <v>484</v>
      </c>
      <c r="B62" s="98" t="s">
        <v>509</v>
      </c>
      <c r="C62" s="98" t="s">
        <v>510</v>
      </c>
      <c r="D62" s="102">
        <v>330</v>
      </c>
      <c r="E62" s="100">
        <v>4.8</v>
      </c>
      <c r="F62" s="100">
        <v>5.0999999999999996</v>
      </c>
      <c r="G62" s="100">
        <v>0.45</v>
      </c>
      <c r="H62" s="100">
        <f t="shared" si="14"/>
        <v>0.75</v>
      </c>
      <c r="I62" s="100">
        <v>2.4</v>
      </c>
      <c r="J62" s="100">
        <v>2.7</v>
      </c>
      <c r="K62" s="126">
        <f t="shared" si="19"/>
        <v>5.1840000000000002</v>
      </c>
      <c r="L62" s="126">
        <f t="shared" si="15"/>
        <v>11.327500000000001</v>
      </c>
      <c r="M62" s="100">
        <v>1</v>
      </c>
      <c r="N62" s="144">
        <f t="shared" si="16"/>
        <v>3738.0750000000003</v>
      </c>
      <c r="O62" s="145">
        <v>0.1</v>
      </c>
      <c r="P62" s="146">
        <f t="shared" si="17"/>
        <v>4111.8825000000006</v>
      </c>
      <c r="Q62" s="117">
        <v>0.17</v>
      </c>
      <c r="R62" s="126">
        <f t="shared" si="18"/>
        <v>4810.9025250000004</v>
      </c>
      <c r="S62" s="152"/>
    </row>
    <row r="63" spans="1:19" ht="18">
      <c r="A63" s="97" t="s">
        <v>484</v>
      </c>
      <c r="B63" s="98" t="s">
        <v>509</v>
      </c>
      <c r="C63" s="98" t="s">
        <v>448</v>
      </c>
      <c r="D63" s="102">
        <v>350</v>
      </c>
      <c r="E63" s="100">
        <v>4.8</v>
      </c>
      <c r="F63" s="100">
        <v>5.0999999999999996</v>
      </c>
      <c r="G63" s="100">
        <v>0.45</v>
      </c>
      <c r="H63" s="100">
        <f t="shared" si="14"/>
        <v>0.75</v>
      </c>
      <c r="I63" s="100">
        <v>2.4</v>
      </c>
      <c r="J63" s="100">
        <v>2.7</v>
      </c>
      <c r="K63" s="126">
        <f t="shared" si="19"/>
        <v>5.1840000000000002</v>
      </c>
      <c r="L63" s="126">
        <f t="shared" si="15"/>
        <v>11.327500000000001</v>
      </c>
      <c r="M63" s="100">
        <v>1</v>
      </c>
      <c r="N63" s="144">
        <f t="shared" si="16"/>
        <v>3964.625</v>
      </c>
      <c r="O63" s="145">
        <v>0.1</v>
      </c>
      <c r="P63" s="146">
        <f t="shared" si="17"/>
        <v>4361.0875000000005</v>
      </c>
      <c r="Q63" s="117">
        <v>0.17</v>
      </c>
      <c r="R63" s="126">
        <f t="shared" si="18"/>
        <v>5102.4723750000003</v>
      </c>
      <c r="S63" s="152"/>
    </row>
    <row r="64" spans="1:19" ht="18">
      <c r="A64" s="97" t="s">
        <v>484</v>
      </c>
      <c r="B64" s="98" t="s">
        <v>511</v>
      </c>
      <c r="C64" s="98" t="s">
        <v>511</v>
      </c>
      <c r="D64" s="102">
        <v>390</v>
      </c>
      <c r="E64" s="100">
        <v>4.8</v>
      </c>
      <c r="F64" s="100">
        <v>5.0999999999999996</v>
      </c>
      <c r="G64" s="100">
        <v>0.45</v>
      </c>
      <c r="H64" s="100">
        <f t="shared" si="14"/>
        <v>0.75</v>
      </c>
      <c r="I64" s="100">
        <v>2.4</v>
      </c>
      <c r="J64" s="100">
        <v>2.7</v>
      </c>
      <c r="K64" s="126">
        <f t="shared" si="19"/>
        <v>5.1840000000000002</v>
      </c>
      <c r="L64" s="126">
        <f t="shared" si="15"/>
        <v>11.327500000000001</v>
      </c>
      <c r="M64" s="100">
        <v>1</v>
      </c>
      <c r="N64" s="144">
        <f t="shared" si="16"/>
        <v>4417.7250000000004</v>
      </c>
      <c r="O64" s="145">
        <v>0.1</v>
      </c>
      <c r="P64" s="146">
        <f t="shared" si="17"/>
        <v>4859.4975000000004</v>
      </c>
      <c r="Q64" s="117">
        <v>0.17</v>
      </c>
      <c r="R64" s="126">
        <f t="shared" si="18"/>
        <v>5685.612075</v>
      </c>
      <c r="S64" s="152"/>
    </row>
    <row r="65" spans="1:19" ht="16.5">
      <c r="A65" s="94"/>
      <c r="B65" s="104"/>
      <c r="C65" s="94"/>
      <c r="D65" s="94"/>
      <c r="E65" s="94"/>
      <c r="F65" s="94"/>
      <c r="G65" s="94"/>
      <c r="H65" s="94"/>
      <c r="I65" s="94"/>
      <c r="J65" s="94"/>
      <c r="K65" s="94"/>
      <c r="L65" s="94"/>
      <c r="M65" s="94"/>
      <c r="N65" s="94"/>
      <c r="O65" s="94"/>
      <c r="P65" s="159">
        <f>AVERAGE(P25:P64)</f>
        <v>4324.6412687499997</v>
      </c>
      <c r="Q65" s="95"/>
      <c r="R65" s="95"/>
      <c r="S65" s="94"/>
    </row>
    <row r="66" spans="1:19" ht="16.5">
      <c r="A66" s="153"/>
      <c r="B66" s="94"/>
      <c r="C66" s="94"/>
      <c r="D66" s="94"/>
      <c r="E66" s="94"/>
      <c r="F66" s="94"/>
      <c r="G66" s="94"/>
      <c r="H66" s="94"/>
      <c r="I66" s="94"/>
      <c r="J66" s="94"/>
      <c r="K66" s="94"/>
      <c r="L66" s="94"/>
      <c r="M66" s="94"/>
      <c r="N66" s="94"/>
      <c r="O66" s="94"/>
      <c r="P66" s="112"/>
      <c r="Q66" s="95"/>
      <c r="R66" s="95"/>
      <c r="S66" s="94"/>
    </row>
    <row r="67" spans="1:19" ht="16.5">
      <c r="A67" s="153"/>
      <c r="B67" s="94"/>
      <c r="C67" s="94"/>
      <c r="D67" s="94"/>
      <c r="E67" s="154"/>
      <c r="F67" s="94"/>
      <c r="G67" s="94"/>
      <c r="H67" s="94"/>
      <c r="I67" s="94"/>
      <c r="J67" s="94"/>
      <c r="K67" s="94"/>
      <c r="L67" s="94"/>
      <c r="M67" s="94"/>
      <c r="N67" s="94"/>
      <c r="O67" s="94"/>
      <c r="P67" s="112"/>
      <c r="Q67" s="95"/>
      <c r="R67" s="95"/>
      <c r="S67" s="94"/>
    </row>
    <row r="68" spans="1:19" ht="16.5">
      <c r="A68" s="153"/>
      <c r="B68" s="94"/>
      <c r="C68" s="94"/>
      <c r="D68" s="94"/>
      <c r="E68" s="94"/>
      <c r="F68" s="94"/>
      <c r="G68" s="94"/>
      <c r="H68" s="94"/>
      <c r="I68" s="94"/>
      <c r="J68" s="94"/>
      <c r="K68" s="94"/>
      <c r="L68" s="94"/>
      <c r="M68" s="94"/>
      <c r="N68" s="94"/>
      <c r="O68" s="94"/>
      <c r="P68" s="112"/>
      <c r="Q68" s="95"/>
      <c r="R68" s="95"/>
      <c r="S68" s="94"/>
    </row>
    <row r="69" spans="1:19" ht="16.5">
      <c r="A69" s="93" t="s">
        <v>542</v>
      </c>
      <c r="B69" s="94"/>
      <c r="C69" s="94"/>
      <c r="D69" s="94"/>
      <c r="E69" s="94"/>
      <c r="F69" s="94"/>
      <c r="G69" s="94"/>
      <c r="H69" s="94"/>
      <c r="I69" s="94"/>
      <c r="J69" s="94"/>
      <c r="K69" s="94"/>
      <c r="L69" s="94"/>
      <c r="M69" s="94"/>
      <c r="N69" s="94"/>
      <c r="O69" s="94"/>
      <c r="P69" s="112"/>
      <c r="Q69" s="95"/>
      <c r="R69" s="95"/>
      <c r="S69" s="94"/>
    </row>
    <row r="70" spans="1:19" ht="16.5">
      <c r="A70" s="93"/>
      <c r="B70" s="94"/>
      <c r="C70" s="94"/>
      <c r="D70" s="94"/>
      <c r="E70" s="94"/>
      <c r="F70" s="94"/>
      <c r="G70" s="94"/>
      <c r="H70" s="94"/>
      <c r="I70" s="94"/>
      <c r="J70" s="94"/>
      <c r="K70" s="94"/>
      <c r="L70" s="94"/>
      <c r="M70" s="94"/>
      <c r="N70" s="94"/>
      <c r="O70" s="94"/>
      <c r="P70" s="112"/>
      <c r="Q70" s="95"/>
      <c r="R70" s="95"/>
      <c r="S70" s="94"/>
    </row>
    <row r="71" spans="1:19" ht="49.5">
      <c r="A71" s="98" t="s">
        <v>543</v>
      </c>
      <c r="B71" s="98" t="s">
        <v>544</v>
      </c>
      <c r="C71" s="98"/>
      <c r="D71" s="94"/>
      <c r="E71" s="94"/>
      <c r="F71" s="94"/>
      <c r="G71" s="94"/>
      <c r="H71" s="94"/>
      <c r="I71" s="94"/>
      <c r="J71" s="94"/>
      <c r="K71" s="94"/>
      <c r="L71" s="94"/>
      <c r="M71" s="94"/>
      <c r="N71" s="94"/>
      <c r="O71" s="94"/>
      <c r="P71" s="112"/>
      <c r="Q71" s="95"/>
      <c r="R71" s="95"/>
      <c r="S71" s="94"/>
    </row>
    <row r="72" spans="1:19" ht="16.5">
      <c r="A72" s="155">
        <v>15</v>
      </c>
      <c r="B72" s="156">
        <v>40</v>
      </c>
      <c r="C72" s="108" t="s">
        <v>545</v>
      </c>
      <c r="D72" s="94"/>
      <c r="E72" s="94"/>
      <c r="F72" s="94"/>
      <c r="G72" s="154"/>
      <c r="H72" s="94"/>
      <c r="I72" s="94"/>
      <c r="J72" s="94"/>
      <c r="K72" s="94"/>
      <c r="L72" s="94"/>
      <c r="M72" s="94"/>
      <c r="N72" s="94"/>
      <c r="O72" s="94"/>
      <c r="P72" s="112"/>
      <c r="Q72" s="95"/>
      <c r="R72" s="94"/>
      <c r="S72" s="94"/>
    </row>
    <row r="73" spans="1:19" ht="16.5">
      <c r="A73" s="155">
        <v>0</v>
      </c>
      <c r="B73" s="157">
        <v>48</v>
      </c>
      <c r="C73" s="158" t="s">
        <v>546</v>
      </c>
      <c r="D73" s="94"/>
      <c r="E73" s="94"/>
      <c r="F73" s="94"/>
      <c r="G73" s="154"/>
      <c r="H73" s="94"/>
      <c r="I73" s="94"/>
      <c r="J73" s="94"/>
      <c r="K73" s="94"/>
      <c r="L73" s="94"/>
      <c r="M73" s="94"/>
      <c r="N73" s="94"/>
      <c r="O73" s="94"/>
      <c r="P73" s="112"/>
      <c r="Q73" s="95"/>
      <c r="R73" s="94"/>
      <c r="S73" s="94"/>
    </row>
    <row r="74" spans="1:19" ht="16.5">
      <c r="A74" s="94"/>
      <c r="B74" s="94"/>
      <c r="C74" s="94"/>
      <c r="D74" s="94"/>
      <c r="E74" s="94"/>
      <c r="F74" s="94"/>
      <c r="G74" s="94"/>
      <c r="H74" s="94"/>
      <c r="I74" s="94"/>
      <c r="J74" s="94"/>
      <c r="K74" s="94"/>
      <c r="L74" s="94"/>
      <c r="M74" s="94"/>
      <c r="N74" s="94"/>
      <c r="O74" s="94"/>
      <c r="P74" s="112"/>
      <c r="Q74" s="95"/>
      <c r="R74" s="95"/>
      <c r="S74" s="94"/>
    </row>
  </sheetData>
  <sheetProtection algorithmName="SHA-512" hashValue="7HVOo20KnpWhbCbGiMLpUJ1OdIS1j3b4AhhDuhU0ysMDVI8CHgDwnJr9gvA88ezf/9Qz/qBnnujGFkUQFMF2Vg==" saltValue="L9IFK9M+xaGbd2WuZhru7g==" spinCount="100000" sheet="1" objects="1" scenarios="1"/>
  <autoFilter ref="A3:S65">
    <filterColumn colId="0">
      <filters blank="1">
        <filter val="东部"/>
        <filter val="南部"/>
        <filter val="西部"/>
      </filters>
    </filterColumn>
  </autoFilter>
  <phoneticPr fontId="29" type="noConversion"/>
  <pageMargins left="0.69930555555555596" right="0.69930555555555596" top="0.75" bottom="0.75" header="0.3" footer="0.3"/>
  <pageSetup paperSize="9" orientation="portrait"/>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7"/>
  <sheetViews>
    <sheetView topLeftCell="A22" zoomScale="62" zoomScaleNormal="62" workbookViewId="0">
      <selection activeCell="D16" sqref="D16"/>
    </sheetView>
  </sheetViews>
  <sheetFormatPr defaultColWidth="9" defaultRowHeight="13.5"/>
  <cols>
    <col min="6" max="32" width="9" hidden="1" customWidth="1"/>
  </cols>
  <sheetData>
    <row r="1" spans="1:35" ht="16.5">
      <c r="A1" s="93" t="s">
        <v>548</v>
      </c>
      <c r="B1" s="94"/>
      <c r="C1" s="94"/>
      <c r="D1" s="94"/>
      <c r="E1" s="94"/>
      <c r="F1" s="94"/>
      <c r="G1" s="94"/>
      <c r="H1" s="95"/>
      <c r="I1" s="95"/>
      <c r="J1" s="95"/>
      <c r="K1" s="94"/>
      <c r="L1" s="94"/>
      <c r="M1" s="94"/>
      <c r="N1" s="94"/>
      <c r="O1" s="94"/>
      <c r="P1" s="94"/>
      <c r="Q1" s="94"/>
      <c r="R1" s="94"/>
      <c r="S1" s="95"/>
      <c r="T1" s="95"/>
      <c r="U1" s="94"/>
      <c r="V1" s="112"/>
      <c r="W1" s="94"/>
      <c r="X1" s="95"/>
      <c r="Y1" s="95"/>
      <c r="Z1" s="95"/>
      <c r="AA1" s="94"/>
      <c r="AB1" s="94"/>
      <c r="AC1" s="95"/>
      <c r="AD1" s="95"/>
      <c r="AE1" s="95"/>
      <c r="AF1" s="95"/>
      <c r="AG1" s="95"/>
      <c r="AH1" s="95"/>
      <c r="AI1" s="95"/>
    </row>
    <row r="2" spans="1:35" ht="18">
      <c r="A2" s="94"/>
      <c r="B2" s="94"/>
      <c r="C2" s="94"/>
      <c r="D2" s="94"/>
      <c r="E2" s="94"/>
      <c r="F2" s="739" t="s">
        <v>549</v>
      </c>
      <c r="G2" s="739"/>
      <c r="H2" s="739"/>
      <c r="I2" s="739"/>
      <c r="J2" s="739"/>
      <c r="K2" s="739"/>
      <c r="L2" s="739"/>
      <c r="M2" s="739"/>
      <c r="N2" s="739"/>
      <c r="O2" s="739"/>
      <c r="P2" s="739"/>
      <c r="Q2" s="739"/>
      <c r="R2" s="739"/>
      <c r="S2" s="739"/>
      <c r="T2" s="739"/>
      <c r="U2" s="739"/>
      <c r="V2" s="739"/>
      <c r="W2" s="739"/>
      <c r="X2" s="739"/>
      <c r="Y2" s="739" t="s">
        <v>550</v>
      </c>
      <c r="Z2" s="739"/>
      <c r="AA2" s="739"/>
      <c r="AB2" s="739"/>
      <c r="AC2" s="739"/>
      <c r="AD2" s="739"/>
      <c r="AE2" s="739"/>
      <c r="AF2" s="739"/>
      <c r="AG2" s="737" t="s">
        <v>551</v>
      </c>
      <c r="AH2" s="737" t="s">
        <v>552</v>
      </c>
      <c r="AI2" s="737" t="s">
        <v>553</v>
      </c>
    </row>
    <row r="3" spans="1:35" ht="66">
      <c r="A3" s="740" t="s">
        <v>439</v>
      </c>
      <c r="B3" s="740" t="s">
        <v>440</v>
      </c>
      <c r="C3" s="742" t="s">
        <v>554</v>
      </c>
      <c r="D3" s="96" t="s">
        <v>555</v>
      </c>
      <c r="E3" s="96" t="s">
        <v>30</v>
      </c>
      <c r="F3" s="96" t="s">
        <v>556</v>
      </c>
      <c r="G3" s="96" t="s">
        <v>557</v>
      </c>
      <c r="H3" s="96" t="s">
        <v>558</v>
      </c>
      <c r="I3" s="96" t="s">
        <v>559</v>
      </c>
      <c r="J3" s="96" t="s">
        <v>560</v>
      </c>
      <c r="K3" s="96" t="s">
        <v>561</v>
      </c>
      <c r="L3" s="96" t="s">
        <v>562</v>
      </c>
      <c r="M3" s="105" t="s">
        <v>563</v>
      </c>
      <c r="N3" s="106" t="s">
        <v>564</v>
      </c>
      <c r="O3" s="106" t="s">
        <v>565</v>
      </c>
      <c r="P3" s="106" t="s">
        <v>566</v>
      </c>
      <c r="Q3" s="106" t="s">
        <v>567</v>
      </c>
      <c r="R3" s="106" t="s">
        <v>568</v>
      </c>
      <c r="S3" s="107" t="s">
        <v>569</v>
      </c>
      <c r="T3" s="96" t="s">
        <v>570</v>
      </c>
      <c r="U3" s="113" t="s">
        <v>571</v>
      </c>
      <c r="V3" s="105" t="s">
        <v>572</v>
      </c>
      <c r="W3" s="114" t="s">
        <v>573</v>
      </c>
      <c r="X3" s="107" t="s">
        <v>574</v>
      </c>
      <c r="Y3" s="119" t="s">
        <v>575</v>
      </c>
      <c r="Z3" s="120" t="s">
        <v>576</v>
      </c>
      <c r="AA3" s="121" t="s">
        <v>564</v>
      </c>
      <c r="AB3" s="121" t="s">
        <v>565</v>
      </c>
      <c r="AC3" s="121" t="s">
        <v>566</v>
      </c>
      <c r="AD3" s="122" t="s">
        <v>577</v>
      </c>
      <c r="AE3" s="122" t="s">
        <v>578</v>
      </c>
      <c r="AF3" s="122" t="s">
        <v>579</v>
      </c>
      <c r="AG3" s="738"/>
      <c r="AH3" s="738"/>
      <c r="AI3" s="738"/>
    </row>
    <row r="4" spans="1:35" ht="75">
      <c r="A4" s="741"/>
      <c r="B4" s="741"/>
      <c r="C4" s="742"/>
      <c r="D4" s="96" t="s">
        <v>528</v>
      </c>
      <c r="E4" s="96" t="s">
        <v>529</v>
      </c>
      <c r="F4" s="96" t="s">
        <v>580</v>
      </c>
      <c r="G4" s="96" t="s">
        <v>581</v>
      </c>
      <c r="H4" s="96" t="s">
        <v>582</v>
      </c>
      <c r="I4" s="96" t="s">
        <v>583</v>
      </c>
      <c r="J4" s="107" t="s">
        <v>532</v>
      </c>
      <c r="K4" s="96" t="s">
        <v>533</v>
      </c>
      <c r="L4" s="107" t="s">
        <v>584</v>
      </c>
      <c r="M4" s="105" t="s">
        <v>585</v>
      </c>
      <c r="N4" s="106" t="s">
        <v>586</v>
      </c>
      <c r="O4" s="106" t="s">
        <v>536</v>
      </c>
      <c r="P4" s="106" t="s">
        <v>587</v>
      </c>
      <c r="Q4" s="106" t="s">
        <v>588</v>
      </c>
      <c r="R4" s="106" t="s">
        <v>589</v>
      </c>
      <c r="S4" s="107" t="s">
        <v>590</v>
      </c>
      <c r="T4" s="96" t="s">
        <v>591</v>
      </c>
      <c r="U4" s="113" t="s">
        <v>443</v>
      </c>
      <c r="V4" s="105" t="s">
        <v>592</v>
      </c>
      <c r="W4" s="114" t="s">
        <v>593</v>
      </c>
      <c r="X4" s="107" t="s">
        <v>594</v>
      </c>
      <c r="Y4" s="96"/>
      <c r="Z4" s="96"/>
      <c r="AA4" s="123"/>
      <c r="AB4" s="123"/>
      <c r="AC4" s="96"/>
      <c r="AD4" s="96"/>
      <c r="AE4" s="113" t="s">
        <v>443</v>
      </c>
      <c r="AF4" s="96"/>
      <c r="AG4" s="96"/>
      <c r="AH4" s="114" t="s">
        <v>593</v>
      </c>
      <c r="AI4" s="96"/>
    </row>
    <row r="5" spans="1:35" ht="16.5">
      <c r="A5" s="97" t="s">
        <v>467</v>
      </c>
      <c r="B5" s="98" t="s">
        <v>468</v>
      </c>
      <c r="C5" s="99" t="s">
        <v>468</v>
      </c>
      <c r="D5" s="98" t="s">
        <v>469</v>
      </c>
      <c r="E5" s="100">
        <v>1</v>
      </c>
      <c r="F5" s="101">
        <v>400</v>
      </c>
      <c r="G5" s="102">
        <v>200</v>
      </c>
      <c r="H5" s="103">
        <v>1</v>
      </c>
      <c r="I5" s="103">
        <v>3</v>
      </c>
      <c r="J5" s="103">
        <v>1</v>
      </c>
      <c r="K5" s="108">
        <v>80</v>
      </c>
      <c r="L5" s="103">
        <v>0</v>
      </c>
      <c r="M5" s="109">
        <f t="shared" ref="M5" si="0">F5*H5*J5+G5*I5*J5+K5*(H5+I5)*L5</f>
        <v>1000</v>
      </c>
      <c r="N5" s="110">
        <v>75</v>
      </c>
      <c r="O5" s="110">
        <v>75</v>
      </c>
      <c r="P5" s="111">
        <f t="shared" ref="P5" si="1">N5+O5</f>
        <v>150</v>
      </c>
      <c r="Q5" s="100">
        <v>1</v>
      </c>
      <c r="R5" s="108"/>
      <c r="S5" s="115">
        <f t="shared" ref="S5" si="2">P5*(H5+I5)*Q5+R5*(E5-Q5)</f>
        <v>600</v>
      </c>
      <c r="T5" s="116">
        <f t="shared" ref="T5" si="3">S5+M5</f>
        <v>1600</v>
      </c>
      <c r="U5" s="117">
        <v>0.08</v>
      </c>
      <c r="V5" s="109">
        <f t="shared" ref="V5" si="4">T5*(1+U5)</f>
        <v>1728</v>
      </c>
      <c r="W5" s="117">
        <v>0.17</v>
      </c>
      <c r="X5" s="103">
        <f t="shared" ref="X5" si="5">V5*(1+W5)</f>
        <v>2021.7599999999998</v>
      </c>
      <c r="Y5" s="102">
        <v>100</v>
      </c>
      <c r="Z5" s="101">
        <v>3</v>
      </c>
      <c r="AA5" s="124">
        <v>75</v>
      </c>
      <c r="AB5" s="124">
        <v>75</v>
      </c>
      <c r="AC5" s="100">
        <f t="shared" ref="AC5" si="6">AA5+AB5</f>
        <v>150</v>
      </c>
      <c r="AD5" s="100">
        <f t="shared" ref="AD5" si="7">Y5*Z5+AA5+AC5</f>
        <v>525</v>
      </c>
      <c r="AE5" s="117">
        <v>0.08</v>
      </c>
      <c r="AF5" s="116">
        <f t="shared" ref="AF5" si="8">AD5*(1+AE5)</f>
        <v>567</v>
      </c>
      <c r="AG5" s="100">
        <f t="shared" ref="AG5" si="9">X5+AF5</f>
        <v>2588.7599999999998</v>
      </c>
      <c r="AH5" s="125">
        <v>0.17</v>
      </c>
      <c r="AI5" s="126">
        <f t="shared" ref="AI5" si="10">AG5*(1+AH5)</f>
        <v>3028.8491999999997</v>
      </c>
    </row>
    <row r="6" spans="1:35" ht="16.5">
      <c r="A6" s="97" t="s">
        <v>467</v>
      </c>
      <c r="B6" s="98" t="s">
        <v>468</v>
      </c>
      <c r="C6" s="99" t="s">
        <v>468</v>
      </c>
      <c r="D6" s="98" t="s">
        <v>448</v>
      </c>
      <c r="E6" s="100">
        <v>1</v>
      </c>
      <c r="F6" s="101">
        <v>400</v>
      </c>
      <c r="G6" s="102">
        <v>200</v>
      </c>
      <c r="H6" s="103">
        <v>1</v>
      </c>
      <c r="I6" s="103">
        <v>3</v>
      </c>
      <c r="J6" s="103">
        <v>1</v>
      </c>
      <c r="K6" s="108">
        <v>80</v>
      </c>
      <c r="L6" s="103">
        <v>1</v>
      </c>
      <c r="M6" s="109">
        <f t="shared" ref="M6:M44" si="11">F6*H6*J6+G6*I6*J6+K6*(H6+I6)*L6</f>
        <v>1320</v>
      </c>
      <c r="N6" s="110">
        <v>200</v>
      </c>
      <c r="O6" s="110">
        <v>200</v>
      </c>
      <c r="P6" s="111">
        <f t="shared" ref="P6:P44" si="12">N6+O6</f>
        <v>400</v>
      </c>
      <c r="Q6" s="100">
        <v>1</v>
      </c>
      <c r="R6" s="108"/>
      <c r="S6" s="115">
        <f t="shared" ref="S6:S44" si="13">P6*(H6+I6)*Q6+R6*(E6-Q6)</f>
        <v>1600</v>
      </c>
      <c r="T6" s="116">
        <f t="shared" ref="T6:T44" si="14">S6+M6</f>
        <v>2920</v>
      </c>
      <c r="U6" s="117">
        <v>0.08</v>
      </c>
      <c r="V6" s="109">
        <f t="shared" ref="V6:V44" si="15">T6*(1+U6)</f>
        <v>3153.6000000000004</v>
      </c>
      <c r="W6" s="117">
        <v>0.17</v>
      </c>
      <c r="X6" s="103">
        <f t="shared" ref="X6:X44" si="16">V6*(1+W6)</f>
        <v>3689.712</v>
      </c>
      <c r="Y6" s="102">
        <v>100</v>
      </c>
      <c r="Z6" s="101">
        <v>3</v>
      </c>
      <c r="AA6" s="124">
        <v>75</v>
      </c>
      <c r="AB6" s="124">
        <v>75</v>
      </c>
      <c r="AC6" s="100">
        <f t="shared" ref="AC6:AC44" si="17">AA6+AB6</f>
        <v>150</v>
      </c>
      <c r="AD6" s="100">
        <f t="shared" ref="AD6:AD44" si="18">Y6*Z6+AA6+AC6</f>
        <v>525</v>
      </c>
      <c r="AE6" s="117">
        <v>0.08</v>
      </c>
      <c r="AF6" s="116">
        <f t="shared" ref="AF6:AF44" si="19">AD6*(1+AE6)</f>
        <v>567</v>
      </c>
      <c r="AG6" s="100">
        <f t="shared" ref="AG6:AG44" si="20">X6+AF6</f>
        <v>4256.7119999999995</v>
      </c>
      <c r="AH6" s="125">
        <v>0.17</v>
      </c>
      <c r="AI6" s="126">
        <f t="shared" ref="AI6:AI44" si="21">AG6*(1+AH6)</f>
        <v>4980.3530399999991</v>
      </c>
    </row>
    <row r="7" spans="1:35" ht="16.5">
      <c r="A7" s="97" t="s">
        <v>467</v>
      </c>
      <c r="B7" s="98" t="s">
        <v>470</v>
      </c>
      <c r="C7" s="99" t="s">
        <v>470</v>
      </c>
      <c r="D7" s="98" t="s">
        <v>471</v>
      </c>
      <c r="E7" s="100">
        <v>1</v>
      </c>
      <c r="F7" s="101">
        <v>400</v>
      </c>
      <c r="G7" s="102">
        <v>200</v>
      </c>
      <c r="H7" s="103">
        <v>1</v>
      </c>
      <c r="I7" s="103">
        <v>3</v>
      </c>
      <c r="J7" s="103">
        <v>1</v>
      </c>
      <c r="K7" s="108">
        <v>80</v>
      </c>
      <c r="L7" s="103">
        <v>0</v>
      </c>
      <c r="M7" s="109">
        <f t="shared" si="11"/>
        <v>1000</v>
      </c>
      <c r="N7" s="110">
        <v>75</v>
      </c>
      <c r="O7" s="110">
        <v>75</v>
      </c>
      <c r="P7" s="111">
        <f t="shared" si="12"/>
        <v>150</v>
      </c>
      <c r="Q7" s="100">
        <v>1</v>
      </c>
      <c r="R7" s="108"/>
      <c r="S7" s="115">
        <f t="shared" si="13"/>
        <v>600</v>
      </c>
      <c r="T7" s="116">
        <f t="shared" si="14"/>
        <v>1600</v>
      </c>
      <c r="U7" s="117">
        <v>0.08</v>
      </c>
      <c r="V7" s="109">
        <f t="shared" si="15"/>
        <v>1728</v>
      </c>
      <c r="W7" s="117">
        <v>0.17</v>
      </c>
      <c r="X7" s="103">
        <f t="shared" si="16"/>
        <v>2021.7599999999998</v>
      </c>
      <c r="Y7" s="102">
        <v>100</v>
      </c>
      <c r="Z7" s="101">
        <v>3</v>
      </c>
      <c r="AA7" s="124">
        <v>75</v>
      </c>
      <c r="AB7" s="124">
        <v>75</v>
      </c>
      <c r="AC7" s="100">
        <f t="shared" si="17"/>
        <v>150</v>
      </c>
      <c r="AD7" s="100">
        <f t="shared" si="18"/>
        <v>525</v>
      </c>
      <c r="AE7" s="117">
        <v>0.08</v>
      </c>
      <c r="AF7" s="116">
        <f t="shared" si="19"/>
        <v>567</v>
      </c>
      <c r="AG7" s="100">
        <f t="shared" si="20"/>
        <v>2588.7599999999998</v>
      </c>
      <c r="AH7" s="125">
        <v>0.17</v>
      </c>
      <c r="AI7" s="126">
        <f t="shared" si="21"/>
        <v>3028.8491999999997</v>
      </c>
    </row>
    <row r="8" spans="1:35" ht="16.5">
      <c r="A8" s="97" t="s">
        <v>467</v>
      </c>
      <c r="B8" s="98" t="s">
        <v>470</v>
      </c>
      <c r="C8" s="99" t="s">
        <v>470</v>
      </c>
      <c r="D8" s="98" t="s">
        <v>448</v>
      </c>
      <c r="E8" s="100">
        <v>1</v>
      </c>
      <c r="F8" s="101">
        <v>400</v>
      </c>
      <c r="G8" s="102">
        <v>200</v>
      </c>
      <c r="H8" s="103">
        <v>1</v>
      </c>
      <c r="I8" s="103">
        <v>3</v>
      </c>
      <c r="J8" s="103">
        <v>1</v>
      </c>
      <c r="K8" s="108">
        <v>80</v>
      </c>
      <c r="L8" s="103">
        <v>1</v>
      </c>
      <c r="M8" s="109">
        <f t="shared" si="11"/>
        <v>1320</v>
      </c>
      <c r="N8" s="110">
        <v>200</v>
      </c>
      <c r="O8" s="110">
        <v>200</v>
      </c>
      <c r="P8" s="111">
        <f t="shared" si="12"/>
        <v>400</v>
      </c>
      <c r="Q8" s="100">
        <v>1</v>
      </c>
      <c r="R8" s="108"/>
      <c r="S8" s="115">
        <f t="shared" si="13"/>
        <v>1600</v>
      </c>
      <c r="T8" s="116">
        <f t="shared" si="14"/>
        <v>2920</v>
      </c>
      <c r="U8" s="117">
        <v>0.08</v>
      </c>
      <c r="V8" s="109">
        <f t="shared" si="15"/>
        <v>3153.6000000000004</v>
      </c>
      <c r="W8" s="117">
        <v>0.17</v>
      </c>
      <c r="X8" s="103">
        <f t="shared" si="16"/>
        <v>3689.712</v>
      </c>
      <c r="Y8" s="102">
        <v>100</v>
      </c>
      <c r="Z8" s="101">
        <v>3</v>
      </c>
      <c r="AA8" s="124">
        <v>75</v>
      </c>
      <c r="AB8" s="124">
        <v>75</v>
      </c>
      <c r="AC8" s="100">
        <f t="shared" si="17"/>
        <v>150</v>
      </c>
      <c r="AD8" s="100">
        <f t="shared" si="18"/>
        <v>525</v>
      </c>
      <c r="AE8" s="117">
        <v>0.08</v>
      </c>
      <c r="AF8" s="116">
        <f t="shared" si="19"/>
        <v>567</v>
      </c>
      <c r="AG8" s="100">
        <f t="shared" si="20"/>
        <v>4256.7119999999995</v>
      </c>
      <c r="AH8" s="125">
        <v>0.17</v>
      </c>
      <c r="AI8" s="126">
        <f t="shared" si="21"/>
        <v>4980.3530399999991</v>
      </c>
    </row>
    <row r="9" spans="1:35" ht="16.5">
      <c r="A9" s="97" t="s">
        <v>467</v>
      </c>
      <c r="B9" s="98" t="s">
        <v>472</v>
      </c>
      <c r="C9" s="99" t="s">
        <v>472</v>
      </c>
      <c r="D9" s="98" t="s">
        <v>472</v>
      </c>
      <c r="E9" s="100">
        <v>1</v>
      </c>
      <c r="F9" s="101">
        <v>400</v>
      </c>
      <c r="G9" s="102">
        <v>200</v>
      </c>
      <c r="H9" s="103">
        <v>1</v>
      </c>
      <c r="I9" s="103">
        <v>3</v>
      </c>
      <c r="J9" s="103">
        <v>1</v>
      </c>
      <c r="K9" s="108">
        <v>80</v>
      </c>
      <c r="L9" s="103">
        <v>0</v>
      </c>
      <c r="M9" s="109">
        <f t="shared" si="11"/>
        <v>1000</v>
      </c>
      <c r="N9" s="110">
        <v>75</v>
      </c>
      <c r="O9" s="110">
        <v>75</v>
      </c>
      <c r="P9" s="111">
        <f t="shared" si="12"/>
        <v>150</v>
      </c>
      <c r="Q9" s="100">
        <v>1</v>
      </c>
      <c r="R9" s="108"/>
      <c r="S9" s="115">
        <f t="shared" si="13"/>
        <v>600</v>
      </c>
      <c r="T9" s="116">
        <f t="shared" si="14"/>
        <v>1600</v>
      </c>
      <c r="U9" s="117">
        <v>0.08</v>
      </c>
      <c r="V9" s="109">
        <f t="shared" si="15"/>
        <v>1728</v>
      </c>
      <c r="W9" s="117">
        <v>0.17</v>
      </c>
      <c r="X9" s="103">
        <f t="shared" si="16"/>
        <v>2021.7599999999998</v>
      </c>
      <c r="Y9" s="102">
        <v>100</v>
      </c>
      <c r="Z9" s="101">
        <v>3</v>
      </c>
      <c r="AA9" s="124">
        <v>75</v>
      </c>
      <c r="AB9" s="124">
        <v>75</v>
      </c>
      <c r="AC9" s="100">
        <f t="shared" si="17"/>
        <v>150</v>
      </c>
      <c r="AD9" s="100">
        <f t="shared" si="18"/>
        <v>525</v>
      </c>
      <c r="AE9" s="117">
        <v>0.08</v>
      </c>
      <c r="AF9" s="116">
        <f t="shared" si="19"/>
        <v>567</v>
      </c>
      <c r="AG9" s="100">
        <f t="shared" si="20"/>
        <v>2588.7599999999998</v>
      </c>
      <c r="AH9" s="125">
        <v>0.17</v>
      </c>
      <c r="AI9" s="126">
        <f t="shared" si="21"/>
        <v>3028.8491999999997</v>
      </c>
    </row>
    <row r="10" spans="1:35" ht="16.5">
      <c r="A10" s="97" t="s">
        <v>467</v>
      </c>
      <c r="B10" s="98" t="s">
        <v>473</v>
      </c>
      <c r="C10" s="99" t="s">
        <v>473</v>
      </c>
      <c r="D10" s="98" t="s">
        <v>474</v>
      </c>
      <c r="E10" s="100">
        <v>1</v>
      </c>
      <c r="F10" s="101">
        <v>400</v>
      </c>
      <c r="G10" s="102">
        <v>200</v>
      </c>
      <c r="H10" s="103">
        <v>1</v>
      </c>
      <c r="I10" s="103">
        <v>3</v>
      </c>
      <c r="J10" s="103">
        <v>1</v>
      </c>
      <c r="K10" s="108">
        <v>80</v>
      </c>
      <c r="L10" s="103">
        <v>0</v>
      </c>
      <c r="M10" s="109">
        <f t="shared" si="11"/>
        <v>1000</v>
      </c>
      <c r="N10" s="110">
        <v>75</v>
      </c>
      <c r="O10" s="110">
        <v>75</v>
      </c>
      <c r="P10" s="111">
        <f t="shared" si="12"/>
        <v>150</v>
      </c>
      <c r="Q10" s="100">
        <v>1</v>
      </c>
      <c r="R10" s="108"/>
      <c r="S10" s="115">
        <f t="shared" si="13"/>
        <v>600</v>
      </c>
      <c r="T10" s="116">
        <f t="shared" si="14"/>
        <v>1600</v>
      </c>
      <c r="U10" s="117">
        <v>0.08</v>
      </c>
      <c r="V10" s="109">
        <f t="shared" si="15"/>
        <v>1728</v>
      </c>
      <c r="W10" s="117">
        <v>0.17</v>
      </c>
      <c r="X10" s="103">
        <f t="shared" si="16"/>
        <v>2021.7599999999998</v>
      </c>
      <c r="Y10" s="102">
        <v>100</v>
      </c>
      <c r="Z10" s="101">
        <v>3</v>
      </c>
      <c r="AA10" s="124">
        <v>75</v>
      </c>
      <c r="AB10" s="124">
        <v>75</v>
      </c>
      <c r="AC10" s="100">
        <f t="shared" si="17"/>
        <v>150</v>
      </c>
      <c r="AD10" s="100">
        <f t="shared" si="18"/>
        <v>525</v>
      </c>
      <c r="AE10" s="117">
        <v>0.08</v>
      </c>
      <c r="AF10" s="116">
        <f t="shared" si="19"/>
        <v>567</v>
      </c>
      <c r="AG10" s="100">
        <f t="shared" si="20"/>
        <v>2588.7599999999998</v>
      </c>
      <c r="AH10" s="125">
        <v>0.17</v>
      </c>
      <c r="AI10" s="126">
        <f t="shared" si="21"/>
        <v>3028.8491999999997</v>
      </c>
    </row>
    <row r="11" spans="1:35" ht="16.5">
      <c r="A11" s="97" t="s">
        <v>467</v>
      </c>
      <c r="B11" s="98" t="s">
        <v>473</v>
      </c>
      <c r="C11" s="99" t="s">
        <v>473</v>
      </c>
      <c r="D11" s="98" t="s">
        <v>475</v>
      </c>
      <c r="E11" s="100">
        <v>1</v>
      </c>
      <c r="F11" s="101">
        <v>400</v>
      </c>
      <c r="G11" s="102">
        <v>200</v>
      </c>
      <c r="H11" s="103">
        <v>1</v>
      </c>
      <c r="I11" s="103">
        <v>3</v>
      </c>
      <c r="J11" s="103">
        <v>1</v>
      </c>
      <c r="K11" s="108">
        <v>80</v>
      </c>
      <c r="L11" s="103">
        <v>0</v>
      </c>
      <c r="M11" s="109">
        <f t="shared" si="11"/>
        <v>1000</v>
      </c>
      <c r="N11" s="110">
        <v>75</v>
      </c>
      <c r="O11" s="110">
        <v>75</v>
      </c>
      <c r="P11" s="111">
        <f t="shared" si="12"/>
        <v>150</v>
      </c>
      <c r="Q11" s="100">
        <v>1</v>
      </c>
      <c r="R11" s="108"/>
      <c r="S11" s="115">
        <f t="shared" si="13"/>
        <v>600</v>
      </c>
      <c r="T11" s="116">
        <f t="shared" si="14"/>
        <v>1600</v>
      </c>
      <c r="U11" s="117">
        <v>0.08</v>
      </c>
      <c r="V11" s="109">
        <f t="shared" si="15"/>
        <v>1728</v>
      </c>
      <c r="W11" s="117">
        <v>0.17</v>
      </c>
      <c r="X11" s="103">
        <f t="shared" si="16"/>
        <v>2021.7599999999998</v>
      </c>
      <c r="Y11" s="102">
        <v>100</v>
      </c>
      <c r="Z11" s="101">
        <v>3</v>
      </c>
      <c r="AA11" s="124">
        <v>75</v>
      </c>
      <c r="AB11" s="124">
        <v>75</v>
      </c>
      <c r="AC11" s="100">
        <f t="shared" si="17"/>
        <v>150</v>
      </c>
      <c r="AD11" s="100">
        <f t="shared" si="18"/>
        <v>525</v>
      </c>
      <c r="AE11" s="117">
        <v>0.08</v>
      </c>
      <c r="AF11" s="116">
        <f t="shared" si="19"/>
        <v>567</v>
      </c>
      <c r="AG11" s="100">
        <f t="shared" si="20"/>
        <v>2588.7599999999998</v>
      </c>
      <c r="AH11" s="125">
        <v>0.17</v>
      </c>
      <c r="AI11" s="126">
        <f t="shared" si="21"/>
        <v>3028.8491999999997</v>
      </c>
    </row>
    <row r="12" spans="1:35" ht="16.5">
      <c r="A12" s="97" t="s">
        <v>467</v>
      </c>
      <c r="B12" s="98" t="s">
        <v>473</v>
      </c>
      <c r="C12" s="99" t="s">
        <v>473</v>
      </c>
      <c r="D12" s="98" t="s">
        <v>448</v>
      </c>
      <c r="E12" s="100">
        <v>1</v>
      </c>
      <c r="F12" s="101">
        <v>400</v>
      </c>
      <c r="G12" s="102">
        <v>200</v>
      </c>
      <c r="H12" s="103">
        <v>1</v>
      </c>
      <c r="I12" s="103">
        <v>3</v>
      </c>
      <c r="J12" s="103">
        <v>1</v>
      </c>
      <c r="K12" s="108">
        <v>80</v>
      </c>
      <c r="L12" s="103">
        <v>1</v>
      </c>
      <c r="M12" s="109">
        <f t="shared" si="11"/>
        <v>1320</v>
      </c>
      <c r="N12" s="110">
        <v>200</v>
      </c>
      <c r="O12" s="110">
        <v>200</v>
      </c>
      <c r="P12" s="111">
        <f t="shared" si="12"/>
        <v>400</v>
      </c>
      <c r="Q12" s="100">
        <v>1</v>
      </c>
      <c r="R12" s="108"/>
      <c r="S12" s="115">
        <f t="shared" si="13"/>
        <v>1600</v>
      </c>
      <c r="T12" s="116">
        <f t="shared" si="14"/>
        <v>2920</v>
      </c>
      <c r="U12" s="117">
        <v>0.08</v>
      </c>
      <c r="V12" s="109">
        <f t="shared" si="15"/>
        <v>3153.6000000000004</v>
      </c>
      <c r="W12" s="117">
        <v>0.17</v>
      </c>
      <c r="X12" s="103">
        <f t="shared" si="16"/>
        <v>3689.712</v>
      </c>
      <c r="Y12" s="102">
        <v>100</v>
      </c>
      <c r="Z12" s="101">
        <v>3</v>
      </c>
      <c r="AA12" s="124">
        <v>75</v>
      </c>
      <c r="AB12" s="124">
        <v>75</v>
      </c>
      <c r="AC12" s="100">
        <f t="shared" si="17"/>
        <v>150</v>
      </c>
      <c r="AD12" s="100">
        <f t="shared" si="18"/>
        <v>525</v>
      </c>
      <c r="AE12" s="117">
        <v>0.08</v>
      </c>
      <c r="AF12" s="116">
        <f t="shared" si="19"/>
        <v>567</v>
      </c>
      <c r="AG12" s="100">
        <f t="shared" si="20"/>
        <v>4256.7119999999995</v>
      </c>
      <c r="AH12" s="125">
        <v>0.17</v>
      </c>
      <c r="AI12" s="126">
        <f t="shared" si="21"/>
        <v>4980.3530399999991</v>
      </c>
    </row>
    <row r="13" spans="1:35" ht="16.5">
      <c r="A13" s="97" t="s">
        <v>476</v>
      </c>
      <c r="B13" s="98" t="s">
        <v>477</v>
      </c>
      <c r="C13" s="99" t="s">
        <v>477</v>
      </c>
      <c r="D13" s="98" t="s">
        <v>478</v>
      </c>
      <c r="E13" s="100">
        <v>1</v>
      </c>
      <c r="F13" s="101">
        <v>400</v>
      </c>
      <c r="G13" s="102">
        <v>200</v>
      </c>
      <c r="H13" s="103">
        <v>1</v>
      </c>
      <c r="I13" s="103">
        <v>3</v>
      </c>
      <c r="J13" s="103">
        <v>1</v>
      </c>
      <c r="K13" s="108">
        <v>80</v>
      </c>
      <c r="L13" s="103">
        <v>0</v>
      </c>
      <c r="M13" s="109">
        <f t="shared" si="11"/>
        <v>1000</v>
      </c>
      <c r="N13" s="110">
        <v>75</v>
      </c>
      <c r="O13" s="110">
        <v>75</v>
      </c>
      <c r="P13" s="111">
        <f t="shared" si="12"/>
        <v>150</v>
      </c>
      <c r="Q13" s="100">
        <v>1</v>
      </c>
      <c r="R13" s="108"/>
      <c r="S13" s="115">
        <f t="shared" si="13"/>
        <v>600</v>
      </c>
      <c r="T13" s="116">
        <f t="shared" si="14"/>
        <v>1600</v>
      </c>
      <c r="U13" s="117">
        <v>0.08</v>
      </c>
      <c r="V13" s="109">
        <f t="shared" si="15"/>
        <v>1728</v>
      </c>
      <c r="W13" s="117">
        <v>0.17</v>
      </c>
      <c r="X13" s="103">
        <f t="shared" si="16"/>
        <v>2021.7599999999998</v>
      </c>
      <c r="Y13" s="102">
        <v>100</v>
      </c>
      <c r="Z13" s="101">
        <v>3</v>
      </c>
      <c r="AA13" s="124">
        <v>75</v>
      </c>
      <c r="AB13" s="124">
        <v>75</v>
      </c>
      <c r="AC13" s="100">
        <f t="shared" si="17"/>
        <v>150</v>
      </c>
      <c r="AD13" s="100">
        <f t="shared" si="18"/>
        <v>525</v>
      </c>
      <c r="AE13" s="117">
        <v>0.08</v>
      </c>
      <c r="AF13" s="116">
        <f t="shared" si="19"/>
        <v>567</v>
      </c>
      <c r="AG13" s="100">
        <f t="shared" si="20"/>
        <v>2588.7599999999998</v>
      </c>
      <c r="AH13" s="125">
        <v>0.17</v>
      </c>
      <c r="AI13" s="126">
        <f t="shared" si="21"/>
        <v>3028.8491999999997</v>
      </c>
    </row>
    <row r="14" spans="1:35" ht="16.5">
      <c r="A14" s="97" t="s">
        <v>476</v>
      </c>
      <c r="B14" s="98" t="s">
        <v>477</v>
      </c>
      <c r="C14" s="99" t="s">
        <v>477</v>
      </c>
      <c r="D14" s="98" t="s">
        <v>448</v>
      </c>
      <c r="E14" s="100">
        <v>1</v>
      </c>
      <c r="F14" s="101">
        <v>400</v>
      </c>
      <c r="G14" s="102">
        <v>200</v>
      </c>
      <c r="H14" s="103">
        <v>1</v>
      </c>
      <c r="I14" s="103">
        <v>3</v>
      </c>
      <c r="J14" s="103">
        <v>1</v>
      </c>
      <c r="K14" s="108">
        <v>80</v>
      </c>
      <c r="L14" s="103">
        <v>1</v>
      </c>
      <c r="M14" s="109">
        <f t="shared" si="11"/>
        <v>1320</v>
      </c>
      <c r="N14" s="110">
        <v>200</v>
      </c>
      <c r="O14" s="110">
        <v>200</v>
      </c>
      <c r="P14" s="111">
        <f t="shared" si="12"/>
        <v>400</v>
      </c>
      <c r="Q14" s="100">
        <v>1</v>
      </c>
      <c r="R14" s="108"/>
      <c r="S14" s="115">
        <f t="shared" si="13"/>
        <v>1600</v>
      </c>
      <c r="T14" s="116">
        <f t="shared" si="14"/>
        <v>2920</v>
      </c>
      <c r="U14" s="117">
        <v>0.08</v>
      </c>
      <c r="V14" s="109">
        <f t="shared" si="15"/>
        <v>3153.6000000000004</v>
      </c>
      <c r="W14" s="117">
        <v>0.17</v>
      </c>
      <c r="X14" s="103">
        <f t="shared" si="16"/>
        <v>3689.712</v>
      </c>
      <c r="Y14" s="102">
        <v>100</v>
      </c>
      <c r="Z14" s="101">
        <v>3</v>
      </c>
      <c r="AA14" s="124">
        <v>75</v>
      </c>
      <c r="AB14" s="124">
        <v>75</v>
      </c>
      <c r="AC14" s="100">
        <f t="shared" si="17"/>
        <v>150</v>
      </c>
      <c r="AD14" s="100">
        <f t="shared" si="18"/>
        <v>525</v>
      </c>
      <c r="AE14" s="117">
        <v>0.08</v>
      </c>
      <c r="AF14" s="116">
        <f t="shared" si="19"/>
        <v>567</v>
      </c>
      <c r="AG14" s="100">
        <f t="shared" si="20"/>
        <v>4256.7119999999995</v>
      </c>
      <c r="AH14" s="125">
        <v>0.17</v>
      </c>
      <c r="AI14" s="126">
        <f t="shared" si="21"/>
        <v>4980.3530399999991</v>
      </c>
    </row>
    <row r="15" spans="1:35" ht="16.5">
      <c r="A15" s="97" t="s">
        <v>476</v>
      </c>
      <c r="B15" s="98" t="s">
        <v>479</v>
      </c>
      <c r="C15" s="99" t="s">
        <v>479</v>
      </c>
      <c r="D15" s="98" t="s">
        <v>480</v>
      </c>
      <c r="E15" s="100">
        <v>1</v>
      </c>
      <c r="F15" s="101">
        <v>400</v>
      </c>
      <c r="G15" s="102">
        <v>200</v>
      </c>
      <c r="H15" s="103">
        <v>1</v>
      </c>
      <c r="I15" s="103">
        <v>3</v>
      </c>
      <c r="J15" s="103">
        <v>1</v>
      </c>
      <c r="K15" s="108">
        <v>80</v>
      </c>
      <c r="L15" s="103">
        <v>0</v>
      </c>
      <c r="M15" s="109">
        <f t="shared" si="11"/>
        <v>1000</v>
      </c>
      <c r="N15" s="110">
        <v>75</v>
      </c>
      <c r="O15" s="110">
        <v>75</v>
      </c>
      <c r="P15" s="111">
        <f t="shared" si="12"/>
        <v>150</v>
      </c>
      <c r="Q15" s="100">
        <v>1</v>
      </c>
      <c r="R15" s="108"/>
      <c r="S15" s="115">
        <f t="shared" si="13"/>
        <v>600</v>
      </c>
      <c r="T15" s="116">
        <f t="shared" si="14"/>
        <v>1600</v>
      </c>
      <c r="U15" s="117">
        <v>0.08</v>
      </c>
      <c r="V15" s="109">
        <f t="shared" si="15"/>
        <v>1728</v>
      </c>
      <c r="W15" s="117">
        <v>0.17</v>
      </c>
      <c r="X15" s="103">
        <f t="shared" si="16"/>
        <v>2021.7599999999998</v>
      </c>
      <c r="Y15" s="102">
        <v>100</v>
      </c>
      <c r="Z15" s="101">
        <v>3</v>
      </c>
      <c r="AA15" s="124">
        <v>75</v>
      </c>
      <c r="AB15" s="124">
        <v>75</v>
      </c>
      <c r="AC15" s="100">
        <f t="shared" si="17"/>
        <v>150</v>
      </c>
      <c r="AD15" s="100">
        <f t="shared" si="18"/>
        <v>525</v>
      </c>
      <c r="AE15" s="117">
        <v>0.08</v>
      </c>
      <c r="AF15" s="116">
        <f t="shared" si="19"/>
        <v>567</v>
      </c>
      <c r="AG15" s="100">
        <f t="shared" si="20"/>
        <v>2588.7599999999998</v>
      </c>
      <c r="AH15" s="125">
        <v>0.17</v>
      </c>
      <c r="AI15" s="126">
        <f t="shared" si="21"/>
        <v>3028.8491999999997</v>
      </c>
    </row>
    <row r="16" spans="1:35" ht="16.5">
      <c r="A16" s="97" t="s">
        <v>476</v>
      </c>
      <c r="B16" s="98" t="s">
        <v>479</v>
      </c>
      <c r="C16" s="99" t="s">
        <v>479</v>
      </c>
      <c r="D16" s="98" t="s">
        <v>481</v>
      </c>
      <c r="E16" s="100">
        <v>1</v>
      </c>
      <c r="F16" s="101">
        <v>400</v>
      </c>
      <c r="G16" s="102">
        <v>200</v>
      </c>
      <c r="H16" s="103">
        <v>1</v>
      </c>
      <c r="I16" s="103">
        <v>3</v>
      </c>
      <c r="J16" s="103">
        <v>1</v>
      </c>
      <c r="K16" s="108">
        <v>80</v>
      </c>
      <c r="L16" s="103">
        <v>0</v>
      </c>
      <c r="M16" s="109">
        <f t="shared" si="11"/>
        <v>1000</v>
      </c>
      <c r="N16" s="110">
        <v>75</v>
      </c>
      <c r="O16" s="110">
        <v>75</v>
      </c>
      <c r="P16" s="111">
        <f t="shared" si="12"/>
        <v>150</v>
      </c>
      <c r="Q16" s="100">
        <v>1</v>
      </c>
      <c r="R16" s="108"/>
      <c r="S16" s="115">
        <f t="shared" si="13"/>
        <v>600</v>
      </c>
      <c r="T16" s="116">
        <f t="shared" si="14"/>
        <v>1600</v>
      </c>
      <c r="U16" s="117">
        <v>0.08</v>
      </c>
      <c r="V16" s="109">
        <f t="shared" si="15"/>
        <v>1728</v>
      </c>
      <c r="W16" s="117">
        <v>0.17</v>
      </c>
      <c r="X16" s="103">
        <f t="shared" si="16"/>
        <v>2021.7599999999998</v>
      </c>
      <c r="Y16" s="102">
        <v>100</v>
      </c>
      <c r="Z16" s="101">
        <v>3</v>
      </c>
      <c r="AA16" s="124">
        <v>75</v>
      </c>
      <c r="AB16" s="124">
        <v>75</v>
      </c>
      <c r="AC16" s="100">
        <f t="shared" si="17"/>
        <v>150</v>
      </c>
      <c r="AD16" s="100">
        <f t="shared" si="18"/>
        <v>525</v>
      </c>
      <c r="AE16" s="117">
        <v>0.08</v>
      </c>
      <c r="AF16" s="116">
        <f t="shared" si="19"/>
        <v>567</v>
      </c>
      <c r="AG16" s="100">
        <f t="shared" si="20"/>
        <v>2588.7599999999998</v>
      </c>
      <c r="AH16" s="125">
        <v>0.17</v>
      </c>
      <c r="AI16" s="126">
        <f t="shared" si="21"/>
        <v>3028.8491999999997</v>
      </c>
    </row>
    <row r="17" spans="1:35" ht="16.5">
      <c r="A17" s="97" t="s">
        <v>476</v>
      </c>
      <c r="B17" s="98" t="s">
        <v>479</v>
      </c>
      <c r="C17" s="99" t="s">
        <v>479</v>
      </c>
      <c r="D17" s="98" t="s">
        <v>448</v>
      </c>
      <c r="E17" s="100">
        <v>1</v>
      </c>
      <c r="F17" s="101">
        <v>400</v>
      </c>
      <c r="G17" s="102">
        <v>200</v>
      </c>
      <c r="H17" s="103">
        <v>1</v>
      </c>
      <c r="I17" s="103">
        <v>3</v>
      </c>
      <c r="J17" s="103">
        <v>1</v>
      </c>
      <c r="K17" s="108">
        <v>80</v>
      </c>
      <c r="L17" s="103">
        <v>1</v>
      </c>
      <c r="M17" s="109">
        <f t="shared" si="11"/>
        <v>1320</v>
      </c>
      <c r="N17" s="110">
        <v>150</v>
      </c>
      <c r="O17" s="110">
        <v>150</v>
      </c>
      <c r="P17" s="111">
        <f t="shared" si="12"/>
        <v>300</v>
      </c>
      <c r="Q17" s="100">
        <v>1</v>
      </c>
      <c r="R17" s="108"/>
      <c r="S17" s="115">
        <f t="shared" si="13"/>
        <v>1200</v>
      </c>
      <c r="T17" s="116">
        <f t="shared" si="14"/>
        <v>2520</v>
      </c>
      <c r="U17" s="117">
        <v>0.08</v>
      </c>
      <c r="V17" s="109">
        <f t="shared" si="15"/>
        <v>2721.6000000000004</v>
      </c>
      <c r="W17" s="117">
        <v>0.17</v>
      </c>
      <c r="X17" s="103">
        <f t="shared" si="16"/>
        <v>3184.2720000000004</v>
      </c>
      <c r="Y17" s="102">
        <v>100</v>
      </c>
      <c r="Z17" s="101">
        <v>3</v>
      </c>
      <c r="AA17" s="124">
        <v>75</v>
      </c>
      <c r="AB17" s="124">
        <v>75</v>
      </c>
      <c r="AC17" s="100">
        <f t="shared" si="17"/>
        <v>150</v>
      </c>
      <c r="AD17" s="100">
        <f t="shared" si="18"/>
        <v>525</v>
      </c>
      <c r="AE17" s="117">
        <v>0.08</v>
      </c>
      <c r="AF17" s="116">
        <f t="shared" si="19"/>
        <v>567</v>
      </c>
      <c r="AG17" s="100">
        <f t="shared" si="20"/>
        <v>3751.2720000000004</v>
      </c>
      <c r="AH17" s="125">
        <v>0.17</v>
      </c>
      <c r="AI17" s="126">
        <f t="shared" si="21"/>
        <v>4388.9882400000006</v>
      </c>
    </row>
    <row r="18" spans="1:35" ht="16.5">
      <c r="A18" s="97" t="s">
        <v>476</v>
      </c>
      <c r="B18" s="98" t="s">
        <v>482</v>
      </c>
      <c r="C18" s="99" t="s">
        <v>482</v>
      </c>
      <c r="D18" s="98" t="s">
        <v>483</v>
      </c>
      <c r="E18" s="100">
        <v>1</v>
      </c>
      <c r="F18" s="101">
        <v>400</v>
      </c>
      <c r="G18" s="102">
        <v>200</v>
      </c>
      <c r="H18" s="103">
        <v>1</v>
      </c>
      <c r="I18" s="103">
        <v>3</v>
      </c>
      <c r="J18" s="103">
        <v>1</v>
      </c>
      <c r="K18" s="108">
        <v>80</v>
      </c>
      <c r="L18" s="103">
        <v>0</v>
      </c>
      <c r="M18" s="109">
        <f t="shared" si="11"/>
        <v>1000</v>
      </c>
      <c r="N18" s="110">
        <v>75</v>
      </c>
      <c r="O18" s="110">
        <v>75</v>
      </c>
      <c r="P18" s="111">
        <f t="shared" si="12"/>
        <v>150</v>
      </c>
      <c r="Q18" s="100">
        <v>1</v>
      </c>
      <c r="R18" s="108"/>
      <c r="S18" s="115">
        <f t="shared" si="13"/>
        <v>600</v>
      </c>
      <c r="T18" s="116">
        <f t="shared" si="14"/>
        <v>1600</v>
      </c>
      <c r="U18" s="117">
        <v>0.08</v>
      </c>
      <c r="V18" s="109">
        <f t="shared" si="15"/>
        <v>1728</v>
      </c>
      <c r="W18" s="117">
        <v>0.17</v>
      </c>
      <c r="X18" s="103">
        <f t="shared" si="16"/>
        <v>2021.7599999999998</v>
      </c>
      <c r="Y18" s="102">
        <v>100</v>
      </c>
      <c r="Z18" s="101">
        <v>3</v>
      </c>
      <c r="AA18" s="124">
        <v>75</v>
      </c>
      <c r="AB18" s="124">
        <v>75</v>
      </c>
      <c r="AC18" s="100">
        <f t="shared" si="17"/>
        <v>150</v>
      </c>
      <c r="AD18" s="100">
        <f t="shared" si="18"/>
        <v>525</v>
      </c>
      <c r="AE18" s="117">
        <v>0.08</v>
      </c>
      <c r="AF18" s="116">
        <f t="shared" si="19"/>
        <v>567</v>
      </c>
      <c r="AG18" s="100">
        <f t="shared" si="20"/>
        <v>2588.7599999999998</v>
      </c>
      <c r="AH18" s="125">
        <v>0.17</v>
      </c>
      <c r="AI18" s="126">
        <f t="shared" si="21"/>
        <v>3028.8491999999997</v>
      </c>
    </row>
    <row r="19" spans="1:35" ht="16.5">
      <c r="A19" s="97" t="s">
        <v>476</v>
      </c>
      <c r="B19" s="98" t="s">
        <v>482</v>
      </c>
      <c r="C19" s="99" t="s">
        <v>482</v>
      </c>
      <c r="D19" s="98" t="s">
        <v>448</v>
      </c>
      <c r="E19" s="100">
        <v>1</v>
      </c>
      <c r="F19" s="101">
        <v>400</v>
      </c>
      <c r="G19" s="102">
        <v>200</v>
      </c>
      <c r="H19" s="103">
        <v>1</v>
      </c>
      <c r="I19" s="103">
        <v>3</v>
      </c>
      <c r="J19" s="103">
        <v>1</v>
      </c>
      <c r="K19" s="108">
        <v>80</v>
      </c>
      <c r="L19" s="103">
        <v>1</v>
      </c>
      <c r="M19" s="109">
        <f t="shared" si="11"/>
        <v>1320</v>
      </c>
      <c r="N19" s="110">
        <v>200</v>
      </c>
      <c r="O19" s="110">
        <v>200</v>
      </c>
      <c r="P19" s="111">
        <f t="shared" si="12"/>
        <v>400</v>
      </c>
      <c r="Q19" s="100">
        <v>1</v>
      </c>
      <c r="R19" s="108"/>
      <c r="S19" s="115">
        <f t="shared" si="13"/>
        <v>1600</v>
      </c>
      <c r="T19" s="116">
        <f t="shared" si="14"/>
        <v>2920</v>
      </c>
      <c r="U19" s="117">
        <v>0.08</v>
      </c>
      <c r="V19" s="109">
        <f t="shared" si="15"/>
        <v>3153.6000000000004</v>
      </c>
      <c r="W19" s="117">
        <v>0.17</v>
      </c>
      <c r="X19" s="103">
        <f t="shared" si="16"/>
        <v>3689.712</v>
      </c>
      <c r="Y19" s="102">
        <v>100</v>
      </c>
      <c r="Z19" s="101">
        <v>3</v>
      </c>
      <c r="AA19" s="124">
        <v>75</v>
      </c>
      <c r="AB19" s="124">
        <v>75</v>
      </c>
      <c r="AC19" s="100">
        <f t="shared" si="17"/>
        <v>150</v>
      </c>
      <c r="AD19" s="100">
        <f t="shared" si="18"/>
        <v>525</v>
      </c>
      <c r="AE19" s="117">
        <v>0.08</v>
      </c>
      <c r="AF19" s="116">
        <f t="shared" si="19"/>
        <v>567</v>
      </c>
      <c r="AG19" s="100">
        <f t="shared" si="20"/>
        <v>4256.7119999999995</v>
      </c>
      <c r="AH19" s="125">
        <v>0.17</v>
      </c>
      <c r="AI19" s="126">
        <f t="shared" si="21"/>
        <v>4980.3530399999991</v>
      </c>
    </row>
    <row r="20" spans="1:35" ht="16.5">
      <c r="A20" s="97" t="s">
        <v>484</v>
      </c>
      <c r="B20" s="98" t="s">
        <v>485</v>
      </c>
      <c r="C20" s="99" t="s">
        <v>485</v>
      </c>
      <c r="D20" s="98" t="s">
        <v>486</v>
      </c>
      <c r="E20" s="100">
        <v>1</v>
      </c>
      <c r="F20" s="101">
        <v>400</v>
      </c>
      <c r="G20" s="102">
        <v>200</v>
      </c>
      <c r="H20" s="103">
        <v>1</v>
      </c>
      <c r="I20" s="103">
        <v>3</v>
      </c>
      <c r="J20" s="103">
        <v>1</v>
      </c>
      <c r="K20" s="108">
        <v>80</v>
      </c>
      <c r="L20" s="103">
        <v>0</v>
      </c>
      <c r="M20" s="109">
        <f t="shared" si="11"/>
        <v>1000</v>
      </c>
      <c r="N20" s="110">
        <v>75</v>
      </c>
      <c r="O20" s="110">
        <v>75</v>
      </c>
      <c r="P20" s="111">
        <f t="shared" si="12"/>
        <v>150</v>
      </c>
      <c r="Q20" s="100">
        <v>1</v>
      </c>
      <c r="R20" s="108"/>
      <c r="S20" s="115">
        <f t="shared" si="13"/>
        <v>600</v>
      </c>
      <c r="T20" s="116">
        <f t="shared" si="14"/>
        <v>1600</v>
      </c>
      <c r="U20" s="117">
        <v>0.08</v>
      </c>
      <c r="V20" s="109">
        <f t="shared" si="15"/>
        <v>1728</v>
      </c>
      <c r="W20" s="117">
        <v>0.17</v>
      </c>
      <c r="X20" s="103">
        <f t="shared" si="16"/>
        <v>2021.7599999999998</v>
      </c>
      <c r="Y20" s="102">
        <v>100</v>
      </c>
      <c r="Z20" s="101">
        <v>3</v>
      </c>
      <c r="AA20" s="124">
        <v>75</v>
      </c>
      <c r="AB20" s="124">
        <v>75</v>
      </c>
      <c r="AC20" s="100">
        <f t="shared" si="17"/>
        <v>150</v>
      </c>
      <c r="AD20" s="100">
        <f t="shared" si="18"/>
        <v>525</v>
      </c>
      <c r="AE20" s="117">
        <v>0.08</v>
      </c>
      <c r="AF20" s="116">
        <f t="shared" si="19"/>
        <v>567</v>
      </c>
      <c r="AG20" s="100">
        <f t="shared" si="20"/>
        <v>2588.7599999999998</v>
      </c>
      <c r="AH20" s="125">
        <v>0.17</v>
      </c>
      <c r="AI20" s="126">
        <f t="shared" si="21"/>
        <v>3028.8491999999997</v>
      </c>
    </row>
    <row r="21" spans="1:35" ht="16.5">
      <c r="A21" s="97" t="s">
        <v>484</v>
      </c>
      <c r="B21" s="98" t="s">
        <v>485</v>
      </c>
      <c r="C21" s="99" t="s">
        <v>485</v>
      </c>
      <c r="D21" s="98" t="s">
        <v>448</v>
      </c>
      <c r="E21" s="100">
        <v>1</v>
      </c>
      <c r="F21" s="101">
        <v>400</v>
      </c>
      <c r="G21" s="102">
        <v>200</v>
      </c>
      <c r="H21" s="103">
        <v>1</v>
      </c>
      <c r="I21" s="103">
        <v>3</v>
      </c>
      <c r="J21" s="103">
        <v>1</v>
      </c>
      <c r="K21" s="108">
        <v>80</v>
      </c>
      <c r="L21" s="103">
        <v>1</v>
      </c>
      <c r="M21" s="109">
        <f t="shared" si="11"/>
        <v>1320</v>
      </c>
      <c r="N21" s="110">
        <v>200</v>
      </c>
      <c r="O21" s="110">
        <v>200</v>
      </c>
      <c r="P21" s="111">
        <f t="shared" si="12"/>
        <v>400</v>
      </c>
      <c r="Q21" s="100">
        <v>1</v>
      </c>
      <c r="R21" s="108"/>
      <c r="S21" s="115">
        <f t="shared" si="13"/>
        <v>1600</v>
      </c>
      <c r="T21" s="116">
        <f t="shared" si="14"/>
        <v>2920</v>
      </c>
      <c r="U21" s="117">
        <v>0.08</v>
      </c>
      <c r="V21" s="109">
        <f t="shared" si="15"/>
        <v>3153.6000000000004</v>
      </c>
      <c r="W21" s="117">
        <v>0.17</v>
      </c>
      <c r="X21" s="103">
        <f t="shared" si="16"/>
        <v>3689.712</v>
      </c>
      <c r="Y21" s="102">
        <v>100</v>
      </c>
      <c r="Z21" s="101">
        <v>3</v>
      </c>
      <c r="AA21" s="124">
        <v>75</v>
      </c>
      <c r="AB21" s="124">
        <v>75</v>
      </c>
      <c r="AC21" s="100">
        <f t="shared" si="17"/>
        <v>150</v>
      </c>
      <c r="AD21" s="100">
        <f t="shared" si="18"/>
        <v>525</v>
      </c>
      <c r="AE21" s="117">
        <v>0.08</v>
      </c>
      <c r="AF21" s="116">
        <f t="shared" si="19"/>
        <v>567</v>
      </c>
      <c r="AG21" s="100">
        <f t="shared" si="20"/>
        <v>4256.7119999999995</v>
      </c>
      <c r="AH21" s="125">
        <v>0.17</v>
      </c>
      <c r="AI21" s="126">
        <f t="shared" si="21"/>
        <v>4980.3530399999991</v>
      </c>
    </row>
    <row r="22" spans="1:35" ht="16.5">
      <c r="A22" s="97" t="s">
        <v>484</v>
      </c>
      <c r="B22" s="98" t="s">
        <v>487</v>
      </c>
      <c r="C22" s="99" t="s">
        <v>487</v>
      </c>
      <c r="D22" s="98" t="s">
        <v>488</v>
      </c>
      <c r="E22" s="100">
        <v>1</v>
      </c>
      <c r="F22" s="101">
        <v>400</v>
      </c>
      <c r="G22" s="102">
        <v>200</v>
      </c>
      <c r="H22" s="103">
        <v>1</v>
      </c>
      <c r="I22" s="103">
        <v>3</v>
      </c>
      <c r="J22" s="103">
        <v>1</v>
      </c>
      <c r="K22" s="108">
        <v>80</v>
      </c>
      <c r="L22" s="103">
        <v>0</v>
      </c>
      <c r="M22" s="109">
        <f t="shared" si="11"/>
        <v>1000</v>
      </c>
      <c r="N22" s="110">
        <v>75</v>
      </c>
      <c r="O22" s="110">
        <v>75</v>
      </c>
      <c r="P22" s="111">
        <f t="shared" si="12"/>
        <v>150</v>
      </c>
      <c r="Q22" s="100">
        <v>1</v>
      </c>
      <c r="R22" s="108"/>
      <c r="S22" s="115">
        <f t="shared" si="13"/>
        <v>600</v>
      </c>
      <c r="T22" s="116">
        <f t="shared" si="14"/>
        <v>1600</v>
      </c>
      <c r="U22" s="117">
        <v>0.08</v>
      </c>
      <c r="V22" s="109">
        <f t="shared" si="15"/>
        <v>1728</v>
      </c>
      <c r="W22" s="117">
        <v>0.17</v>
      </c>
      <c r="X22" s="103">
        <f t="shared" si="16"/>
        <v>2021.7599999999998</v>
      </c>
      <c r="Y22" s="102">
        <v>100</v>
      </c>
      <c r="Z22" s="101">
        <v>3</v>
      </c>
      <c r="AA22" s="124">
        <v>75</v>
      </c>
      <c r="AB22" s="124">
        <v>75</v>
      </c>
      <c r="AC22" s="100">
        <f t="shared" si="17"/>
        <v>150</v>
      </c>
      <c r="AD22" s="100">
        <f t="shared" si="18"/>
        <v>525</v>
      </c>
      <c r="AE22" s="117">
        <v>0.08</v>
      </c>
      <c r="AF22" s="116">
        <f t="shared" si="19"/>
        <v>567</v>
      </c>
      <c r="AG22" s="100">
        <f t="shared" si="20"/>
        <v>2588.7599999999998</v>
      </c>
      <c r="AH22" s="125">
        <v>0.17</v>
      </c>
      <c r="AI22" s="126">
        <f t="shared" si="21"/>
        <v>3028.8491999999997</v>
      </c>
    </row>
    <row r="23" spans="1:35" ht="16.5">
      <c r="A23" s="97" t="s">
        <v>484</v>
      </c>
      <c r="B23" s="98" t="s">
        <v>487</v>
      </c>
      <c r="C23" s="99" t="s">
        <v>487</v>
      </c>
      <c r="D23" s="98" t="s">
        <v>448</v>
      </c>
      <c r="E23" s="100">
        <v>1</v>
      </c>
      <c r="F23" s="101">
        <v>400</v>
      </c>
      <c r="G23" s="102">
        <v>200</v>
      </c>
      <c r="H23" s="103">
        <v>1</v>
      </c>
      <c r="I23" s="103">
        <v>3</v>
      </c>
      <c r="J23" s="103">
        <v>1</v>
      </c>
      <c r="K23" s="108">
        <v>80</v>
      </c>
      <c r="L23" s="103">
        <v>1</v>
      </c>
      <c r="M23" s="109">
        <f t="shared" si="11"/>
        <v>1320</v>
      </c>
      <c r="N23" s="110">
        <v>200</v>
      </c>
      <c r="O23" s="110">
        <v>200</v>
      </c>
      <c r="P23" s="111">
        <f t="shared" si="12"/>
        <v>400</v>
      </c>
      <c r="Q23" s="100">
        <v>1</v>
      </c>
      <c r="R23" s="108"/>
      <c r="S23" s="115">
        <f t="shared" si="13"/>
        <v>1600</v>
      </c>
      <c r="T23" s="116">
        <f t="shared" si="14"/>
        <v>2920</v>
      </c>
      <c r="U23" s="117">
        <v>0.08</v>
      </c>
      <c r="V23" s="109">
        <f t="shared" si="15"/>
        <v>3153.6000000000004</v>
      </c>
      <c r="W23" s="117">
        <v>0.17</v>
      </c>
      <c r="X23" s="103">
        <f t="shared" si="16"/>
        <v>3689.712</v>
      </c>
      <c r="Y23" s="102">
        <v>100</v>
      </c>
      <c r="Z23" s="101">
        <v>3</v>
      </c>
      <c r="AA23" s="124">
        <v>75</v>
      </c>
      <c r="AB23" s="124">
        <v>75</v>
      </c>
      <c r="AC23" s="100">
        <f t="shared" si="17"/>
        <v>150</v>
      </c>
      <c r="AD23" s="100">
        <f t="shared" si="18"/>
        <v>525</v>
      </c>
      <c r="AE23" s="117">
        <v>0.08</v>
      </c>
      <c r="AF23" s="116">
        <f t="shared" si="19"/>
        <v>567</v>
      </c>
      <c r="AG23" s="100">
        <f t="shared" si="20"/>
        <v>4256.7119999999995</v>
      </c>
      <c r="AH23" s="125">
        <v>0.17</v>
      </c>
      <c r="AI23" s="126">
        <f t="shared" si="21"/>
        <v>4980.3530399999991</v>
      </c>
    </row>
    <row r="24" spans="1:35" ht="16.5">
      <c r="A24" s="97" t="s">
        <v>484</v>
      </c>
      <c r="B24" s="98" t="s">
        <v>489</v>
      </c>
      <c r="C24" s="99" t="s">
        <v>489</v>
      </c>
      <c r="D24" s="98" t="s">
        <v>490</v>
      </c>
      <c r="E24" s="100">
        <v>1</v>
      </c>
      <c r="F24" s="101">
        <v>400</v>
      </c>
      <c r="G24" s="102">
        <v>200</v>
      </c>
      <c r="H24" s="103">
        <v>1</v>
      </c>
      <c r="I24" s="103">
        <v>3</v>
      </c>
      <c r="J24" s="103">
        <v>1</v>
      </c>
      <c r="K24" s="108">
        <v>80</v>
      </c>
      <c r="L24" s="103">
        <v>1</v>
      </c>
      <c r="M24" s="109">
        <f t="shared" si="11"/>
        <v>1320</v>
      </c>
      <c r="N24" s="110">
        <v>200</v>
      </c>
      <c r="O24" s="110">
        <v>200</v>
      </c>
      <c r="P24" s="111">
        <f t="shared" si="12"/>
        <v>400</v>
      </c>
      <c r="Q24" s="100">
        <v>1</v>
      </c>
      <c r="R24" s="108"/>
      <c r="S24" s="115">
        <f t="shared" si="13"/>
        <v>1600</v>
      </c>
      <c r="T24" s="116">
        <f t="shared" si="14"/>
        <v>2920</v>
      </c>
      <c r="U24" s="117">
        <v>0.08</v>
      </c>
      <c r="V24" s="109">
        <f t="shared" si="15"/>
        <v>3153.6000000000004</v>
      </c>
      <c r="W24" s="117">
        <v>0.17</v>
      </c>
      <c r="X24" s="103">
        <f t="shared" si="16"/>
        <v>3689.712</v>
      </c>
      <c r="Y24" s="102">
        <v>100</v>
      </c>
      <c r="Z24" s="101">
        <v>3</v>
      </c>
      <c r="AA24" s="124">
        <v>75</v>
      </c>
      <c r="AB24" s="124">
        <v>75</v>
      </c>
      <c r="AC24" s="100">
        <f t="shared" si="17"/>
        <v>150</v>
      </c>
      <c r="AD24" s="100">
        <f t="shared" si="18"/>
        <v>525</v>
      </c>
      <c r="AE24" s="117">
        <v>0.08</v>
      </c>
      <c r="AF24" s="116">
        <f t="shared" si="19"/>
        <v>567</v>
      </c>
      <c r="AG24" s="100">
        <f t="shared" si="20"/>
        <v>4256.7119999999995</v>
      </c>
      <c r="AH24" s="125">
        <v>0.17</v>
      </c>
      <c r="AI24" s="126">
        <f t="shared" si="21"/>
        <v>4980.3530399999991</v>
      </c>
    </row>
    <row r="25" spans="1:35" ht="16.5">
      <c r="A25" s="97" t="s">
        <v>484</v>
      </c>
      <c r="B25" s="98" t="s">
        <v>489</v>
      </c>
      <c r="C25" s="99" t="s">
        <v>489</v>
      </c>
      <c r="D25" s="98" t="s">
        <v>448</v>
      </c>
      <c r="E25" s="100">
        <v>1</v>
      </c>
      <c r="F25" s="101">
        <v>400</v>
      </c>
      <c r="G25" s="102">
        <v>200</v>
      </c>
      <c r="H25" s="103">
        <v>1</v>
      </c>
      <c r="I25" s="103">
        <v>3</v>
      </c>
      <c r="J25" s="103">
        <v>1</v>
      </c>
      <c r="K25" s="108">
        <v>80</v>
      </c>
      <c r="L25" s="103">
        <v>1</v>
      </c>
      <c r="M25" s="109">
        <f t="shared" si="11"/>
        <v>1320</v>
      </c>
      <c r="N25" s="110">
        <v>200</v>
      </c>
      <c r="O25" s="110">
        <v>200</v>
      </c>
      <c r="P25" s="111">
        <f t="shared" si="12"/>
        <v>400</v>
      </c>
      <c r="Q25" s="100">
        <v>1</v>
      </c>
      <c r="R25" s="108"/>
      <c r="S25" s="115">
        <f t="shared" si="13"/>
        <v>1600</v>
      </c>
      <c r="T25" s="116">
        <f t="shared" si="14"/>
        <v>2920</v>
      </c>
      <c r="U25" s="117">
        <v>0.08</v>
      </c>
      <c r="V25" s="109">
        <f t="shared" si="15"/>
        <v>3153.6000000000004</v>
      </c>
      <c r="W25" s="117">
        <v>0.17</v>
      </c>
      <c r="X25" s="103">
        <f t="shared" si="16"/>
        <v>3689.712</v>
      </c>
      <c r="Y25" s="102">
        <v>100</v>
      </c>
      <c r="Z25" s="101">
        <v>3</v>
      </c>
      <c r="AA25" s="124">
        <v>75</v>
      </c>
      <c r="AB25" s="124">
        <v>75</v>
      </c>
      <c r="AC25" s="100">
        <f t="shared" si="17"/>
        <v>150</v>
      </c>
      <c r="AD25" s="100">
        <f t="shared" si="18"/>
        <v>525</v>
      </c>
      <c r="AE25" s="117">
        <v>0.08</v>
      </c>
      <c r="AF25" s="116">
        <f t="shared" si="19"/>
        <v>567</v>
      </c>
      <c r="AG25" s="100">
        <f t="shared" si="20"/>
        <v>4256.7119999999995</v>
      </c>
      <c r="AH25" s="125">
        <v>0.17</v>
      </c>
      <c r="AI25" s="126">
        <f t="shared" si="21"/>
        <v>4980.3530399999991</v>
      </c>
    </row>
    <row r="26" spans="1:35" ht="16.5">
      <c r="A26" s="97" t="s">
        <v>484</v>
      </c>
      <c r="B26" s="98" t="s">
        <v>491</v>
      </c>
      <c r="C26" s="99" t="s">
        <v>491</v>
      </c>
      <c r="D26" s="98" t="s">
        <v>492</v>
      </c>
      <c r="E26" s="100">
        <v>1</v>
      </c>
      <c r="F26" s="101">
        <v>400</v>
      </c>
      <c r="G26" s="102">
        <v>200</v>
      </c>
      <c r="H26" s="103">
        <v>1</v>
      </c>
      <c r="I26" s="103">
        <v>3</v>
      </c>
      <c r="J26" s="103">
        <v>1</v>
      </c>
      <c r="K26" s="108">
        <v>80</v>
      </c>
      <c r="L26" s="103">
        <v>0</v>
      </c>
      <c r="M26" s="109">
        <f t="shared" si="11"/>
        <v>1000</v>
      </c>
      <c r="N26" s="110">
        <v>75</v>
      </c>
      <c r="O26" s="110">
        <v>75</v>
      </c>
      <c r="P26" s="111">
        <f t="shared" si="12"/>
        <v>150</v>
      </c>
      <c r="Q26" s="100">
        <v>1</v>
      </c>
      <c r="R26" s="108"/>
      <c r="S26" s="115">
        <f t="shared" si="13"/>
        <v>600</v>
      </c>
      <c r="T26" s="116">
        <f t="shared" si="14"/>
        <v>1600</v>
      </c>
      <c r="U26" s="117">
        <v>0.08</v>
      </c>
      <c r="V26" s="109">
        <f t="shared" si="15"/>
        <v>1728</v>
      </c>
      <c r="W26" s="117">
        <v>0.17</v>
      </c>
      <c r="X26" s="103">
        <f t="shared" si="16"/>
        <v>2021.7599999999998</v>
      </c>
      <c r="Y26" s="102">
        <v>100</v>
      </c>
      <c r="Z26" s="101">
        <v>3</v>
      </c>
      <c r="AA26" s="124">
        <v>75</v>
      </c>
      <c r="AB26" s="124">
        <v>75</v>
      </c>
      <c r="AC26" s="100">
        <f t="shared" si="17"/>
        <v>150</v>
      </c>
      <c r="AD26" s="100">
        <f t="shared" si="18"/>
        <v>525</v>
      </c>
      <c r="AE26" s="117">
        <v>0.08</v>
      </c>
      <c r="AF26" s="116">
        <f t="shared" si="19"/>
        <v>567</v>
      </c>
      <c r="AG26" s="100">
        <f t="shared" si="20"/>
        <v>2588.7599999999998</v>
      </c>
      <c r="AH26" s="125">
        <v>0.17</v>
      </c>
      <c r="AI26" s="126">
        <f t="shared" si="21"/>
        <v>3028.8491999999997</v>
      </c>
    </row>
    <row r="27" spans="1:35" ht="16.5">
      <c r="A27" s="97" t="s">
        <v>484</v>
      </c>
      <c r="B27" s="98" t="s">
        <v>491</v>
      </c>
      <c r="C27" s="99" t="s">
        <v>491</v>
      </c>
      <c r="D27" s="98" t="s">
        <v>448</v>
      </c>
      <c r="E27" s="100">
        <v>1</v>
      </c>
      <c r="F27" s="101">
        <v>400</v>
      </c>
      <c r="G27" s="102">
        <v>200</v>
      </c>
      <c r="H27" s="103">
        <v>1</v>
      </c>
      <c r="I27" s="103">
        <v>3</v>
      </c>
      <c r="J27" s="103">
        <v>1</v>
      </c>
      <c r="K27" s="108">
        <v>80</v>
      </c>
      <c r="L27" s="103">
        <v>1</v>
      </c>
      <c r="M27" s="109">
        <f t="shared" si="11"/>
        <v>1320</v>
      </c>
      <c r="N27" s="110">
        <v>200</v>
      </c>
      <c r="O27" s="110">
        <v>200</v>
      </c>
      <c r="P27" s="111">
        <f t="shared" si="12"/>
        <v>400</v>
      </c>
      <c r="Q27" s="100">
        <v>1</v>
      </c>
      <c r="R27" s="108"/>
      <c r="S27" s="115">
        <f t="shared" si="13"/>
        <v>1600</v>
      </c>
      <c r="T27" s="116">
        <f t="shared" si="14"/>
        <v>2920</v>
      </c>
      <c r="U27" s="117">
        <v>0.08</v>
      </c>
      <c r="V27" s="109">
        <f t="shared" si="15"/>
        <v>3153.6000000000004</v>
      </c>
      <c r="W27" s="117">
        <v>0.17</v>
      </c>
      <c r="X27" s="103">
        <f t="shared" si="16"/>
        <v>3689.712</v>
      </c>
      <c r="Y27" s="102">
        <v>100</v>
      </c>
      <c r="Z27" s="101">
        <v>3</v>
      </c>
      <c r="AA27" s="124">
        <v>75</v>
      </c>
      <c r="AB27" s="124">
        <v>75</v>
      </c>
      <c r="AC27" s="100">
        <f t="shared" si="17"/>
        <v>150</v>
      </c>
      <c r="AD27" s="100">
        <f t="shared" si="18"/>
        <v>525</v>
      </c>
      <c r="AE27" s="117">
        <v>0.08</v>
      </c>
      <c r="AF27" s="116">
        <f t="shared" si="19"/>
        <v>567</v>
      </c>
      <c r="AG27" s="100">
        <f t="shared" si="20"/>
        <v>4256.7119999999995</v>
      </c>
      <c r="AH27" s="125">
        <v>0.17</v>
      </c>
      <c r="AI27" s="126">
        <f t="shared" si="21"/>
        <v>4980.3530399999991</v>
      </c>
    </row>
    <row r="28" spans="1:35" ht="16.5">
      <c r="A28" s="97" t="s">
        <v>484</v>
      </c>
      <c r="B28" s="98" t="s">
        <v>493</v>
      </c>
      <c r="C28" s="99" t="s">
        <v>493</v>
      </c>
      <c r="D28" s="98" t="s">
        <v>494</v>
      </c>
      <c r="E28" s="100">
        <v>1</v>
      </c>
      <c r="F28" s="101">
        <v>400</v>
      </c>
      <c r="G28" s="102">
        <v>200</v>
      </c>
      <c r="H28" s="103">
        <v>1</v>
      </c>
      <c r="I28" s="103">
        <v>3</v>
      </c>
      <c r="J28" s="103">
        <v>1</v>
      </c>
      <c r="K28" s="108">
        <v>80</v>
      </c>
      <c r="L28" s="103">
        <v>0</v>
      </c>
      <c r="M28" s="109">
        <f t="shared" si="11"/>
        <v>1000</v>
      </c>
      <c r="N28" s="110">
        <v>75</v>
      </c>
      <c r="O28" s="110">
        <v>75</v>
      </c>
      <c r="P28" s="111">
        <f t="shared" si="12"/>
        <v>150</v>
      </c>
      <c r="Q28" s="100">
        <v>1</v>
      </c>
      <c r="R28" s="108"/>
      <c r="S28" s="115">
        <f t="shared" si="13"/>
        <v>600</v>
      </c>
      <c r="T28" s="116">
        <f t="shared" si="14"/>
        <v>1600</v>
      </c>
      <c r="U28" s="117">
        <v>0.08</v>
      </c>
      <c r="V28" s="109">
        <f t="shared" si="15"/>
        <v>1728</v>
      </c>
      <c r="W28" s="117">
        <v>0.17</v>
      </c>
      <c r="X28" s="103">
        <f t="shared" si="16"/>
        <v>2021.7599999999998</v>
      </c>
      <c r="Y28" s="102">
        <v>100</v>
      </c>
      <c r="Z28" s="101">
        <v>3</v>
      </c>
      <c r="AA28" s="124">
        <v>75</v>
      </c>
      <c r="AB28" s="124">
        <v>75</v>
      </c>
      <c r="AC28" s="100">
        <f t="shared" si="17"/>
        <v>150</v>
      </c>
      <c r="AD28" s="100">
        <f t="shared" si="18"/>
        <v>525</v>
      </c>
      <c r="AE28" s="117">
        <v>0.08</v>
      </c>
      <c r="AF28" s="116">
        <f t="shared" si="19"/>
        <v>567</v>
      </c>
      <c r="AG28" s="100">
        <f t="shared" si="20"/>
        <v>2588.7599999999998</v>
      </c>
      <c r="AH28" s="125">
        <v>0.17</v>
      </c>
      <c r="AI28" s="126">
        <f t="shared" si="21"/>
        <v>3028.8491999999997</v>
      </c>
    </row>
    <row r="29" spans="1:35" ht="16.5">
      <c r="A29" s="97" t="s">
        <v>484</v>
      </c>
      <c r="B29" s="98" t="s">
        <v>493</v>
      </c>
      <c r="C29" s="99" t="s">
        <v>493</v>
      </c>
      <c r="D29" s="98" t="s">
        <v>448</v>
      </c>
      <c r="E29" s="100">
        <v>1</v>
      </c>
      <c r="F29" s="101">
        <v>400</v>
      </c>
      <c r="G29" s="102">
        <v>200</v>
      </c>
      <c r="H29" s="103">
        <v>1</v>
      </c>
      <c r="I29" s="103">
        <v>3</v>
      </c>
      <c r="J29" s="103">
        <v>1</v>
      </c>
      <c r="K29" s="108">
        <v>80</v>
      </c>
      <c r="L29" s="103">
        <v>1</v>
      </c>
      <c r="M29" s="109">
        <f t="shared" si="11"/>
        <v>1320</v>
      </c>
      <c r="N29" s="110">
        <v>200</v>
      </c>
      <c r="O29" s="110">
        <v>200</v>
      </c>
      <c r="P29" s="111">
        <f t="shared" si="12"/>
        <v>400</v>
      </c>
      <c r="Q29" s="100">
        <v>1</v>
      </c>
      <c r="R29" s="108"/>
      <c r="S29" s="115">
        <f t="shared" si="13"/>
        <v>1600</v>
      </c>
      <c r="T29" s="116">
        <f t="shared" si="14"/>
        <v>2920</v>
      </c>
      <c r="U29" s="117">
        <v>0.08</v>
      </c>
      <c r="V29" s="109">
        <f t="shared" si="15"/>
        <v>3153.6000000000004</v>
      </c>
      <c r="W29" s="117">
        <v>0.17</v>
      </c>
      <c r="X29" s="103">
        <f t="shared" si="16"/>
        <v>3689.712</v>
      </c>
      <c r="Y29" s="102">
        <v>100</v>
      </c>
      <c r="Z29" s="101">
        <v>3</v>
      </c>
      <c r="AA29" s="124">
        <v>75</v>
      </c>
      <c r="AB29" s="124">
        <v>75</v>
      </c>
      <c r="AC29" s="100">
        <f t="shared" si="17"/>
        <v>150</v>
      </c>
      <c r="AD29" s="100">
        <f t="shared" si="18"/>
        <v>525</v>
      </c>
      <c r="AE29" s="117">
        <v>0.08</v>
      </c>
      <c r="AF29" s="116">
        <f t="shared" si="19"/>
        <v>567</v>
      </c>
      <c r="AG29" s="100">
        <f t="shared" si="20"/>
        <v>4256.7119999999995</v>
      </c>
      <c r="AH29" s="125">
        <v>0.17</v>
      </c>
      <c r="AI29" s="126">
        <f t="shared" si="21"/>
        <v>4980.3530399999991</v>
      </c>
    </row>
    <row r="30" spans="1:35" ht="16.5">
      <c r="A30" s="97" t="s">
        <v>484</v>
      </c>
      <c r="B30" s="98" t="s">
        <v>495</v>
      </c>
      <c r="C30" s="99" t="s">
        <v>495</v>
      </c>
      <c r="D30" s="98" t="s">
        <v>496</v>
      </c>
      <c r="E30" s="100">
        <v>1</v>
      </c>
      <c r="F30" s="101">
        <v>400</v>
      </c>
      <c r="G30" s="102">
        <v>200</v>
      </c>
      <c r="H30" s="103">
        <v>1</v>
      </c>
      <c r="I30" s="103">
        <v>3</v>
      </c>
      <c r="J30" s="103">
        <v>1</v>
      </c>
      <c r="K30" s="108">
        <v>80</v>
      </c>
      <c r="L30" s="103">
        <v>0</v>
      </c>
      <c r="M30" s="109">
        <f t="shared" si="11"/>
        <v>1000</v>
      </c>
      <c r="N30" s="110">
        <v>75</v>
      </c>
      <c r="O30" s="110">
        <v>75</v>
      </c>
      <c r="P30" s="111">
        <f t="shared" si="12"/>
        <v>150</v>
      </c>
      <c r="Q30" s="100">
        <v>1</v>
      </c>
      <c r="R30" s="108"/>
      <c r="S30" s="115">
        <f t="shared" si="13"/>
        <v>600</v>
      </c>
      <c r="T30" s="116">
        <f t="shared" si="14"/>
        <v>1600</v>
      </c>
      <c r="U30" s="117">
        <v>0.08</v>
      </c>
      <c r="V30" s="109">
        <f t="shared" si="15"/>
        <v>1728</v>
      </c>
      <c r="W30" s="117">
        <v>0.17</v>
      </c>
      <c r="X30" s="103">
        <f t="shared" si="16"/>
        <v>2021.7599999999998</v>
      </c>
      <c r="Y30" s="102">
        <v>100</v>
      </c>
      <c r="Z30" s="101">
        <v>3</v>
      </c>
      <c r="AA30" s="124">
        <v>75</v>
      </c>
      <c r="AB30" s="124">
        <v>75</v>
      </c>
      <c r="AC30" s="100">
        <f t="shared" si="17"/>
        <v>150</v>
      </c>
      <c r="AD30" s="100">
        <f t="shared" si="18"/>
        <v>525</v>
      </c>
      <c r="AE30" s="117">
        <v>0.08</v>
      </c>
      <c r="AF30" s="116">
        <f t="shared" si="19"/>
        <v>567</v>
      </c>
      <c r="AG30" s="100">
        <f t="shared" si="20"/>
        <v>2588.7599999999998</v>
      </c>
      <c r="AH30" s="125">
        <v>0.17</v>
      </c>
      <c r="AI30" s="126">
        <f t="shared" si="21"/>
        <v>3028.8491999999997</v>
      </c>
    </row>
    <row r="31" spans="1:35" ht="16.5">
      <c r="A31" s="97" t="s">
        <v>484</v>
      </c>
      <c r="B31" s="98" t="s">
        <v>495</v>
      </c>
      <c r="C31" s="99" t="s">
        <v>495</v>
      </c>
      <c r="D31" s="98" t="s">
        <v>448</v>
      </c>
      <c r="E31" s="100">
        <v>1</v>
      </c>
      <c r="F31" s="101">
        <v>400</v>
      </c>
      <c r="G31" s="102">
        <v>200</v>
      </c>
      <c r="H31" s="103">
        <v>1</v>
      </c>
      <c r="I31" s="103">
        <v>3</v>
      </c>
      <c r="J31" s="103">
        <v>1</v>
      </c>
      <c r="K31" s="108">
        <v>80</v>
      </c>
      <c r="L31" s="103">
        <v>1</v>
      </c>
      <c r="M31" s="109">
        <f t="shared" si="11"/>
        <v>1320</v>
      </c>
      <c r="N31" s="110">
        <v>200</v>
      </c>
      <c r="O31" s="110">
        <v>200</v>
      </c>
      <c r="P31" s="111">
        <f t="shared" si="12"/>
        <v>400</v>
      </c>
      <c r="Q31" s="100">
        <v>1</v>
      </c>
      <c r="R31" s="108"/>
      <c r="S31" s="115">
        <f t="shared" si="13"/>
        <v>1600</v>
      </c>
      <c r="T31" s="116">
        <f t="shared" si="14"/>
        <v>2920</v>
      </c>
      <c r="U31" s="117">
        <v>0.08</v>
      </c>
      <c r="V31" s="109">
        <f t="shared" si="15"/>
        <v>3153.6000000000004</v>
      </c>
      <c r="W31" s="117">
        <v>0.17</v>
      </c>
      <c r="X31" s="103">
        <f t="shared" si="16"/>
        <v>3689.712</v>
      </c>
      <c r="Y31" s="102">
        <v>100</v>
      </c>
      <c r="Z31" s="101">
        <v>3</v>
      </c>
      <c r="AA31" s="124">
        <v>75</v>
      </c>
      <c r="AB31" s="124">
        <v>75</v>
      </c>
      <c r="AC31" s="100">
        <f t="shared" si="17"/>
        <v>150</v>
      </c>
      <c r="AD31" s="100">
        <f t="shared" si="18"/>
        <v>525</v>
      </c>
      <c r="AE31" s="117">
        <v>0.08</v>
      </c>
      <c r="AF31" s="116">
        <f t="shared" si="19"/>
        <v>567</v>
      </c>
      <c r="AG31" s="100">
        <f t="shared" si="20"/>
        <v>4256.7119999999995</v>
      </c>
      <c r="AH31" s="125">
        <v>0.17</v>
      </c>
      <c r="AI31" s="126">
        <f t="shared" si="21"/>
        <v>4980.3530399999991</v>
      </c>
    </row>
    <row r="32" spans="1:35" ht="16.5">
      <c r="A32" s="97" t="s">
        <v>484</v>
      </c>
      <c r="B32" s="98" t="s">
        <v>497</v>
      </c>
      <c r="C32" s="99" t="s">
        <v>497</v>
      </c>
      <c r="D32" s="98" t="s">
        <v>498</v>
      </c>
      <c r="E32" s="100">
        <v>1</v>
      </c>
      <c r="F32" s="101">
        <v>400</v>
      </c>
      <c r="G32" s="102">
        <v>200</v>
      </c>
      <c r="H32" s="103">
        <v>1</v>
      </c>
      <c r="I32" s="103">
        <v>3</v>
      </c>
      <c r="J32" s="103">
        <v>1</v>
      </c>
      <c r="K32" s="108">
        <v>80</v>
      </c>
      <c r="L32" s="103">
        <v>0</v>
      </c>
      <c r="M32" s="109">
        <f t="shared" si="11"/>
        <v>1000</v>
      </c>
      <c r="N32" s="110">
        <v>200</v>
      </c>
      <c r="O32" s="110">
        <v>200</v>
      </c>
      <c r="P32" s="111">
        <f t="shared" si="12"/>
        <v>400</v>
      </c>
      <c r="Q32" s="100">
        <v>1</v>
      </c>
      <c r="R32" s="108"/>
      <c r="S32" s="115">
        <f t="shared" si="13"/>
        <v>1600</v>
      </c>
      <c r="T32" s="116">
        <f t="shared" si="14"/>
        <v>2600</v>
      </c>
      <c r="U32" s="117">
        <v>0.08</v>
      </c>
      <c r="V32" s="109">
        <f t="shared" si="15"/>
        <v>2808</v>
      </c>
      <c r="W32" s="117">
        <v>0.17</v>
      </c>
      <c r="X32" s="103">
        <f t="shared" si="16"/>
        <v>3285.3599999999997</v>
      </c>
      <c r="Y32" s="102">
        <v>100</v>
      </c>
      <c r="Z32" s="101">
        <v>3</v>
      </c>
      <c r="AA32" s="124">
        <v>75</v>
      </c>
      <c r="AB32" s="124">
        <v>75</v>
      </c>
      <c r="AC32" s="100">
        <f t="shared" si="17"/>
        <v>150</v>
      </c>
      <c r="AD32" s="100">
        <f t="shared" si="18"/>
        <v>525</v>
      </c>
      <c r="AE32" s="117">
        <v>0.08</v>
      </c>
      <c r="AF32" s="116">
        <f t="shared" si="19"/>
        <v>567</v>
      </c>
      <c r="AG32" s="100">
        <f t="shared" si="20"/>
        <v>3852.3599999999997</v>
      </c>
      <c r="AH32" s="125">
        <v>0.17</v>
      </c>
      <c r="AI32" s="126">
        <f t="shared" si="21"/>
        <v>4507.261199999999</v>
      </c>
    </row>
    <row r="33" spans="1:35" ht="16.5">
      <c r="A33" s="97" t="s">
        <v>484</v>
      </c>
      <c r="B33" s="98" t="s">
        <v>497</v>
      </c>
      <c r="C33" s="99" t="s">
        <v>497</v>
      </c>
      <c r="D33" s="98" t="s">
        <v>448</v>
      </c>
      <c r="E33" s="100">
        <v>1</v>
      </c>
      <c r="F33" s="101">
        <v>400</v>
      </c>
      <c r="G33" s="102">
        <v>200</v>
      </c>
      <c r="H33" s="103">
        <v>1</v>
      </c>
      <c r="I33" s="103">
        <v>3</v>
      </c>
      <c r="J33" s="103">
        <v>1</v>
      </c>
      <c r="K33" s="108">
        <v>80</v>
      </c>
      <c r="L33" s="103">
        <v>1</v>
      </c>
      <c r="M33" s="109">
        <f t="shared" si="11"/>
        <v>1320</v>
      </c>
      <c r="N33" s="110">
        <v>200</v>
      </c>
      <c r="O33" s="110">
        <v>200</v>
      </c>
      <c r="P33" s="111">
        <f t="shared" si="12"/>
        <v>400</v>
      </c>
      <c r="Q33" s="100">
        <v>1</v>
      </c>
      <c r="R33" s="108"/>
      <c r="S33" s="115">
        <f t="shared" si="13"/>
        <v>1600</v>
      </c>
      <c r="T33" s="116">
        <f t="shared" si="14"/>
        <v>2920</v>
      </c>
      <c r="U33" s="117">
        <v>0.08</v>
      </c>
      <c r="V33" s="109">
        <f t="shared" si="15"/>
        <v>3153.6000000000004</v>
      </c>
      <c r="W33" s="117">
        <v>0.17</v>
      </c>
      <c r="X33" s="103">
        <f t="shared" si="16"/>
        <v>3689.712</v>
      </c>
      <c r="Y33" s="102">
        <v>100</v>
      </c>
      <c r="Z33" s="101">
        <v>3</v>
      </c>
      <c r="AA33" s="124">
        <v>75</v>
      </c>
      <c r="AB33" s="124">
        <v>75</v>
      </c>
      <c r="AC33" s="100">
        <f t="shared" si="17"/>
        <v>150</v>
      </c>
      <c r="AD33" s="100">
        <f t="shared" si="18"/>
        <v>525</v>
      </c>
      <c r="AE33" s="117">
        <v>0.08</v>
      </c>
      <c r="AF33" s="116">
        <f t="shared" si="19"/>
        <v>567</v>
      </c>
      <c r="AG33" s="100">
        <f t="shared" si="20"/>
        <v>4256.7119999999995</v>
      </c>
      <c r="AH33" s="125">
        <v>0.17</v>
      </c>
      <c r="AI33" s="126">
        <f t="shared" si="21"/>
        <v>4980.3530399999991</v>
      </c>
    </row>
    <row r="34" spans="1:35" ht="16.5">
      <c r="A34" s="97" t="s">
        <v>484</v>
      </c>
      <c r="B34" s="98" t="s">
        <v>499</v>
      </c>
      <c r="C34" s="99" t="s">
        <v>499</v>
      </c>
      <c r="D34" s="98" t="s">
        <v>500</v>
      </c>
      <c r="E34" s="100">
        <v>1</v>
      </c>
      <c r="F34" s="101">
        <v>400</v>
      </c>
      <c r="G34" s="102">
        <v>200</v>
      </c>
      <c r="H34" s="103">
        <v>1</v>
      </c>
      <c r="I34" s="103">
        <v>3</v>
      </c>
      <c r="J34" s="103">
        <v>1</v>
      </c>
      <c r="K34" s="108">
        <v>80</v>
      </c>
      <c r="L34" s="103">
        <v>0</v>
      </c>
      <c r="M34" s="109">
        <f t="shared" si="11"/>
        <v>1000</v>
      </c>
      <c r="N34" s="110">
        <v>200</v>
      </c>
      <c r="O34" s="110">
        <v>200</v>
      </c>
      <c r="P34" s="111">
        <f t="shared" si="12"/>
        <v>400</v>
      </c>
      <c r="Q34" s="100">
        <v>1</v>
      </c>
      <c r="R34" s="108"/>
      <c r="S34" s="115">
        <f t="shared" si="13"/>
        <v>1600</v>
      </c>
      <c r="T34" s="116">
        <f t="shared" si="14"/>
        <v>2600</v>
      </c>
      <c r="U34" s="117">
        <v>0.08</v>
      </c>
      <c r="V34" s="109">
        <f t="shared" si="15"/>
        <v>2808</v>
      </c>
      <c r="W34" s="117">
        <v>0.17</v>
      </c>
      <c r="X34" s="103">
        <f t="shared" si="16"/>
        <v>3285.3599999999997</v>
      </c>
      <c r="Y34" s="102">
        <v>100</v>
      </c>
      <c r="Z34" s="101">
        <v>3</v>
      </c>
      <c r="AA34" s="124">
        <v>75</v>
      </c>
      <c r="AB34" s="124">
        <v>75</v>
      </c>
      <c r="AC34" s="100">
        <f t="shared" si="17"/>
        <v>150</v>
      </c>
      <c r="AD34" s="100">
        <f t="shared" si="18"/>
        <v>525</v>
      </c>
      <c r="AE34" s="117">
        <v>0.08</v>
      </c>
      <c r="AF34" s="116">
        <f t="shared" si="19"/>
        <v>567</v>
      </c>
      <c r="AG34" s="100">
        <f t="shared" si="20"/>
        <v>3852.3599999999997</v>
      </c>
      <c r="AH34" s="125">
        <v>0.17</v>
      </c>
      <c r="AI34" s="126">
        <f t="shared" si="21"/>
        <v>4507.261199999999</v>
      </c>
    </row>
    <row r="35" spans="1:35" ht="16.5">
      <c r="A35" s="97" t="s">
        <v>484</v>
      </c>
      <c r="B35" s="98" t="s">
        <v>501</v>
      </c>
      <c r="C35" s="99" t="s">
        <v>501</v>
      </c>
      <c r="D35" s="98" t="s">
        <v>502</v>
      </c>
      <c r="E35" s="100">
        <v>1</v>
      </c>
      <c r="F35" s="101">
        <v>400</v>
      </c>
      <c r="G35" s="102">
        <v>200</v>
      </c>
      <c r="H35" s="103">
        <v>1</v>
      </c>
      <c r="I35" s="103">
        <v>3</v>
      </c>
      <c r="J35" s="103">
        <v>1</v>
      </c>
      <c r="K35" s="108">
        <v>80</v>
      </c>
      <c r="L35" s="103">
        <v>0</v>
      </c>
      <c r="M35" s="109">
        <f t="shared" si="11"/>
        <v>1000</v>
      </c>
      <c r="N35" s="110">
        <v>75</v>
      </c>
      <c r="O35" s="110">
        <v>75</v>
      </c>
      <c r="P35" s="111">
        <f t="shared" si="12"/>
        <v>150</v>
      </c>
      <c r="Q35" s="100">
        <v>1</v>
      </c>
      <c r="R35" s="108"/>
      <c r="S35" s="115">
        <f t="shared" si="13"/>
        <v>600</v>
      </c>
      <c r="T35" s="116">
        <f t="shared" si="14"/>
        <v>1600</v>
      </c>
      <c r="U35" s="117">
        <v>0.08</v>
      </c>
      <c r="V35" s="109">
        <f t="shared" si="15"/>
        <v>1728</v>
      </c>
      <c r="W35" s="117">
        <v>0.17</v>
      </c>
      <c r="X35" s="103">
        <f t="shared" si="16"/>
        <v>2021.7599999999998</v>
      </c>
      <c r="Y35" s="102">
        <v>100</v>
      </c>
      <c r="Z35" s="101">
        <v>3</v>
      </c>
      <c r="AA35" s="124">
        <v>75</v>
      </c>
      <c r="AB35" s="124">
        <v>75</v>
      </c>
      <c r="AC35" s="100">
        <f t="shared" si="17"/>
        <v>150</v>
      </c>
      <c r="AD35" s="100">
        <f t="shared" si="18"/>
        <v>525</v>
      </c>
      <c r="AE35" s="117">
        <v>0.08</v>
      </c>
      <c r="AF35" s="116">
        <f t="shared" si="19"/>
        <v>567</v>
      </c>
      <c r="AG35" s="100">
        <f t="shared" si="20"/>
        <v>2588.7599999999998</v>
      </c>
      <c r="AH35" s="125">
        <v>0.17</v>
      </c>
      <c r="AI35" s="126">
        <f t="shared" si="21"/>
        <v>3028.8491999999997</v>
      </c>
    </row>
    <row r="36" spans="1:35" ht="16.5">
      <c r="A36" s="97" t="s">
        <v>484</v>
      </c>
      <c r="B36" s="98" t="s">
        <v>501</v>
      </c>
      <c r="C36" s="99" t="s">
        <v>501</v>
      </c>
      <c r="D36" s="98" t="s">
        <v>448</v>
      </c>
      <c r="E36" s="100">
        <v>1</v>
      </c>
      <c r="F36" s="101">
        <v>400</v>
      </c>
      <c r="G36" s="102">
        <v>200</v>
      </c>
      <c r="H36" s="103">
        <v>1</v>
      </c>
      <c r="I36" s="103">
        <v>3</v>
      </c>
      <c r="J36" s="103">
        <v>1</v>
      </c>
      <c r="K36" s="108">
        <v>80</v>
      </c>
      <c r="L36" s="103">
        <v>1</v>
      </c>
      <c r="M36" s="109">
        <f t="shared" si="11"/>
        <v>1320</v>
      </c>
      <c r="N36" s="110">
        <v>200</v>
      </c>
      <c r="O36" s="110">
        <v>200</v>
      </c>
      <c r="P36" s="111">
        <f t="shared" si="12"/>
        <v>400</v>
      </c>
      <c r="Q36" s="100">
        <v>1</v>
      </c>
      <c r="R36" s="108"/>
      <c r="S36" s="115">
        <f t="shared" si="13"/>
        <v>1600</v>
      </c>
      <c r="T36" s="116">
        <f t="shared" si="14"/>
        <v>2920</v>
      </c>
      <c r="U36" s="117">
        <v>0.08</v>
      </c>
      <c r="V36" s="109">
        <f t="shared" si="15"/>
        <v>3153.6000000000004</v>
      </c>
      <c r="W36" s="117">
        <v>0.17</v>
      </c>
      <c r="X36" s="103">
        <f t="shared" si="16"/>
        <v>3689.712</v>
      </c>
      <c r="Y36" s="102">
        <v>100</v>
      </c>
      <c r="Z36" s="101">
        <v>3</v>
      </c>
      <c r="AA36" s="124">
        <v>75</v>
      </c>
      <c r="AB36" s="124">
        <v>75</v>
      </c>
      <c r="AC36" s="100">
        <f t="shared" si="17"/>
        <v>150</v>
      </c>
      <c r="AD36" s="100">
        <f t="shared" si="18"/>
        <v>525</v>
      </c>
      <c r="AE36" s="117">
        <v>0.08</v>
      </c>
      <c r="AF36" s="116">
        <f t="shared" si="19"/>
        <v>567</v>
      </c>
      <c r="AG36" s="100">
        <f t="shared" si="20"/>
        <v>4256.7119999999995</v>
      </c>
      <c r="AH36" s="125">
        <v>0.17</v>
      </c>
      <c r="AI36" s="126">
        <f t="shared" si="21"/>
        <v>4980.3530399999991</v>
      </c>
    </row>
    <row r="37" spans="1:35" ht="16.5">
      <c r="A37" s="97" t="s">
        <v>484</v>
      </c>
      <c r="B37" s="98" t="s">
        <v>503</v>
      </c>
      <c r="C37" s="99" t="s">
        <v>503</v>
      </c>
      <c r="D37" s="98" t="s">
        <v>504</v>
      </c>
      <c r="E37" s="100">
        <v>1</v>
      </c>
      <c r="F37" s="101">
        <v>400</v>
      </c>
      <c r="G37" s="102">
        <v>200</v>
      </c>
      <c r="H37" s="103">
        <v>1</v>
      </c>
      <c r="I37" s="103">
        <v>3</v>
      </c>
      <c r="J37" s="103">
        <v>1</v>
      </c>
      <c r="K37" s="108">
        <v>80</v>
      </c>
      <c r="L37" s="103">
        <v>0</v>
      </c>
      <c r="M37" s="109">
        <f t="shared" si="11"/>
        <v>1000</v>
      </c>
      <c r="N37" s="110">
        <v>75</v>
      </c>
      <c r="O37" s="110">
        <v>75</v>
      </c>
      <c r="P37" s="111">
        <f t="shared" si="12"/>
        <v>150</v>
      </c>
      <c r="Q37" s="100">
        <v>1</v>
      </c>
      <c r="R37" s="108"/>
      <c r="S37" s="115">
        <f t="shared" si="13"/>
        <v>600</v>
      </c>
      <c r="T37" s="116">
        <f t="shared" si="14"/>
        <v>1600</v>
      </c>
      <c r="U37" s="117">
        <v>0.08</v>
      </c>
      <c r="V37" s="109">
        <f t="shared" si="15"/>
        <v>1728</v>
      </c>
      <c r="W37" s="117">
        <v>0.17</v>
      </c>
      <c r="X37" s="103">
        <f t="shared" si="16"/>
        <v>2021.7599999999998</v>
      </c>
      <c r="Y37" s="102">
        <v>100</v>
      </c>
      <c r="Z37" s="101">
        <v>3</v>
      </c>
      <c r="AA37" s="124">
        <v>75</v>
      </c>
      <c r="AB37" s="124">
        <v>75</v>
      </c>
      <c r="AC37" s="100">
        <f t="shared" si="17"/>
        <v>150</v>
      </c>
      <c r="AD37" s="100">
        <f t="shared" si="18"/>
        <v>525</v>
      </c>
      <c r="AE37" s="117">
        <v>0.08</v>
      </c>
      <c r="AF37" s="116">
        <f t="shared" si="19"/>
        <v>567</v>
      </c>
      <c r="AG37" s="100">
        <f t="shared" si="20"/>
        <v>2588.7599999999998</v>
      </c>
      <c r="AH37" s="125">
        <v>0.17</v>
      </c>
      <c r="AI37" s="126">
        <f t="shared" si="21"/>
        <v>3028.8491999999997</v>
      </c>
    </row>
    <row r="38" spans="1:35" ht="16.5">
      <c r="A38" s="97" t="s">
        <v>484</v>
      </c>
      <c r="B38" s="98" t="s">
        <v>503</v>
      </c>
      <c r="C38" s="99" t="s">
        <v>503</v>
      </c>
      <c r="D38" s="98" t="s">
        <v>448</v>
      </c>
      <c r="E38" s="100">
        <v>1</v>
      </c>
      <c r="F38" s="101">
        <v>400</v>
      </c>
      <c r="G38" s="102">
        <v>200</v>
      </c>
      <c r="H38" s="103">
        <v>1</v>
      </c>
      <c r="I38" s="103">
        <v>3</v>
      </c>
      <c r="J38" s="103">
        <v>1</v>
      </c>
      <c r="K38" s="108">
        <v>80</v>
      </c>
      <c r="L38" s="103">
        <v>1</v>
      </c>
      <c r="M38" s="109">
        <f t="shared" si="11"/>
        <v>1320</v>
      </c>
      <c r="N38" s="110">
        <v>200</v>
      </c>
      <c r="O38" s="110">
        <v>200</v>
      </c>
      <c r="P38" s="111">
        <f t="shared" si="12"/>
        <v>400</v>
      </c>
      <c r="Q38" s="100">
        <v>1</v>
      </c>
      <c r="R38" s="108"/>
      <c r="S38" s="115">
        <f t="shared" si="13"/>
        <v>1600</v>
      </c>
      <c r="T38" s="116">
        <f t="shared" si="14"/>
        <v>2920</v>
      </c>
      <c r="U38" s="117">
        <v>0.08</v>
      </c>
      <c r="V38" s="109">
        <f t="shared" si="15"/>
        <v>3153.6000000000004</v>
      </c>
      <c r="W38" s="117">
        <v>0.17</v>
      </c>
      <c r="X38" s="103">
        <f t="shared" si="16"/>
        <v>3689.712</v>
      </c>
      <c r="Y38" s="102">
        <v>100</v>
      </c>
      <c r="Z38" s="101">
        <v>3</v>
      </c>
      <c r="AA38" s="124">
        <v>75</v>
      </c>
      <c r="AB38" s="124">
        <v>75</v>
      </c>
      <c r="AC38" s="100">
        <f t="shared" si="17"/>
        <v>150</v>
      </c>
      <c r="AD38" s="100">
        <f t="shared" si="18"/>
        <v>525</v>
      </c>
      <c r="AE38" s="117">
        <v>0.08</v>
      </c>
      <c r="AF38" s="116">
        <f t="shared" si="19"/>
        <v>567</v>
      </c>
      <c r="AG38" s="100">
        <f t="shared" si="20"/>
        <v>4256.7119999999995</v>
      </c>
      <c r="AH38" s="125">
        <v>0.17</v>
      </c>
      <c r="AI38" s="126">
        <f t="shared" si="21"/>
        <v>4980.3530399999991</v>
      </c>
    </row>
    <row r="39" spans="1:35" ht="16.5">
      <c r="A39" s="97" t="s">
        <v>484</v>
      </c>
      <c r="B39" s="98" t="s">
        <v>505</v>
      </c>
      <c r="C39" s="99" t="s">
        <v>505</v>
      </c>
      <c r="D39" s="98" t="s">
        <v>506</v>
      </c>
      <c r="E39" s="100">
        <v>1</v>
      </c>
      <c r="F39" s="101">
        <v>400</v>
      </c>
      <c r="G39" s="102">
        <v>200</v>
      </c>
      <c r="H39" s="103">
        <v>1</v>
      </c>
      <c r="I39" s="103">
        <v>3</v>
      </c>
      <c r="J39" s="103">
        <v>1</v>
      </c>
      <c r="K39" s="108">
        <v>80</v>
      </c>
      <c r="L39" s="103">
        <v>1</v>
      </c>
      <c r="M39" s="109">
        <f t="shared" si="11"/>
        <v>1320</v>
      </c>
      <c r="N39" s="110">
        <v>200</v>
      </c>
      <c r="O39" s="110">
        <v>200</v>
      </c>
      <c r="P39" s="111">
        <f t="shared" si="12"/>
        <v>400</v>
      </c>
      <c r="Q39" s="100">
        <v>1</v>
      </c>
      <c r="R39" s="108"/>
      <c r="S39" s="115">
        <f t="shared" si="13"/>
        <v>1600</v>
      </c>
      <c r="T39" s="116">
        <f t="shared" si="14"/>
        <v>2920</v>
      </c>
      <c r="U39" s="117">
        <v>0.08</v>
      </c>
      <c r="V39" s="109">
        <f t="shared" si="15"/>
        <v>3153.6000000000004</v>
      </c>
      <c r="W39" s="117">
        <v>0.17</v>
      </c>
      <c r="X39" s="103">
        <f t="shared" si="16"/>
        <v>3689.712</v>
      </c>
      <c r="Y39" s="102">
        <v>100</v>
      </c>
      <c r="Z39" s="101">
        <v>3</v>
      </c>
      <c r="AA39" s="124">
        <v>75</v>
      </c>
      <c r="AB39" s="124">
        <v>75</v>
      </c>
      <c r="AC39" s="100">
        <f t="shared" si="17"/>
        <v>150</v>
      </c>
      <c r="AD39" s="100">
        <f t="shared" si="18"/>
        <v>525</v>
      </c>
      <c r="AE39" s="117">
        <v>0.08</v>
      </c>
      <c r="AF39" s="116">
        <f t="shared" si="19"/>
        <v>567</v>
      </c>
      <c r="AG39" s="100">
        <f t="shared" si="20"/>
        <v>4256.7119999999995</v>
      </c>
      <c r="AH39" s="125">
        <v>0.17</v>
      </c>
      <c r="AI39" s="126">
        <f t="shared" si="21"/>
        <v>4980.3530399999991</v>
      </c>
    </row>
    <row r="40" spans="1:35" ht="16.5">
      <c r="A40" s="97" t="s">
        <v>484</v>
      </c>
      <c r="B40" s="98" t="s">
        <v>507</v>
      </c>
      <c r="C40" s="99" t="s">
        <v>507</v>
      </c>
      <c r="D40" s="98" t="s">
        <v>508</v>
      </c>
      <c r="E40" s="100">
        <v>1</v>
      </c>
      <c r="F40" s="101">
        <v>400</v>
      </c>
      <c r="G40" s="102">
        <v>200</v>
      </c>
      <c r="H40" s="103">
        <v>1</v>
      </c>
      <c r="I40" s="103">
        <v>3</v>
      </c>
      <c r="J40" s="103">
        <v>1</v>
      </c>
      <c r="K40" s="108">
        <v>80</v>
      </c>
      <c r="L40" s="103">
        <v>0</v>
      </c>
      <c r="M40" s="109">
        <f t="shared" si="11"/>
        <v>1000</v>
      </c>
      <c r="N40" s="110">
        <v>75</v>
      </c>
      <c r="O40" s="110">
        <v>75</v>
      </c>
      <c r="P40" s="111">
        <f t="shared" si="12"/>
        <v>150</v>
      </c>
      <c r="Q40" s="100">
        <v>1</v>
      </c>
      <c r="R40" s="108"/>
      <c r="S40" s="115">
        <f t="shared" si="13"/>
        <v>600</v>
      </c>
      <c r="T40" s="116">
        <f t="shared" si="14"/>
        <v>1600</v>
      </c>
      <c r="U40" s="117">
        <v>0.08</v>
      </c>
      <c r="V40" s="109">
        <f t="shared" si="15"/>
        <v>1728</v>
      </c>
      <c r="W40" s="117">
        <v>0.17</v>
      </c>
      <c r="X40" s="103">
        <f t="shared" si="16"/>
        <v>2021.7599999999998</v>
      </c>
      <c r="Y40" s="102">
        <v>100</v>
      </c>
      <c r="Z40" s="101">
        <v>3</v>
      </c>
      <c r="AA40" s="124">
        <v>75</v>
      </c>
      <c r="AB40" s="124">
        <v>75</v>
      </c>
      <c r="AC40" s="100">
        <f t="shared" si="17"/>
        <v>150</v>
      </c>
      <c r="AD40" s="100">
        <f t="shared" si="18"/>
        <v>525</v>
      </c>
      <c r="AE40" s="117">
        <v>0.08</v>
      </c>
      <c r="AF40" s="116">
        <f t="shared" si="19"/>
        <v>567</v>
      </c>
      <c r="AG40" s="100">
        <f t="shared" si="20"/>
        <v>2588.7599999999998</v>
      </c>
      <c r="AH40" s="125">
        <v>0.17</v>
      </c>
      <c r="AI40" s="126">
        <f t="shared" si="21"/>
        <v>3028.8491999999997</v>
      </c>
    </row>
    <row r="41" spans="1:35" ht="16.5">
      <c r="A41" s="97" t="s">
        <v>484</v>
      </c>
      <c r="B41" s="98" t="s">
        <v>507</v>
      </c>
      <c r="C41" s="99" t="s">
        <v>507</v>
      </c>
      <c r="D41" s="98" t="s">
        <v>448</v>
      </c>
      <c r="E41" s="100">
        <v>1</v>
      </c>
      <c r="F41" s="101">
        <v>400</v>
      </c>
      <c r="G41" s="102">
        <v>200</v>
      </c>
      <c r="H41" s="103">
        <v>1</v>
      </c>
      <c r="I41" s="103">
        <v>3</v>
      </c>
      <c r="J41" s="103">
        <v>1</v>
      </c>
      <c r="K41" s="108">
        <v>80</v>
      </c>
      <c r="L41" s="103">
        <v>1</v>
      </c>
      <c r="M41" s="109">
        <f t="shared" si="11"/>
        <v>1320</v>
      </c>
      <c r="N41" s="110">
        <v>200</v>
      </c>
      <c r="O41" s="110">
        <v>200</v>
      </c>
      <c r="P41" s="111">
        <f t="shared" si="12"/>
        <v>400</v>
      </c>
      <c r="Q41" s="100">
        <v>1</v>
      </c>
      <c r="R41" s="108"/>
      <c r="S41" s="115">
        <f t="shared" si="13"/>
        <v>1600</v>
      </c>
      <c r="T41" s="116">
        <f t="shared" si="14"/>
        <v>2920</v>
      </c>
      <c r="U41" s="117">
        <v>0.08</v>
      </c>
      <c r="V41" s="109">
        <f t="shared" si="15"/>
        <v>3153.6000000000004</v>
      </c>
      <c r="W41" s="117">
        <v>0.17</v>
      </c>
      <c r="X41" s="103">
        <f t="shared" si="16"/>
        <v>3689.712</v>
      </c>
      <c r="Y41" s="102">
        <v>100</v>
      </c>
      <c r="Z41" s="101">
        <v>3</v>
      </c>
      <c r="AA41" s="124">
        <v>75</v>
      </c>
      <c r="AB41" s="124">
        <v>75</v>
      </c>
      <c r="AC41" s="100">
        <f t="shared" si="17"/>
        <v>150</v>
      </c>
      <c r="AD41" s="100">
        <f t="shared" si="18"/>
        <v>525</v>
      </c>
      <c r="AE41" s="117">
        <v>0.08</v>
      </c>
      <c r="AF41" s="116">
        <f t="shared" si="19"/>
        <v>567</v>
      </c>
      <c r="AG41" s="100">
        <f t="shared" si="20"/>
        <v>4256.7119999999995</v>
      </c>
      <c r="AH41" s="125">
        <v>0.17</v>
      </c>
      <c r="AI41" s="126">
        <f t="shared" si="21"/>
        <v>4980.3530399999991</v>
      </c>
    </row>
    <row r="42" spans="1:35" ht="16.5">
      <c r="A42" s="97" t="s">
        <v>484</v>
      </c>
      <c r="B42" s="98" t="s">
        <v>509</v>
      </c>
      <c r="C42" s="99" t="s">
        <v>509</v>
      </c>
      <c r="D42" s="98" t="s">
        <v>510</v>
      </c>
      <c r="E42" s="100">
        <v>1</v>
      </c>
      <c r="F42" s="101">
        <v>400</v>
      </c>
      <c r="G42" s="102">
        <v>200</v>
      </c>
      <c r="H42" s="103">
        <v>1</v>
      </c>
      <c r="I42" s="103">
        <v>3</v>
      </c>
      <c r="J42" s="103">
        <v>1</v>
      </c>
      <c r="K42" s="108">
        <v>80</v>
      </c>
      <c r="L42" s="103">
        <v>0</v>
      </c>
      <c r="M42" s="109">
        <f t="shared" si="11"/>
        <v>1000</v>
      </c>
      <c r="N42" s="110">
        <v>75</v>
      </c>
      <c r="O42" s="110">
        <v>75</v>
      </c>
      <c r="P42" s="111">
        <f t="shared" si="12"/>
        <v>150</v>
      </c>
      <c r="Q42" s="100">
        <v>1</v>
      </c>
      <c r="R42" s="108"/>
      <c r="S42" s="115">
        <f t="shared" si="13"/>
        <v>600</v>
      </c>
      <c r="T42" s="116">
        <f t="shared" si="14"/>
        <v>1600</v>
      </c>
      <c r="U42" s="117">
        <v>0.08</v>
      </c>
      <c r="V42" s="109">
        <f t="shared" si="15"/>
        <v>1728</v>
      </c>
      <c r="W42" s="117">
        <v>0.17</v>
      </c>
      <c r="X42" s="103">
        <f t="shared" si="16"/>
        <v>2021.7599999999998</v>
      </c>
      <c r="Y42" s="102">
        <v>100</v>
      </c>
      <c r="Z42" s="101">
        <v>3</v>
      </c>
      <c r="AA42" s="124">
        <v>75</v>
      </c>
      <c r="AB42" s="124">
        <v>75</v>
      </c>
      <c r="AC42" s="100">
        <f t="shared" si="17"/>
        <v>150</v>
      </c>
      <c r="AD42" s="100">
        <f t="shared" si="18"/>
        <v>525</v>
      </c>
      <c r="AE42" s="117">
        <v>0.08</v>
      </c>
      <c r="AF42" s="116">
        <f t="shared" si="19"/>
        <v>567</v>
      </c>
      <c r="AG42" s="100">
        <f t="shared" si="20"/>
        <v>2588.7599999999998</v>
      </c>
      <c r="AH42" s="125">
        <v>0.17</v>
      </c>
      <c r="AI42" s="126">
        <f t="shared" si="21"/>
        <v>3028.8491999999997</v>
      </c>
    </row>
    <row r="43" spans="1:35" ht="16.5">
      <c r="A43" s="97" t="s">
        <v>484</v>
      </c>
      <c r="B43" s="98" t="s">
        <v>509</v>
      </c>
      <c r="C43" s="99" t="s">
        <v>509</v>
      </c>
      <c r="D43" s="98" t="s">
        <v>448</v>
      </c>
      <c r="E43" s="100">
        <v>1</v>
      </c>
      <c r="F43" s="101">
        <v>400</v>
      </c>
      <c r="G43" s="102">
        <v>200</v>
      </c>
      <c r="H43" s="103">
        <v>1</v>
      </c>
      <c r="I43" s="103">
        <v>3</v>
      </c>
      <c r="J43" s="103">
        <v>1</v>
      </c>
      <c r="K43" s="108">
        <v>80</v>
      </c>
      <c r="L43" s="103">
        <v>1</v>
      </c>
      <c r="M43" s="109">
        <f t="shared" si="11"/>
        <v>1320</v>
      </c>
      <c r="N43" s="110">
        <v>200</v>
      </c>
      <c r="O43" s="110">
        <v>200</v>
      </c>
      <c r="P43" s="111">
        <f t="shared" si="12"/>
        <v>400</v>
      </c>
      <c r="Q43" s="100">
        <v>1</v>
      </c>
      <c r="R43" s="108"/>
      <c r="S43" s="115">
        <f t="shared" si="13"/>
        <v>1600</v>
      </c>
      <c r="T43" s="116">
        <f t="shared" si="14"/>
        <v>2920</v>
      </c>
      <c r="U43" s="117">
        <v>0.08</v>
      </c>
      <c r="V43" s="109">
        <f t="shared" si="15"/>
        <v>3153.6000000000004</v>
      </c>
      <c r="W43" s="117">
        <v>0.17</v>
      </c>
      <c r="X43" s="103">
        <f t="shared" si="16"/>
        <v>3689.712</v>
      </c>
      <c r="Y43" s="102">
        <v>100</v>
      </c>
      <c r="Z43" s="101">
        <v>3</v>
      </c>
      <c r="AA43" s="124">
        <v>75</v>
      </c>
      <c r="AB43" s="124">
        <v>75</v>
      </c>
      <c r="AC43" s="100">
        <f t="shared" si="17"/>
        <v>150</v>
      </c>
      <c r="AD43" s="100">
        <f t="shared" si="18"/>
        <v>525</v>
      </c>
      <c r="AE43" s="117">
        <v>0.08</v>
      </c>
      <c r="AF43" s="116">
        <f t="shared" si="19"/>
        <v>567</v>
      </c>
      <c r="AG43" s="100">
        <f t="shared" si="20"/>
        <v>4256.7119999999995</v>
      </c>
      <c r="AH43" s="125">
        <v>0.17</v>
      </c>
      <c r="AI43" s="126">
        <f t="shared" si="21"/>
        <v>4980.3530399999991</v>
      </c>
    </row>
    <row r="44" spans="1:35" ht="16.5">
      <c r="A44" s="97" t="s">
        <v>484</v>
      </c>
      <c r="B44" s="98" t="s">
        <v>511</v>
      </c>
      <c r="C44" s="99" t="s">
        <v>511</v>
      </c>
      <c r="D44" s="98" t="s">
        <v>511</v>
      </c>
      <c r="E44" s="100">
        <v>1</v>
      </c>
      <c r="F44" s="101">
        <v>400</v>
      </c>
      <c r="G44" s="102">
        <v>200</v>
      </c>
      <c r="H44" s="103">
        <v>1</v>
      </c>
      <c r="I44" s="103">
        <v>3</v>
      </c>
      <c r="J44" s="103">
        <v>1</v>
      </c>
      <c r="K44" s="108">
        <v>80</v>
      </c>
      <c r="L44" s="103">
        <v>0</v>
      </c>
      <c r="M44" s="109">
        <f t="shared" si="11"/>
        <v>1000</v>
      </c>
      <c r="N44" s="110">
        <v>75</v>
      </c>
      <c r="O44" s="110">
        <v>75</v>
      </c>
      <c r="P44" s="111">
        <f t="shared" si="12"/>
        <v>150</v>
      </c>
      <c r="Q44" s="100">
        <v>1</v>
      </c>
      <c r="R44" s="108"/>
      <c r="S44" s="115">
        <f t="shared" si="13"/>
        <v>600</v>
      </c>
      <c r="T44" s="116">
        <f t="shared" si="14"/>
        <v>1600</v>
      </c>
      <c r="U44" s="117">
        <v>0.08</v>
      </c>
      <c r="V44" s="109">
        <f t="shared" si="15"/>
        <v>1728</v>
      </c>
      <c r="W44" s="117">
        <v>0.17</v>
      </c>
      <c r="X44" s="103">
        <f t="shared" si="16"/>
        <v>2021.7599999999998</v>
      </c>
      <c r="Y44" s="102">
        <v>100</v>
      </c>
      <c r="Z44" s="101">
        <v>3</v>
      </c>
      <c r="AA44" s="124">
        <v>75</v>
      </c>
      <c r="AB44" s="124">
        <v>75</v>
      </c>
      <c r="AC44" s="100">
        <f t="shared" si="17"/>
        <v>150</v>
      </c>
      <c r="AD44" s="100">
        <f t="shared" si="18"/>
        <v>525</v>
      </c>
      <c r="AE44" s="117">
        <v>0.08</v>
      </c>
      <c r="AF44" s="116">
        <f t="shared" si="19"/>
        <v>567</v>
      </c>
      <c r="AG44" s="100">
        <f t="shared" si="20"/>
        <v>2588.7599999999998</v>
      </c>
      <c r="AH44" s="125">
        <v>0.17</v>
      </c>
      <c r="AI44" s="126">
        <f t="shared" si="21"/>
        <v>3028.8491999999997</v>
      </c>
    </row>
    <row r="45" spans="1:35" ht="16.5">
      <c r="A45" s="94" t="s">
        <v>595</v>
      </c>
      <c r="B45" s="94"/>
      <c r="C45" s="94"/>
      <c r="D45" s="94"/>
      <c r="E45" s="94"/>
      <c r="F45" s="94"/>
      <c r="G45" s="94"/>
      <c r="H45" s="95"/>
      <c r="I45" s="95"/>
      <c r="J45" s="95"/>
      <c r="K45" s="94"/>
      <c r="L45" s="94"/>
      <c r="M45" s="94"/>
      <c r="N45" s="94"/>
      <c r="O45" s="94"/>
      <c r="P45" s="94"/>
      <c r="Q45" s="94"/>
      <c r="R45" s="94"/>
      <c r="S45" s="95"/>
      <c r="T45" s="95"/>
      <c r="U45" s="94"/>
      <c r="V45" s="112"/>
      <c r="W45" s="94"/>
      <c r="X45" s="95"/>
      <c r="Y45" s="95"/>
      <c r="Z45" s="95"/>
      <c r="AA45" s="94"/>
      <c r="AB45" s="94"/>
      <c r="AC45" s="95"/>
      <c r="AD45" s="95"/>
      <c r="AE45" s="95"/>
      <c r="AF45" s="95"/>
      <c r="AG45" s="95"/>
      <c r="AH45" s="95"/>
      <c r="AI45" s="95"/>
    </row>
    <row r="46" spans="1:35" ht="16.5">
      <c r="A46" s="94"/>
      <c r="B46" s="94"/>
      <c r="C46" s="94"/>
      <c r="D46" s="94"/>
      <c r="E46" s="94"/>
      <c r="F46" s="94"/>
      <c r="G46" s="104"/>
      <c r="H46" s="104"/>
      <c r="I46" s="104"/>
      <c r="J46" s="104"/>
      <c r="K46" s="94"/>
      <c r="L46" s="94"/>
      <c r="M46" s="94"/>
      <c r="N46" s="94"/>
      <c r="O46" s="94"/>
      <c r="P46" s="94"/>
      <c r="Q46" s="94"/>
      <c r="R46" s="94"/>
      <c r="S46" s="95"/>
      <c r="T46" s="95"/>
      <c r="U46" s="94"/>
      <c r="V46" s="112"/>
      <c r="W46" s="94"/>
      <c r="X46" s="95"/>
      <c r="Y46" s="95"/>
      <c r="Z46" s="95"/>
      <c r="AA46" s="94"/>
      <c r="AB46" s="94"/>
      <c r="AC46" s="95"/>
      <c r="AD46" s="95"/>
      <c r="AE46" s="95"/>
      <c r="AF46" s="95"/>
      <c r="AG46" s="127">
        <f>AVERAGE(AG5:AG44)</f>
        <v>3431.5811999999992</v>
      </c>
      <c r="AH46" s="95"/>
      <c r="AI46" s="95"/>
    </row>
    <row r="47" spans="1:35" ht="16.5">
      <c r="A47" s="94"/>
      <c r="B47" s="94"/>
      <c r="C47" s="94"/>
      <c r="D47" s="94"/>
      <c r="E47" s="94"/>
      <c r="F47" s="94"/>
      <c r="G47" s="94"/>
      <c r="H47" s="95"/>
      <c r="I47" s="95"/>
      <c r="J47" s="95"/>
      <c r="K47" s="94"/>
      <c r="L47" s="94"/>
      <c r="M47" s="94"/>
      <c r="N47" s="94"/>
      <c r="O47" s="94"/>
      <c r="P47" s="94"/>
      <c r="Q47" s="94"/>
      <c r="R47" s="94"/>
      <c r="S47" s="95"/>
      <c r="T47" s="118"/>
      <c r="U47" s="94"/>
      <c r="V47" s="112"/>
      <c r="W47" s="94"/>
      <c r="X47" s="95"/>
      <c r="Y47" s="95"/>
      <c r="Z47" s="95"/>
      <c r="AA47" s="94"/>
      <c r="AB47" s="94"/>
      <c r="AC47" s="95"/>
      <c r="AD47" s="95"/>
      <c r="AE47" s="95"/>
      <c r="AF47" s="95"/>
      <c r="AG47" s="95"/>
      <c r="AH47" s="95"/>
      <c r="AI47" s="95"/>
    </row>
  </sheetData>
  <sheetProtection algorithmName="SHA-512" hashValue="O+US+poZtFff3PqpA0RWjKm932hNS4mCFKQKwoniPJ1bO4V5izPidCN5zx2gizha70LlzZMzW2DfTzroUA0HQw==" saltValue="oYNOSWjWFhqmxmkik0G7Gw==" spinCount="100000" sheet="1" objects="1" scenarios="1"/>
  <mergeCells count="8">
    <mergeCell ref="AI2:AI3"/>
    <mergeCell ref="F2:X2"/>
    <mergeCell ref="Y2:AF2"/>
    <mergeCell ref="A3:A4"/>
    <mergeCell ref="B3:B4"/>
    <mergeCell ref="C3:C4"/>
    <mergeCell ref="AG2:AG3"/>
    <mergeCell ref="AH2:AH3"/>
  </mergeCells>
  <phoneticPr fontId="29" type="noConversion"/>
  <pageMargins left="0.69930555555555596" right="0.69930555555555596" top="0.75" bottom="0.75" header="0.3" footer="0.3"/>
  <pageSetup paperSize="9" orientation="portrait"/>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3" zoomScale="70" zoomScaleNormal="70" workbookViewId="0">
      <selection activeCell="D16" sqref="D16"/>
    </sheetView>
  </sheetViews>
  <sheetFormatPr defaultColWidth="9" defaultRowHeight="17.25"/>
  <cols>
    <col min="1" max="1" width="9.5" style="1" customWidth="1"/>
    <col min="2" max="2" width="21.375" style="5" customWidth="1"/>
    <col min="3" max="3" width="23.5" style="6" customWidth="1"/>
    <col min="4" max="4" width="13" style="7" customWidth="1"/>
    <col min="5" max="5" width="12.5" style="8" hidden="1" customWidth="1"/>
    <col min="6" max="6" width="14.125" style="9" customWidth="1"/>
    <col min="7" max="7" width="10.375" style="10" hidden="1" customWidth="1"/>
    <col min="8" max="8" width="51.5" style="11" hidden="1" customWidth="1"/>
    <col min="9" max="16384" width="9" style="6"/>
  </cols>
  <sheetData>
    <row r="1" spans="1:8" s="1" customFormat="1">
      <c r="B1" s="5"/>
      <c r="D1" s="12"/>
      <c r="F1" s="13"/>
      <c r="G1" s="14"/>
      <c r="H1" s="15"/>
    </row>
    <row r="2" spans="1:8" s="1" customFormat="1" ht="24.75">
      <c r="A2" s="743" t="s">
        <v>31</v>
      </c>
      <c r="B2" s="743"/>
      <c r="C2" s="743"/>
      <c r="D2" s="743"/>
      <c r="E2" s="743"/>
      <c r="F2" s="743"/>
      <c r="G2" s="743"/>
      <c r="H2" s="743"/>
    </row>
    <row r="3" spans="1:8" s="2" customFormat="1" ht="33">
      <c r="A3" s="16" t="s">
        <v>32</v>
      </c>
      <c r="B3" s="17" t="s">
        <v>33</v>
      </c>
      <c r="C3" s="18" t="s">
        <v>34</v>
      </c>
      <c r="D3" s="18" t="s">
        <v>35</v>
      </c>
      <c r="E3" s="18" t="s">
        <v>36</v>
      </c>
      <c r="F3" s="19" t="s">
        <v>37</v>
      </c>
      <c r="G3" s="20" t="s">
        <v>38</v>
      </c>
      <c r="H3" s="18" t="s">
        <v>39</v>
      </c>
    </row>
    <row r="4" spans="1:8" s="2" customFormat="1" ht="12.95" customHeight="1">
      <c r="A4" s="21">
        <v>1</v>
      </c>
      <c r="B4" s="22" t="s">
        <v>596</v>
      </c>
      <c r="C4" s="23" t="s">
        <v>597</v>
      </c>
      <c r="D4" s="24" t="s">
        <v>42</v>
      </c>
      <c r="E4" s="25">
        <v>65.03</v>
      </c>
      <c r="F4" s="26">
        <f>0.177*0.115*2+0.079*0.182+0.05*0.186+0.182*0.164+0.022*0.17+0.222*0.207</f>
        <v>0.14393</v>
      </c>
      <c r="G4" s="27">
        <f t="shared" ref="G4" si="0">F4*E4</f>
        <v>9.3597678999999996</v>
      </c>
      <c r="H4" s="28" t="s">
        <v>598</v>
      </c>
    </row>
    <row r="5" spans="1:8" s="2" customFormat="1" ht="12.95" customHeight="1">
      <c r="A5" s="21"/>
      <c r="B5" s="22"/>
      <c r="C5" s="23" t="s">
        <v>599</v>
      </c>
      <c r="D5" s="29" t="s">
        <v>42</v>
      </c>
      <c r="E5" s="29">
        <v>15</v>
      </c>
      <c r="F5" s="30">
        <f>(0.177*0.115*2+0.079*0.182+0.05*0.186+0.182*0.164+0.022*0.17+0.222*0.207)*2</f>
        <v>0.28786</v>
      </c>
      <c r="G5" s="27">
        <f>F5*E5</f>
        <v>4.3178999999999998</v>
      </c>
      <c r="H5" s="28" t="s">
        <v>600</v>
      </c>
    </row>
    <row r="6" spans="1:8" s="2" customFormat="1" ht="12.95" customHeight="1">
      <c r="A6" s="21"/>
      <c r="B6" s="22"/>
      <c r="C6" s="23" t="s">
        <v>601</v>
      </c>
      <c r="D6" s="29" t="s">
        <v>132</v>
      </c>
      <c r="E6" s="31">
        <v>20</v>
      </c>
      <c r="F6" s="26">
        <v>1</v>
      </c>
      <c r="G6" s="27">
        <f>F6*E6</f>
        <v>20</v>
      </c>
      <c r="H6" s="28"/>
    </row>
    <row r="7" spans="1:8" s="2" customFormat="1" ht="12.95" customHeight="1">
      <c r="A7" s="21"/>
      <c r="B7" s="22"/>
      <c r="C7" s="32" t="s">
        <v>602</v>
      </c>
      <c r="D7" s="33" t="s">
        <v>603</v>
      </c>
      <c r="E7" s="33">
        <v>2.2000000000000002</v>
      </c>
      <c r="F7" s="34">
        <v>1</v>
      </c>
      <c r="G7" s="35">
        <f>F7*E7</f>
        <v>2.2000000000000002</v>
      </c>
      <c r="H7" s="28" t="s">
        <v>604</v>
      </c>
    </row>
    <row r="8" spans="1:8" s="2" customFormat="1" ht="12.95" customHeight="1">
      <c r="A8" s="21"/>
      <c r="B8" s="22"/>
      <c r="C8" s="46"/>
      <c r="D8" s="46"/>
      <c r="E8" s="46"/>
      <c r="F8" s="28"/>
      <c r="G8" s="27"/>
      <c r="H8" s="28"/>
    </row>
    <row r="9" spans="1:8" s="2" customFormat="1" ht="12.95" customHeight="1">
      <c r="A9" s="21"/>
      <c r="B9" s="36"/>
      <c r="C9" s="37"/>
      <c r="D9" s="37"/>
      <c r="E9" s="37"/>
      <c r="F9" s="38"/>
      <c r="G9" s="27"/>
      <c r="H9" s="38"/>
    </row>
    <row r="10" spans="1:8" s="2" customFormat="1" ht="12.95" customHeight="1">
      <c r="A10" s="21"/>
      <c r="B10" s="36"/>
      <c r="C10" s="37"/>
      <c r="D10" s="37"/>
      <c r="E10" s="37"/>
      <c r="F10" s="38"/>
      <c r="G10" s="27"/>
      <c r="H10" s="38"/>
    </row>
    <row r="11" spans="1:8" s="3" customFormat="1" ht="16.5">
      <c r="A11" s="39">
        <v>1</v>
      </c>
      <c r="B11" s="40" t="s">
        <v>149</v>
      </c>
      <c r="C11" s="41"/>
      <c r="D11" s="42"/>
      <c r="E11" s="43"/>
      <c r="F11" s="42"/>
      <c r="G11" s="44">
        <f>SUM(G4:G10)</f>
        <v>35.877667900000006</v>
      </c>
      <c r="H11" s="45"/>
    </row>
    <row r="12" spans="1:8" s="3" customFormat="1" ht="16.5">
      <c r="A12" s="39">
        <v>2</v>
      </c>
      <c r="B12" s="46" t="s">
        <v>150</v>
      </c>
      <c r="C12" s="47"/>
      <c r="D12" s="48">
        <v>0.1</v>
      </c>
      <c r="E12" s="49"/>
      <c r="F12" s="49"/>
      <c r="G12" s="27">
        <f t="shared" ref="G12" si="1">$G$11*H12</f>
        <v>3.5877667900000008</v>
      </c>
      <c r="H12" s="50">
        <v>0.1</v>
      </c>
    </row>
    <row r="13" spans="1:8" s="3" customFormat="1" ht="16.5">
      <c r="A13" s="39">
        <v>3</v>
      </c>
      <c r="B13" s="46" t="s">
        <v>151</v>
      </c>
      <c r="C13" s="47"/>
      <c r="D13" s="48">
        <v>0.1</v>
      </c>
      <c r="E13" s="49"/>
      <c r="F13" s="49"/>
      <c r="G13" s="27">
        <f>$G$11*H13</f>
        <v>3.5877667900000008</v>
      </c>
      <c r="H13" s="50">
        <v>0.1</v>
      </c>
    </row>
    <row r="14" spans="1:8" s="3" customFormat="1" ht="16.5">
      <c r="A14" s="39">
        <v>4</v>
      </c>
      <c r="B14" s="46" t="s">
        <v>152</v>
      </c>
      <c r="C14" s="47"/>
      <c r="D14" s="48">
        <v>0.35</v>
      </c>
      <c r="E14" s="49"/>
      <c r="F14" s="49"/>
      <c r="G14" s="27">
        <f>$G$11*H14</f>
        <v>12.557183765000001</v>
      </c>
      <c r="H14" s="50">
        <v>0.35</v>
      </c>
    </row>
    <row r="15" spans="1:8" s="3" customFormat="1" ht="16.5">
      <c r="A15" s="39">
        <v>5</v>
      </c>
      <c r="B15" s="46" t="s">
        <v>153</v>
      </c>
      <c r="C15" s="47" t="s">
        <v>154</v>
      </c>
      <c r="D15" s="48">
        <v>0.17</v>
      </c>
      <c r="E15" s="49"/>
      <c r="F15" s="49"/>
      <c r="G15" s="27">
        <f>$G$11*H15</f>
        <v>6.0992035430000016</v>
      </c>
      <c r="H15" s="50">
        <v>0.17</v>
      </c>
    </row>
    <row r="16" spans="1:8" s="3" customFormat="1" ht="18">
      <c r="A16" s="39">
        <v>6</v>
      </c>
      <c r="B16" s="46" t="s">
        <v>155</v>
      </c>
      <c r="C16" s="47" t="s">
        <v>156</v>
      </c>
      <c r="D16" s="51" t="s">
        <v>605</v>
      </c>
      <c r="E16" s="49"/>
      <c r="F16" s="52"/>
      <c r="G16" s="27">
        <v>0</v>
      </c>
      <c r="H16" s="53" t="s">
        <v>605</v>
      </c>
    </row>
    <row r="17" spans="1:8" s="3" customFormat="1" ht="16.5">
      <c r="A17" s="39">
        <v>7</v>
      </c>
      <c r="B17" s="46" t="s">
        <v>158</v>
      </c>
      <c r="C17" s="47"/>
      <c r="D17" s="48">
        <v>0.13</v>
      </c>
      <c r="E17" s="49"/>
      <c r="F17" s="49"/>
      <c r="G17" s="27">
        <f>$G$11*H17</f>
        <v>4.6640968270000007</v>
      </c>
      <c r="H17" s="50">
        <v>0.13</v>
      </c>
    </row>
    <row r="18" spans="1:8" s="3" customFormat="1" ht="16.5">
      <c r="A18" s="39">
        <v>8</v>
      </c>
      <c r="B18" s="46" t="s">
        <v>159</v>
      </c>
      <c r="C18" s="47"/>
      <c r="D18" s="48">
        <v>0.12</v>
      </c>
      <c r="E18" s="49"/>
      <c r="F18" s="49"/>
      <c r="G18" s="27">
        <f>$G$11*H18</f>
        <v>4.3053201480000007</v>
      </c>
      <c r="H18" s="50">
        <v>0.12</v>
      </c>
    </row>
    <row r="19" spans="1:8" s="3" customFormat="1" ht="16.5">
      <c r="A19" s="39">
        <v>9</v>
      </c>
      <c r="B19" s="46" t="s">
        <v>160</v>
      </c>
      <c r="C19" s="47"/>
      <c r="D19" s="49"/>
      <c r="E19" s="49"/>
      <c r="F19" s="49"/>
      <c r="G19" s="27"/>
      <c r="H19" s="54"/>
    </row>
    <row r="20" spans="1:8" s="3" customFormat="1" ht="33">
      <c r="A20" s="39">
        <v>10</v>
      </c>
      <c r="B20" s="46" t="s">
        <v>161</v>
      </c>
      <c r="C20" s="47"/>
      <c r="D20" s="49"/>
      <c r="E20" s="49"/>
      <c r="F20" s="49"/>
      <c r="G20" s="27">
        <f>G19*0.6</f>
        <v>0</v>
      </c>
      <c r="H20" s="54"/>
    </row>
    <row r="21" spans="1:8" s="3" customFormat="1" ht="16.5">
      <c r="A21" s="39">
        <v>11</v>
      </c>
      <c r="B21" s="21" t="s">
        <v>162</v>
      </c>
      <c r="C21" s="47"/>
      <c r="D21" s="49"/>
      <c r="E21" s="49"/>
      <c r="F21" s="49"/>
      <c r="G21" s="27">
        <f>SUM(G11:G20)</f>
        <v>70.679005763000021</v>
      </c>
      <c r="H21" s="55"/>
    </row>
    <row r="22" spans="1:8" s="3" customFormat="1" ht="16.5">
      <c r="A22" s="39">
        <v>12</v>
      </c>
      <c r="B22" s="46" t="s">
        <v>165</v>
      </c>
      <c r="C22" s="56"/>
      <c r="D22" s="49"/>
      <c r="E22" s="49"/>
      <c r="F22" s="49"/>
      <c r="G22" s="27">
        <f>G21*H22</f>
        <v>12.015430979710004</v>
      </c>
      <c r="H22" s="50">
        <v>0.17</v>
      </c>
    </row>
    <row r="23" spans="1:8" s="3" customFormat="1" ht="16.5">
      <c r="A23" s="39">
        <v>13</v>
      </c>
      <c r="B23" s="46" t="s">
        <v>166</v>
      </c>
      <c r="C23" s="47"/>
      <c r="D23" s="49"/>
      <c r="E23" s="49"/>
      <c r="F23" s="49"/>
      <c r="G23" s="27">
        <f>SUM(G21:G22)</f>
        <v>82.694436742710025</v>
      </c>
      <c r="H23" s="54">
        <f>G23</f>
        <v>82.694436742710025</v>
      </c>
    </row>
    <row r="24" spans="1:8" s="3" customFormat="1">
      <c r="A24" s="57"/>
      <c r="B24" s="58"/>
      <c r="C24" s="58"/>
      <c r="D24" s="58"/>
      <c r="E24" s="58"/>
      <c r="F24" s="58"/>
      <c r="G24" s="59"/>
      <c r="H24" s="60"/>
    </row>
    <row r="25" spans="1:8" s="4" customFormat="1" ht="16.5">
      <c r="A25" s="57"/>
      <c r="B25" s="58" t="s">
        <v>167</v>
      </c>
      <c r="C25" s="58"/>
      <c r="D25" s="58"/>
      <c r="E25" s="58"/>
      <c r="F25" s="58"/>
      <c r="G25" s="59"/>
      <c r="H25" s="60"/>
    </row>
    <row r="26" spans="1:8" s="4" customFormat="1" ht="16.5">
      <c r="A26" s="57"/>
      <c r="B26" s="58"/>
      <c r="C26" s="58"/>
      <c r="D26" s="58"/>
      <c r="E26" s="58"/>
      <c r="F26" s="58"/>
      <c r="G26" s="59"/>
      <c r="H26" s="60"/>
    </row>
    <row r="27" spans="1:8" s="4" customFormat="1" ht="16.5" customHeight="1">
      <c r="A27" s="57"/>
      <c r="B27" s="60"/>
      <c r="C27" s="60"/>
      <c r="D27" s="60"/>
      <c r="E27" s="60"/>
      <c r="F27" s="60"/>
      <c r="G27" s="61"/>
      <c r="H27" s="60"/>
    </row>
    <row r="28" spans="1:8" s="4" customFormat="1" ht="16.5">
      <c r="A28" s="57"/>
      <c r="B28" s="62"/>
      <c r="C28" s="60"/>
      <c r="D28" s="60"/>
      <c r="E28" s="60"/>
      <c r="F28" s="60"/>
      <c r="G28" s="61"/>
      <c r="H28" s="60"/>
    </row>
    <row r="29" spans="1:8" s="4" customFormat="1" ht="16.5">
      <c r="A29" s="57"/>
      <c r="B29" s="744" t="s">
        <v>168</v>
      </c>
      <c r="C29" s="745"/>
      <c r="D29" s="745"/>
      <c r="E29" s="63"/>
      <c r="F29" s="64"/>
      <c r="G29" s="65"/>
      <c r="H29" s="60"/>
    </row>
    <row r="30" spans="1:8" s="3" customFormat="1" ht="16.5" customHeight="1">
      <c r="A30" s="66"/>
      <c r="B30" s="67" t="s">
        <v>606</v>
      </c>
      <c r="C30" s="68" t="s">
        <v>170</v>
      </c>
      <c r="D30" s="67" t="s">
        <v>607</v>
      </c>
      <c r="E30" s="69"/>
      <c r="F30" s="70"/>
      <c r="G30" s="71"/>
      <c r="H30" s="72"/>
    </row>
    <row r="31" spans="1:8" s="3" customFormat="1" ht="16.5" customHeight="1">
      <c r="A31" s="66"/>
      <c r="B31" s="73" t="s">
        <v>602</v>
      </c>
      <c r="C31" s="74">
        <f ca="1">SUMIF($C$4:$G$10,B31,$G$4:$G$10)</f>
        <v>2.2000000000000002</v>
      </c>
      <c r="D31" s="75">
        <f ca="1">C31/$G$11</f>
        <v>6.1319481693513304E-2</v>
      </c>
      <c r="E31" s="69"/>
      <c r="F31" s="70"/>
      <c r="G31" s="71"/>
      <c r="H31" s="72"/>
    </row>
    <row r="32" spans="1:8" s="3" customFormat="1" ht="16.5" customHeight="1">
      <c r="A32" s="66"/>
      <c r="B32" s="76" t="s">
        <v>172</v>
      </c>
      <c r="C32" s="77">
        <f ca="1">SUBTOTAL(9,C31:C31)</f>
        <v>2.2000000000000002</v>
      </c>
      <c r="D32" s="78">
        <f ca="1">SUM(D31:D31)</f>
        <v>6.1319481693513304E-2</v>
      </c>
      <c r="E32" s="69"/>
      <c r="F32" s="70"/>
      <c r="G32" s="71"/>
      <c r="H32" s="72"/>
    </row>
    <row r="33" spans="1:8" s="3" customFormat="1" ht="16.5" customHeight="1">
      <c r="A33" s="66"/>
      <c r="B33" s="79"/>
      <c r="C33" s="80"/>
      <c r="D33" s="81"/>
      <c r="E33" s="69"/>
      <c r="F33" s="70"/>
      <c r="G33" s="71"/>
      <c r="H33" s="72"/>
    </row>
    <row r="34" spans="1:8" s="3" customFormat="1" ht="16.5" customHeight="1">
      <c r="A34" s="66"/>
      <c r="B34" s="79"/>
      <c r="C34" s="80"/>
      <c r="D34" s="81"/>
      <c r="E34" s="69"/>
      <c r="F34" s="70"/>
      <c r="G34" s="71"/>
      <c r="H34" s="72"/>
    </row>
    <row r="35" spans="1:8" s="3" customFormat="1" ht="16.5" customHeight="1">
      <c r="A35" s="66"/>
      <c r="B35" s="79"/>
      <c r="C35" s="80"/>
      <c r="D35" s="81"/>
      <c r="E35" s="69"/>
      <c r="F35" s="70"/>
      <c r="G35" s="71"/>
      <c r="H35" s="72"/>
    </row>
    <row r="36" spans="1:8" s="3" customFormat="1" ht="16.5" customHeight="1">
      <c r="A36" s="66"/>
      <c r="B36" s="79"/>
      <c r="C36" s="80"/>
      <c r="D36" s="81"/>
      <c r="E36" s="69"/>
      <c r="F36" s="70"/>
      <c r="G36" s="71"/>
      <c r="H36" s="72"/>
    </row>
    <row r="37" spans="1:8" s="4" customFormat="1" ht="18">
      <c r="A37" s="57"/>
      <c r="B37" s="66"/>
      <c r="C37" s="82" t="s">
        <v>608</v>
      </c>
      <c r="D37" s="83"/>
      <c r="E37" s="84"/>
      <c r="F37" s="85"/>
      <c r="G37" s="86"/>
      <c r="H37" s="87">
        <v>41989</v>
      </c>
    </row>
    <row r="38" spans="1:8" s="4" customFormat="1">
      <c r="A38" s="57"/>
      <c r="B38" s="66"/>
      <c r="C38" s="88"/>
      <c r="D38" s="89"/>
      <c r="E38" s="90"/>
      <c r="F38" s="85"/>
      <c r="G38" s="91"/>
      <c r="H38" s="92" t="s">
        <v>174</v>
      </c>
    </row>
  </sheetData>
  <sheetProtection password="F2D7" sheet="1" objects="1" scenarios="1"/>
  <mergeCells count="2">
    <mergeCell ref="A2:H2"/>
    <mergeCell ref="B29:D29"/>
  </mergeCells>
  <phoneticPr fontId="29" type="noConversion"/>
  <pageMargins left="0.69930555555555596" right="0.69930555555555596"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60" zoomScaleNormal="60" workbookViewId="0">
      <selection activeCell="D16" sqref="D16"/>
    </sheetView>
  </sheetViews>
  <sheetFormatPr defaultColWidth="9" defaultRowHeight="17.25"/>
  <cols>
    <col min="1" max="1" width="9.5" style="1" customWidth="1"/>
    <col min="2" max="2" width="21.375" style="5" customWidth="1"/>
    <col min="3" max="3" width="23.5" style="6" customWidth="1"/>
    <col min="4" max="4" width="13" style="7" customWidth="1"/>
    <col min="5" max="5" width="12.5" style="8" hidden="1" customWidth="1"/>
    <col min="6" max="6" width="14.875" style="9" customWidth="1"/>
    <col min="7" max="7" width="10.375" style="10" hidden="1" customWidth="1"/>
    <col min="8" max="8" width="51.5" style="11" hidden="1" customWidth="1"/>
    <col min="9" max="16384" width="9" style="6"/>
  </cols>
  <sheetData>
    <row r="1" spans="1:8" s="1" customFormat="1">
      <c r="B1" s="5"/>
      <c r="D1" s="12"/>
      <c r="F1" s="13"/>
      <c r="G1" s="14"/>
      <c r="H1" s="15"/>
    </row>
    <row r="2" spans="1:8" s="1" customFormat="1" ht="24.75">
      <c r="A2" s="743" t="s">
        <v>31</v>
      </c>
      <c r="B2" s="743"/>
      <c r="C2" s="743"/>
      <c r="D2" s="743"/>
      <c r="E2" s="743"/>
      <c r="F2" s="743"/>
      <c r="G2" s="743"/>
      <c r="H2" s="743"/>
    </row>
    <row r="3" spans="1:8" s="2" customFormat="1" ht="33">
      <c r="A3" s="16" t="s">
        <v>32</v>
      </c>
      <c r="B3" s="17" t="s">
        <v>33</v>
      </c>
      <c r="C3" s="18" t="s">
        <v>34</v>
      </c>
      <c r="D3" s="18" t="s">
        <v>35</v>
      </c>
      <c r="E3" s="18" t="s">
        <v>36</v>
      </c>
      <c r="F3" s="19" t="s">
        <v>37</v>
      </c>
      <c r="G3" s="20" t="s">
        <v>38</v>
      </c>
      <c r="H3" s="18" t="s">
        <v>39</v>
      </c>
    </row>
    <row r="4" spans="1:8" s="2" customFormat="1" ht="12.95" customHeight="1">
      <c r="A4" s="21">
        <v>1</v>
      </c>
      <c r="B4" s="22" t="s">
        <v>596</v>
      </c>
      <c r="C4" s="23" t="s">
        <v>597</v>
      </c>
      <c r="D4" s="24" t="s">
        <v>42</v>
      </c>
      <c r="E4" s="25">
        <v>65.03</v>
      </c>
      <c r="F4" s="26">
        <f>0.177*0.115*2+0.079*0.182+0.05*0.186+0.182*0.164+0.022*0.17+0.222*0.207+0.15*0.02+0.15*0.193+0.15*0.03</f>
        <v>0.18038000000000001</v>
      </c>
      <c r="G4" s="27">
        <f t="shared" ref="G4" si="0">F4*E4</f>
        <v>11.7301114</v>
      </c>
      <c r="H4" s="28" t="s">
        <v>609</v>
      </c>
    </row>
    <row r="5" spans="1:8" s="2" customFormat="1" ht="12.95" customHeight="1">
      <c r="A5" s="21"/>
      <c r="B5" s="22"/>
      <c r="C5" s="23" t="s">
        <v>599</v>
      </c>
      <c r="D5" s="29" t="s">
        <v>42</v>
      </c>
      <c r="E5" s="29">
        <v>15</v>
      </c>
      <c r="F5" s="30">
        <f>(0.177*0.115*2+0.079*0.182+0.05*0.186+0.182*0.164+0.022*0.17+0.222*0.207+0.15*0.02+0.15*0.193+0.15*0.03)*2</f>
        <v>0.36076000000000003</v>
      </c>
      <c r="G5" s="27">
        <f>F5*E5</f>
        <v>5.4114000000000004</v>
      </c>
      <c r="H5" s="28" t="s">
        <v>610</v>
      </c>
    </row>
    <row r="6" spans="1:8" s="2" customFormat="1" ht="12.95" customHeight="1">
      <c r="A6" s="21"/>
      <c r="B6" s="22"/>
      <c r="C6" s="23" t="s">
        <v>601</v>
      </c>
      <c r="D6" s="29" t="s">
        <v>132</v>
      </c>
      <c r="E6" s="31">
        <v>20</v>
      </c>
      <c r="F6" s="26">
        <v>1</v>
      </c>
      <c r="G6" s="27">
        <f>F6*E6</f>
        <v>20</v>
      </c>
      <c r="H6" s="28"/>
    </row>
    <row r="7" spans="1:8" s="2" customFormat="1" ht="12.95" customHeight="1">
      <c r="A7" s="21"/>
      <c r="B7" s="22"/>
      <c r="C7" s="32" t="s">
        <v>602</v>
      </c>
      <c r="D7" s="33" t="s">
        <v>603</v>
      </c>
      <c r="E7" s="33">
        <v>2.2000000000000002</v>
      </c>
      <c r="F7" s="34">
        <v>1</v>
      </c>
      <c r="G7" s="35">
        <f>F7*E7</f>
        <v>2.2000000000000002</v>
      </c>
      <c r="H7" s="28" t="s">
        <v>604</v>
      </c>
    </row>
    <row r="8" spans="1:8" s="2" customFormat="1" ht="12.95" customHeight="1">
      <c r="A8" s="21"/>
      <c r="B8" s="36"/>
      <c r="C8" s="37"/>
      <c r="D8" s="37"/>
      <c r="E8" s="37"/>
      <c r="F8" s="38"/>
      <c r="G8" s="27"/>
      <c r="H8" s="38"/>
    </row>
    <row r="9" spans="1:8" s="2" customFormat="1" ht="12.95" customHeight="1">
      <c r="A9" s="21"/>
      <c r="B9" s="36"/>
      <c r="C9" s="37"/>
      <c r="D9" s="37"/>
      <c r="E9" s="37"/>
      <c r="F9" s="38"/>
      <c r="G9" s="27"/>
      <c r="H9" s="38"/>
    </row>
    <row r="10" spans="1:8" s="2" customFormat="1" ht="12.95" customHeight="1">
      <c r="A10" s="21"/>
      <c r="B10" s="36"/>
      <c r="C10" s="37"/>
      <c r="D10" s="37"/>
      <c r="E10" s="37"/>
      <c r="F10" s="38"/>
      <c r="G10" s="27"/>
      <c r="H10" s="38"/>
    </row>
    <row r="11" spans="1:8" s="3" customFormat="1" ht="16.5">
      <c r="A11" s="39">
        <v>1</v>
      </c>
      <c r="B11" s="40" t="s">
        <v>149</v>
      </c>
      <c r="C11" s="41"/>
      <c r="D11" s="42"/>
      <c r="E11" s="43"/>
      <c r="F11" s="42"/>
      <c r="G11" s="44">
        <f>SUM(G4:G10)</f>
        <v>39.341511400000002</v>
      </c>
      <c r="H11" s="45"/>
    </row>
    <row r="12" spans="1:8" s="3" customFormat="1" ht="16.5">
      <c r="A12" s="39">
        <v>2</v>
      </c>
      <c r="B12" s="46" t="s">
        <v>150</v>
      </c>
      <c r="C12" s="47"/>
      <c r="D12" s="48">
        <v>0.1</v>
      </c>
      <c r="E12" s="49"/>
      <c r="F12" s="49"/>
      <c r="G12" s="27">
        <f t="shared" ref="G12" si="1">$G$11*H12</f>
        <v>3.9341511400000004</v>
      </c>
      <c r="H12" s="50">
        <v>0.1</v>
      </c>
    </row>
    <row r="13" spans="1:8" s="3" customFormat="1" ht="16.5">
      <c r="A13" s="39">
        <v>3</v>
      </c>
      <c r="B13" s="46" t="s">
        <v>151</v>
      </c>
      <c r="C13" s="47"/>
      <c r="D13" s="48">
        <v>0.1</v>
      </c>
      <c r="E13" s="49"/>
      <c r="F13" s="49"/>
      <c r="G13" s="27">
        <f>$G$11*H13</f>
        <v>3.9341511400000004</v>
      </c>
      <c r="H13" s="50">
        <v>0.1</v>
      </c>
    </row>
    <row r="14" spans="1:8" s="3" customFormat="1" ht="16.5">
      <c r="A14" s="39">
        <v>4</v>
      </c>
      <c r="B14" s="46" t="s">
        <v>152</v>
      </c>
      <c r="C14" s="47"/>
      <c r="D14" s="48">
        <v>0.35</v>
      </c>
      <c r="E14" s="49"/>
      <c r="F14" s="49"/>
      <c r="G14" s="27">
        <f>$G$11*H14</f>
        <v>13.76952899</v>
      </c>
      <c r="H14" s="50">
        <v>0.35</v>
      </c>
    </row>
    <row r="15" spans="1:8" s="3" customFormat="1" ht="16.5">
      <c r="A15" s="39">
        <v>5</v>
      </c>
      <c r="B15" s="46" t="s">
        <v>153</v>
      </c>
      <c r="C15" s="47" t="s">
        <v>154</v>
      </c>
      <c r="D15" s="48">
        <v>0.17</v>
      </c>
      <c r="E15" s="49"/>
      <c r="F15" s="49"/>
      <c r="G15" s="27">
        <f>$G$11*H15</f>
        <v>6.6880569380000008</v>
      </c>
      <c r="H15" s="50">
        <v>0.17</v>
      </c>
    </row>
    <row r="16" spans="1:8" s="3" customFormat="1" ht="18">
      <c r="A16" s="39">
        <v>6</v>
      </c>
      <c r="B16" s="46" t="s">
        <v>155</v>
      </c>
      <c r="C16" s="47" t="s">
        <v>156</v>
      </c>
      <c r="D16" s="51" t="s">
        <v>605</v>
      </c>
      <c r="E16" s="49"/>
      <c r="F16" s="52"/>
      <c r="G16" s="27">
        <v>0</v>
      </c>
      <c r="H16" s="53" t="s">
        <v>605</v>
      </c>
    </row>
    <row r="17" spans="1:8" s="3" customFormat="1" ht="16.5">
      <c r="A17" s="39">
        <v>7</v>
      </c>
      <c r="B17" s="46" t="s">
        <v>158</v>
      </c>
      <c r="C17" s="47"/>
      <c r="D17" s="48">
        <v>0.13</v>
      </c>
      <c r="E17" s="49"/>
      <c r="F17" s="49"/>
      <c r="G17" s="27">
        <f>$G$11*H17</f>
        <v>5.1143964820000001</v>
      </c>
      <c r="H17" s="50">
        <v>0.13</v>
      </c>
    </row>
    <row r="18" spans="1:8" s="3" customFormat="1" ht="16.5">
      <c r="A18" s="39">
        <v>8</v>
      </c>
      <c r="B18" s="46" t="s">
        <v>159</v>
      </c>
      <c r="C18" s="47"/>
      <c r="D18" s="48">
        <v>0.12</v>
      </c>
      <c r="E18" s="49"/>
      <c r="F18" s="49"/>
      <c r="G18" s="27">
        <f>$G$11*H18</f>
        <v>4.7209813680000003</v>
      </c>
      <c r="H18" s="50">
        <v>0.12</v>
      </c>
    </row>
    <row r="19" spans="1:8" s="3" customFormat="1" ht="16.5">
      <c r="A19" s="39">
        <v>9</v>
      </c>
      <c r="B19" s="46" t="s">
        <v>160</v>
      </c>
      <c r="C19" s="47"/>
      <c r="D19" s="49"/>
      <c r="E19" s="49"/>
      <c r="F19" s="49"/>
      <c r="G19" s="27"/>
      <c r="H19" s="54"/>
    </row>
    <row r="20" spans="1:8" s="3" customFormat="1" ht="33">
      <c r="A20" s="39">
        <v>10</v>
      </c>
      <c r="B20" s="46" t="s">
        <v>161</v>
      </c>
      <c r="C20" s="47"/>
      <c r="D20" s="49"/>
      <c r="E20" s="49"/>
      <c r="F20" s="49"/>
      <c r="G20" s="27">
        <f>G19*0.6</f>
        <v>0</v>
      </c>
      <c r="H20" s="54"/>
    </row>
    <row r="21" spans="1:8" s="3" customFormat="1" ht="16.5">
      <c r="A21" s="39">
        <v>11</v>
      </c>
      <c r="B21" s="21" t="s">
        <v>162</v>
      </c>
      <c r="C21" s="47"/>
      <c r="D21" s="49"/>
      <c r="E21" s="49"/>
      <c r="F21" s="49"/>
      <c r="G21" s="27">
        <f>SUM(G11:G20)</f>
        <v>77.502777457999997</v>
      </c>
      <c r="H21" s="55"/>
    </row>
    <row r="22" spans="1:8" s="3" customFormat="1" ht="16.5">
      <c r="A22" s="39">
        <v>12</v>
      </c>
      <c r="B22" s="46" t="s">
        <v>165</v>
      </c>
      <c r="C22" s="56"/>
      <c r="D22" s="49"/>
      <c r="E22" s="49"/>
      <c r="F22" s="49"/>
      <c r="G22" s="27">
        <f>G21*H22</f>
        <v>13.175472167860001</v>
      </c>
      <c r="H22" s="50">
        <v>0.17</v>
      </c>
    </row>
    <row r="23" spans="1:8" s="3" customFormat="1" ht="16.5">
      <c r="A23" s="39">
        <v>13</v>
      </c>
      <c r="B23" s="46" t="s">
        <v>166</v>
      </c>
      <c r="C23" s="47"/>
      <c r="D23" s="49"/>
      <c r="E23" s="49"/>
      <c r="F23" s="49"/>
      <c r="G23" s="27">
        <f>SUM(G21:G22)</f>
        <v>90.678249625859991</v>
      </c>
      <c r="H23" s="54">
        <f>G23</f>
        <v>90.678249625859991</v>
      </c>
    </row>
    <row r="24" spans="1:8" s="3" customFormat="1">
      <c r="A24" s="57"/>
      <c r="B24" s="58"/>
      <c r="C24" s="58"/>
      <c r="D24" s="58"/>
      <c r="E24" s="58"/>
      <c r="F24" s="58"/>
      <c r="G24" s="59"/>
      <c r="H24" s="60"/>
    </row>
    <row r="25" spans="1:8" s="4" customFormat="1" ht="16.5">
      <c r="A25" s="57"/>
      <c r="B25" s="58" t="s">
        <v>167</v>
      </c>
      <c r="C25" s="58"/>
      <c r="D25" s="58"/>
      <c r="E25" s="58"/>
      <c r="F25" s="58"/>
      <c r="G25" s="59"/>
      <c r="H25" s="60"/>
    </row>
    <row r="26" spans="1:8" s="4" customFormat="1" ht="16.5">
      <c r="A26" s="57"/>
      <c r="B26" s="58"/>
      <c r="C26" s="58"/>
      <c r="D26" s="58"/>
      <c r="E26" s="58"/>
      <c r="F26" s="58"/>
      <c r="G26" s="59"/>
      <c r="H26" s="60"/>
    </row>
    <row r="27" spans="1:8" s="4" customFormat="1" ht="16.5" customHeight="1">
      <c r="A27" s="57"/>
      <c r="B27" s="60"/>
      <c r="C27" s="60"/>
      <c r="D27" s="60"/>
      <c r="E27" s="60"/>
      <c r="F27" s="60"/>
      <c r="G27" s="61"/>
      <c r="H27" s="60"/>
    </row>
    <row r="28" spans="1:8" s="4" customFormat="1" ht="16.5">
      <c r="A28" s="57"/>
      <c r="B28" s="62"/>
      <c r="C28" s="60"/>
      <c r="D28" s="60"/>
      <c r="E28" s="60"/>
      <c r="F28" s="60"/>
      <c r="G28" s="61"/>
      <c r="H28" s="60"/>
    </row>
    <row r="29" spans="1:8" s="4" customFormat="1" ht="16.5">
      <c r="A29" s="57"/>
      <c r="B29" s="744" t="s">
        <v>168</v>
      </c>
      <c r="C29" s="745"/>
      <c r="D29" s="745"/>
      <c r="E29" s="63"/>
      <c r="F29" s="64"/>
      <c r="G29" s="65"/>
      <c r="H29" s="60"/>
    </row>
    <row r="30" spans="1:8" s="3" customFormat="1" ht="16.5" customHeight="1">
      <c r="A30" s="66"/>
      <c r="B30" s="67" t="s">
        <v>606</v>
      </c>
      <c r="C30" s="68" t="s">
        <v>170</v>
      </c>
      <c r="D30" s="67" t="s">
        <v>607</v>
      </c>
      <c r="E30" s="69"/>
      <c r="F30" s="70"/>
      <c r="G30" s="71"/>
      <c r="H30" s="72"/>
    </row>
    <row r="31" spans="1:8" s="3" customFormat="1" ht="16.5" customHeight="1">
      <c r="A31" s="66"/>
      <c r="B31" s="73" t="s">
        <v>602</v>
      </c>
      <c r="C31" s="74">
        <f ca="1">SUMIF($C$4:$G$10,B31,$G$4:$G$10)</f>
        <v>2.2000000000000002</v>
      </c>
      <c r="D31" s="75">
        <f ca="1">C31/$G$11</f>
        <v>5.5920576554158517E-2</v>
      </c>
      <c r="E31" s="69"/>
      <c r="F31" s="70"/>
      <c r="G31" s="71"/>
      <c r="H31" s="72"/>
    </row>
    <row r="32" spans="1:8" s="3" customFormat="1" ht="16.5" customHeight="1">
      <c r="A32" s="66"/>
      <c r="B32" s="76" t="s">
        <v>172</v>
      </c>
      <c r="C32" s="77">
        <f ca="1">SUBTOTAL(9,C31:C31)</f>
        <v>2.2000000000000002</v>
      </c>
      <c r="D32" s="78">
        <f ca="1">SUM(D31:D31)</f>
        <v>5.5920576554158517E-2</v>
      </c>
      <c r="E32" s="69"/>
      <c r="F32" s="70"/>
      <c r="G32" s="71"/>
      <c r="H32" s="72"/>
    </row>
    <row r="33" spans="1:8" s="3" customFormat="1" ht="16.5" customHeight="1">
      <c r="A33" s="66"/>
      <c r="B33" s="79"/>
      <c r="C33" s="80"/>
      <c r="D33" s="81"/>
      <c r="E33" s="69"/>
      <c r="F33" s="70"/>
      <c r="G33" s="71"/>
      <c r="H33" s="72"/>
    </row>
    <row r="34" spans="1:8" s="3" customFormat="1" ht="16.5" customHeight="1">
      <c r="A34" s="66"/>
      <c r="B34" s="79"/>
      <c r="C34" s="80"/>
      <c r="D34" s="81"/>
      <c r="E34" s="69"/>
      <c r="F34" s="70"/>
      <c r="G34" s="71"/>
      <c r="H34" s="72"/>
    </row>
    <row r="35" spans="1:8" s="3" customFormat="1" ht="16.5" customHeight="1">
      <c r="A35" s="66"/>
      <c r="B35" s="79"/>
      <c r="C35" s="80"/>
      <c r="D35" s="81"/>
      <c r="E35" s="69"/>
      <c r="F35" s="70"/>
      <c r="G35" s="71"/>
      <c r="H35" s="72"/>
    </row>
    <row r="36" spans="1:8" s="3" customFormat="1" ht="16.5" customHeight="1">
      <c r="A36" s="66"/>
      <c r="B36" s="79"/>
      <c r="C36" s="80"/>
      <c r="D36" s="81"/>
      <c r="E36" s="69"/>
      <c r="F36" s="70"/>
      <c r="G36" s="71"/>
      <c r="H36" s="72"/>
    </row>
    <row r="37" spans="1:8" s="4" customFormat="1" ht="18">
      <c r="A37" s="57"/>
      <c r="B37" s="66"/>
      <c r="C37" s="82" t="s">
        <v>608</v>
      </c>
      <c r="D37" s="83"/>
      <c r="E37" s="84"/>
      <c r="F37" s="85"/>
      <c r="G37" s="86"/>
      <c r="H37" s="87">
        <v>41989</v>
      </c>
    </row>
    <row r="38" spans="1:8" s="4" customFormat="1">
      <c r="A38" s="57"/>
      <c r="B38" s="66"/>
      <c r="C38" s="88"/>
      <c r="D38" s="89"/>
      <c r="E38" s="90"/>
      <c r="F38" s="85"/>
      <c r="G38" s="91"/>
      <c r="H38" s="92" t="s">
        <v>174</v>
      </c>
    </row>
  </sheetData>
  <sheetProtection password="F2D7" sheet="1" objects="1" scenarios="1"/>
  <mergeCells count="2">
    <mergeCell ref="A2:H2"/>
    <mergeCell ref="B29:D29"/>
  </mergeCells>
  <phoneticPr fontId="29"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1</vt:i4>
      </vt:variant>
    </vt:vector>
  </HeadingPairs>
  <TitlesOfParts>
    <vt:vector size="21" baseType="lpstr">
      <vt:lpstr>Non open报价</vt:lpstr>
      <vt:lpstr>open报价</vt:lpstr>
      <vt:lpstr>GIL BBU报价</vt:lpstr>
      <vt:lpstr>Agency Quotation Header-GIL BBU</vt:lpstr>
      <vt:lpstr>HC BBU报价</vt:lpstr>
      <vt:lpstr>Agency Quotation Header-HC BBU</vt:lpstr>
      <vt:lpstr>My Castle报价</vt:lpstr>
      <vt:lpstr>Agency Quotation Header-MC</vt:lpstr>
      <vt:lpstr>矮柜旗舰端架-灯</vt:lpstr>
      <vt:lpstr>大润发高柜</vt:lpstr>
      <vt:lpstr>大润发高柜-灯</vt:lpstr>
      <vt:lpstr>高柜经济</vt:lpstr>
      <vt:lpstr>高柜经济-灯</vt:lpstr>
      <vt:lpstr>高柜旗舰</vt:lpstr>
      <vt:lpstr>高柜旗舰-灯</vt:lpstr>
      <vt:lpstr>运输-矮柜</vt:lpstr>
      <vt:lpstr>运输-高柜</vt:lpstr>
      <vt:lpstr>安装</vt:lpstr>
      <vt:lpstr>高柜支撑件</vt:lpstr>
      <vt:lpstr>矮柜支撑件</vt:lpstr>
      <vt:lpstr>'Agency Quotation Header-MC'!Print_Titles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Wong</dc:creator>
  <cp:lastModifiedBy>leo.li</cp:lastModifiedBy>
  <dcterms:created xsi:type="dcterms:W3CDTF">2006-09-16T00:00:00Z</dcterms:created>
  <dcterms:modified xsi:type="dcterms:W3CDTF">2015-07-27T14:09:17Z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2052-9.1.0.5100</vt:lpwstr>
  </property>
</Properties>
</file>