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94\Desktop\UIUC\作业\Fin 500\HW3\"/>
    </mc:Choice>
  </mc:AlternateContent>
  <xr:revisionPtr revIDLastSave="0" documentId="13_ncr:1_{1676F6AF-F63E-4275-80FA-E37A77A390A2}" xr6:coauthVersionLast="47" xr6:coauthVersionMax="47" xr10:uidLastSave="{00000000-0000-0000-0000-000000000000}"/>
  <bookViews>
    <workbookView xWindow="-98" yWindow="-98" windowWidth="19396" windowHeight="11475" activeTab="1" xr2:uid="{D88458E2-7BD1-1942-B987-2DCA4728D8AC}"/>
  </bookViews>
  <sheets>
    <sheet name="Q1" sheetId="2" r:id="rId1"/>
    <sheet name="Q3" sheetId="3" r:id="rId2"/>
    <sheet name="Q4" sheetId="1" r:id="rId3"/>
    <sheet name="Q7" sheetId="4" r:id="rId4"/>
  </sheets>
  <definedNames>
    <definedName name="a_0">'Q4'!$D$21</definedName>
    <definedName name="a_1">'Q4'!$D$22</definedName>
    <definedName name="a_2">'Q4'!$D$23</definedName>
    <definedName name="a_3">'Q4'!$D$24</definedName>
    <definedName name="a_4">'Q4'!$D$25</definedName>
    <definedName name="solver_adj" localSheetId="1" hidden="1">'Q3'!$C$22:$C$23</definedName>
    <definedName name="solver_adj" localSheetId="2" hidden="1">'Q4'!$D$21:$D$25</definedName>
    <definedName name="solver_adj" localSheetId="3" hidden="1">'Q7'!$C$7:$C$8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'Q3'!$B$25</definedName>
    <definedName name="solver_lhs1" localSheetId="3" hidden="1">'Q7'!$C$9</definedName>
    <definedName name="solver_lhs2" localSheetId="1" hidden="1">'Q3'!$B$26</definedName>
    <definedName name="solver_lhs2" localSheetId="3" hidden="1">'Q7'!$C$9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2" hidden="1">'Q4'!$G$23</definedName>
    <definedName name="solver_opt" localSheetId="3" hidden="1">'Q7'!$C$11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2" hidden="1">1</definedName>
    <definedName name="solver_rbv" localSheetId="3" hidden="1">2</definedName>
    <definedName name="solver_rel1" localSheetId="1" hidden="1">2</definedName>
    <definedName name="solver_rel1" localSheetId="3" hidden="1">2</definedName>
    <definedName name="solver_rel2" localSheetId="1" hidden="1">2</definedName>
    <definedName name="solver_rel2" localSheetId="3" hidden="1">2</definedName>
    <definedName name="solver_rhs1" localSheetId="1" hidden="1">0</definedName>
    <definedName name="solver_rhs1" localSheetId="3" hidden="1">0</definedName>
    <definedName name="solver_rhs2" localSheetId="1" hidden="1">0</definedName>
    <definedName name="solver_rhs2" localSheetId="3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3</definedName>
    <definedName name="solver_typ" localSheetId="2" hidden="1">2</definedName>
    <definedName name="solver_typ" localSheetId="3" hidden="1">3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B26" i="3"/>
  <c r="F4" i="4"/>
  <c r="F5" i="4"/>
  <c r="F3" i="4"/>
  <c r="H3" i="4" s="1"/>
  <c r="G3" i="4"/>
  <c r="I5" i="1"/>
  <c r="I6" i="1" s="1"/>
  <c r="J10" i="1"/>
  <c r="J11" i="1"/>
  <c r="F6" i="3"/>
  <c r="F5" i="3"/>
  <c r="F13" i="3" s="1"/>
  <c r="F7" i="3"/>
  <c r="F8" i="3"/>
  <c r="F9" i="3"/>
  <c r="F10" i="3"/>
  <c r="F11" i="3"/>
  <c r="F12" i="3"/>
  <c r="E12" i="1"/>
  <c r="F12" i="1" s="1"/>
  <c r="E11" i="1"/>
  <c r="F11" i="1" s="1"/>
  <c r="E10" i="1"/>
  <c r="F10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C5" i="3"/>
  <c r="C6" i="3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E6" i="3"/>
  <c r="E5" i="3"/>
  <c r="L11" i="1"/>
  <c r="X5" i="1"/>
  <c r="X6" i="1" s="1"/>
  <c r="W5" i="1"/>
  <c r="W6" i="1" s="1"/>
  <c r="V5" i="1"/>
  <c r="V6" i="1" s="1"/>
  <c r="U5" i="1"/>
  <c r="U6" i="1" s="1"/>
  <c r="T5" i="1"/>
  <c r="S5" i="1"/>
  <c r="S6" i="1" s="1"/>
  <c r="R5" i="1"/>
  <c r="Q5" i="1"/>
  <c r="Q6" i="1" s="1"/>
  <c r="P5" i="1"/>
  <c r="O5" i="1"/>
  <c r="O6" i="1" s="1"/>
  <c r="N5" i="1"/>
  <c r="N6" i="1" s="1"/>
  <c r="M5" i="1"/>
  <c r="M6" i="1" s="1"/>
  <c r="L5" i="1"/>
  <c r="L6" i="1" s="1"/>
  <c r="K5" i="1"/>
  <c r="K6" i="1" s="1"/>
  <c r="J5" i="1"/>
  <c r="H5" i="1"/>
  <c r="G5" i="1"/>
  <c r="C9" i="4"/>
  <c r="D5" i="4"/>
  <c r="H5" i="4" s="1"/>
  <c r="D3" i="4"/>
  <c r="E4" i="4"/>
  <c r="E5" i="4"/>
  <c r="E3" i="4"/>
  <c r="D4" i="4"/>
  <c r="H4" i="4" s="1"/>
  <c r="B38" i="1"/>
  <c r="G10" i="1"/>
  <c r="H10" i="1"/>
  <c r="G11" i="1"/>
  <c r="T6" i="1"/>
  <c r="R6" i="1"/>
  <c r="P6" i="1"/>
  <c r="J6" i="1"/>
  <c r="H6" i="1"/>
  <c r="G6" i="1"/>
  <c r="C10" i="4" l="1"/>
  <c r="C11" i="4" s="1"/>
  <c r="J20" i="1"/>
  <c r="I20" i="1"/>
  <c r="I21" i="1" s="1"/>
  <c r="I22" i="1" s="1"/>
  <c r="G20" i="1"/>
  <c r="E13" i="3"/>
  <c r="G4" i="4"/>
  <c r="G5" i="4"/>
  <c r="A31" i="1"/>
  <c r="A32" i="1" s="1"/>
  <c r="B30" i="1"/>
  <c r="A11" i="1"/>
  <c r="O10" i="1"/>
  <c r="N10" i="1"/>
  <c r="M10" i="1"/>
  <c r="B10" i="1"/>
  <c r="C10" i="1" s="1"/>
  <c r="C6" i="1" s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X3" i="1"/>
  <c r="X10" i="1" s="1"/>
  <c r="W3" i="1"/>
  <c r="W11" i="1" s="1"/>
  <c r="V3" i="1"/>
  <c r="V11" i="1" s="1"/>
  <c r="U3" i="1"/>
  <c r="U11" i="1" s="1"/>
  <c r="T3" i="1"/>
  <c r="T10" i="1" s="1"/>
  <c r="S3" i="1"/>
  <c r="S10" i="1" s="1"/>
  <c r="R3" i="1"/>
  <c r="R10" i="1" s="1"/>
  <c r="Q3" i="1"/>
  <c r="Q10" i="1" s="1"/>
  <c r="P3" i="1"/>
  <c r="P10" i="1" s="1"/>
  <c r="O3" i="1"/>
  <c r="N3" i="1"/>
  <c r="L3" i="1"/>
  <c r="L10" i="1" s="1"/>
  <c r="K3" i="1"/>
  <c r="K10" i="1" s="1"/>
  <c r="J3" i="1"/>
  <c r="I3" i="1"/>
  <c r="H3" i="1"/>
  <c r="G3" i="1"/>
  <c r="F14" i="3" l="1"/>
  <c r="M11" i="1"/>
  <c r="I10" i="1"/>
  <c r="N11" i="1"/>
  <c r="O11" i="1"/>
  <c r="U10" i="1"/>
  <c r="V10" i="1"/>
  <c r="W10" i="1"/>
  <c r="T11" i="1"/>
  <c r="B11" i="1"/>
  <c r="C11" i="1" s="1"/>
  <c r="D11" i="1" s="1"/>
  <c r="B31" i="1"/>
  <c r="D10" i="1"/>
  <c r="B32" i="1"/>
  <c r="A33" i="1"/>
  <c r="H11" i="1"/>
  <c r="P11" i="1"/>
  <c r="X11" i="1"/>
  <c r="I11" i="1"/>
  <c r="Q11" i="1"/>
  <c r="A12" i="1"/>
  <c r="R11" i="1"/>
  <c r="K11" i="1"/>
  <c r="S11" i="1"/>
  <c r="T12" i="1" l="1"/>
  <c r="L12" i="1"/>
  <c r="N12" i="1"/>
  <c r="S12" i="1"/>
  <c r="K12" i="1"/>
  <c r="V12" i="1"/>
  <c r="R12" i="1"/>
  <c r="J12" i="1"/>
  <c r="B12" i="1"/>
  <c r="C12" i="1" s="1"/>
  <c r="D12" i="1" s="1"/>
  <c r="M12" i="1"/>
  <c r="A13" i="1"/>
  <c r="Q12" i="1"/>
  <c r="I12" i="1"/>
  <c r="X12" i="1"/>
  <c r="P12" i="1"/>
  <c r="H12" i="1"/>
  <c r="U12" i="1"/>
  <c r="W12" i="1"/>
  <c r="O12" i="1"/>
  <c r="G12" i="1"/>
  <c r="B33" i="1"/>
  <c r="A34" i="1"/>
  <c r="T13" i="1" l="1"/>
  <c r="L13" i="1"/>
  <c r="N13" i="1"/>
  <c r="S13" i="1"/>
  <c r="K13" i="1"/>
  <c r="M13" i="1"/>
  <c r="R13" i="1"/>
  <c r="J13" i="1"/>
  <c r="B13" i="1"/>
  <c r="C13" i="1" s="1"/>
  <c r="D13" i="1" s="1"/>
  <c r="V13" i="1"/>
  <c r="A14" i="1"/>
  <c r="Q13" i="1"/>
  <c r="I13" i="1"/>
  <c r="X13" i="1"/>
  <c r="P13" i="1"/>
  <c r="H13" i="1"/>
  <c r="G13" i="1"/>
  <c r="W13" i="1"/>
  <c r="O13" i="1"/>
  <c r="U13" i="1"/>
  <c r="A35" i="1"/>
  <c r="B34" i="1"/>
  <c r="T14" i="1" l="1"/>
  <c r="L14" i="1"/>
  <c r="N14" i="1"/>
  <c r="U14" i="1"/>
  <c r="S14" i="1"/>
  <c r="K14" i="1"/>
  <c r="R14" i="1"/>
  <c r="J14" i="1"/>
  <c r="B14" i="1"/>
  <c r="C14" i="1" s="1"/>
  <c r="D14" i="1" s="1"/>
  <c r="A15" i="1"/>
  <c r="Q14" i="1"/>
  <c r="I14" i="1"/>
  <c r="X14" i="1"/>
  <c r="P14" i="1"/>
  <c r="H14" i="1"/>
  <c r="M14" i="1"/>
  <c r="W14" i="1"/>
  <c r="O14" i="1"/>
  <c r="G14" i="1"/>
  <c r="V14" i="1"/>
  <c r="A36" i="1"/>
  <c r="B35" i="1"/>
  <c r="B36" i="1" l="1"/>
  <c r="A37" i="1"/>
  <c r="T15" i="1"/>
  <c r="L15" i="1"/>
  <c r="S15" i="1"/>
  <c r="K15" i="1"/>
  <c r="C15" i="1"/>
  <c r="D15" i="1" s="1"/>
  <c r="N15" i="1"/>
  <c r="M15" i="1"/>
  <c r="R15" i="1"/>
  <c r="J15" i="1"/>
  <c r="B15" i="1"/>
  <c r="A16" i="1"/>
  <c r="Q15" i="1"/>
  <c r="I15" i="1"/>
  <c r="X15" i="1"/>
  <c r="P15" i="1"/>
  <c r="H15" i="1"/>
  <c r="W15" i="1"/>
  <c r="O15" i="1"/>
  <c r="G15" i="1"/>
  <c r="V15" i="1"/>
  <c r="U15" i="1"/>
  <c r="B37" i="1" l="1"/>
  <c r="A38" i="1"/>
  <c r="T16" i="1"/>
  <c r="L16" i="1"/>
  <c r="S16" i="1"/>
  <c r="K16" i="1"/>
  <c r="C16" i="1"/>
  <c r="D16" i="1" s="1"/>
  <c r="V16" i="1"/>
  <c r="R16" i="1"/>
  <c r="J16" i="1"/>
  <c r="B16" i="1"/>
  <c r="N16" i="1"/>
  <c r="A17" i="1"/>
  <c r="Q16" i="1"/>
  <c r="I16" i="1"/>
  <c r="X16" i="1"/>
  <c r="P16" i="1"/>
  <c r="H16" i="1"/>
  <c r="M16" i="1"/>
  <c r="W16" i="1"/>
  <c r="O16" i="1"/>
  <c r="G16" i="1"/>
  <c r="U16" i="1"/>
  <c r="A39" i="1" l="1"/>
  <c r="T17" i="1"/>
  <c r="L17" i="1"/>
  <c r="N17" i="1"/>
  <c r="S17" i="1"/>
  <c r="K17" i="1"/>
  <c r="R17" i="1"/>
  <c r="J17" i="1"/>
  <c r="B17" i="1"/>
  <c r="C17" i="1" s="1"/>
  <c r="D17" i="1" s="1"/>
  <c r="V17" i="1"/>
  <c r="A18" i="1"/>
  <c r="Q17" i="1"/>
  <c r="I17" i="1"/>
  <c r="U17" i="1"/>
  <c r="X17" i="1"/>
  <c r="P17" i="1"/>
  <c r="H17" i="1"/>
  <c r="M17" i="1"/>
  <c r="W17" i="1"/>
  <c r="O17" i="1"/>
  <c r="G17" i="1"/>
  <c r="T18" i="1" l="1"/>
  <c r="L18" i="1"/>
  <c r="N18" i="1"/>
  <c r="S18" i="1"/>
  <c r="K18" i="1"/>
  <c r="R18" i="1"/>
  <c r="J18" i="1"/>
  <c r="B18" i="1"/>
  <c r="C18" i="1" s="1"/>
  <c r="D18" i="1" s="1"/>
  <c r="M18" i="1"/>
  <c r="Q18" i="1"/>
  <c r="I18" i="1"/>
  <c r="X18" i="1"/>
  <c r="P18" i="1"/>
  <c r="H18" i="1"/>
  <c r="U18" i="1"/>
  <c r="W18" i="1"/>
  <c r="O18" i="1"/>
  <c r="G18" i="1"/>
  <c r="V18" i="1"/>
  <c r="A40" i="1"/>
  <c r="B39" i="1"/>
  <c r="B40" i="1" l="1"/>
  <c r="A41" i="1"/>
  <c r="R20" i="1"/>
  <c r="R21" i="1" s="1"/>
  <c r="R22" i="1" s="1"/>
  <c r="U20" i="1"/>
  <c r="U21" i="1" s="1"/>
  <c r="U22" i="1" s="1"/>
  <c r="T20" i="1"/>
  <c r="T21" i="1" s="1"/>
  <c r="T22" i="1" s="1"/>
  <c r="L20" i="1"/>
  <c r="L21" i="1" s="1"/>
  <c r="L22" i="1" s="1"/>
  <c r="W20" i="1"/>
  <c r="W21" i="1" s="1"/>
  <c r="W22" i="1" s="1"/>
  <c r="S20" i="1"/>
  <c r="S21" i="1" s="1"/>
  <c r="S22" i="1" s="1"/>
  <c r="V20" i="1"/>
  <c r="V21" i="1" s="1"/>
  <c r="V22" i="1" s="1"/>
  <c r="G21" i="1"/>
  <c r="G22" i="1" s="1"/>
  <c r="P20" i="1"/>
  <c r="P21" i="1" s="1"/>
  <c r="P22" i="1" s="1"/>
  <c r="X20" i="1"/>
  <c r="X21" i="1" s="1"/>
  <c r="X22" i="1" s="1"/>
  <c r="K20" i="1"/>
  <c r="K21" i="1" s="1"/>
  <c r="K22" i="1" s="1"/>
  <c r="Q20" i="1"/>
  <c r="Q21" i="1" s="1"/>
  <c r="Q22" i="1" s="1"/>
  <c r="N20" i="1"/>
  <c r="N21" i="1" s="1"/>
  <c r="N22" i="1" s="1"/>
  <c r="O20" i="1"/>
  <c r="O21" i="1" s="1"/>
  <c r="O22" i="1" s="1"/>
  <c r="M20" i="1"/>
  <c r="M21" i="1" s="1"/>
  <c r="M22" i="1" s="1"/>
  <c r="H20" i="1"/>
  <c r="H21" i="1" s="1"/>
  <c r="H22" i="1" s="1"/>
  <c r="J21" i="1"/>
  <c r="J22" i="1" s="1"/>
  <c r="G23" i="1" l="1"/>
  <c r="B41" i="1"/>
  <c r="A42" i="1"/>
  <c r="A43" i="1" l="1"/>
  <c r="B42" i="1"/>
  <c r="A44" i="1" l="1"/>
  <c r="B43" i="1"/>
  <c r="B44" i="1" l="1"/>
  <c r="A45" i="1"/>
  <c r="B45" i="1" l="1"/>
  <c r="A46" i="1"/>
  <c r="A47" i="1" l="1"/>
  <c r="B46" i="1"/>
  <c r="A48" i="1" l="1"/>
  <c r="B47" i="1"/>
  <c r="B48" i="1" l="1"/>
  <c r="A49" i="1"/>
  <c r="B49" i="1" l="1"/>
  <c r="A50" i="1"/>
  <c r="A51" i="1" l="1"/>
  <c r="B50" i="1"/>
  <c r="A52" i="1" l="1"/>
  <c r="B51" i="1"/>
  <c r="B52" i="1" l="1"/>
  <c r="A53" i="1"/>
  <c r="A54" i="1" l="1"/>
  <c r="B53" i="1"/>
  <c r="A55" i="1" l="1"/>
  <c r="B54" i="1"/>
  <c r="A56" i="1" l="1"/>
  <c r="B55" i="1"/>
  <c r="B56" i="1" l="1"/>
  <c r="A57" i="1"/>
  <c r="B57" i="1" l="1"/>
  <c r="A58" i="1"/>
  <c r="A59" i="1" l="1"/>
  <c r="B58" i="1"/>
  <c r="A60" i="1" l="1"/>
  <c r="B59" i="1"/>
  <c r="B60" i="1" l="1"/>
  <c r="A61" i="1"/>
  <c r="B61" i="1" l="1"/>
  <c r="A62" i="1"/>
  <c r="A63" i="1" l="1"/>
  <c r="B62" i="1"/>
  <c r="A64" i="1" l="1"/>
  <c r="B63" i="1"/>
  <c r="B64" i="1" l="1"/>
  <c r="A65" i="1"/>
  <c r="B65" i="1" l="1"/>
  <c r="A66" i="1"/>
  <c r="A67" i="1" l="1"/>
  <c r="B66" i="1"/>
  <c r="A68" i="1" l="1"/>
  <c r="B67" i="1"/>
  <c r="B68" i="1" l="1"/>
  <c r="A69" i="1"/>
  <c r="A70" i="1" l="1"/>
  <c r="B69" i="1"/>
  <c r="A71" i="1" l="1"/>
  <c r="B70" i="1"/>
  <c r="A72" i="1" l="1"/>
  <c r="B71" i="1"/>
  <c r="B72" i="1" l="1"/>
  <c r="A73" i="1"/>
  <c r="B73" i="1" l="1"/>
  <c r="A74" i="1"/>
  <c r="A75" i="1" l="1"/>
  <c r="B74" i="1"/>
  <c r="A76" i="1" l="1"/>
  <c r="B75" i="1"/>
  <c r="B76" i="1" l="1"/>
  <c r="A77" i="1"/>
  <c r="B77" i="1" l="1"/>
  <c r="A78" i="1"/>
  <c r="A79" i="1" l="1"/>
  <c r="B78" i="1"/>
  <c r="A80" i="1" l="1"/>
  <c r="B80" i="1" s="1"/>
  <c r="B79" i="1"/>
</calcChain>
</file>

<file path=xl/sharedStrings.xml><?xml version="1.0" encoding="utf-8"?>
<sst xmlns="http://schemas.openxmlformats.org/spreadsheetml/2006/main" count="98" uniqueCount="86">
  <si>
    <t>Bond Data and Computation of the Invoice Prices</t>
  </si>
  <si>
    <t>Maturity:</t>
  </si>
  <si>
    <t>Trade Date:</t>
  </si>
  <si>
    <t>Coupon:</t>
  </si>
  <si>
    <t>Settlement Date:</t>
  </si>
  <si>
    <t>Ask Price:</t>
  </si>
  <si>
    <t>Previous payment date:</t>
  </si>
  <si>
    <t>Accrued Interest:</t>
  </si>
  <si>
    <t>Invoice Price:</t>
  </si>
  <si>
    <t>Scheduled Payment Date</t>
  </si>
  <si>
    <t>Day      (Sun. = 1)</t>
  </si>
  <si>
    <t>Actual Payment Date</t>
  </si>
  <si>
    <t>Time Until Payment (years)</t>
  </si>
  <si>
    <t>Zero-Coupon Rate</t>
  </si>
  <si>
    <t>Discount Factor</t>
  </si>
  <si>
    <t>Bond Cash Flows on the Payment Dates</t>
  </si>
  <si>
    <t>Yield Curve Parameters</t>
  </si>
  <si>
    <t>Model Price</t>
  </si>
  <si>
    <t>Use "Solver" to choose the yield curve parameters in D:21-D:25 to minimize the sum of squared pricing errors in cell G23</t>
  </si>
  <si>
    <t>a0</t>
  </si>
  <si>
    <t>Pricing Error</t>
  </si>
  <si>
    <t>a1</t>
  </si>
  <si>
    <t>Squared Error</t>
  </si>
  <si>
    <t>a2</t>
  </si>
  <si>
    <t>Sum of squared pricing errors</t>
  </si>
  <si>
    <t>a3</t>
  </si>
  <si>
    <t>a4</t>
  </si>
  <si>
    <t>t</t>
  </si>
  <si>
    <t>Rate</t>
  </si>
  <si>
    <t>Question 4 (Luenberger 4.4)</t>
  </si>
  <si>
    <t>Question 1</t>
  </si>
  <si>
    <t>Calculation of Swap Value</t>
  </si>
  <si>
    <t>Swap Cash Flow, Replacing LIBOR with the Forward Rate</t>
  </si>
  <si>
    <t>PV of Swap Cash Flow</t>
  </si>
  <si>
    <t>Derivative of Swap Value w.r.t. f0(0.75,1)</t>
  </si>
  <si>
    <t>DV01</t>
  </si>
  <si>
    <t>Total (= swap value):</t>
  </si>
  <si>
    <t>Swap Value for a 1/2 b.p. increase in forward rate</t>
  </si>
  <si>
    <t>Swap Value for a 1/2 b.p. decrease in forward rate</t>
  </si>
  <si>
    <t>Central difference approximation of DV01:</t>
  </si>
  <si>
    <t>PUT ANALYTIC FORMULA HERE</t>
  </si>
  <si>
    <r>
      <t>r</t>
    </r>
    <r>
      <rPr>
        <vertAlign val="subscript"/>
        <sz val="14"/>
        <color rgb="FF000000"/>
        <rFont val="Garamond"/>
        <family val="1"/>
      </rPr>
      <t>0</t>
    </r>
    <r>
      <rPr>
        <sz val="14"/>
        <color rgb="FF000000"/>
        <rFont val="Garamond"/>
        <family val="1"/>
      </rPr>
      <t>(0,0.25)</t>
    </r>
  </si>
  <si>
    <r>
      <t>f</t>
    </r>
    <r>
      <rPr>
        <vertAlign val="subscript"/>
        <sz val="14"/>
        <color rgb="FF000000"/>
        <rFont val="Garamond"/>
        <family val="1"/>
      </rPr>
      <t>0</t>
    </r>
    <r>
      <rPr>
        <sz val="14"/>
        <color rgb="FF000000"/>
        <rFont val="Garamond"/>
        <family val="1"/>
      </rPr>
      <t>(0.25,0.5)</t>
    </r>
  </si>
  <si>
    <r>
      <t>f</t>
    </r>
    <r>
      <rPr>
        <vertAlign val="subscript"/>
        <sz val="14"/>
        <color rgb="FF000000"/>
        <rFont val="Garamond"/>
        <family val="1"/>
      </rPr>
      <t>0</t>
    </r>
    <r>
      <rPr>
        <sz val="14"/>
        <color rgb="FF000000"/>
        <rFont val="Garamond"/>
        <family val="1"/>
      </rPr>
      <t>(0.5,0.75)</t>
    </r>
  </si>
  <si>
    <r>
      <t>f</t>
    </r>
    <r>
      <rPr>
        <vertAlign val="subscript"/>
        <sz val="14"/>
        <color rgb="FF000000"/>
        <rFont val="Garamond"/>
        <family val="1"/>
      </rPr>
      <t>0</t>
    </r>
    <r>
      <rPr>
        <sz val="14"/>
        <color rgb="FF000000"/>
        <rFont val="Garamond"/>
        <family val="1"/>
      </rPr>
      <t>(0.75,1)</t>
    </r>
  </si>
  <si>
    <t>First calculate the PV and quasi-modified duration of the stream of cash flows, following the approach in Table 4.4 on p. 94 of Luenberger:</t>
  </si>
  <si>
    <t>Year</t>
  </si>
  <si>
    <t>Spot</t>
  </si>
  <si>
    <t>Discount factor</t>
  </si>
  <si>
    <t>Cash Flow</t>
  </si>
  <si>
    <t>PV</t>
  </si>
  <si>
    <t xml:space="preserve"> -PV'</t>
  </si>
  <si>
    <t>Total:</t>
  </si>
  <si>
    <t>Quasi-Modified Duration:</t>
  </si>
  <si>
    <t>The prices and durations of the 12-year and 5-year bond are provided in Table 4.4 on p. 94 of Luenberger:</t>
  </si>
  <si>
    <t>Price</t>
  </si>
  <si>
    <t>Quasi-Modified Duration</t>
  </si>
  <si>
    <t>12-year bond:</t>
  </si>
  <si>
    <t>5-year bond:</t>
  </si>
  <si>
    <t>Solutions for x1, x2:</t>
  </si>
  <si>
    <t>x1:</t>
  </si>
  <si>
    <t>x2:</t>
  </si>
  <si>
    <t>Check that values match:</t>
  </si>
  <si>
    <t>Check that durations match:</t>
  </si>
  <si>
    <t>EXACT Calculation of DV01</t>
  </si>
  <si>
    <t>APPROXIMATION:</t>
  </si>
  <si>
    <t>Bonds</t>
  </si>
  <si>
    <t>Maturity</t>
  </si>
  <si>
    <t>Value</t>
  </si>
  <si>
    <t>Duration</t>
  </si>
  <si>
    <t>Convexity</t>
  </si>
  <si>
    <t>Dollar Duration</t>
  </si>
  <si>
    <t>Dollar Convexity</t>
  </si>
  <si>
    <t>5-year:</t>
  </si>
  <si>
    <t>10-year</t>
  </si>
  <si>
    <t>20-year</t>
  </si>
  <si>
    <t>solutions:</t>
  </si>
  <si>
    <t>check:</t>
  </si>
  <si>
    <t>duration=</t>
  </si>
  <si>
    <t>convexity=</t>
  </si>
  <si>
    <t>Question 7</t>
  </si>
  <si>
    <r>
      <t>n</t>
    </r>
    <r>
      <rPr>
        <vertAlign val="subscript"/>
        <sz val="14"/>
        <color indexed="8"/>
        <rFont val="Garamond"/>
        <family val="1"/>
      </rPr>
      <t xml:space="preserve">5 </t>
    </r>
    <r>
      <rPr>
        <sz val="14"/>
        <color theme="1"/>
        <rFont val="Garamond"/>
        <family val="1"/>
      </rPr>
      <t xml:space="preserve">= </t>
    </r>
  </si>
  <si>
    <r>
      <t>n</t>
    </r>
    <r>
      <rPr>
        <vertAlign val="subscript"/>
        <sz val="14"/>
        <color indexed="8"/>
        <rFont val="Garamond"/>
        <family val="1"/>
      </rPr>
      <t>20</t>
    </r>
    <r>
      <rPr>
        <sz val="14"/>
        <color theme="1"/>
        <rFont val="Garamond"/>
        <family val="1"/>
      </rPr>
      <t>=</t>
    </r>
  </si>
  <si>
    <t>Question 3 (Luenberger 4.13 or 4.15)</t>
  </si>
  <si>
    <t>Fraction of year since previous payment date:</t>
    <phoneticPr fontId="14" type="noConversion"/>
  </si>
  <si>
    <t>target=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</si>
</sst>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00"/>
    <numFmt numFmtId="178" formatCode="0.000000"/>
    <numFmt numFmtId="179" formatCode="0.000%"/>
    <numFmt numFmtId="180" formatCode="0.000"/>
    <numFmt numFmtId="181" formatCode="0.00000_ "/>
  </numFmts>
  <fonts count="15" x14ac:knownFonts="1">
    <font>
      <sz val="12"/>
      <color theme="1"/>
      <name val="等线"/>
      <family val="2"/>
      <scheme val="minor"/>
    </font>
    <font>
      <b/>
      <sz val="14"/>
      <color rgb="FF000000"/>
      <name val="Garamond"/>
      <family val="1"/>
    </font>
    <font>
      <sz val="14"/>
      <color rgb="FF000000"/>
      <name val="Garamond"/>
      <family val="1"/>
    </font>
    <font>
      <sz val="14"/>
      <color rgb="FF003366"/>
      <name val="Garamond"/>
      <family val="1"/>
    </font>
    <font>
      <i/>
      <sz val="14"/>
      <color rgb="FF000000"/>
      <name val="Garamond"/>
      <family val="1"/>
    </font>
    <font>
      <vertAlign val="subscript"/>
      <sz val="14"/>
      <color rgb="FF000000"/>
      <name val="Garamond"/>
      <family val="1"/>
    </font>
    <font>
      <b/>
      <sz val="14"/>
      <color rgb="FF003366"/>
      <name val="Garamond"/>
      <family val="1"/>
    </font>
    <font>
      <sz val="14"/>
      <color theme="1"/>
      <name val="Garamond"/>
      <family val="1"/>
    </font>
    <font>
      <b/>
      <sz val="14"/>
      <color indexed="8"/>
      <name val="Garamond"/>
      <family val="1"/>
    </font>
    <font>
      <b/>
      <sz val="14"/>
      <name val="Garamond"/>
      <family val="1"/>
    </font>
    <font>
      <sz val="14"/>
      <color indexed="8"/>
      <name val="Garamond"/>
      <family val="1"/>
    </font>
    <font>
      <b/>
      <u/>
      <sz val="14"/>
      <color rgb="FF000000"/>
      <name val="Garamond"/>
      <family val="1"/>
    </font>
    <font>
      <vertAlign val="subscript"/>
      <sz val="14"/>
      <color indexed="8"/>
      <name val="Garamond"/>
      <family val="1"/>
    </font>
    <font>
      <b/>
      <sz val="14"/>
      <color theme="1"/>
      <name val="Garamond"/>
      <family val="1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8E4BC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0" fontId="2" fillId="0" borderId="0" xfId="0" applyNumberFormat="1" applyFont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4" fontId="2" fillId="0" borderId="0" xfId="0" applyNumberFormat="1" applyFont="1"/>
    <xf numFmtId="3" fontId="2" fillId="3" borderId="4" xfId="0" applyNumberFormat="1" applyFont="1" applyFill="1" applyBorder="1" applyAlignment="1">
      <alignment horizontal="center"/>
    </xf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79" fontId="2" fillId="0" borderId="0" xfId="0" applyNumberFormat="1" applyFont="1"/>
    <xf numFmtId="0" fontId="6" fillId="0" borderId="0" xfId="0" applyFont="1" applyAlignment="1">
      <alignment horizontal="center" wrapText="1"/>
    </xf>
    <xf numFmtId="4" fontId="1" fillId="3" borderId="3" xfId="0" applyNumberFormat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" fontId="9" fillId="2" borderId="3" xfId="0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76" fontId="9" fillId="2" borderId="3" xfId="0" applyNumberFormat="1" applyFont="1" applyFill="1" applyBorder="1" applyAlignment="1">
      <alignment horizontal="center"/>
    </xf>
    <xf numFmtId="14" fontId="7" fillId="0" borderId="0" xfId="0" applyNumberFormat="1" applyFont="1"/>
    <xf numFmtId="0" fontId="7" fillId="0" borderId="0" xfId="0" applyFont="1" applyAlignment="1">
      <alignment horizontal="left" vertical="top"/>
    </xf>
    <xf numFmtId="178" fontId="10" fillId="0" borderId="1" xfId="0" applyNumberFormat="1" applyFont="1" applyBorder="1" applyAlignment="1">
      <alignment horizontal="center" vertical="center" wrapText="1"/>
    </xf>
    <xf numFmtId="4" fontId="7" fillId="0" borderId="0" xfId="0" applyNumberFormat="1" applyFont="1" applyAlignment="1">
      <alignment horizontal="center"/>
    </xf>
    <xf numFmtId="177" fontId="7" fillId="0" borderId="0" xfId="0" applyNumberFormat="1" applyFont="1"/>
    <xf numFmtId="4" fontId="7" fillId="2" borderId="2" xfId="0" applyNumberFormat="1" applyFont="1" applyFill="1" applyBorder="1"/>
    <xf numFmtId="176" fontId="7" fillId="2" borderId="2" xfId="0" applyNumberFormat="1" applyFont="1" applyFill="1" applyBorder="1"/>
    <xf numFmtId="0" fontId="7" fillId="2" borderId="2" xfId="0" applyFont="1" applyFill="1" applyBorder="1"/>
    <xf numFmtId="0" fontId="1" fillId="3" borderId="5" xfId="0" applyFont="1" applyFill="1" applyBorder="1"/>
    <xf numFmtId="4" fontId="2" fillId="3" borderId="2" xfId="0" applyNumberFormat="1" applyFont="1" applyFill="1" applyBorder="1"/>
    <xf numFmtId="0" fontId="11" fillId="0" borderId="0" xfId="0" applyFont="1"/>
    <xf numFmtId="176" fontId="8" fillId="2" borderId="6" xfId="0" applyNumberFormat="1" applyFont="1" applyFill="1" applyBorder="1"/>
    <xf numFmtId="0" fontId="7" fillId="0" borderId="7" xfId="0" applyFont="1" applyBorder="1"/>
    <xf numFmtId="0" fontId="8" fillId="0" borderId="0" xfId="0" applyFont="1"/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2" borderId="2" xfId="0" applyNumberFormat="1" applyFont="1" applyFill="1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176" fontId="7" fillId="0" borderId="0" xfId="0" applyNumberFormat="1" applyFont="1" applyAlignment="1">
      <alignment horizontal="center"/>
    </xf>
    <xf numFmtId="176" fontId="7" fillId="2" borderId="2" xfId="0" applyNumberFormat="1" applyFont="1" applyFill="1" applyBorder="1" applyAlignment="1">
      <alignment horizontal="center"/>
    </xf>
    <xf numFmtId="178" fontId="7" fillId="2" borderId="2" xfId="0" applyNumberFormat="1" applyFont="1" applyFill="1" applyBorder="1" applyAlignment="1">
      <alignment horizontal="center"/>
    </xf>
    <xf numFmtId="176" fontId="7" fillId="0" borderId="0" xfId="0" applyNumberFormat="1" applyFont="1"/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176" fontId="8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9" fontId="7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right" wrapText="1"/>
    </xf>
    <xf numFmtId="18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8" fontId="8" fillId="0" borderId="0" xfId="0" applyNumberFormat="1" applyFont="1"/>
    <xf numFmtId="4" fontId="7" fillId="0" borderId="0" xfId="0" applyNumberFormat="1" applyFont="1" applyAlignment="1">
      <alignment horizontal="right"/>
    </xf>
    <xf numFmtId="180" fontId="7" fillId="2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181" fontId="7" fillId="0" borderId="0" xfId="0" applyNumberFormat="1" applyFont="1"/>
    <xf numFmtId="11" fontId="8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14" fontId="10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659910989387199E-2"/>
          <c:y val="5.6680041614514162E-2"/>
          <c:w val="0.92954303320780551"/>
          <c:h val="0.90786892631328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'Q4'!$B$29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'Q4'!$A$30:$A$80</c:f>
              <c:numCache>
                <c:formatCode>0.00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'Q4'!$B$30:$B$80</c:f>
              <c:numCache>
                <c:formatCode>0.000%</c:formatCode>
                <c:ptCount val="51"/>
                <c:pt idx="0">
                  <c:v>6.2301797870137059E-2</c:v>
                </c:pt>
                <c:pt idx="1">
                  <c:v>6.2889693170537816E-2</c:v>
                </c:pt>
                <c:pt idx="2">
                  <c:v>6.3503690541135041E-2</c:v>
                </c:pt>
                <c:pt idx="3">
                  <c:v>6.4139614305470508E-2</c:v>
                </c:pt>
                <c:pt idx="4">
                  <c:v>6.4793446523846498E-2</c:v>
                </c:pt>
                <c:pt idx="5">
                  <c:v>6.5461326993325769E-2</c:v>
                </c:pt>
                <c:pt idx="6">
                  <c:v>6.61395532477317E-2</c:v>
                </c:pt>
                <c:pt idx="7">
                  <c:v>6.6824580557648075E-2</c:v>
                </c:pt>
                <c:pt idx="8">
                  <c:v>6.7513021930419317E-2</c:v>
                </c:pt>
                <c:pt idx="9">
                  <c:v>6.8201648110150295E-2</c:v>
                </c:pt>
                <c:pt idx="10">
                  <c:v>6.8887387577706446E-2</c:v>
                </c:pt>
                <c:pt idx="11">
                  <c:v>6.9567326550713696E-2</c:v>
                </c:pt>
                <c:pt idx="12">
                  <c:v>7.0238708983558551E-2</c:v>
                </c:pt>
                <c:pt idx="13">
                  <c:v>7.0898936567387966E-2</c:v>
                </c:pt>
                <c:pt idx="14">
                  <c:v>7.1545568730109491E-2</c:v>
                </c:pt>
                <c:pt idx="15">
                  <c:v>7.2176322636391177E-2</c:v>
                </c:pt>
                <c:pt idx="16">
                  <c:v>7.2789073187661563E-2</c:v>
                </c:pt>
                <c:pt idx="17">
                  <c:v>7.3381853022109797E-2</c:v>
                </c:pt>
                <c:pt idx="18">
                  <c:v>7.3952852514685447E-2</c:v>
                </c:pt>
                <c:pt idx="19">
                  <c:v>7.4500419777098689E-2</c:v>
                </c:pt>
                <c:pt idx="20">
                  <c:v>7.5023060657820176E-2</c:v>
                </c:pt>
                <c:pt idx="21">
                  <c:v>7.5519438742081141E-2</c:v>
                </c:pt>
                <c:pt idx="22">
                  <c:v>7.598837535187325E-2</c:v>
                </c:pt>
                <c:pt idx="23">
                  <c:v>7.6428849545948821E-2</c:v>
                </c:pt>
                <c:pt idx="24">
                  <c:v>7.6839998119820549E-2</c:v>
                </c:pt>
                <c:pt idx="25">
                  <c:v>7.7221115605761795E-2</c:v>
                </c:pt>
                <c:pt idx="26">
                  <c:v>7.7571654272806351E-2</c:v>
                </c:pt>
                <c:pt idx="27">
                  <c:v>7.7891224126748523E-2</c:v>
                </c:pt>
                <c:pt idx="28">
                  <c:v>7.8179592910143245E-2</c:v>
                </c:pt>
                <c:pt idx="29">
                  <c:v>7.8436686102305891E-2</c:v>
                </c:pt>
                <c:pt idx="30">
                  <c:v>7.8662586919312383E-2</c:v>
                </c:pt>
                <c:pt idx="31">
                  <c:v>7.8857536313999152E-2</c:v>
                </c:pt>
                <c:pt idx="32">
                  <c:v>7.9021932975963188E-2</c:v>
                </c:pt>
                <c:pt idx="33">
                  <c:v>7.9156333331561968E-2</c:v>
                </c:pt>
                <c:pt idx="34">
                  <c:v>7.9261451543913522E-2</c:v>
                </c:pt>
                <c:pt idx="35">
                  <c:v>7.9338159512896425E-2</c:v>
                </c:pt>
                <c:pt idx="36">
                  <c:v>7.9387486875149682E-2</c:v>
                </c:pt>
                <c:pt idx="37">
                  <c:v>7.9410621004072951E-2</c:v>
                </c:pt>
                <c:pt idx="38">
                  <c:v>7.9408907009826307E-2</c:v>
                </c:pt>
                <c:pt idx="39">
                  <c:v>7.9383847739330424E-2</c:v>
                </c:pt>
                <c:pt idx="40">
                  <c:v>7.9337103776266446E-2</c:v>
                </c:pt>
                <c:pt idx="41">
                  <c:v>7.9270493441076118E-2</c:v>
                </c:pt>
                <c:pt idx="42">
                  <c:v>7.9185992790961612E-2</c:v>
                </c:pt>
                <c:pt idx="43">
                  <c:v>7.9085735619885689E-2</c:v>
                </c:pt>
                <c:pt idx="44">
                  <c:v>7.8972013458571605E-2</c:v>
                </c:pt>
                <c:pt idx="45">
                  <c:v>7.8847275574503189E-2</c:v>
                </c:pt>
                <c:pt idx="46">
                  <c:v>7.8714128971924729E-2</c:v>
                </c:pt>
                <c:pt idx="47">
                  <c:v>7.8575338391841082E-2</c:v>
                </c:pt>
                <c:pt idx="48">
                  <c:v>7.8433826312017618E-2</c:v>
                </c:pt>
                <c:pt idx="49">
                  <c:v>7.8292672946980224E-2</c:v>
                </c:pt>
                <c:pt idx="50">
                  <c:v>7.8155116248015327E-2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3-48C2-BEE5-7FC6F08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09880"/>
        <c:axId val="862411320"/>
      </c:scatterChart>
      <c:valAx>
        <c:axId val="86240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11320"/>
        <c:crosses val="autoZero"/>
        <c:crossBetween val="midCat"/>
      </c:valAx>
      <c:valAx>
        <c:axId val="8624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0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152400</xdr:rowOff>
    </xdr:from>
    <xdr:to>
      <xdr:col>7</xdr:col>
      <xdr:colOff>520700</xdr:colOff>
      <xdr:row>5</xdr:row>
      <xdr:rowOff>101600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EFF5C3-BA6C-53F1-35CD-651D2C08D81D}"/>
            </a:ext>
          </a:extLst>
        </xdr:cNvPr>
        <xdr:cNvCxnSpPr/>
      </xdr:nvCxnSpPr>
      <xdr:spPr>
        <a:xfrm flipH="1" flipV="1">
          <a:off x="6197600" y="1930400"/>
          <a:ext cx="101600" cy="3937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85726</xdr:colOff>
      <xdr:row>22</xdr:row>
      <xdr:rowOff>266701</xdr:rowOff>
    </xdr:from>
    <xdr:to>
      <xdr:col>5</xdr:col>
      <xdr:colOff>266701</xdr:colOff>
      <xdr:row>25</xdr:row>
      <xdr:rowOff>23814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E0C873D-0B0A-3B45-B1DD-DBC416984ECE}"/>
            </a:ext>
          </a:extLst>
        </xdr:cNvPr>
        <xdr:cNvCxnSpPr>
          <a:cxnSpLocks/>
        </xdr:cNvCxnSpPr>
      </xdr:nvCxnSpPr>
      <xdr:spPr>
        <a:xfrm rot="10800000">
          <a:off x="3273426" y="4787901"/>
          <a:ext cx="904875" cy="4937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965200</xdr:colOff>
      <xdr:row>25</xdr:row>
      <xdr:rowOff>38100</xdr:rowOff>
    </xdr:from>
    <xdr:to>
      <xdr:col>9</xdr:col>
      <xdr:colOff>660400</xdr:colOff>
      <xdr:row>28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6AF301-3F69-504C-A45F-E1E075480A2A}"/>
            </a:ext>
          </a:extLst>
        </xdr:cNvPr>
        <xdr:cNvSpPr txBox="1"/>
      </xdr:nvSpPr>
      <xdr:spPr>
        <a:xfrm>
          <a:off x="6400800" y="6718300"/>
          <a:ext cx="44196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>
              <a:solidFill>
                <a:srgbClr val="FF0000"/>
              </a:solidFill>
              <a:latin typeface="Garamond" panose="02020404030301010803" pitchFamily="18" charset="0"/>
            </a:rPr>
            <a:t>Some students have told me that there is more than one local minima, though I have only found one.</a:t>
          </a:r>
        </a:p>
      </xdr:txBody>
    </xdr:sp>
    <xdr:clientData/>
  </xdr:twoCellAnchor>
  <xdr:twoCellAnchor>
    <xdr:from>
      <xdr:col>2</xdr:col>
      <xdr:colOff>1142999</xdr:colOff>
      <xdr:row>32</xdr:row>
      <xdr:rowOff>83344</xdr:rowOff>
    </xdr:from>
    <xdr:to>
      <xdr:col>13</xdr:col>
      <xdr:colOff>523874</xdr:colOff>
      <xdr:row>69</xdr:row>
      <xdr:rowOff>23811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EDD31E-54B2-F793-40C0-08CD50D48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5BCB-A53C-9C46-B754-4E4333A187BC}">
  <dimension ref="A1:M18"/>
  <sheetViews>
    <sheetView zoomScale="55" zoomScaleNormal="55" workbookViewId="0">
      <selection activeCell="D3" sqref="D3"/>
    </sheetView>
  </sheetViews>
  <sheetFormatPr defaultColWidth="8.8203125" defaultRowHeight="15" x14ac:dyDescent="0.4"/>
  <cols>
    <col min="1" max="1" width="20.8203125" bestFit="1" customWidth="1"/>
    <col min="2" max="2" width="16.8203125" customWidth="1"/>
    <col min="4" max="4" width="22.8203125" customWidth="1"/>
    <col min="6" max="6" width="14.8203125" customWidth="1"/>
    <col min="8" max="8" width="37.46875" bestFit="1" customWidth="1"/>
  </cols>
  <sheetData>
    <row r="1" spans="1:13" ht="18" x14ac:dyDescent="0.55000000000000004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x14ac:dyDescent="0.55000000000000004">
      <c r="A2" s="68" t="s">
        <v>31</v>
      </c>
      <c r="B2" s="68"/>
      <c r="C2" s="68"/>
      <c r="D2" s="68"/>
      <c r="E2" s="68"/>
      <c r="F2" s="68"/>
      <c r="G2" s="2"/>
      <c r="H2" s="68" t="s">
        <v>64</v>
      </c>
      <c r="I2" s="68"/>
      <c r="J2" s="2"/>
      <c r="K2" s="2"/>
      <c r="L2" s="2"/>
      <c r="M2" s="2"/>
    </row>
    <row r="3" spans="1:13" ht="76.05" customHeight="1" thickBot="1" x14ac:dyDescent="0.6">
      <c r="A3" s="69" t="s">
        <v>28</v>
      </c>
      <c r="B3" s="69"/>
      <c r="C3" s="2"/>
      <c r="D3" s="3" t="s">
        <v>32</v>
      </c>
      <c r="E3" s="3" t="s">
        <v>14</v>
      </c>
      <c r="F3" s="3" t="s">
        <v>33</v>
      </c>
      <c r="G3" s="2"/>
      <c r="H3" s="3" t="s">
        <v>34</v>
      </c>
      <c r="I3" s="4" t="s">
        <v>35</v>
      </c>
      <c r="J3" s="2"/>
      <c r="K3" s="2"/>
      <c r="L3" s="2"/>
      <c r="M3" s="2"/>
    </row>
    <row r="4" spans="1:13" ht="21.4" thickBot="1" x14ac:dyDescent="0.8">
      <c r="A4" s="5" t="s">
        <v>41</v>
      </c>
      <c r="B4" s="6">
        <v>5.2999999999999999E-2</v>
      </c>
      <c r="C4" s="2"/>
      <c r="D4" s="7"/>
      <c r="E4" s="2">
        <v>0.98692299999999999</v>
      </c>
      <c r="F4" s="8">
        <v>0</v>
      </c>
      <c r="G4" s="2"/>
      <c r="H4" s="40"/>
      <c r="I4" s="39">
        <v>0</v>
      </c>
      <c r="J4" s="2"/>
      <c r="K4" s="2"/>
      <c r="L4" s="2"/>
      <c r="M4" s="2"/>
    </row>
    <row r="5" spans="1:13" ht="21" x14ac:dyDescent="0.75">
      <c r="A5" s="5" t="s">
        <v>42</v>
      </c>
      <c r="B5" s="6">
        <v>5.3499999999999999E-2</v>
      </c>
      <c r="C5" s="2"/>
      <c r="D5" s="9"/>
      <c r="E5" s="2">
        <v>0.97389700000000001</v>
      </c>
      <c r="F5" s="8">
        <v>0</v>
      </c>
      <c r="G5" s="2"/>
      <c r="H5" s="2"/>
      <c r="I5" s="2"/>
      <c r="J5" s="2"/>
      <c r="K5" s="2"/>
      <c r="L5" s="2"/>
      <c r="M5" s="2"/>
    </row>
    <row r="6" spans="1:13" ht="21" x14ac:dyDescent="0.75">
      <c r="A6" s="5" t="s">
        <v>43</v>
      </c>
      <c r="B6" s="6">
        <v>5.45E-2</v>
      </c>
      <c r="C6" s="2"/>
      <c r="D6" s="9"/>
      <c r="E6" s="2">
        <v>0.96080600000000005</v>
      </c>
      <c r="F6" s="8">
        <v>0</v>
      </c>
      <c r="G6" s="2"/>
      <c r="H6" s="2" t="s">
        <v>40</v>
      </c>
      <c r="I6" s="2"/>
      <c r="J6" s="2"/>
      <c r="K6" s="2"/>
      <c r="L6" s="2"/>
      <c r="M6" s="2"/>
    </row>
    <row r="7" spans="1:13" ht="21" x14ac:dyDescent="0.75">
      <c r="A7" s="5" t="s">
        <v>44</v>
      </c>
      <c r="B7" s="6">
        <v>5.5500000000000001E-2</v>
      </c>
      <c r="C7" s="2"/>
      <c r="D7" s="9"/>
      <c r="E7" s="2">
        <v>0.947658</v>
      </c>
      <c r="F7" s="10">
        <v>0</v>
      </c>
      <c r="G7" s="2"/>
      <c r="H7" s="2"/>
      <c r="I7" s="2"/>
      <c r="J7" s="2"/>
      <c r="K7" s="2"/>
      <c r="L7" s="2"/>
      <c r="M7" s="2"/>
    </row>
    <row r="8" spans="1:13" ht="18" x14ac:dyDescent="0.55000000000000004">
      <c r="A8" s="11" t="s">
        <v>36</v>
      </c>
      <c r="B8" s="11"/>
      <c r="C8" s="2"/>
      <c r="D8" s="2"/>
      <c r="E8" s="2"/>
      <c r="F8" s="8">
        <v>0</v>
      </c>
      <c r="G8" s="2"/>
      <c r="H8" s="2"/>
      <c r="I8" s="2"/>
      <c r="J8" s="2"/>
      <c r="K8" s="2"/>
      <c r="L8" s="2"/>
      <c r="M8" s="2"/>
    </row>
    <row r="9" spans="1:13" ht="18" x14ac:dyDescent="0.55000000000000004">
      <c r="A9" s="11"/>
      <c r="B9" s="11"/>
      <c r="C9" s="2"/>
      <c r="D9" s="2"/>
      <c r="E9" s="2"/>
      <c r="F9" s="8"/>
      <c r="G9" s="2"/>
      <c r="H9" s="2"/>
      <c r="I9" s="2"/>
      <c r="J9" s="2"/>
      <c r="K9" s="2"/>
      <c r="L9" s="2"/>
      <c r="M9" s="2"/>
    </row>
    <row r="10" spans="1:13" ht="18" x14ac:dyDescent="0.55000000000000004">
      <c r="A10" s="41" t="s">
        <v>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" x14ac:dyDescent="0.55000000000000004">
      <c r="A11" s="68" t="s">
        <v>37</v>
      </c>
      <c r="B11" s="68"/>
      <c r="C11" s="68"/>
      <c r="D11" s="68"/>
      <c r="E11" s="68"/>
      <c r="F11" s="68"/>
      <c r="G11" s="2"/>
      <c r="H11" s="68" t="s">
        <v>38</v>
      </c>
      <c r="I11" s="68"/>
      <c r="J11" s="68"/>
      <c r="K11" s="68"/>
      <c r="L11" s="68"/>
      <c r="M11" s="68"/>
    </row>
    <row r="12" spans="1:13" ht="21" x14ac:dyDescent="0.75">
      <c r="A12" s="5" t="s">
        <v>41</v>
      </c>
      <c r="B12" s="12">
        <v>5.2999999999999999E-2</v>
      </c>
      <c r="C12" s="2"/>
      <c r="D12" s="7"/>
      <c r="E12" s="2">
        <v>0.98692299999999999</v>
      </c>
      <c r="F12" s="8">
        <v>0</v>
      </c>
      <c r="G12" s="2"/>
      <c r="H12" s="5" t="s">
        <v>41</v>
      </c>
      <c r="I12" s="12">
        <v>5.2999999999999999E-2</v>
      </c>
      <c r="J12" s="2"/>
      <c r="K12" s="7"/>
      <c r="L12" s="2">
        <v>0.98692299999999999</v>
      </c>
      <c r="M12" s="8">
        <v>0</v>
      </c>
    </row>
    <row r="13" spans="1:13" ht="21" x14ac:dyDescent="0.75">
      <c r="A13" s="5" t="s">
        <v>42</v>
      </c>
      <c r="B13" s="12">
        <v>5.3499999999999999E-2</v>
      </c>
      <c r="C13" s="2"/>
      <c r="D13" s="9"/>
      <c r="E13" s="2">
        <v>0.97389700000000001</v>
      </c>
      <c r="F13" s="8">
        <v>0</v>
      </c>
      <c r="G13" s="2"/>
      <c r="H13" s="5" t="s">
        <v>42</v>
      </c>
      <c r="I13" s="12">
        <v>5.3499999999999999E-2</v>
      </c>
      <c r="J13" s="2"/>
      <c r="K13" s="9"/>
      <c r="L13" s="2">
        <v>0.97389700000000001</v>
      </c>
      <c r="M13" s="8">
        <v>0</v>
      </c>
    </row>
    <row r="14" spans="1:13" ht="21" x14ac:dyDescent="0.75">
      <c r="A14" s="5" t="s">
        <v>43</v>
      </c>
      <c r="B14" s="12">
        <v>5.45E-2</v>
      </c>
      <c r="C14" s="2"/>
      <c r="D14" s="9"/>
      <c r="E14" s="2">
        <v>0.96080600000000005</v>
      </c>
      <c r="F14" s="8">
        <v>0</v>
      </c>
      <c r="G14" s="2"/>
      <c r="H14" s="5" t="s">
        <v>43</v>
      </c>
      <c r="I14" s="12">
        <v>5.45E-2</v>
      </c>
      <c r="J14" s="2"/>
      <c r="K14" s="9"/>
      <c r="L14" s="2">
        <v>0.96080600000000005</v>
      </c>
      <c r="M14" s="8">
        <v>0</v>
      </c>
    </row>
    <row r="15" spans="1:13" ht="21" x14ac:dyDescent="0.75">
      <c r="A15" s="5" t="s">
        <v>44</v>
      </c>
      <c r="B15" s="12">
        <v>5.5550000000000002E-2</v>
      </c>
      <c r="C15" s="2"/>
      <c r="D15" s="9"/>
      <c r="E15" s="2">
        <v>0.94764599999999999</v>
      </c>
      <c r="F15" s="10">
        <v>0</v>
      </c>
      <c r="G15" s="2"/>
      <c r="H15" s="5" t="s">
        <v>44</v>
      </c>
      <c r="I15" s="12">
        <v>5.5449999999999999E-2</v>
      </c>
      <c r="J15" s="2"/>
      <c r="K15" s="9"/>
      <c r="L15" s="2">
        <v>0.94766899999999998</v>
      </c>
      <c r="M15" s="10">
        <v>0</v>
      </c>
    </row>
    <row r="16" spans="1:13" ht="18" x14ac:dyDescent="0.55000000000000004">
      <c r="A16" s="11" t="s">
        <v>36</v>
      </c>
      <c r="B16" s="11"/>
      <c r="C16" s="2"/>
      <c r="D16" s="2"/>
      <c r="E16" s="2"/>
      <c r="F16" s="8">
        <v>0</v>
      </c>
      <c r="G16" s="2"/>
      <c r="H16" s="2"/>
      <c r="I16" s="2"/>
      <c r="J16" s="2"/>
      <c r="K16" s="2"/>
      <c r="L16" s="2"/>
      <c r="M16" s="8">
        <v>0</v>
      </c>
    </row>
    <row r="17" spans="1:13" ht="18.399999999999999" thickBot="1" x14ac:dyDescent="0.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73.05" customHeight="1" thickBot="1" x14ac:dyDescent="0.6">
      <c r="A18" s="13" t="s">
        <v>39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mergeCells count="5">
    <mergeCell ref="A2:F2"/>
    <mergeCell ref="H2:I2"/>
    <mergeCell ref="A3:B3"/>
    <mergeCell ref="A11:F11"/>
    <mergeCell ref="H11:M11"/>
  </mergeCells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63A8-6B69-E745-A17C-89C6A45AF07D}">
  <dimension ref="A1:F26"/>
  <sheetViews>
    <sheetView tabSelected="1" topLeftCell="A10" zoomScale="85" zoomScaleNormal="85" workbookViewId="0">
      <selection activeCell="B26" sqref="B26"/>
    </sheetView>
  </sheetViews>
  <sheetFormatPr defaultColWidth="10.8203125" defaultRowHeight="18" x14ac:dyDescent="0.55000000000000004"/>
  <cols>
    <col min="1" max="1" width="29.8203125" style="17" customWidth="1"/>
    <col min="2" max="2" width="18.234375" style="17" bestFit="1" customWidth="1"/>
    <col min="3" max="3" width="52.46875" style="17" customWidth="1"/>
    <col min="4" max="16384" width="10.8203125" style="17"/>
  </cols>
  <sheetData>
    <row r="1" spans="1:6" x14ac:dyDescent="0.55000000000000004">
      <c r="A1" s="65" t="s">
        <v>83</v>
      </c>
      <c r="B1" s="16"/>
    </row>
    <row r="2" spans="1:6" x14ac:dyDescent="0.55000000000000004">
      <c r="A2" s="18"/>
      <c r="B2" s="16"/>
    </row>
    <row r="3" spans="1:6" x14ac:dyDescent="0.55000000000000004">
      <c r="A3" s="32" t="s">
        <v>45</v>
      </c>
      <c r="B3" s="32"/>
      <c r="C3" s="32"/>
      <c r="D3" s="32"/>
      <c r="E3" s="32"/>
      <c r="F3" s="32"/>
    </row>
    <row r="4" spans="1:6" x14ac:dyDescent="0.55000000000000004">
      <c r="A4" s="19" t="s">
        <v>46</v>
      </c>
      <c r="B4" s="20" t="s">
        <v>47</v>
      </c>
      <c r="C4" s="21" t="s">
        <v>48</v>
      </c>
      <c r="D4" s="21" t="s">
        <v>49</v>
      </c>
      <c r="E4" s="22" t="s">
        <v>50</v>
      </c>
      <c r="F4" s="22" t="s">
        <v>51</v>
      </c>
    </row>
    <row r="5" spans="1:6" x14ac:dyDescent="0.55000000000000004">
      <c r="A5" s="15">
        <v>1</v>
      </c>
      <c r="B5" s="23">
        <v>7.6700000000000004E-2</v>
      </c>
      <c r="C5" s="24">
        <f>1/(1+B5)</f>
        <v>0.92876381536175356</v>
      </c>
      <c r="D5" s="25">
        <v>500</v>
      </c>
      <c r="E5" s="26">
        <f>$D5*$C5</f>
        <v>464.38190768087679</v>
      </c>
      <c r="F5" s="26">
        <f>$A5*$D5/(1+$B5)^($A5+1)</f>
        <v>431.30111236266066</v>
      </c>
    </row>
    <row r="6" spans="1:6" x14ac:dyDescent="0.55000000000000004">
      <c r="A6" s="17">
        <v>2</v>
      </c>
      <c r="B6" s="23">
        <v>8.2699999999999996E-2</v>
      </c>
      <c r="C6" s="24">
        <f>1/(1+B6)^A6</f>
        <v>0.85306814788642682</v>
      </c>
      <c r="D6" s="25">
        <v>900</v>
      </c>
      <c r="E6" s="26">
        <f>$D6*$C6</f>
        <v>767.76133309778413</v>
      </c>
      <c r="F6" s="26">
        <f>$A6*$D6/(1+$B6)^($A6+1)</f>
        <v>1418.2346598278084</v>
      </c>
    </row>
    <row r="7" spans="1:6" x14ac:dyDescent="0.55000000000000004">
      <c r="A7" s="17">
        <v>3</v>
      </c>
      <c r="B7" s="23">
        <v>8.8100000000000012E-2</v>
      </c>
      <c r="C7" s="24">
        <f>1/(1+B7)^A7</f>
        <v>0.77623562228313558</v>
      </c>
      <c r="D7" s="25">
        <v>600</v>
      </c>
      <c r="E7" s="26">
        <f t="shared" ref="E7:E12" si="0">$D7*$C7</f>
        <v>465.74137336988133</v>
      </c>
      <c r="F7" s="26">
        <f t="shared" ref="F7:F12" si="1">$A7*$D7/(1+$B7)^($A7+1)</f>
        <v>1284.095322221895</v>
      </c>
    </row>
    <row r="8" spans="1:6" x14ac:dyDescent="0.55000000000000004">
      <c r="A8" s="17">
        <v>4</v>
      </c>
      <c r="B8" s="23">
        <v>9.3100000000000002E-2</v>
      </c>
      <c r="C8" s="24">
        <f t="shared" ref="C8:C12" si="2">1/(1+B8)^A8</f>
        <v>0.70042303884611024</v>
      </c>
      <c r="D8" s="25">
        <v>500</v>
      </c>
      <c r="E8" s="26">
        <f t="shared" si="0"/>
        <v>350.21151942305511</v>
      </c>
      <c r="F8" s="26">
        <f t="shared" si="1"/>
        <v>1281.5351547820151</v>
      </c>
    </row>
    <row r="9" spans="1:6" x14ac:dyDescent="0.55000000000000004">
      <c r="A9" s="17">
        <v>5</v>
      </c>
      <c r="B9" s="23">
        <v>9.7500000000000003E-2</v>
      </c>
      <c r="C9" s="24">
        <f t="shared" si="2"/>
        <v>0.62802561204403917</v>
      </c>
      <c r="D9" s="25">
        <v>100</v>
      </c>
      <c r="E9" s="26">
        <f t="shared" si="0"/>
        <v>62.802561204403915</v>
      </c>
      <c r="F9" s="26">
        <f t="shared" si="1"/>
        <v>286.11645195628211</v>
      </c>
    </row>
    <row r="10" spans="1:6" x14ac:dyDescent="0.55000000000000004">
      <c r="A10" s="17">
        <v>6</v>
      </c>
      <c r="B10" s="23">
        <v>0.1016</v>
      </c>
      <c r="C10" s="24">
        <f t="shared" si="2"/>
        <v>0.55957259459514763</v>
      </c>
      <c r="D10" s="25">
        <v>100</v>
      </c>
      <c r="E10" s="26">
        <f t="shared" si="0"/>
        <v>55.957259459514766</v>
      </c>
      <c r="F10" s="26">
        <f t="shared" si="1"/>
        <v>304.77810163134404</v>
      </c>
    </row>
    <row r="11" spans="1:6" x14ac:dyDescent="0.55000000000000004">
      <c r="A11" s="17">
        <v>7</v>
      </c>
      <c r="B11" s="23">
        <v>0.1052</v>
      </c>
      <c r="C11" s="24">
        <f t="shared" si="2"/>
        <v>0.49649384196211405</v>
      </c>
      <c r="D11" s="25">
        <v>100</v>
      </c>
      <c r="E11" s="26">
        <f t="shared" si="0"/>
        <v>49.649384196211408</v>
      </c>
      <c r="F11" s="26">
        <f t="shared" si="1"/>
        <v>314.46406928472663</v>
      </c>
    </row>
    <row r="12" spans="1:6" ht="18.399999999999999" thickBot="1" x14ac:dyDescent="0.6">
      <c r="A12" s="17">
        <v>8</v>
      </c>
      <c r="B12" s="23">
        <v>0.1085</v>
      </c>
      <c r="C12" s="24">
        <f t="shared" si="2"/>
        <v>0.43864624947690606</v>
      </c>
      <c r="D12" s="25">
        <v>50</v>
      </c>
      <c r="E12" s="26">
        <f t="shared" si="0"/>
        <v>21.932312473845304</v>
      </c>
      <c r="F12" s="26">
        <f t="shared" si="1"/>
        <v>158.28461866555023</v>
      </c>
    </row>
    <row r="13" spans="1:6" ht="18.399999999999999" thickBot="1" x14ac:dyDescent="0.6">
      <c r="A13" s="15" t="s">
        <v>52</v>
      </c>
      <c r="B13" s="27"/>
      <c r="C13" s="27"/>
      <c r="D13" s="27"/>
      <c r="E13" s="28">
        <f>SUM(E5:E12)</f>
        <v>2238.4376509055728</v>
      </c>
      <c r="F13" s="26">
        <f>SUM(F5:F12)</f>
        <v>5478.809490732282</v>
      </c>
    </row>
    <row r="14" spans="1:6" ht="18.399999999999999" thickBot="1" x14ac:dyDescent="0.6">
      <c r="A14" s="15" t="s">
        <v>53</v>
      </c>
      <c r="B14" s="27"/>
      <c r="C14" s="29"/>
      <c r="D14" s="27"/>
      <c r="E14" s="27"/>
      <c r="F14" s="30">
        <f>F13/E13</f>
        <v>2.4476042424124693</v>
      </c>
    </row>
    <row r="15" spans="1:6" x14ac:dyDescent="0.55000000000000004">
      <c r="C15" s="31"/>
    </row>
    <row r="16" spans="1:6" x14ac:dyDescent="0.55000000000000004">
      <c r="A16" s="32" t="s">
        <v>54</v>
      </c>
      <c r="B16" s="32"/>
      <c r="C16" s="32"/>
    </row>
    <row r="17" spans="1:4" x14ac:dyDescent="0.55000000000000004">
      <c r="A17" s="32"/>
      <c r="B17" s="32"/>
      <c r="C17" s="32"/>
    </row>
    <row r="18" spans="1:4" x14ac:dyDescent="0.55000000000000004">
      <c r="B18" s="22" t="s">
        <v>55</v>
      </c>
      <c r="C18" s="33" t="s">
        <v>56</v>
      </c>
      <c r="D18" s="33"/>
    </row>
    <row r="19" spans="1:4" x14ac:dyDescent="0.55000000000000004">
      <c r="A19" s="15" t="s">
        <v>57</v>
      </c>
      <c r="B19" s="27">
        <v>65.95</v>
      </c>
      <c r="C19" s="27">
        <v>7.07</v>
      </c>
      <c r="D19" s="27"/>
    </row>
    <row r="20" spans="1:4" x14ac:dyDescent="0.55000000000000004">
      <c r="A20" s="15" t="s">
        <v>58</v>
      </c>
      <c r="B20" s="34">
        <v>101.66</v>
      </c>
      <c r="C20" s="27">
        <v>3.8</v>
      </c>
      <c r="D20" s="27"/>
    </row>
    <row r="22" spans="1:4" x14ac:dyDescent="0.55000000000000004">
      <c r="A22" s="70" t="s">
        <v>59</v>
      </c>
      <c r="B22" s="15" t="s">
        <v>60</v>
      </c>
      <c r="C22" s="42">
        <v>-14.0373966059291</v>
      </c>
      <c r="D22" s="43"/>
    </row>
    <row r="23" spans="1:4" x14ac:dyDescent="0.55000000000000004">
      <c r="A23" s="70"/>
      <c r="B23" s="15" t="s">
        <v>61</v>
      </c>
      <c r="C23" s="42">
        <v>31.1253586176136</v>
      </c>
      <c r="D23" s="43"/>
    </row>
    <row r="24" spans="1:4" x14ac:dyDescent="0.55000000000000004">
      <c r="C24" s="35"/>
    </row>
    <row r="25" spans="1:4" x14ac:dyDescent="0.55000000000000004">
      <c r="A25" s="15" t="s">
        <v>62</v>
      </c>
      <c r="B25" s="36">
        <f>$B19*$C22+$B20*$C23-$E13</f>
        <v>0</v>
      </c>
      <c r="C25" s="35"/>
    </row>
    <row r="26" spans="1:4" x14ac:dyDescent="0.55000000000000004">
      <c r="A26" s="15" t="s">
        <v>63</v>
      </c>
      <c r="B26" s="37">
        <f>($C19*$B19*$C22+$C20*$B20*$C23)/($B19*$C22+$B20*$C23)-$F14</f>
        <v>-1.0000000005838672E-6</v>
      </c>
    </row>
  </sheetData>
  <mergeCells count="1">
    <mergeCell ref="A22:A23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CC84-CD51-D942-8951-7E2530905315}">
  <dimension ref="A1:Z80"/>
  <sheetViews>
    <sheetView topLeftCell="A25" zoomScale="40" zoomScaleNormal="40" workbookViewId="0">
      <selection activeCell="T44" sqref="T44"/>
    </sheetView>
  </sheetViews>
  <sheetFormatPr defaultColWidth="8.8203125" defaultRowHeight="18" x14ac:dyDescent="0.55000000000000004"/>
  <cols>
    <col min="1" max="1" width="30.64453125" style="17" bestFit="1" customWidth="1"/>
    <col min="2" max="2" width="10.46875" style="17" bestFit="1" customWidth="1"/>
    <col min="3" max="3" width="14.3515625" style="17" bestFit="1" customWidth="1"/>
    <col min="4" max="4" width="15.8203125" style="17" bestFit="1" customWidth="1"/>
    <col min="5" max="5" width="13.3515625" style="17" bestFit="1" customWidth="1"/>
    <col min="6" max="6" width="17.17578125" style="17" customWidth="1"/>
    <col min="7" max="7" width="13" style="17" bestFit="1" customWidth="1"/>
    <col min="8" max="9" width="11.41015625" style="17" bestFit="1" customWidth="1"/>
    <col min="10" max="11" width="11.64453125" style="17" bestFit="1" customWidth="1"/>
    <col min="12" max="13" width="11.41015625" style="17" bestFit="1" customWidth="1"/>
    <col min="14" max="14" width="11.64453125" style="17" bestFit="1" customWidth="1"/>
    <col min="15" max="15" width="11.41015625" style="17" bestFit="1" customWidth="1"/>
    <col min="16" max="16" width="11.64453125" style="17" bestFit="1" customWidth="1"/>
    <col min="17" max="17" width="11.41015625" style="17" bestFit="1" customWidth="1"/>
    <col min="18" max="18" width="11.64453125" style="17" bestFit="1" customWidth="1"/>
    <col min="19" max="20" width="11.41015625" style="17" bestFit="1" customWidth="1"/>
    <col min="21" max="22" width="11.64453125" style="17" bestFit="1" customWidth="1"/>
    <col min="23" max="24" width="11.41015625" style="17" bestFit="1" customWidth="1"/>
    <col min="25" max="26" width="9.64453125" style="17" bestFit="1" customWidth="1"/>
    <col min="27" max="16384" width="8.8203125" style="17"/>
  </cols>
  <sheetData>
    <row r="1" spans="1:26" x14ac:dyDescent="0.55000000000000004">
      <c r="A1" s="44" t="s">
        <v>29</v>
      </c>
      <c r="G1" s="72" t="s">
        <v>0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 spans="1:26" x14ac:dyDescent="0.55000000000000004">
      <c r="F2" s="27" t="s">
        <v>1</v>
      </c>
      <c r="G2" s="31">
        <v>40954</v>
      </c>
      <c r="H2" s="31">
        <v>40954</v>
      </c>
      <c r="I2" s="31">
        <v>41136</v>
      </c>
      <c r="J2" s="31">
        <v>41136</v>
      </c>
      <c r="K2" s="31">
        <v>41320</v>
      </c>
      <c r="L2" s="31">
        <v>41320</v>
      </c>
      <c r="M2" s="31">
        <v>41501</v>
      </c>
      <c r="N2" s="31">
        <v>41501</v>
      </c>
      <c r="O2" s="31">
        <v>41685</v>
      </c>
      <c r="P2" s="31">
        <v>41685</v>
      </c>
      <c r="Q2" s="31">
        <v>41866</v>
      </c>
      <c r="R2" s="31">
        <v>41866</v>
      </c>
      <c r="S2" s="31">
        <v>42050</v>
      </c>
      <c r="T2" s="31">
        <v>42050</v>
      </c>
      <c r="U2" s="31">
        <v>42231</v>
      </c>
      <c r="V2" s="31">
        <v>42231</v>
      </c>
      <c r="W2" s="31">
        <v>42415</v>
      </c>
      <c r="X2" s="31">
        <v>42415</v>
      </c>
    </row>
    <row r="3" spans="1:26" x14ac:dyDescent="0.55000000000000004">
      <c r="A3" s="73" t="s">
        <v>2</v>
      </c>
      <c r="B3" s="73"/>
      <c r="C3" s="31">
        <v>40851</v>
      </c>
      <c r="F3" s="27" t="s">
        <v>3</v>
      </c>
      <c r="G3" s="17">
        <f>6 +5/8</f>
        <v>6.625</v>
      </c>
      <c r="H3" s="17">
        <f>9 +1/8</f>
        <v>9.125</v>
      </c>
      <c r="I3" s="17">
        <f>7+7/8</f>
        <v>7.875</v>
      </c>
      <c r="J3" s="17">
        <f>8+1/4</f>
        <v>8.25</v>
      </c>
      <c r="K3" s="17">
        <f>8+1/4</f>
        <v>8.25</v>
      </c>
      <c r="L3" s="17">
        <f>8+3/8</f>
        <v>8.375</v>
      </c>
      <c r="M3" s="17">
        <v>8</v>
      </c>
      <c r="N3" s="17">
        <f>8+3/4</f>
        <v>8.75</v>
      </c>
      <c r="O3" s="17">
        <f>6+7/8</f>
        <v>6.875</v>
      </c>
      <c r="P3" s="17">
        <f>8+7/8</f>
        <v>8.875</v>
      </c>
      <c r="Q3" s="17">
        <f>6+7/8</f>
        <v>6.875</v>
      </c>
      <c r="R3" s="17">
        <f>8+5/8</f>
        <v>8.625</v>
      </c>
      <c r="S3" s="17">
        <f>7+3/4</f>
        <v>7.75</v>
      </c>
      <c r="T3" s="17">
        <f>11+1/4</f>
        <v>11.25</v>
      </c>
      <c r="U3" s="17">
        <f>8+1/2</f>
        <v>8.5</v>
      </c>
      <c r="V3" s="17">
        <f>10+1/2</f>
        <v>10.5</v>
      </c>
      <c r="W3" s="17">
        <f>7+7/8</f>
        <v>7.875</v>
      </c>
      <c r="X3" s="17">
        <f>8+7/8</f>
        <v>8.875</v>
      </c>
    </row>
    <row r="4" spans="1:26" x14ac:dyDescent="0.55000000000000004">
      <c r="A4" s="73" t="s">
        <v>4</v>
      </c>
      <c r="B4" s="73"/>
      <c r="C4" s="31">
        <v>40854</v>
      </c>
      <c r="F4" s="27" t="s">
        <v>5</v>
      </c>
      <c r="G4" s="17">
        <v>100</v>
      </c>
      <c r="H4" s="17">
        <f>100+22/32</f>
        <v>100.6875</v>
      </c>
      <c r="I4" s="17">
        <f>100+24/32</f>
        <v>100.75</v>
      </c>
      <c r="J4" s="17">
        <f>101+1/32</f>
        <v>101.03125</v>
      </c>
      <c r="K4" s="17">
        <f>101+7/32</f>
        <v>101.21875</v>
      </c>
      <c r="L4" s="17">
        <f>101+12/32</f>
        <v>101.375</v>
      </c>
      <c r="M4" s="17">
        <f>100+26/32</f>
        <v>100.8125</v>
      </c>
      <c r="N4" s="17">
        <f>102+1/32</f>
        <v>102.03125</v>
      </c>
      <c r="O4" s="17">
        <f>98+5/32</f>
        <v>98.15625</v>
      </c>
      <c r="P4" s="17">
        <f>102+9/32</f>
        <v>102.28125</v>
      </c>
      <c r="Q4" s="17">
        <f>97+13/32</f>
        <v>97.40625</v>
      </c>
      <c r="R4" s="17">
        <f>101+23/32</f>
        <v>101.71875</v>
      </c>
      <c r="S4" s="17">
        <f>99+5/32</f>
        <v>99.15625</v>
      </c>
      <c r="T4" s="17">
        <f>109+4/32</f>
        <v>109.125</v>
      </c>
      <c r="U4" s="17">
        <f>101+13/32</f>
        <v>101.40625</v>
      </c>
      <c r="V4" s="17">
        <f>107+27/32</f>
        <v>107.84375</v>
      </c>
      <c r="W4" s="17">
        <f>99+13/32</f>
        <v>99.40625</v>
      </c>
      <c r="X4" s="17">
        <f>103+0/32</f>
        <v>103</v>
      </c>
      <c r="Y4" s="31"/>
      <c r="Z4" s="31"/>
    </row>
    <row r="5" spans="1:26" x14ac:dyDescent="0.55000000000000004">
      <c r="A5" s="74" t="s">
        <v>6</v>
      </c>
      <c r="B5" s="74"/>
      <c r="C5" s="31">
        <v>40770</v>
      </c>
      <c r="F5" s="27" t="s">
        <v>7</v>
      </c>
      <c r="G5" s="37">
        <f>$G3*$C$6*0.5</f>
        <v>1.5122282608695652</v>
      </c>
      <c r="H5" s="37">
        <f>$H3*$C$6*0.5</f>
        <v>2.0828804347826084</v>
      </c>
      <c r="I5" s="37">
        <f>$I3*$C6*0.5</f>
        <v>1.7975543478260869</v>
      </c>
      <c r="J5" s="37">
        <f>$J3*$C6*0.5</f>
        <v>1.8831521739130435</v>
      </c>
      <c r="K5" s="37">
        <f>$K3*$C6*0.5</f>
        <v>1.8831521739130435</v>
      </c>
      <c r="L5" s="37">
        <f>$L3*$C6*0.5</f>
        <v>1.9116847826086956</v>
      </c>
      <c r="M5" s="37">
        <f>$M3*$C6*0.5</f>
        <v>1.826086956521739</v>
      </c>
      <c r="N5" s="37">
        <f>$N3*$C6*0.5</f>
        <v>1.9972826086956521</v>
      </c>
      <c r="O5" s="37">
        <f>$O3*$C6*0.5</f>
        <v>1.5692934782608694</v>
      </c>
      <c r="P5" s="37">
        <f>$P3*$C6*0.5</f>
        <v>2.0258152173913042</v>
      </c>
      <c r="Q5" s="37">
        <f>$Q3*$C6*0.5</f>
        <v>1.5692934782608694</v>
      </c>
      <c r="R5" s="37">
        <f>$R3*$C6*0.5</f>
        <v>1.9687499999999998</v>
      </c>
      <c r="S5" s="37">
        <f>$S3*$C6*0.5</f>
        <v>1.7690217391304346</v>
      </c>
      <c r="T5" s="37">
        <f>$T3*$C6*0.5</f>
        <v>2.5679347826086953</v>
      </c>
      <c r="U5" s="37">
        <f>$U3*$C6*0.5</f>
        <v>1.9402173913043477</v>
      </c>
      <c r="V5" s="37">
        <f>$V3*$C6*0.5</f>
        <v>2.3967391304347823</v>
      </c>
      <c r="W5" s="37">
        <f>$W3*$C6*0.5</f>
        <v>1.7975543478260869</v>
      </c>
      <c r="X5" s="37">
        <f>$X3*$C6*0.5</f>
        <v>2.0258152173913042</v>
      </c>
    </row>
    <row r="6" spans="1:26" x14ac:dyDescent="0.55000000000000004">
      <c r="A6" s="75" t="s">
        <v>84</v>
      </c>
      <c r="B6" s="75"/>
      <c r="C6" s="45">
        <f>($C4-$C5)/($C10-$C5)</f>
        <v>0.45652173913043476</v>
      </c>
      <c r="F6" s="46" t="s">
        <v>8</v>
      </c>
      <c r="G6" s="47">
        <f>$G4+$G5</f>
        <v>101.51222826086956</v>
      </c>
      <c r="H6" s="47">
        <f>$H4+$H5</f>
        <v>102.77038043478261</v>
      </c>
      <c r="I6" s="47">
        <f>$I4+$I5</f>
        <v>102.54755434782609</v>
      </c>
      <c r="J6" s="47">
        <f>$J4+$J5</f>
        <v>102.91440217391305</v>
      </c>
      <c r="K6" s="47">
        <f>$K4+$K5</f>
        <v>103.10190217391305</v>
      </c>
      <c r="L6" s="47">
        <f>$L4+$L5</f>
        <v>103.2866847826087</v>
      </c>
      <c r="M6" s="47">
        <f>$M4+$M5</f>
        <v>102.63858695652173</v>
      </c>
      <c r="N6" s="47">
        <f>$N4+$N5</f>
        <v>104.02853260869566</v>
      </c>
      <c r="O6" s="47">
        <f>$O4+$O5</f>
        <v>99.725543478260875</v>
      </c>
      <c r="P6" s="47">
        <f>$P4+$P5</f>
        <v>104.3070652173913</v>
      </c>
      <c r="Q6" s="47">
        <f>$Q4+$Q5</f>
        <v>98.975543478260875</v>
      </c>
      <c r="R6" s="47">
        <f>$R4+$R5</f>
        <v>103.6875</v>
      </c>
      <c r="S6" s="47">
        <f>$S4+$S5</f>
        <v>100.92527173913044</v>
      </c>
      <c r="T6" s="47">
        <f>$T4+$T5</f>
        <v>111.69293478260869</v>
      </c>
      <c r="U6" s="47">
        <f>$U4+$U5</f>
        <v>103.34646739130434</v>
      </c>
      <c r="V6" s="47">
        <f>$V4+$V5</f>
        <v>110.24048913043478</v>
      </c>
      <c r="W6" s="47">
        <f>$W4+$W5</f>
        <v>101.20380434782609</v>
      </c>
      <c r="X6" s="47">
        <f>$X4+$X5</f>
        <v>105.0258152173913</v>
      </c>
    </row>
    <row r="8" spans="1:26" x14ac:dyDescent="0.55000000000000004">
      <c r="A8" s="15"/>
      <c r="B8" s="15"/>
      <c r="C8" s="31"/>
    </row>
    <row r="9" spans="1:26" ht="49.05" customHeight="1" x14ac:dyDescent="0.55000000000000004">
      <c r="A9" s="48" t="s">
        <v>9</v>
      </c>
      <c r="B9" s="48" t="s">
        <v>10</v>
      </c>
      <c r="C9" s="48" t="s">
        <v>11</v>
      </c>
      <c r="D9" s="48" t="s">
        <v>12</v>
      </c>
      <c r="E9" s="48" t="s">
        <v>13</v>
      </c>
      <c r="F9" s="48" t="s">
        <v>14</v>
      </c>
      <c r="G9" s="72" t="s">
        <v>15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 spans="1:26" x14ac:dyDescent="0.55000000000000004">
      <c r="A10" s="31">
        <v>40954</v>
      </c>
      <c r="B10" s="27">
        <f>WEEKDAY(A10)</f>
        <v>4</v>
      </c>
      <c r="C10" s="31">
        <f>A10+IF(B10=7,2,)+IF(B10=1,1,0)</f>
        <v>40954</v>
      </c>
      <c r="D10" s="49">
        <f t="shared" ref="D10:D18" si="0">YEARFRAC(C$4,C10,1)</f>
        <v>0.27397260273972601</v>
      </c>
      <c r="E10" s="50">
        <f>$D21+$D$22*$D10+$D$23*$D10^2+$D$24*$D10^3+$D$25*$D10^4</f>
        <v>6.3972216218249431E-2</v>
      </c>
      <c r="F10" s="51">
        <f>EXP(-$D10*$E10)</f>
        <v>0.98262606348369785</v>
      </c>
      <c r="G10" s="17">
        <f>IF($A10&lt;G$2,G$3/2,IF($A10=G$2,100+G$3/2,0))</f>
        <v>103.3125</v>
      </c>
      <c r="H10" s="17">
        <f>IF($A10&lt;H$2,H$3/2,IF($A10=H$2,100+H$3/2,0))</f>
        <v>104.5625</v>
      </c>
      <c r="I10" s="17">
        <f t="shared" ref="G10:V18" si="1">IF($A10&lt;I$2,I$3/2,IF($A10=I$2,100+I$3/2,0))</f>
        <v>3.9375</v>
      </c>
      <c r="J10" s="17">
        <f>IF($A10&lt;J$2,J$3/2,IF($A10=J$2,100+J$3/2,0))</f>
        <v>4.125</v>
      </c>
      <c r="K10" s="17">
        <f t="shared" si="1"/>
        <v>4.125</v>
      </c>
      <c r="L10" s="17">
        <f t="shared" si="1"/>
        <v>4.1875</v>
      </c>
      <c r="M10" s="17">
        <f t="shared" si="1"/>
        <v>4</v>
      </c>
      <c r="N10" s="17">
        <f t="shared" si="1"/>
        <v>4.375</v>
      </c>
      <c r="O10" s="17">
        <f t="shared" si="1"/>
        <v>3.4375</v>
      </c>
      <c r="P10" s="17">
        <f t="shared" si="1"/>
        <v>4.4375</v>
      </c>
      <c r="Q10" s="17">
        <f t="shared" si="1"/>
        <v>3.4375</v>
      </c>
      <c r="R10" s="17">
        <f t="shared" si="1"/>
        <v>4.3125</v>
      </c>
      <c r="S10" s="17">
        <f t="shared" si="1"/>
        <v>3.875</v>
      </c>
      <c r="T10" s="17">
        <f t="shared" si="1"/>
        <v>5.625</v>
      </c>
      <c r="U10" s="17">
        <f t="shared" si="1"/>
        <v>4.25</v>
      </c>
      <c r="V10" s="17">
        <f t="shared" si="1"/>
        <v>5.25</v>
      </c>
      <c r="W10" s="17">
        <f t="shared" ref="Q10:X18" si="2">IF($A10&lt;W$2,W$3/2,IF($A10=W$2,100+W$3/2,0))</f>
        <v>3.9375</v>
      </c>
      <c r="X10" s="17">
        <f t="shared" si="2"/>
        <v>4.4375</v>
      </c>
    </row>
    <row r="11" spans="1:26" x14ac:dyDescent="0.55000000000000004">
      <c r="A11" s="31">
        <f>DATE(YEAR(A10),MONTH(A10)+6,15)</f>
        <v>41136</v>
      </c>
      <c r="B11" s="27">
        <f t="shared" ref="B11:B18" si="3">WEEKDAY(A11)</f>
        <v>4</v>
      </c>
      <c r="C11" s="31">
        <f t="shared" ref="C11:C18" si="4">A11+IF(B11=7,2,)+IF(B11=1,1,0)</f>
        <v>41136</v>
      </c>
      <c r="D11" s="49">
        <f t="shared" si="0"/>
        <v>0.77049180327868849</v>
      </c>
      <c r="E11" s="50">
        <f>$D21+$D$22*$D11+$D$23*$D11^2+$D$24*$D11^3+$D$25*$D11^4</f>
        <v>6.7309714106468174E-2</v>
      </c>
      <c r="F11" s="51">
        <f t="shared" ref="F11:F18" si="5">EXP(-$D11*$E11)</f>
        <v>0.94946027919123077</v>
      </c>
      <c r="G11" s="17">
        <f>IF($A11&lt;G$2,G$3/2,IF($A11=G$2,100+G$3/2,0))</f>
        <v>0</v>
      </c>
      <c r="H11" s="17">
        <f t="shared" si="1"/>
        <v>0</v>
      </c>
      <c r="I11" s="17">
        <f t="shared" si="1"/>
        <v>103.9375</v>
      </c>
      <c r="J11" s="17">
        <f>IF($A11&lt;J$2,J$3/2,IF($A11=J$2,100+J$3/2,0))</f>
        <v>104.125</v>
      </c>
      <c r="K11" s="17">
        <f t="shared" si="1"/>
        <v>4.125</v>
      </c>
      <c r="L11" s="17">
        <f>IF($A11&lt;L$2,L$3/2,IF($A11=L$2,100+L$3/2,0))</f>
        <v>4.1875</v>
      </c>
      <c r="M11" s="17">
        <f t="shared" si="1"/>
        <v>4</v>
      </c>
      <c r="N11" s="17">
        <f t="shared" si="1"/>
        <v>4.375</v>
      </c>
      <c r="O11" s="17">
        <f t="shared" si="1"/>
        <v>3.4375</v>
      </c>
      <c r="P11" s="17">
        <f t="shared" si="1"/>
        <v>4.4375</v>
      </c>
      <c r="Q11" s="17">
        <f t="shared" si="2"/>
        <v>3.4375</v>
      </c>
      <c r="R11" s="17">
        <f t="shared" si="2"/>
        <v>4.3125</v>
      </c>
      <c r="S11" s="17">
        <f t="shared" si="2"/>
        <v>3.875</v>
      </c>
      <c r="T11" s="17">
        <f t="shared" si="2"/>
        <v>5.625</v>
      </c>
      <c r="U11" s="17">
        <f t="shared" si="2"/>
        <v>4.25</v>
      </c>
      <c r="V11" s="17">
        <f t="shared" si="2"/>
        <v>5.25</v>
      </c>
      <c r="W11" s="17">
        <f t="shared" si="2"/>
        <v>3.9375</v>
      </c>
      <c r="X11" s="17">
        <f t="shared" si="2"/>
        <v>4.4375</v>
      </c>
    </row>
    <row r="12" spans="1:26" x14ac:dyDescent="0.55000000000000004">
      <c r="A12" s="31">
        <f t="shared" ref="A12:A18" si="6">DATE(YEAR(A11),MONTH(A11)+6,15)</f>
        <v>41320</v>
      </c>
      <c r="B12" s="27">
        <f t="shared" si="3"/>
        <v>6</v>
      </c>
      <c r="C12" s="31">
        <f t="shared" si="4"/>
        <v>41320</v>
      </c>
      <c r="D12" s="49">
        <f t="shared" si="0"/>
        <v>1.2755474452554745</v>
      </c>
      <c r="E12" s="50">
        <f>$D21+$D$22*$D12+$D$23*$D12^2+$D$24*$D12^3+$D$25*$D12^4</f>
        <v>7.0738658952201647E-2</v>
      </c>
      <c r="F12" s="51">
        <f t="shared" si="5"/>
        <v>0.91372053405779052</v>
      </c>
      <c r="G12" s="17">
        <f t="shared" si="1"/>
        <v>0</v>
      </c>
      <c r="H12" s="17">
        <f t="shared" si="1"/>
        <v>0</v>
      </c>
      <c r="I12" s="17">
        <f t="shared" si="1"/>
        <v>0</v>
      </c>
      <c r="J12" s="17">
        <f t="shared" si="1"/>
        <v>0</v>
      </c>
      <c r="K12" s="17">
        <f t="shared" si="1"/>
        <v>104.125</v>
      </c>
      <c r="L12" s="17">
        <f t="shared" si="1"/>
        <v>104.1875</v>
      </c>
      <c r="M12" s="17">
        <f t="shared" si="1"/>
        <v>4</v>
      </c>
      <c r="N12" s="17">
        <f t="shared" si="1"/>
        <v>4.375</v>
      </c>
      <c r="O12" s="17">
        <f t="shared" si="1"/>
        <v>3.4375</v>
      </c>
      <c r="P12" s="17">
        <f t="shared" si="1"/>
        <v>4.4375</v>
      </c>
      <c r="Q12" s="17">
        <f t="shared" si="2"/>
        <v>3.4375</v>
      </c>
      <c r="R12" s="17">
        <f t="shared" si="2"/>
        <v>4.3125</v>
      </c>
      <c r="S12" s="17">
        <f t="shared" si="2"/>
        <v>3.875</v>
      </c>
      <c r="T12" s="17">
        <f t="shared" si="2"/>
        <v>5.625</v>
      </c>
      <c r="U12" s="17">
        <f t="shared" si="2"/>
        <v>4.25</v>
      </c>
      <c r="V12" s="17">
        <f t="shared" si="2"/>
        <v>5.25</v>
      </c>
      <c r="W12" s="17">
        <f t="shared" si="2"/>
        <v>3.9375</v>
      </c>
      <c r="X12" s="17">
        <f t="shared" si="2"/>
        <v>4.4375</v>
      </c>
    </row>
    <row r="13" spans="1:26" x14ac:dyDescent="0.55000000000000004">
      <c r="A13" s="31">
        <f t="shared" si="6"/>
        <v>41501</v>
      </c>
      <c r="B13" s="27">
        <f t="shared" si="3"/>
        <v>5</v>
      </c>
      <c r="C13" s="31">
        <f t="shared" si="4"/>
        <v>41501</v>
      </c>
      <c r="D13" s="49">
        <f t="shared" si="0"/>
        <v>1.7709854014598541</v>
      </c>
      <c r="E13" s="50">
        <f>$D21+$D$22*$D13+$D$23*$D13^2+$D$24*$D13^3+$D$25*$D13^4</f>
        <v>7.378952219989672E-2</v>
      </c>
      <c r="F13" s="51">
        <f t="shared" si="5"/>
        <v>0.87749838280882986</v>
      </c>
      <c r="G13" s="17">
        <f t="shared" si="1"/>
        <v>0</v>
      </c>
      <c r="H13" s="17">
        <f t="shared" si="1"/>
        <v>0</v>
      </c>
      <c r="I13" s="17">
        <f t="shared" si="1"/>
        <v>0</v>
      </c>
      <c r="J13" s="17">
        <f t="shared" si="1"/>
        <v>0</v>
      </c>
      <c r="K13" s="17">
        <f t="shared" si="1"/>
        <v>0</v>
      </c>
      <c r="L13" s="17">
        <f t="shared" si="1"/>
        <v>0</v>
      </c>
      <c r="M13" s="17">
        <f t="shared" si="1"/>
        <v>104</v>
      </c>
      <c r="N13" s="17">
        <f t="shared" si="1"/>
        <v>104.375</v>
      </c>
      <c r="O13" s="17">
        <f t="shared" si="1"/>
        <v>3.4375</v>
      </c>
      <c r="P13" s="17">
        <f t="shared" si="1"/>
        <v>4.4375</v>
      </c>
      <c r="Q13" s="17">
        <f t="shared" si="2"/>
        <v>3.4375</v>
      </c>
      <c r="R13" s="17">
        <f t="shared" si="2"/>
        <v>4.3125</v>
      </c>
      <c r="S13" s="17">
        <f t="shared" si="2"/>
        <v>3.875</v>
      </c>
      <c r="T13" s="17">
        <f t="shared" si="2"/>
        <v>5.625</v>
      </c>
      <c r="U13" s="17">
        <f t="shared" si="2"/>
        <v>4.25</v>
      </c>
      <c r="V13" s="17">
        <f t="shared" si="2"/>
        <v>5.25</v>
      </c>
      <c r="W13" s="17">
        <f t="shared" si="2"/>
        <v>3.9375</v>
      </c>
      <c r="X13" s="17">
        <f t="shared" si="2"/>
        <v>4.4375</v>
      </c>
    </row>
    <row r="14" spans="1:26" x14ac:dyDescent="0.55000000000000004">
      <c r="A14" s="31">
        <f t="shared" si="6"/>
        <v>41685</v>
      </c>
      <c r="B14" s="27">
        <f t="shared" si="3"/>
        <v>7</v>
      </c>
      <c r="C14" s="31">
        <f t="shared" si="4"/>
        <v>41687</v>
      </c>
      <c r="D14" s="49">
        <f t="shared" si="0"/>
        <v>2.2806297056810405</v>
      </c>
      <c r="E14" s="50">
        <f>$D21+$D$22*$D14+$D$23*$D14^2+$D$24*$D14^3+$D$25*$D14^4</f>
        <v>7.6345793858183519E-2</v>
      </c>
      <c r="F14" s="51">
        <f>EXP(-$D14*$E14)</f>
        <v>0.84019902105841227</v>
      </c>
      <c r="G14" s="17">
        <f t="shared" si="1"/>
        <v>0</v>
      </c>
      <c r="H14" s="17">
        <f t="shared" si="1"/>
        <v>0</v>
      </c>
      <c r="I14" s="17">
        <f t="shared" si="1"/>
        <v>0</v>
      </c>
      <c r="J14" s="17">
        <f t="shared" si="1"/>
        <v>0</v>
      </c>
      <c r="K14" s="17">
        <f t="shared" si="1"/>
        <v>0</v>
      </c>
      <c r="L14" s="17">
        <f t="shared" si="1"/>
        <v>0</v>
      </c>
      <c r="M14" s="17">
        <f t="shared" si="1"/>
        <v>0</v>
      </c>
      <c r="N14" s="17">
        <f t="shared" si="1"/>
        <v>0</v>
      </c>
      <c r="O14" s="17">
        <f t="shared" si="1"/>
        <v>103.4375</v>
      </c>
      <c r="P14" s="17">
        <f t="shared" si="1"/>
        <v>104.4375</v>
      </c>
      <c r="Q14" s="17">
        <f t="shared" si="2"/>
        <v>3.4375</v>
      </c>
      <c r="R14" s="17">
        <f t="shared" si="2"/>
        <v>4.3125</v>
      </c>
      <c r="S14" s="17">
        <f t="shared" si="2"/>
        <v>3.875</v>
      </c>
      <c r="T14" s="17">
        <f t="shared" si="2"/>
        <v>5.625</v>
      </c>
      <c r="U14" s="17">
        <f t="shared" si="2"/>
        <v>4.25</v>
      </c>
      <c r="V14" s="17">
        <f t="shared" si="2"/>
        <v>5.25</v>
      </c>
      <c r="W14" s="17">
        <f t="shared" si="2"/>
        <v>3.9375</v>
      </c>
      <c r="X14" s="17">
        <f t="shared" si="2"/>
        <v>4.4375</v>
      </c>
    </row>
    <row r="15" spans="1:26" x14ac:dyDescent="0.55000000000000004">
      <c r="A15" s="31">
        <f t="shared" si="6"/>
        <v>41866</v>
      </c>
      <c r="B15" s="27">
        <f t="shared" si="3"/>
        <v>6</v>
      </c>
      <c r="C15" s="31">
        <f t="shared" si="4"/>
        <v>41866</v>
      </c>
      <c r="D15" s="49">
        <f t="shared" si="0"/>
        <v>2.7707049965776864</v>
      </c>
      <c r="E15" s="50">
        <f>$D21+$D$22*$D15+$D$23*$D15^2+$D$24*$D15^3+$D$25*$D15^4</f>
        <v>7.8098354005084566E-2</v>
      </c>
      <c r="F15" s="51">
        <f t="shared" si="5"/>
        <v>0.80542314019799111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f t="shared" si="1"/>
        <v>0</v>
      </c>
      <c r="K15" s="17">
        <f t="shared" si="1"/>
        <v>0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0</v>
      </c>
      <c r="P15" s="17">
        <f t="shared" si="1"/>
        <v>0</v>
      </c>
      <c r="Q15" s="17">
        <f t="shared" si="2"/>
        <v>103.4375</v>
      </c>
      <c r="R15" s="17">
        <f t="shared" si="2"/>
        <v>104.3125</v>
      </c>
      <c r="S15" s="17">
        <f t="shared" si="2"/>
        <v>3.875</v>
      </c>
      <c r="T15" s="17">
        <f t="shared" si="2"/>
        <v>5.625</v>
      </c>
      <c r="U15" s="17">
        <f t="shared" si="2"/>
        <v>4.25</v>
      </c>
      <c r="V15" s="17">
        <f t="shared" si="2"/>
        <v>5.25</v>
      </c>
      <c r="W15" s="17">
        <f t="shared" si="2"/>
        <v>3.9375</v>
      </c>
      <c r="X15" s="17">
        <f t="shared" si="2"/>
        <v>4.4375</v>
      </c>
    </row>
    <row r="16" spans="1:26" x14ac:dyDescent="0.55000000000000004">
      <c r="A16" s="31">
        <f t="shared" si="6"/>
        <v>42050</v>
      </c>
      <c r="B16" s="27">
        <f t="shared" si="3"/>
        <v>1</v>
      </c>
      <c r="C16" s="31">
        <f t="shared" si="4"/>
        <v>42051</v>
      </c>
      <c r="D16" s="49">
        <f t="shared" si="0"/>
        <v>3.2776560788608982</v>
      </c>
      <c r="E16" s="50">
        <f>$D21+$D$22*$D16+$D$23*$D16^2+$D$24*$D16^3+$D$25*$D16^4</f>
        <v>7.9128871201142037E-2</v>
      </c>
      <c r="F16" s="51">
        <f t="shared" si="5"/>
        <v>0.77154735725990886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f t="shared" si="1"/>
        <v>0</v>
      </c>
      <c r="K16" s="17">
        <f t="shared" si="1"/>
        <v>0</v>
      </c>
      <c r="L16" s="17">
        <f t="shared" si="1"/>
        <v>0</v>
      </c>
      <c r="M16" s="17">
        <f t="shared" si="1"/>
        <v>0</v>
      </c>
      <c r="N16" s="17">
        <f t="shared" si="1"/>
        <v>0</v>
      </c>
      <c r="O16" s="17">
        <f t="shared" si="1"/>
        <v>0</v>
      </c>
      <c r="P16" s="17">
        <f t="shared" si="1"/>
        <v>0</v>
      </c>
      <c r="Q16" s="17">
        <f t="shared" si="2"/>
        <v>0</v>
      </c>
      <c r="R16" s="17">
        <f t="shared" si="2"/>
        <v>0</v>
      </c>
      <c r="S16" s="17">
        <f t="shared" si="2"/>
        <v>103.875</v>
      </c>
      <c r="T16" s="17">
        <f t="shared" si="2"/>
        <v>105.625</v>
      </c>
      <c r="U16" s="17">
        <f t="shared" si="2"/>
        <v>4.25</v>
      </c>
      <c r="V16" s="17">
        <f t="shared" si="2"/>
        <v>5.25</v>
      </c>
      <c r="W16" s="17">
        <f t="shared" si="2"/>
        <v>3.9375</v>
      </c>
      <c r="X16" s="17">
        <f t="shared" si="2"/>
        <v>4.4375</v>
      </c>
    </row>
    <row r="17" spans="1:24" x14ac:dyDescent="0.55000000000000004">
      <c r="A17" s="31">
        <f t="shared" si="6"/>
        <v>42231</v>
      </c>
      <c r="B17" s="27">
        <f t="shared" si="3"/>
        <v>7</v>
      </c>
      <c r="C17" s="31">
        <f t="shared" si="4"/>
        <v>42233</v>
      </c>
      <c r="D17" s="49">
        <f t="shared" si="0"/>
        <v>3.7760131434830231</v>
      </c>
      <c r="E17" s="50">
        <f>$D21+$D$22*$D17+$D$23*$D17^2+$D$24*$D17^3+$D$25*$D17^4</f>
        <v>7.9411505673659177E-2</v>
      </c>
      <c r="F17" s="51">
        <f t="shared" si="5"/>
        <v>0.74092276553359138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Q17" s="17">
        <f t="shared" si="2"/>
        <v>0</v>
      </c>
      <c r="R17" s="17">
        <f t="shared" si="2"/>
        <v>0</v>
      </c>
      <c r="S17" s="17">
        <f t="shared" si="2"/>
        <v>0</v>
      </c>
      <c r="T17" s="17">
        <f t="shared" si="2"/>
        <v>0</v>
      </c>
      <c r="U17" s="17">
        <f t="shared" si="2"/>
        <v>104.25</v>
      </c>
      <c r="V17" s="17">
        <f t="shared" si="2"/>
        <v>105.25</v>
      </c>
      <c r="W17" s="17">
        <f t="shared" si="2"/>
        <v>3.9375</v>
      </c>
      <c r="X17" s="17">
        <f t="shared" si="2"/>
        <v>4.4375</v>
      </c>
    </row>
    <row r="18" spans="1:24" x14ac:dyDescent="0.55000000000000004">
      <c r="A18" s="31">
        <f t="shared" si="6"/>
        <v>42415</v>
      </c>
      <c r="B18" s="27">
        <f t="shared" si="3"/>
        <v>2</v>
      </c>
      <c r="C18" s="31">
        <f t="shared" si="4"/>
        <v>42415</v>
      </c>
      <c r="D18" s="49">
        <f t="shared" si="0"/>
        <v>4.2728102189781021</v>
      </c>
      <c r="E18" s="50">
        <f>$D21+$D$22*$D18+$D$23*$D18^2+$D$24*$D18^3+$D$25*$D18^4</f>
        <v>7.9114427179653474E-2</v>
      </c>
      <c r="F18" s="51">
        <f t="shared" si="5"/>
        <v>0.71316609532879138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f t="shared" si="1"/>
        <v>0</v>
      </c>
      <c r="K18" s="17">
        <f t="shared" si="1"/>
        <v>0</v>
      </c>
      <c r="L18" s="17">
        <f t="shared" si="1"/>
        <v>0</v>
      </c>
      <c r="M18" s="17">
        <f t="shared" si="1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  <c r="Q18" s="17">
        <f t="shared" si="2"/>
        <v>0</v>
      </c>
      <c r="R18" s="17">
        <f t="shared" si="2"/>
        <v>0</v>
      </c>
      <c r="S18" s="17">
        <f t="shared" si="2"/>
        <v>0</v>
      </c>
      <c r="T18" s="17">
        <f t="shared" si="2"/>
        <v>0</v>
      </c>
      <c r="U18" s="17">
        <f t="shared" si="2"/>
        <v>0</v>
      </c>
      <c r="V18" s="17">
        <f t="shared" si="2"/>
        <v>0</v>
      </c>
      <c r="W18" s="17">
        <f t="shared" si="2"/>
        <v>103.9375</v>
      </c>
      <c r="X18" s="17">
        <f t="shared" si="2"/>
        <v>104.4375</v>
      </c>
    </row>
    <row r="19" spans="1:24" x14ac:dyDescent="0.55000000000000004">
      <c r="A19" s="31"/>
      <c r="C19" s="31"/>
    </row>
    <row r="20" spans="1:24" x14ac:dyDescent="0.55000000000000004">
      <c r="A20" s="31"/>
      <c r="C20" s="22" t="s">
        <v>16</v>
      </c>
      <c r="D20" s="22"/>
      <c r="F20" s="17" t="s">
        <v>17</v>
      </c>
      <c r="G20" s="52">
        <f>SUMPRODUCT($F10:$F18,G10:G18)</f>
        <v>101.51755518365954</v>
      </c>
      <c r="H20" s="52">
        <f t="shared" ref="H20:X20" si="7">SUMPRODUCT($F10:$F18,H10:H18)</f>
        <v>102.74583776301415</v>
      </c>
      <c r="I20" s="52">
        <f>SUMPRODUCT($F10:$F18,I10:I18)</f>
        <v>102.5536178934056</v>
      </c>
      <c r="J20" s="52">
        <f>SUMPRODUCT($F10:$F18,J10:J18)</f>
        <v>102.91588408265716</v>
      </c>
      <c r="K20" s="52">
        <f t="shared" si="7"/>
        <v>103.11100677230151</v>
      </c>
      <c r="L20" s="52">
        <f t="shared" si="7"/>
        <v>103.28886970209732</v>
      </c>
      <c r="M20" s="52">
        <f t="shared" si="7"/>
        <v>102.64305931904919</v>
      </c>
      <c r="N20" s="52">
        <f t="shared" si="7"/>
        <v>104.03929879137726</v>
      </c>
      <c r="O20" s="52">
        <f t="shared" si="7"/>
        <v>99.706948070403598</v>
      </c>
      <c r="P20" s="52">
        <f t="shared" si="7"/>
        <v>104.27045235100356</v>
      </c>
      <c r="Q20" s="52">
        <f t="shared" si="7"/>
        <v>98.998002028792058</v>
      </c>
      <c r="R20" s="52">
        <f t="shared" si="7"/>
        <v>103.69581352199027</v>
      </c>
      <c r="S20" s="52">
        <f t="shared" si="7"/>
        <v>100.9490754909651</v>
      </c>
      <c r="T20" s="52">
        <f t="shared" si="7"/>
        <v>111.69490635256636</v>
      </c>
      <c r="U20" s="52">
        <f t="shared" si="7"/>
        <v>103.33821611362281</v>
      </c>
      <c r="V20" s="52">
        <f t="shared" si="7"/>
        <v>110.21961365721427</v>
      </c>
      <c r="W20" s="52">
        <f t="shared" si="7"/>
        <v>101.2202038611276</v>
      </c>
      <c r="X20" s="52">
        <f t="shared" si="7"/>
        <v>105.01748568058773</v>
      </c>
    </row>
    <row r="21" spans="1:24" x14ac:dyDescent="0.55000000000000004">
      <c r="A21" s="71" t="s">
        <v>18</v>
      </c>
      <c r="B21" s="71"/>
      <c r="C21" s="27" t="s">
        <v>19</v>
      </c>
      <c r="D21" s="53">
        <v>6.2301797870137059E-2</v>
      </c>
      <c r="F21" s="17" t="s">
        <v>20</v>
      </c>
      <c r="G21" s="52">
        <f t="shared" ref="G21:X21" si="8">G6-G20</f>
        <v>-5.3269227899761518E-3</v>
      </c>
      <c r="H21" s="52">
        <f t="shared" si="8"/>
        <v>2.4542671768458035E-2</v>
      </c>
      <c r="I21" s="52">
        <f>I6-I20</f>
        <v>-6.0635455795079451E-3</v>
      </c>
      <c r="J21" s="52">
        <f t="shared" si="8"/>
        <v>-1.4819087441111378E-3</v>
      </c>
      <c r="K21" s="52">
        <f t="shared" si="8"/>
        <v>-9.1045983884612269E-3</v>
      </c>
      <c r="L21" s="52">
        <f t="shared" si="8"/>
        <v>-2.1849194886129908E-3</v>
      </c>
      <c r="M21" s="52">
        <f t="shared" si="8"/>
        <v>-4.4723625274514234E-3</v>
      </c>
      <c r="N21" s="52">
        <f t="shared" si="8"/>
        <v>-1.0766182681607006E-2</v>
      </c>
      <c r="O21" s="52">
        <f t="shared" si="8"/>
        <v>1.8595407857276314E-2</v>
      </c>
      <c r="P21" s="52">
        <f t="shared" si="8"/>
        <v>3.661286638774186E-2</v>
      </c>
      <c r="Q21" s="52">
        <f t="shared" si="8"/>
        <v>-2.2458550531183619E-2</v>
      </c>
      <c r="R21" s="52">
        <f t="shared" si="8"/>
        <v>-8.3135219902743529E-3</v>
      </c>
      <c r="S21" s="52">
        <f t="shared" si="8"/>
        <v>-2.3803751834662989E-2</v>
      </c>
      <c r="T21" s="52">
        <f t="shared" si="8"/>
        <v>-1.9715699576750012E-3</v>
      </c>
      <c r="U21" s="52">
        <f t="shared" si="8"/>
        <v>8.251277681537772E-3</v>
      </c>
      <c r="V21" s="52">
        <f t="shared" si="8"/>
        <v>2.0875473220513641E-2</v>
      </c>
      <c r="W21" s="52">
        <f t="shared" si="8"/>
        <v>-1.6399513301507795E-2</v>
      </c>
      <c r="X21" s="52">
        <f t="shared" si="8"/>
        <v>8.3295368035720685E-3</v>
      </c>
    </row>
    <row r="22" spans="1:24" x14ac:dyDescent="0.55000000000000004">
      <c r="A22" s="71"/>
      <c r="B22" s="71"/>
      <c r="C22" s="27" t="s">
        <v>21</v>
      </c>
      <c r="D22" s="53">
        <v>5.7341293895962105E-3</v>
      </c>
      <c r="F22" s="17" t="s">
        <v>22</v>
      </c>
      <c r="G22" s="52">
        <f>G21^2</f>
        <v>2.8376106410367308E-5</v>
      </c>
      <c r="H22" s="52">
        <f>H21^2</f>
        <v>6.0234273753426702E-4</v>
      </c>
      <c r="I22" s="52">
        <f>I21^2</f>
        <v>3.6766584994770344E-5</v>
      </c>
      <c r="J22" s="52">
        <f t="shared" ref="J22:X22" si="9">J21^2</f>
        <v>2.1960535258730499E-6</v>
      </c>
      <c r="K22" s="52">
        <f t="shared" si="9"/>
        <v>8.2893711815170765E-5</v>
      </c>
      <c r="L22" s="52">
        <f t="shared" si="9"/>
        <v>4.7738731717208533E-6</v>
      </c>
      <c r="M22" s="52">
        <f t="shared" si="9"/>
        <v>2.0002026576951685E-5</v>
      </c>
      <c r="N22" s="52">
        <f t="shared" si="9"/>
        <v>1.1591068953373463E-4</v>
      </c>
      <c r="O22" s="52">
        <f t="shared" si="9"/>
        <v>3.4578919337845365E-4</v>
      </c>
      <c r="P22" s="52">
        <f t="shared" si="9"/>
        <v>1.3405019851266376E-3</v>
      </c>
      <c r="Q22" s="52">
        <f t="shared" si="9"/>
        <v>5.0438649196172798E-4</v>
      </c>
      <c r="R22" s="52">
        <f t="shared" si="9"/>
        <v>6.9114647882775236E-5</v>
      </c>
      <c r="S22" s="52">
        <f t="shared" si="9"/>
        <v>5.6661860140622166E-4</v>
      </c>
      <c r="T22" s="52">
        <f t="shared" si="9"/>
        <v>3.8870880980066063E-6</v>
      </c>
      <c r="U22" s="52">
        <f t="shared" si="9"/>
        <v>6.8083583377843353E-5</v>
      </c>
      <c r="V22" s="52">
        <f t="shared" si="9"/>
        <v>4.3578538218038212E-4</v>
      </c>
      <c r="W22" s="52">
        <f t="shared" si="9"/>
        <v>2.6894403652633113E-4</v>
      </c>
      <c r="X22" s="52">
        <f t="shared" si="9"/>
        <v>6.9381183362061597E-5</v>
      </c>
    </row>
    <row r="23" spans="1:24" ht="36" x14ac:dyDescent="0.55000000000000004">
      <c r="A23" s="71"/>
      <c r="B23" s="71"/>
      <c r="C23" s="46" t="s">
        <v>23</v>
      </c>
      <c r="D23" s="54">
        <v>1.5211169342611124E-3</v>
      </c>
      <c r="F23" s="55" t="s">
        <v>24</v>
      </c>
      <c r="G23" s="56">
        <f>SUM(G22:X22)</f>
        <v>4.5657539768632974E-3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pans="1:24" x14ac:dyDescent="0.55000000000000004">
      <c r="A24" s="71"/>
      <c r="B24" s="71"/>
      <c r="C24" s="27" t="s">
        <v>25</v>
      </c>
      <c r="D24" s="53">
        <v>-7.353802665066671E-4</v>
      </c>
    </row>
    <row r="25" spans="1:24" x14ac:dyDescent="0.55000000000000004">
      <c r="A25" s="71"/>
      <c r="B25" s="71"/>
      <c r="C25" s="27" t="s">
        <v>26</v>
      </c>
      <c r="D25" s="67">
        <v>6.5723650218724451E-5</v>
      </c>
    </row>
    <row r="29" spans="1:24" x14ac:dyDescent="0.55000000000000004">
      <c r="A29" s="27" t="s">
        <v>27</v>
      </c>
      <c r="B29" s="27" t="s">
        <v>28</v>
      </c>
    </row>
    <row r="30" spans="1:24" x14ac:dyDescent="0.55000000000000004">
      <c r="A30" s="57">
        <v>0</v>
      </c>
      <c r="B30" s="58">
        <f t="shared" ref="B30:B61" si="10">a_0+a_1*A30+a_2*A30^2+a_3*A30^3+a_4*A30^4</f>
        <v>6.2301797870137059E-2</v>
      </c>
    </row>
    <row r="31" spans="1:24" x14ac:dyDescent="0.55000000000000004">
      <c r="A31" s="57">
        <f>A30+0.1</f>
        <v>0.1</v>
      </c>
      <c r="B31" s="58">
        <f t="shared" si="10"/>
        <v>6.2889693170537816E-2</v>
      </c>
    </row>
    <row r="32" spans="1:24" x14ac:dyDescent="0.55000000000000004">
      <c r="A32" s="57">
        <f t="shared" ref="A32:A80" si="11">A31+0.1</f>
        <v>0.2</v>
      </c>
      <c r="B32" s="58">
        <f t="shared" si="10"/>
        <v>6.3503690541135041E-2</v>
      </c>
    </row>
    <row r="33" spans="1:2" x14ac:dyDescent="0.55000000000000004">
      <c r="A33" s="57">
        <f t="shared" si="11"/>
        <v>0.30000000000000004</v>
      </c>
      <c r="B33" s="58">
        <f t="shared" si="10"/>
        <v>6.4139614305470508E-2</v>
      </c>
    </row>
    <row r="34" spans="1:2" x14ac:dyDescent="0.55000000000000004">
      <c r="A34" s="57">
        <f t="shared" si="11"/>
        <v>0.4</v>
      </c>
      <c r="B34" s="58">
        <f t="shared" si="10"/>
        <v>6.4793446523846498E-2</v>
      </c>
    </row>
    <row r="35" spans="1:2" x14ac:dyDescent="0.55000000000000004">
      <c r="A35" s="57">
        <f t="shared" si="11"/>
        <v>0.5</v>
      </c>
      <c r="B35" s="58">
        <f t="shared" si="10"/>
        <v>6.5461326993325769E-2</v>
      </c>
    </row>
    <row r="36" spans="1:2" x14ac:dyDescent="0.55000000000000004">
      <c r="A36" s="57">
        <f t="shared" si="11"/>
        <v>0.6</v>
      </c>
      <c r="B36" s="58">
        <f t="shared" si="10"/>
        <v>6.61395532477317E-2</v>
      </c>
    </row>
    <row r="37" spans="1:2" x14ac:dyDescent="0.55000000000000004">
      <c r="A37" s="57">
        <f t="shared" si="11"/>
        <v>0.7</v>
      </c>
      <c r="B37" s="58">
        <f t="shared" si="10"/>
        <v>6.6824580557648075E-2</v>
      </c>
    </row>
    <row r="38" spans="1:2" x14ac:dyDescent="0.55000000000000004">
      <c r="A38" s="57">
        <f t="shared" si="11"/>
        <v>0.79999999999999993</v>
      </c>
      <c r="B38" s="58">
        <f>a_0+a_1*A38+a_2*A38^2+a_3*A38^3+a_4*A38^4</f>
        <v>6.7513021930419317E-2</v>
      </c>
    </row>
    <row r="39" spans="1:2" x14ac:dyDescent="0.55000000000000004">
      <c r="A39" s="57">
        <f t="shared" si="11"/>
        <v>0.89999999999999991</v>
      </c>
      <c r="B39" s="58">
        <f t="shared" si="10"/>
        <v>6.8201648110150295E-2</v>
      </c>
    </row>
    <row r="40" spans="1:2" x14ac:dyDescent="0.55000000000000004">
      <c r="A40" s="57">
        <f t="shared" si="11"/>
        <v>0.99999999999999989</v>
      </c>
      <c r="B40" s="58">
        <f t="shared" si="10"/>
        <v>6.8887387577706446E-2</v>
      </c>
    </row>
    <row r="41" spans="1:2" x14ac:dyDescent="0.55000000000000004">
      <c r="A41" s="57">
        <f t="shared" si="11"/>
        <v>1.0999999999999999</v>
      </c>
      <c r="B41" s="58">
        <f t="shared" si="10"/>
        <v>6.9567326550713696E-2</v>
      </c>
    </row>
    <row r="42" spans="1:2" x14ac:dyDescent="0.55000000000000004">
      <c r="A42" s="57">
        <f t="shared" si="11"/>
        <v>1.2</v>
      </c>
      <c r="B42" s="58">
        <f t="shared" si="10"/>
        <v>7.0238708983558551E-2</v>
      </c>
    </row>
    <row r="43" spans="1:2" x14ac:dyDescent="0.55000000000000004">
      <c r="A43" s="57">
        <f t="shared" si="11"/>
        <v>1.3</v>
      </c>
      <c r="B43" s="58">
        <f t="shared" si="10"/>
        <v>7.0898936567387966E-2</v>
      </c>
    </row>
    <row r="44" spans="1:2" x14ac:dyDescent="0.55000000000000004">
      <c r="A44" s="57">
        <f t="shared" si="11"/>
        <v>1.4000000000000001</v>
      </c>
      <c r="B44" s="58">
        <f t="shared" si="10"/>
        <v>7.1545568730109491E-2</v>
      </c>
    </row>
    <row r="45" spans="1:2" x14ac:dyDescent="0.55000000000000004">
      <c r="A45" s="57">
        <f t="shared" si="11"/>
        <v>1.5000000000000002</v>
      </c>
      <c r="B45" s="58">
        <f t="shared" si="10"/>
        <v>7.2176322636391177E-2</v>
      </c>
    </row>
    <row r="46" spans="1:2" x14ac:dyDescent="0.55000000000000004">
      <c r="A46" s="57">
        <f t="shared" si="11"/>
        <v>1.6000000000000003</v>
      </c>
      <c r="B46" s="58">
        <f t="shared" si="10"/>
        <v>7.2789073187661563E-2</v>
      </c>
    </row>
    <row r="47" spans="1:2" x14ac:dyDescent="0.55000000000000004">
      <c r="A47" s="57">
        <f t="shared" si="11"/>
        <v>1.7000000000000004</v>
      </c>
      <c r="B47" s="58">
        <f t="shared" si="10"/>
        <v>7.3381853022109797E-2</v>
      </c>
    </row>
    <row r="48" spans="1:2" x14ac:dyDescent="0.55000000000000004">
      <c r="A48" s="57">
        <f t="shared" si="11"/>
        <v>1.8000000000000005</v>
      </c>
      <c r="B48" s="58">
        <f t="shared" si="10"/>
        <v>7.3952852514685447E-2</v>
      </c>
    </row>
    <row r="49" spans="1:2" x14ac:dyDescent="0.55000000000000004">
      <c r="A49" s="57">
        <f t="shared" si="11"/>
        <v>1.9000000000000006</v>
      </c>
      <c r="B49" s="58">
        <f t="shared" si="10"/>
        <v>7.4500419777098689E-2</v>
      </c>
    </row>
    <row r="50" spans="1:2" x14ac:dyDescent="0.55000000000000004">
      <c r="A50" s="57">
        <f t="shared" si="11"/>
        <v>2.0000000000000004</v>
      </c>
      <c r="B50" s="58">
        <f t="shared" si="10"/>
        <v>7.5023060657820176E-2</v>
      </c>
    </row>
    <row r="51" spans="1:2" x14ac:dyDescent="0.55000000000000004">
      <c r="A51" s="57">
        <f t="shared" si="11"/>
        <v>2.1000000000000005</v>
      </c>
      <c r="B51" s="58">
        <f t="shared" si="10"/>
        <v>7.5519438742081141E-2</v>
      </c>
    </row>
    <row r="52" spans="1:2" x14ac:dyDescent="0.55000000000000004">
      <c r="A52" s="57">
        <f t="shared" si="11"/>
        <v>2.2000000000000006</v>
      </c>
      <c r="B52" s="58">
        <f t="shared" si="10"/>
        <v>7.598837535187325E-2</v>
      </c>
    </row>
    <row r="53" spans="1:2" x14ac:dyDescent="0.55000000000000004">
      <c r="A53" s="57">
        <f t="shared" si="11"/>
        <v>2.3000000000000007</v>
      </c>
      <c r="B53" s="58">
        <f t="shared" si="10"/>
        <v>7.6428849545948821E-2</v>
      </c>
    </row>
    <row r="54" spans="1:2" x14ac:dyDescent="0.55000000000000004">
      <c r="A54" s="57">
        <f t="shared" si="11"/>
        <v>2.4000000000000008</v>
      </c>
      <c r="B54" s="58">
        <f t="shared" si="10"/>
        <v>7.6839998119820549E-2</v>
      </c>
    </row>
    <row r="55" spans="1:2" x14ac:dyDescent="0.55000000000000004">
      <c r="A55" s="57">
        <f t="shared" si="11"/>
        <v>2.5000000000000009</v>
      </c>
      <c r="B55" s="58">
        <f t="shared" si="10"/>
        <v>7.7221115605761795E-2</v>
      </c>
    </row>
    <row r="56" spans="1:2" x14ac:dyDescent="0.55000000000000004">
      <c r="A56" s="57">
        <f t="shared" si="11"/>
        <v>2.600000000000001</v>
      </c>
      <c r="B56" s="58">
        <f t="shared" si="10"/>
        <v>7.7571654272806351E-2</v>
      </c>
    </row>
    <row r="57" spans="1:2" x14ac:dyDescent="0.55000000000000004">
      <c r="A57" s="57">
        <f t="shared" si="11"/>
        <v>2.7000000000000011</v>
      </c>
      <c r="B57" s="58">
        <f t="shared" si="10"/>
        <v>7.7891224126748523E-2</v>
      </c>
    </row>
    <row r="58" spans="1:2" x14ac:dyDescent="0.55000000000000004">
      <c r="A58" s="57">
        <f t="shared" si="11"/>
        <v>2.8000000000000012</v>
      </c>
      <c r="B58" s="58">
        <f t="shared" si="10"/>
        <v>7.8179592910143245E-2</v>
      </c>
    </row>
    <row r="59" spans="1:2" x14ac:dyDescent="0.55000000000000004">
      <c r="A59" s="57">
        <f t="shared" si="11"/>
        <v>2.9000000000000012</v>
      </c>
      <c r="B59" s="58">
        <f t="shared" si="10"/>
        <v>7.8436686102305891E-2</v>
      </c>
    </row>
    <row r="60" spans="1:2" x14ac:dyDescent="0.55000000000000004">
      <c r="A60" s="57">
        <f t="shared" si="11"/>
        <v>3.0000000000000013</v>
      </c>
      <c r="B60" s="58">
        <f t="shared" si="10"/>
        <v>7.8662586919312383E-2</v>
      </c>
    </row>
    <row r="61" spans="1:2" x14ac:dyDescent="0.55000000000000004">
      <c r="A61" s="57">
        <f t="shared" si="11"/>
        <v>3.1000000000000014</v>
      </c>
      <c r="B61" s="58">
        <f t="shared" si="10"/>
        <v>7.8857536313999152E-2</v>
      </c>
    </row>
    <row r="62" spans="1:2" x14ac:dyDescent="0.55000000000000004">
      <c r="A62" s="57">
        <f t="shared" si="11"/>
        <v>3.2000000000000015</v>
      </c>
      <c r="B62" s="58">
        <f t="shared" ref="B62:B80" si="12">a_0+a_1*A62+a_2*A62^2+a_3*A62^3+a_4*A62^4</f>
        <v>7.9021932975963188E-2</v>
      </c>
    </row>
    <row r="63" spans="1:2" x14ac:dyDescent="0.55000000000000004">
      <c r="A63" s="57">
        <f t="shared" si="11"/>
        <v>3.3000000000000016</v>
      </c>
      <c r="B63" s="58">
        <f t="shared" si="12"/>
        <v>7.9156333331561968E-2</v>
      </c>
    </row>
    <row r="64" spans="1:2" x14ac:dyDescent="0.55000000000000004">
      <c r="A64" s="57">
        <f t="shared" si="11"/>
        <v>3.4000000000000017</v>
      </c>
      <c r="B64" s="58">
        <f t="shared" si="12"/>
        <v>7.9261451543913522E-2</v>
      </c>
    </row>
    <row r="65" spans="1:2" x14ac:dyDescent="0.55000000000000004">
      <c r="A65" s="57">
        <f t="shared" si="11"/>
        <v>3.5000000000000018</v>
      </c>
      <c r="B65" s="58">
        <f t="shared" si="12"/>
        <v>7.9338159512896425E-2</v>
      </c>
    </row>
    <row r="66" spans="1:2" x14ac:dyDescent="0.55000000000000004">
      <c r="A66" s="57">
        <f t="shared" si="11"/>
        <v>3.6000000000000019</v>
      </c>
      <c r="B66" s="58">
        <f t="shared" si="12"/>
        <v>7.9387486875149682E-2</v>
      </c>
    </row>
    <row r="67" spans="1:2" x14ac:dyDescent="0.55000000000000004">
      <c r="A67" s="57">
        <f t="shared" si="11"/>
        <v>3.700000000000002</v>
      </c>
      <c r="B67" s="58">
        <f t="shared" si="12"/>
        <v>7.9410621004072951E-2</v>
      </c>
    </row>
    <row r="68" spans="1:2" x14ac:dyDescent="0.55000000000000004">
      <c r="A68" s="57">
        <f t="shared" si="11"/>
        <v>3.800000000000002</v>
      </c>
      <c r="B68" s="58">
        <f t="shared" si="12"/>
        <v>7.9408907009826307E-2</v>
      </c>
    </row>
    <row r="69" spans="1:2" x14ac:dyDescent="0.55000000000000004">
      <c r="A69" s="57">
        <f t="shared" si="11"/>
        <v>3.9000000000000021</v>
      </c>
      <c r="B69" s="58">
        <f t="shared" si="12"/>
        <v>7.9383847739330424E-2</v>
      </c>
    </row>
    <row r="70" spans="1:2" x14ac:dyDescent="0.55000000000000004">
      <c r="A70" s="57">
        <f t="shared" si="11"/>
        <v>4.0000000000000018</v>
      </c>
      <c r="B70" s="58">
        <f t="shared" si="12"/>
        <v>7.9337103776266446E-2</v>
      </c>
    </row>
    <row r="71" spans="1:2" x14ac:dyDescent="0.55000000000000004">
      <c r="A71" s="57">
        <f t="shared" si="11"/>
        <v>4.1000000000000014</v>
      </c>
      <c r="B71" s="58">
        <f t="shared" si="12"/>
        <v>7.9270493441076118E-2</v>
      </c>
    </row>
    <row r="72" spans="1:2" x14ac:dyDescent="0.55000000000000004">
      <c r="A72" s="57">
        <f t="shared" si="11"/>
        <v>4.2000000000000011</v>
      </c>
      <c r="B72" s="58">
        <f t="shared" si="12"/>
        <v>7.9185992790961612E-2</v>
      </c>
    </row>
    <row r="73" spans="1:2" x14ac:dyDescent="0.55000000000000004">
      <c r="A73" s="57">
        <f t="shared" si="11"/>
        <v>4.3000000000000007</v>
      </c>
      <c r="B73" s="58">
        <f t="shared" si="12"/>
        <v>7.9085735619885689E-2</v>
      </c>
    </row>
    <row r="74" spans="1:2" x14ac:dyDescent="0.55000000000000004">
      <c r="A74" s="57">
        <f t="shared" si="11"/>
        <v>4.4000000000000004</v>
      </c>
      <c r="B74" s="58">
        <f t="shared" si="12"/>
        <v>7.8972013458571605E-2</v>
      </c>
    </row>
    <row r="75" spans="1:2" x14ac:dyDescent="0.55000000000000004">
      <c r="A75" s="57">
        <f t="shared" si="11"/>
        <v>4.5</v>
      </c>
      <c r="B75" s="58">
        <f t="shared" si="12"/>
        <v>7.8847275574503189E-2</v>
      </c>
    </row>
    <row r="76" spans="1:2" x14ac:dyDescent="0.55000000000000004">
      <c r="A76" s="57">
        <f t="shared" si="11"/>
        <v>4.5999999999999996</v>
      </c>
      <c r="B76" s="58">
        <f t="shared" si="12"/>
        <v>7.8714128971924729E-2</v>
      </c>
    </row>
    <row r="77" spans="1:2" x14ac:dyDescent="0.55000000000000004">
      <c r="A77" s="57">
        <f t="shared" si="11"/>
        <v>4.6999999999999993</v>
      </c>
      <c r="B77" s="58">
        <f t="shared" si="12"/>
        <v>7.8575338391841082E-2</v>
      </c>
    </row>
    <row r="78" spans="1:2" x14ac:dyDescent="0.55000000000000004">
      <c r="A78" s="57">
        <f t="shared" si="11"/>
        <v>4.7999999999999989</v>
      </c>
      <c r="B78" s="58">
        <f t="shared" si="12"/>
        <v>7.8433826312017618E-2</v>
      </c>
    </row>
    <row r="79" spans="1:2" x14ac:dyDescent="0.55000000000000004">
      <c r="A79" s="57">
        <f t="shared" si="11"/>
        <v>4.8999999999999986</v>
      </c>
      <c r="B79" s="58">
        <f t="shared" si="12"/>
        <v>7.8292672946980224E-2</v>
      </c>
    </row>
    <row r="80" spans="1:2" x14ac:dyDescent="0.55000000000000004">
      <c r="A80" s="57">
        <f t="shared" si="11"/>
        <v>4.9999999999999982</v>
      </c>
      <c r="B80" s="58">
        <f t="shared" si="12"/>
        <v>7.8155116248015327E-2</v>
      </c>
    </row>
  </sheetData>
  <mergeCells count="7">
    <mergeCell ref="A21:B25"/>
    <mergeCell ref="G1:X1"/>
    <mergeCell ref="A3:B3"/>
    <mergeCell ref="A4:B4"/>
    <mergeCell ref="A5:B5"/>
    <mergeCell ref="A6:B6"/>
    <mergeCell ref="G9:X9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6AFE-D074-A646-B221-3E1CE5C13CFD}">
  <dimension ref="A1:H11"/>
  <sheetViews>
    <sheetView workbookViewId="0">
      <selection activeCell="C11" sqref="C11"/>
    </sheetView>
  </sheetViews>
  <sheetFormatPr defaultColWidth="10.8203125" defaultRowHeight="18" x14ac:dyDescent="0.55000000000000004"/>
  <cols>
    <col min="1" max="2" width="10.8203125" style="17"/>
    <col min="3" max="3" width="17.46875" style="17" bestFit="1" customWidth="1"/>
    <col min="4" max="16384" width="10.8203125" style="17"/>
  </cols>
  <sheetData>
    <row r="1" spans="1:8" x14ac:dyDescent="0.55000000000000004">
      <c r="A1" s="44" t="s">
        <v>80</v>
      </c>
    </row>
    <row r="2" spans="1:8" ht="36" x14ac:dyDescent="0.55000000000000004">
      <c r="A2" s="59" t="s">
        <v>66</v>
      </c>
      <c r="B2" s="48" t="s">
        <v>67</v>
      </c>
      <c r="C2" s="48" t="s">
        <v>28</v>
      </c>
      <c r="D2" s="48" t="s">
        <v>68</v>
      </c>
      <c r="E2" s="48" t="s">
        <v>69</v>
      </c>
      <c r="F2" s="48" t="s">
        <v>70</v>
      </c>
      <c r="G2" s="48" t="s">
        <v>71</v>
      </c>
      <c r="H2" s="48" t="s">
        <v>72</v>
      </c>
    </row>
    <row r="3" spans="1:8" x14ac:dyDescent="0.55000000000000004">
      <c r="A3" s="15" t="s">
        <v>73</v>
      </c>
      <c r="B3" s="27">
        <v>5</v>
      </c>
      <c r="C3" s="60">
        <v>1.4999999999999999E-2</v>
      </c>
      <c r="D3" s="26">
        <f>1000*EXP(-$C3*$B3)</f>
        <v>927.74348632855288</v>
      </c>
      <c r="E3" s="64">
        <f>$B3</f>
        <v>5</v>
      </c>
      <c r="F3" s="26">
        <f>$B3^2</f>
        <v>25</v>
      </c>
      <c r="G3" s="38">
        <f>$D3*E3</f>
        <v>4638.7174316427645</v>
      </c>
      <c r="H3" s="38">
        <f>$D3*F3</f>
        <v>23193.587158213821</v>
      </c>
    </row>
    <row r="4" spans="1:8" x14ac:dyDescent="0.55000000000000004">
      <c r="A4" s="15" t="s">
        <v>74</v>
      </c>
      <c r="B4" s="27">
        <v>10</v>
      </c>
      <c r="C4" s="60">
        <v>0.03</v>
      </c>
      <c r="D4" s="26">
        <f>1000*EXP(-$C4*$B4)</f>
        <v>740.81822068171789</v>
      </c>
      <c r="E4" s="64">
        <f t="shared" ref="E4:E5" si="0">$B4</f>
        <v>10</v>
      </c>
      <c r="F4" s="26">
        <f t="shared" ref="F4:F5" si="1">$B4^2</f>
        <v>100</v>
      </c>
      <c r="G4" s="38">
        <f t="shared" ref="G4:G5" si="2">$D4*E4</f>
        <v>7408.1822068171787</v>
      </c>
      <c r="H4" s="38">
        <f t="shared" ref="H4:H5" si="3">$D4*F4</f>
        <v>74081.822068171794</v>
      </c>
    </row>
    <row r="5" spans="1:8" x14ac:dyDescent="0.55000000000000004">
      <c r="A5" s="15" t="s">
        <v>75</v>
      </c>
      <c r="B5" s="27">
        <v>20</v>
      </c>
      <c r="C5" s="60">
        <v>3.5000000000000003E-2</v>
      </c>
      <c r="D5" s="26">
        <f>1000*EXP(-$C5*$B5)</f>
        <v>496.58530379140944</v>
      </c>
      <c r="E5" s="64">
        <f t="shared" si="0"/>
        <v>20</v>
      </c>
      <c r="F5" s="26">
        <f t="shared" si="1"/>
        <v>400</v>
      </c>
      <c r="G5" s="38">
        <f t="shared" si="2"/>
        <v>9931.7060758281896</v>
      </c>
      <c r="H5" s="38">
        <f t="shared" si="3"/>
        <v>198634.12151656378</v>
      </c>
    </row>
    <row r="6" spans="1:8" x14ac:dyDescent="0.55000000000000004">
      <c r="B6" s="61"/>
      <c r="C6" s="62"/>
    </row>
    <row r="7" spans="1:8" ht="21" x14ac:dyDescent="0.75">
      <c r="A7" s="70" t="s">
        <v>76</v>
      </c>
      <c r="B7" s="15" t="s">
        <v>81</v>
      </c>
      <c r="C7" s="50">
        <v>-1.0646882916779701</v>
      </c>
      <c r="D7" s="61"/>
      <c r="E7" s="62"/>
    </row>
    <row r="8" spans="1:8" ht="21" x14ac:dyDescent="0.75">
      <c r="A8" s="70"/>
      <c r="B8" s="15" t="s">
        <v>82</v>
      </c>
      <c r="C8" s="50">
        <v>-0.2486374495966317</v>
      </c>
      <c r="D8" s="61"/>
      <c r="E8" s="62"/>
    </row>
    <row r="9" spans="1:8" x14ac:dyDescent="0.55000000000000004">
      <c r="A9" s="70" t="s">
        <v>77</v>
      </c>
      <c r="B9" s="15" t="s">
        <v>78</v>
      </c>
      <c r="C9" s="64">
        <f>$G3*$C7+$G4+$G5*$C8</f>
        <v>1.0733037925092503E-7</v>
      </c>
      <c r="D9" s="61"/>
      <c r="E9" s="62"/>
    </row>
    <row r="10" spans="1:8" x14ac:dyDescent="0.55000000000000004">
      <c r="A10" s="70"/>
      <c r="B10" s="63" t="s">
        <v>79</v>
      </c>
      <c r="C10" s="64">
        <f>$H3*$C7+$H4+$H5*C8</f>
        <v>2.0631778170354664E-6</v>
      </c>
    </row>
    <row r="11" spans="1:8" x14ac:dyDescent="0.55000000000000004">
      <c r="B11" s="15" t="s">
        <v>85</v>
      </c>
      <c r="C11" s="66">
        <f>$C9^2+$C10^2</f>
        <v>4.26822251501738E-12</v>
      </c>
    </row>
  </sheetData>
  <mergeCells count="2">
    <mergeCell ref="A7:A8"/>
    <mergeCell ref="A9:A10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Q1</vt:lpstr>
      <vt:lpstr>Q3</vt:lpstr>
      <vt:lpstr>Q4</vt:lpstr>
      <vt:lpstr>Q7</vt:lpstr>
      <vt:lpstr>a_0</vt:lpstr>
      <vt:lpstr>a_1</vt:lpstr>
      <vt:lpstr>a_2</vt:lpstr>
      <vt:lpstr>a_3</vt:lpstr>
      <vt:lpstr>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俊儒 王</cp:lastModifiedBy>
  <dcterms:created xsi:type="dcterms:W3CDTF">2024-09-20T21:37:17Z</dcterms:created>
  <dcterms:modified xsi:type="dcterms:W3CDTF">2024-09-26T02:14:14Z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FEDB2F3C-F96D-4111-B9C8-9AC9CF75E61A</vt:lpwstr>
  </property>
</Properties>
</file>