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ujl\Documents\WeChat Files\wxid_tv71hmi59ca021\FileStorage\File\2022-11\"/>
    </mc:Choice>
  </mc:AlternateContent>
  <xr:revisionPtr revIDLastSave="0" documentId="13_ncr:1_{DC239F1B-74FA-45CA-B5A1-FC9A244732BF}" xr6:coauthVersionLast="47" xr6:coauthVersionMax="47" xr10:uidLastSave="{00000000-0000-0000-0000-000000000000}"/>
  <bookViews>
    <workbookView xWindow="-110" yWindow="-110" windowWidth="25820" windowHeight="15500" tabRatio="738" activeTab="6" xr2:uid="{00000000-000D-0000-FFFF-FFFF00000000}"/>
  </bookViews>
  <sheets>
    <sheet name="Sheet1" sheetId="23" r:id="rId1"/>
    <sheet name="基础" sheetId="2" r:id="rId2"/>
    <sheet name="进阶" sheetId="17" r:id="rId3"/>
    <sheet name="表1" sheetId="20" r:id="rId4"/>
    <sheet name="表2" sheetId="21" r:id="rId5"/>
    <sheet name="表3" sheetId="22" r:id="rId6"/>
    <sheet name="高阶" sheetId="16" r:id="rId7"/>
  </sheets>
  <definedNames>
    <definedName name="zhaop">VLOOKUP(#REF!,#REF!,2,0)</definedName>
    <definedName name="zz">INDEX(#REF!,MATCH(#REF!,#REF!,0))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" i="16" l="1" a="1"/>
  <c r="K18" i="16"/>
  <c r="K19" i="16" a="1"/>
  <c r="K19" i="16" s="1"/>
  <c r="K20" i="16" a="1"/>
  <c r="K20" i="16" s="1"/>
  <c r="K21" i="16" a="1"/>
  <c r="K21" i="16"/>
  <c r="K17" i="16" a="1"/>
  <c r="K17" i="16" s="1"/>
  <c r="J8" i="16"/>
  <c r="J9" i="16"/>
  <c r="J10" i="16"/>
  <c r="J11" i="16"/>
  <c r="J7" i="16"/>
  <c r="J112" i="17"/>
  <c r="J113" i="17"/>
  <c r="J114" i="17"/>
  <c r="J115" i="17"/>
  <c r="J116" i="17"/>
  <c r="J117" i="17"/>
  <c r="J118" i="17"/>
  <c r="J119" i="17"/>
  <c r="J120" i="17"/>
  <c r="J111" i="17"/>
  <c r="D98" i="17"/>
  <c r="H98" i="17" s="1"/>
  <c r="H99" i="17"/>
  <c r="H100" i="17"/>
  <c r="D100" i="17"/>
  <c r="D102" i="17"/>
  <c r="D99" i="17" s="1"/>
  <c r="D103" i="17"/>
  <c r="D101" i="17" s="1"/>
  <c r="D104" i="17"/>
  <c r="D105" i="17"/>
  <c r="D106" i="17"/>
  <c r="H86" i="17"/>
  <c r="I86" i="17"/>
  <c r="J86" i="17"/>
  <c r="H87" i="17"/>
  <c r="I87" i="17"/>
  <c r="J87" i="17"/>
  <c r="I85" i="17"/>
  <c r="J85" i="17"/>
  <c r="H85" i="17"/>
  <c r="F86" i="17"/>
  <c r="F87" i="17"/>
  <c r="F88" i="17"/>
  <c r="F89" i="17"/>
  <c r="F90" i="17"/>
  <c r="F91" i="17"/>
  <c r="F92" i="17"/>
  <c r="F85" i="17"/>
  <c r="B85" i="17"/>
  <c r="H76" i="17"/>
  <c r="I76" i="17"/>
  <c r="J76" i="17"/>
  <c r="H77" i="17"/>
  <c r="I77" i="17"/>
  <c r="J77" i="17"/>
  <c r="H78" i="17"/>
  <c r="I78" i="17"/>
  <c r="J78" i="17"/>
  <c r="H79" i="17"/>
  <c r="I79" i="17"/>
  <c r="J79" i="17"/>
  <c r="I75" i="17"/>
  <c r="J75" i="17"/>
  <c r="H75" i="17"/>
  <c r="G73" i="17"/>
  <c r="H73" i="17"/>
  <c r="I73" i="17"/>
  <c r="J73" i="17"/>
  <c r="H56" i="17" a="1"/>
  <c r="H56" i="17"/>
  <c r="H57" i="17" a="1"/>
  <c r="H57" i="17" s="1"/>
  <c r="H58" i="17" a="1"/>
  <c r="H58" i="17" s="1"/>
  <c r="H59" i="17" a="1"/>
  <c r="H59" i="17" s="1"/>
  <c r="H55" i="17" a="1"/>
  <c r="H55" i="17"/>
  <c r="H46" i="17" a="1"/>
  <c r="H46" i="17"/>
  <c r="H47" i="17" a="1"/>
  <c r="H47" i="17"/>
  <c r="H48" i="17" a="1"/>
  <c r="H48" i="17"/>
  <c r="H49" i="17" a="1"/>
  <c r="H49" i="17"/>
  <c r="H45" i="17" a="1"/>
  <c r="H45" i="17" s="1"/>
  <c r="H38" i="17"/>
  <c r="H39" i="17"/>
  <c r="H40" i="17"/>
  <c r="H41" i="17"/>
  <c r="H37" i="17"/>
  <c r="H18" i="17"/>
  <c r="H19" i="17"/>
  <c r="H20" i="17"/>
  <c r="H21" i="17"/>
  <c r="H17" i="17"/>
  <c r="G8" i="17"/>
  <c r="G9" i="17"/>
  <c r="G10" i="17"/>
  <c r="G11" i="17"/>
  <c r="G7" i="17"/>
  <c r="J50" i="2"/>
  <c r="J51" i="2"/>
  <c r="J52" i="2"/>
  <c r="J53" i="2"/>
  <c r="J49" i="2"/>
  <c r="B50" i="2"/>
  <c r="B51" i="2"/>
  <c r="B52" i="2"/>
  <c r="B53" i="2"/>
  <c r="B49" i="2"/>
  <c r="I40" i="2"/>
  <c r="I41" i="2"/>
  <c r="I42" i="2"/>
  <c r="I43" i="2"/>
  <c r="I39" i="2"/>
  <c r="J28" i="2"/>
  <c r="J29" i="2"/>
  <c r="J30" i="2"/>
  <c r="J31" i="2"/>
  <c r="J32" i="2"/>
  <c r="J33" i="2"/>
  <c r="J34" i="2"/>
  <c r="J27" i="2"/>
  <c r="I34" i="2"/>
  <c r="I17" i="2"/>
  <c r="I18" i="2"/>
  <c r="I19" i="2"/>
  <c r="I20" i="2"/>
  <c r="I21" i="2"/>
  <c r="I112" i="17"/>
  <c r="I113" i="17"/>
  <c r="I114" i="17"/>
  <c r="I115" i="17"/>
  <c r="I116" i="17"/>
  <c r="I117" i="17"/>
  <c r="I118" i="17"/>
  <c r="I119" i="17"/>
  <c r="I120" i="17"/>
  <c r="I111" i="17"/>
  <c r="E106" i="17"/>
  <c r="B86" i="17"/>
  <c r="B87" i="17"/>
  <c r="B88" i="17"/>
  <c r="B89" i="17"/>
  <c r="B90" i="17"/>
  <c r="B91" i="17"/>
  <c r="B92" i="17"/>
  <c r="H65" i="17"/>
  <c r="H66" i="17"/>
  <c r="I66" i="17"/>
  <c r="J66" i="17"/>
  <c r="H67" i="17"/>
  <c r="I67" i="17"/>
  <c r="J67" i="17"/>
  <c r="H68" i="17"/>
  <c r="I68" i="17"/>
  <c r="J68" i="17"/>
  <c r="H69" i="17"/>
  <c r="I69" i="17"/>
  <c r="J69" i="17"/>
  <c r="I65" i="17"/>
  <c r="J65" i="17"/>
  <c r="G59" i="17" a="1"/>
  <c r="G59" i="17" s="1"/>
  <c r="G56" i="17" a="1"/>
  <c r="G56" i="17" s="1"/>
  <c r="G57" i="17" a="1"/>
  <c r="G57" i="17" s="1"/>
  <c r="G58" i="17" a="1"/>
  <c r="G58" i="17" s="1"/>
  <c r="G55" i="17" a="1"/>
  <c r="G55" i="17" s="1"/>
  <c r="G46" i="17" a="1"/>
  <c r="G46" i="17" s="1"/>
  <c r="G47" i="17" a="1"/>
  <c r="G47" i="17" s="1"/>
  <c r="G48" i="17" a="1"/>
  <c r="G48" i="17" s="1"/>
  <c r="G49" i="17" a="1"/>
  <c r="G49" i="17" s="1"/>
  <c r="G45" i="17" a="1"/>
  <c r="G45" i="17" s="1"/>
  <c r="G38" i="17"/>
  <c r="G39" i="17"/>
  <c r="G40" i="17"/>
  <c r="G41" i="17"/>
  <c r="G37" i="17"/>
  <c r="H28" i="17"/>
  <c r="H29" i="17"/>
  <c r="H30" i="17"/>
  <c r="H31" i="17"/>
  <c r="H27" i="17"/>
  <c r="D27" i="17"/>
  <c r="D28" i="17"/>
  <c r="D29" i="17"/>
  <c r="D30" i="17"/>
  <c r="D31" i="17"/>
  <c r="G21" i="17"/>
  <c r="G18" i="17"/>
  <c r="G19" i="17"/>
  <c r="G20" i="17"/>
  <c r="G17" i="17"/>
  <c r="I28" i="2"/>
  <c r="I29" i="2"/>
  <c r="I30" i="2"/>
  <c r="I31" i="2"/>
  <c r="I32" i="2"/>
  <c r="I33" i="2"/>
  <c r="I27" i="2"/>
  <c r="H18" i="2"/>
  <c r="H19" i="2"/>
  <c r="H20" i="2"/>
  <c r="H21" i="2"/>
  <c r="H17" i="2"/>
  <c r="E28" i="17"/>
  <c r="E29" i="17"/>
  <c r="E30" i="17"/>
  <c r="E31" i="17"/>
  <c r="E27" i="17"/>
  <c r="I28" i="17"/>
  <c r="I29" i="17"/>
  <c r="I30" i="17"/>
  <c r="I31" i="17"/>
  <c r="I27" i="17"/>
  <c r="I9" i="17"/>
  <c r="I10" i="17"/>
  <c r="I11" i="17"/>
  <c r="I7" i="17"/>
  <c r="I8" i="17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H7" i="16"/>
  <c r="H8" i="16"/>
  <c r="H9" i="16"/>
  <c r="H10" i="16"/>
  <c r="H11" i="16"/>
  <c r="G126" i="17"/>
  <c r="H126" i="17"/>
  <c r="G127" i="17"/>
  <c r="H127" i="17"/>
  <c r="G128" i="17"/>
  <c r="H128" i="17"/>
  <c r="G129" i="17"/>
  <c r="H129" i="17"/>
  <c r="G130" i="17"/>
  <c r="H130" i="17"/>
  <c r="F127" i="17"/>
  <c r="F128" i="17"/>
  <c r="F129" i="17"/>
  <c r="F130" i="17"/>
  <c r="F126" i="17"/>
  <c r="H27" i="16" a="1"/>
  <c r="H27" i="16" l="1"/>
  <c r="F5" i="21"/>
  <c r="F4" i="22"/>
  <c r="F6" i="22"/>
  <c r="F7" i="21"/>
  <c r="F7" i="22"/>
  <c r="F4" i="21"/>
  <c r="F8" i="22"/>
  <c r="F6" i="20"/>
  <c r="F5" i="22"/>
  <c r="F6" i="21"/>
  <c r="F8" i="21"/>
  <c r="F5" i="20"/>
  <c r="F8" i="20"/>
  <c r="F4" i="20"/>
  <c r="F7" i="20"/>
  <c r="H31" i="16" a="1"/>
  <c r="D126" i="17"/>
  <c r="I31" i="16" a="1"/>
  <c r="I29" i="16" a="1"/>
  <c r="H28" i="16" a="1"/>
  <c r="D128" i="17"/>
  <c r="E130" i="17"/>
  <c r="E128" i="17"/>
  <c r="D129" i="17"/>
  <c r="D130" i="17"/>
  <c r="E127" i="17"/>
  <c r="D127" i="17"/>
  <c r="E129" i="17"/>
  <c r="C128" i="17"/>
  <c r="C130" i="17"/>
  <c r="C127" i="17"/>
  <c r="C126" i="17"/>
  <c r="C129" i="17"/>
  <c r="I27" i="16" a="1"/>
  <c r="E126" i="17"/>
  <c r="H30" i="16" a="1"/>
  <c r="H29" i="16" a="1"/>
  <c r="I30" i="16" a="1"/>
  <c r="I28" i="16" a="1"/>
  <c r="H30" i="16" l="1"/>
  <c r="H29" i="16"/>
  <c r="H28" i="16"/>
  <c r="H31" i="16"/>
  <c r="I28" i="16"/>
  <c r="I31" i="16"/>
  <c r="I29" i="16"/>
  <c r="I30" i="16"/>
  <c r="I27" i="1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<sst xmlns="http://schemas.openxmlformats.org/spreadsheetml/2006/main" count="544" uniqueCount="230">
  <si>
    <t>销售额</t>
    <phoneticPr fontId="2" type="noConversion"/>
  </si>
  <si>
    <t>提成比例</t>
    <phoneticPr fontId="2" type="noConversion"/>
  </si>
  <si>
    <t>姓名</t>
    <phoneticPr fontId="2" type="noConversion"/>
  </si>
  <si>
    <t>宋冬</t>
  </si>
  <si>
    <t>金璇</t>
  </si>
  <si>
    <t>李聪</t>
  </si>
  <si>
    <t>夏依</t>
  </si>
  <si>
    <t>方珊</t>
  </si>
  <si>
    <t>华东</t>
    <phoneticPr fontId="2" type="noConversion"/>
  </si>
  <si>
    <t>华北</t>
    <phoneticPr fontId="2" type="noConversion"/>
  </si>
  <si>
    <t>华南</t>
    <phoneticPr fontId="2" type="noConversion"/>
  </si>
  <si>
    <t>华中</t>
    <phoneticPr fontId="2" type="noConversion"/>
  </si>
  <si>
    <t>东南</t>
    <phoneticPr fontId="2" type="noConversion"/>
  </si>
  <si>
    <t>业绩</t>
    <phoneticPr fontId="2" type="noConversion"/>
  </si>
  <si>
    <t>王梅</t>
    <phoneticPr fontId="2" type="noConversion"/>
  </si>
  <si>
    <t>张小和</t>
    <phoneticPr fontId="2" type="noConversion"/>
  </si>
  <si>
    <t>李小艺</t>
    <phoneticPr fontId="2" type="noConversion"/>
  </si>
  <si>
    <t>员工</t>
    <phoneticPr fontId="2" type="noConversion"/>
  </si>
  <si>
    <t>员工1</t>
    <phoneticPr fontId="2" type="noConversion"/>
  </si>
  <si>
    <t>员工2</t>
    <phoneticPr fontId="2" type="noConversion"/>
  </si>
  <si>
    <t>区域</t>
    <phoneticPr fontId="2" type="noConversion"/>
  </si>
  <si>
    <t>2、多条件查找</t>
    <phoneticPr fontId="2" type="noConversion"/>
  </si>
  <si>
    <r>
      <t xml:space="preserve">VLOOKUP 基础 </t>
    </r>
    <r>
      <rPr>
        <sz val="22"/>
        <color theme="0" tint="-0.34998626667073579"/>
        <rFont val="阿里巴巴普惠体 Medium"/>
        <family val="1"/>
        <charset val="134"/>
        <scheme val="major"/>
      </rPr>
      <t>（语法学习）</t>
    </r>
    <phoneticPr fontId="2" type="noConversion"/>
  </si>
  <si>
    <t>1、反向查找</t>
    <phoneticPr fontId="2" type="noConversion"/>
  </si>
  <si>
    <t>3、一对多查找</t>
    <phoneticPr fontId="2" type="noConversion"/>
  </si>
  <si>
    <r>
      <t>VLOOKUP 高阶</t>
    </r>
    <r>
      <rPr>
        <sz val="22"/>
        <color theme="0" tint="-0.34998626667073579"/>
        <rFont val="阿里巴巴普惠体 Medium"/>
        <family val="1"/>
        <charset val="134"/>
        <scheme val="major"/>
      </rPr>
      <t>（数组）</t>
    </r>
    <phoneticPr fontId="2" type="noConversion"/>
  </si>
  <si>
    <t>1）语法</t>
    <phoneticPr fontId="2" type="noConversion"/>
  </si>
  <si>
    <t>3）说明</t>
    <phoneticPr fontId="2" type="noConversion"/>
  </si>
  <si>
    <t>2）释义</t>
    <phoneticPr fontId="2" type="noConversion"/>
  </si>
  <si>
    <t>部门</t>
    <phoneticPr fontId="2" type="noConversion"/>
  </si>
  <si>
    <t>研发部</t>
    <phoneticPr fontId="2" type="noConversion"/>
  </si>
  <si>
    <t>人事部</t>
    <phoneticPr fontId="2" type="noConversion"/>
  </si>
  <si>
    <t>销售部</t>
    <phoneticPr fontId="2" type="noConversion"/>
  </si>
  <si>
    <t>后勤部</t>
    <phoneticPr fontId="2" type="noConversion"/>
  </si>
  <si>
    <t>市场部</t>
    <phoneticPr fontId="2" type="noConversion"/>
  </si>
  <si>
    <t>曹以欣</t>
    <phoneticPr fontId="2" type="noConversion"/>
  </si>
  <si>
    <t>段迎天</t>
    <phoneticPr fontId="2" type="noConversion"/>
  </si>
  <si>
    <t>丁阳</t>
    <phoneticPr fontId="2" type="noConversion"/>
  </si>
  <si>
    <t>贺颖</t>
    <phoneticPr fontId="2" type="noConversion"/>
  </si>
  <si>
    <t>曾愉</t>
    <phoneticPr fontId="2" type="noConversion"/>
  </si>
  <si>
    <t>A</t>
    <phoneticPr fontId="2" type="noConversion"/>
  </si>
  <si>
    <t>【返回列数】第几列指的是在查找范围里的第几列</t>
    <phoneticPr fontId="2" type="noConversion"/>
  </si>
  <si>
    <t>【查找方式】可以省略，代表使用默认的近似匹配</t>
    <phoneticPr fontId="2" type="noConversion"/>
  </si>
  <si>
    <r>
      <t>1、精确匹配</t>
    </r>
    <r>
      <rPr>
        <sz val="16"/>
        <color theme="0" tint="-0.499984740745262"/>
        <rFont val="阿里巴巴普惠体"/>
        <family val="1"/>
        <charset val="134"/>
        <scheme val="minor"/>
      </rPr>
      <t>（精确查找）</t>
    </r>
    <phoneticPr fontId="2" type="noConversion"/>
  </si>
  <si>
    <r>
      <t>2、近似匹配</t>
    </r>
    <r>
      <rPr>
        <sz val="16"/>
        <color theme="0" tint="-0.499984740745262"/>
        <rFont val="阿里巴巴普惠体"/>
        <family val="1"/>
        <charset val="134"/>
        <scheme val="minor"/>
      </rPr>
      <t>（区间查找）</t>
    </r>
    <phoneticPr fontId="2" type="noConversion"/>
  </si>
  <si>
    <t>工号</t>
    <phoneticPr fontId="2" type="noConversion"/>
  </si>
  <si>
    <t>1001</t>
  </si>
  <si>
    <t>1002</t>
  </si>
  <si>
    <t>1003</t>
  </si>
  <si>
    <t>1004</t>
  </si>
  <si>
    <t>1005</t>
  </si>
  <si>
    <t>货品</t>
    <phoneticPr fontId="2" type="noConversion"/>
  </si>
  <si>
    <t>仓库</t>
    <phoneticPr fontId="2" type="noConversion"/>
  </si>
  <si>
    <t>数量</t>
    <phoneticPr fontId="2" type="noConversion"/>
  </si>
  <si>
    <t>单价</t>
    <phoneticPr fontId="2" type="noConversion"/>
  </si>
  <si>
    <t>1号仓库</t>
    <phoneticPr fontId="2" type="noConversion"/>
  </si>
  <si>
    <t>2号仓库</t>
  </si>
  <si>
    <t>3号仓库</t>
  </si>
  <si>
    <t>4号仓库</t>
  </si>
  <si>
    <t>5号仓库</t>
  </si>
  <si>
    <t>笔记本</t>
    <phoneticPr fontId="2" type="noConversion"/>
  </si>
  <si>
    <t>手机</t>
    <phoneticPr fontId="2" type="noConversion"/>
  </si>
  <si>
    <t>平板</t>
    <phoneticPr fontId="2" type="noConversion"/>
  </si>
  <si>
    <t>充电器</t>
    <phoneticPr fontId="2" type="noConversion"/>
  </si>
  <si>
    <t>数据线</t>
    <phoneticPr fontId="2" type="noConversion"/>
  </si>
  <si>
    <t>B</t>
  </si>
  <si>
    <t>C</t>
  </si>
  <si>
    <t>D</t>
  </si>
  <si>
    <t>E</t>
  </si>
  <si>
    <t>F</t>
  </si>
  <si>
    <t>G</t>
  </si>
  <si>
    <t>曾   愉</t>
    <phoneticPr fontId="2" type="noConversion"/>
  </si>
  <si>
    <t>贺   颖</t>
    <phoneticPr fontId="2" type="noConversion"/>
  </si>
  <si>
    <t>丁   阳</t>
    <phoneticPr fontId="2" type="noConversion"/>
  </si>
  <si>
    <t>【查找的值】内容需完全一样，需注意文本型数字、空格等</t>
    <phoneticPr fontId="2" type="noConversion"/>
  </si>
  <si>
    <t>VLOOKUP(①查找的值，②查找范围，③返回列数，④查找方式）</t>
    <phoneticPr fontId="2" type="noConversion"/>
  </si>
  <si>
    <t>合作客户</t>
  </si>
  <si>
    <t>签订日期</t>
  </si>
  <si>
    <t>合同金额（万元）</t>
  </si>
  <si>
    <t>北京斯普瑞特传媒公司</t>
  </si>
  <si>
    <t>上海意枫科技公司</t>
  </si>
  <si>
    <t>广州菲迅广告公司</t>
  </si>
  <si>
    <t>上海麦金德投资公司</t>
  </si>
  <si>
    <t>上海艺博传媒公司</t>
  </si>
  <si>
    <t>斯普瑞特</t>
    <phoneticPr fontId="2" type="noConversion"/>
  </si>
  <si>
    <t>意枫科技</t>
    <phoneticPr fontId="2" type="noConversion"/>
  </si>
  <si>
    <t>菲迅广告</t>
    <phoneticPr fontId="2" type="noConversion"/>
  </si>
  <si>
    <t>麦金德投资</t>
    <phoneticPr fontId="2" type="noConversion"/>
  </si>
  <si>
    <t>艺博传媒</t>
    <phoneticPr fontId="2" type="noConversion"/>
  </si>
  <si>
    <t>合同金额（万元）</t>
    <phoneticPr fontId="2" type="noConversion"/>
  </si>
  <si>
    <t>工资</t>
    <phoneticPr fontId="2" type="noConversion"/>
  </si>
  <si>
    <t>研发部</t>
  </si>
  <si>
    <t>人事部</t>
  </si>
  <si>
    <t>销售部</t>
  </si>
  <si>
    <t>后勤部</t>
  </si>
  <si>
    <t>市场部</t>
  </si>
  <si>
    <t xml:space="preserve">丁阳	</t>
    <phoneticPr fontId="2" type="noConversion"/>
  </si>
  <si>
    <t xml:space="preserve">贺颖	</t>
    <phoneticPr fontId="2" type="noConversion"/>
  </si>
  <si>
    <t>产品</t>
    <phoneticPr fontId="2" type="noConversion"/>
  </si>
  <si>
    <t>会员奖励规则</t>
    <phoneticPr fontId="2" type="noConversion"/>
  </si>
  <si>
    <t>消费金额</t>
    <phoneticPr fontId="2" type="noConversion"/>
  </si>
  <si>
    <t>赠品</t>
    <phoneticPr fontId="2" type="noConversion"/>
  </si>
  <si>
    <t>非会员奖励规则</t>
    <phoneticPr fontId="2" type="noConversion"/>
  </si>
  <si>
    <t>热水壶1个</t>
    <phoneticPr fontId="2" type="noConversion"/>
  </si>
  <si>
    <t>拉杆箱1个</t>
    <phoneticPr fontId="2" type="noConversion"/>
  </si>
  <si>
    <t>电饭煲1个</t>
    <phoneticPr fontId="2" type="noConversion"/>
  </si>
  <si>
    <t>刮刮卡1张</t>
    <phoneticPr fontId="2" type="noConversion"/>
  </si>
  <si>
    <t>充电宝1个</t>
    <phoneticPr fontId="2" type="noConversion"/>
  </si>
  <si>
    <t>洗衣液1瓶</t>
    <phoneticPr fontId="2" type="noConversion"/>
  </si>
  <si>
    <t>订单编号</t>
    <phoneticPr fontId="2" type="noConversion"/>
  </si>
  <si>
    <t>是否会员</t>
    <phoneticPr fontId="2" type="noConversion"/>
  </si>
  <si>
    <t>OE00001</t>
    <phoneticPr fontId="2" type="noConversion"/>
  </si>
  <si>
    <t>OE00002</t>
  </si>
  <si>
    <t>OE00003</t>
  </si>
  <si>
    <t>OE00004</t>
  </si>
  <si>
    <t>OE00005</t>
  </si>
  <si>
    <t>OE00006</t>
  </si>
  <si>
    <t>OE00007</t>
  </si>
  <si>
    <t>OE00008</t>
  </si>
  <si>
    <t>OE00009</t>
  </si>
  <si>
    <t>OE00010</t>
  </si>
  <si>
    <t>是</t>
    <phoneticPr fontId="2" type="noConversion"/>
  </si>
  <si>
    <t>否</t>
    <phoneticPr fontId="2" type="noConversion"/>
  </si>
  <si>
    <t>1月</t>
    <phoneticPr fontId="2" type="noConversion"/>
  </si>
  <si>
    <t>2月</t>
    <phoneticPr fontId="2" type="noConversion"/>
  </si>
  <si>
    <t>3月</t>
    <phoneticPr fontId="2" type="noConversion"/>
  </si>
  <si>
    <t>W1</t>
    <phoneticPr fontId="2" type="noConversion"/>
  </si>
  <si>
    <t>W2</t>
  </si>
  <si>
    <t>W3</t>
  </si>
  <si>
    <t>W4</t>
  </si>
  <si>
    <t>合计</t>
    <phoneticPr fontId="2" type="noConversion"/>
  </si>
  <si>
    <t>工龄</t>
    <phoneticPr fontId="2" type="noConversion"/>
  </si>
  <si>
    <r>
      <t>1、屏蔽错误值</t>
    </r>
    <r>
      <rPr>
        <sz val="16"/>
        <color theme="0" tint="-0.34998626667073579"/>
        <rFont val="阿里巴巴普惠体"/>
        <family val="1"/>
        <charset val="134"/>
        <scheme val="minor"/>
      </rPr>
      <t>（IFERROR）</t>
    </r>
    <phoneticPr fontId="2" type="noConversion"/>
  </si>
  <si>
    <r>
      <t>5、去除不可见字符查找</t>
    </r>
    <r>
      <rPr>
        <sz val="16"/>
        <color theme="0" tint="-0.34998626667073579"/>
        <rFont val="阿里巴巴普惠体"/>
        <family val="1"/>
        <charset val="134"/>
        <scheme val="minor"/>
      </rPr>
      <t>（CLEAN）</t>
    </r>
    <phoneticPr fontId="2" type="noConversion"/>
  </si>
  <si>
    <t>B</t>
    <phoneticPr fontId="2" type="noConversion"/>
  </si>
  <si>
    <t>C</t>
    <phoneticPr fontId="2" type="noConversion"/>
  </si>
  <si>
    <t>E</t>
    <phoneticPr fontId="2" type="noConversion"/>
  </si>
  <si>
    <t>质检得分</t>
    <phoneticPr fontId="2" type="noConversion"/>
  </si>
  <si>
    <t>质检等级</t>
    <phoneticPr fontId="2" type="noConversion"/>
  </si>
  <si>
    <t>OE1001</t>
    <phoneticPr fontId="2" type="noConversion"/>
  </si>
  <si>
    <t>OE1002</t>
  </si>
  <si>
    <t>OE1003</t>
  </si>
  <si>
    <t>OE1004</t>
  </si>
  <si>
    <t>OE1005</t>
  </si>
  <si>
    <t>OE1005</t>
    <phoneticPr fontId="2" type="noConversion"/>
  </si>
  <si>
    <t>OE1006</t>
    <phoneticPr fontId="2" type="noConversion"/>
  </si>
  <si>
    <t>产品型号</t>
    <phoneticPr fontId="2" type="noConversion"/>
  </si>
  <si>
    <r>
      <t>4、去除空格查找</t>
    </r>
    <r>
      <rPr>
        <sz val="16"/>
        <color theme="0" tint="-0.34998626667073579"/>
        <rFont val="阿里巴巴普惠体"/>
        <family val="1"/>
        <charset val="134"/>
        <scheme val="minor"/>
      </rPr>
      <t>（SUBSTITUTE）</t>
    </r>
    <phoneticPr fontId="2" type="noConversion"/>
  </si>
  <si>
    <t>水果</t>
    <phoneticPr fontId="2" type="noConversion"/>
  </si>
  <si>
    <t>产地</t>
    <phoneticPr fontId="2" type="noConversion"/>
  </si>
  <si>
    <t>市场价</t>
    <phoneticPr fontId="2" type="noConversion"/>
  </si>
  <si>
    <t>苹果</t>
    <phoneticPr fontId="2" type="noConversion"/>
  </si>
  <si>
    <t>香蕉</t>
    <phoneticPr fontId="2" type="noConversion"/>
  </si>
  <si>
    <t>桔子</t>
    <phoneticPr fontId="2" type="noConversion"/>
  </si>
  <si>
    <t>山东</t>
    <phoneticPr fontId="2" type="noConversion"/>
  </si>
  <si>
    <t>四川</t>
    <phoneticPr fontId="2" type="noConversion"/>
  </si>
  <si>
    <t>浙江</t>
    <phoneticPr fontId="2" type="noConversion"/>
  </si>
  <si>
    <t>陕西</t>
    <phoneticPr fontId="2" type="noConversion"/>
  </si>
  <si>
    <t>7.1元/斤</t>
    <phoneticPr fontId="2" type="noConversion"/>
  </si>
  <si>
    <t>6.2元/斤</t>
    <phoneticPr fontId="2" type="noConversion"/>
  </si>
  <si>
    <t>8.5元/斤</t>
    <phoneticPr fontId="2" type="noConversion"/>
  </si>
  <si>
    <t>广西</t>
    <phoneticPr fontId="2" type="noConversion"/>
  </si>
  <si>
    <t>5.3元/斤</t>
    <phoneticPr fontId="2" type="noConversion"/>
  </si>
  <si>
    <t>9.5元/斤</t>
    <phoneticPr fontId="2" type="noConversion"/>
  </si>
  <si>
    <t>部门</t>
    <phoneticPr fontId="2" type="noConversion"/>
  </si>
  <si>
    <t>姓名</t>
    <phoneticPr fontId="2" type="noConversion"/>
  </si>
  <si>
    <t>市场部</t>
    <phoneticPr fontId="2" type="noConversion"/>
  </si>
  <si>
    <t>营销部</t>
    <phoneticPr fontId="2" type="noConversion"/>
  </si>
  <si>
    <t>运营部</t>
    <phoneticPr fontId="2" type="noConversion"/>
  </si>
  <si>
    <t>谢大海</t>
    <phoneticPr fontId="2" type="noConversion"/>
  </si>
  <si>
    <t>马宏宇</t>
    <phoneticPr fontId="2" type="noConversion"/>
  </si>
  <si>
    <t>黄强辉</t>
    <phoneticPr fontId="2" type="noConversion"/>
  </si>
  <si>
    <t>年假天数</t>
    <phoneticPr fontId="2" type="noConversion"/>
  </si>
  <si>
    <t>员工1</t>
    <phoneticPr fontId="2" type="noConversion"/>
  </si>
  <si>
    <t>员工2</t>
    <phoneticPr fontId="2" type="noConversion"/>
  </si>
  <si>
    <t>员工3</t>
    <phoneticPr fontId="2" type="noConversion"/>
  </si>
  <si>
    <t>员工名单</t>
    <phoneticPr fontId="2" type="noConversion"/>
  </si>
  <si>
    <t>3、反向查找</t>
    <phoneticPr fontId="2" type="noConversion"/>
  </si>
  <si>
    <t>4、多条件查找</t>
    <phoneticPr fontId="2" type="noConversion"/>
  </si>
  <si>
    <t>地址</t>
    <phoneticPr fontId="2" type="noConversion"/>
  </si>
  <si>
    <r>
      <t>10、多表混合查找</t>
    </r>
    <r>
      <rPr>
        <sz val="16"/>
        <color theme="0" tint="-0.34998626667073579"/>
        <rFont val="阿里巴巴普惠体"/>
        <family val="1"/>
        <charset val="134"/>
        <scheme val="minor"/>
      </rPr>
      <t>（IF）</t>
    </r>
    <phoneticPr fontId="2" type="noConversion"/>
  </si>
  <si>
    <t>1000-1999</t>
    <phoneticPr fontId="2" type="noConversion"/>
  </si>
  <si>
    <t>2000-2999</t>
    <phoneticPr fontId="2" type="noConversion"/>
  </si>
  <si>
    <t>3000-4999</t>
    <phoneticPr fontId="2" type="noConversion"/>
  </si>
  <si>
    <t>5000-9999</t>
    <phoneticPr fontId="2" type="noConversion"/>
  </si>
  <si>
    <t>10000及以上</t>
    <phoneticPr fontId="2" type="noConversion"/>
  </si>
  <si>
    <t>区间</t>
    <phoneticPr fontId="2" type="noConversion"/>
  </si>
  <si>
    <r>
      <t>6、多列批量查找</t>
    </r>
    <r>
      <rPr>
        <sz val="16"/>
        <color theme="0" tint="-0.499984740745262"/>
        <rFont val="阿里巴巴普惠体"/>
        <family val="1"/>
        <charset val="134"/>
        <scheme val="minor"/>
      </rPr>
      <t>（COLUMN）</t>
    </r>
    <phoneticPr fontId="2" type="noConversion"/>
  </si>
  <si>
    <r>
      <t>7、多列动态查找</t>
    </r>
    <r>
      <rPr>
        <sz val="16"/>
        <color theme="0" tint="-0.499984740745262"/>
        <rFont val="阿里巴巴普惠体"/>
        <family val="1"/>
        <charset val="134"/>
        <scheme val="minor"/>
      </rPr>
      <t>（MATCH）</t>
    </r>
    <phoneticPr fontId="2" type="noConversion"/>
  </si>
  <si>
    <r>
      <t>8、一对多查找</t>
    </r>
    <r>
      <rPr>
        <sz val="16"/>
        <color theme="0" tint="-0.499984740745262"/>
        <rFont val="阿里巴巴普惠体"/>
        <family val="1"/>
        <charset val="134"/>
        <scheme val="minor"/>
      </rPr>
      <t>（COUNTIF）</t>
    </r>
    <phoneticPr fontId="2" type="noConversion"/>
  </si>
  <si>
    <r>
      <t>9、多行合并查找</t>
    </r>
    <r>
      <rPr>
        <sz val="16"/>
        <color theme="0" tint="-0.499984740745262"/>
        <rFont val="阿里巴巴普惠体"/>
        <family val="1"/>
        <charset val="134"/>
        <scheme val="minor"/>
      </rPr>
      <t>（VLOOKUP）</t>
    </r>
    <phoneticPr fontId="2" type="noConversion"/>
  </si>
  <si>
    <r>
      <t>11、跨多表查找</t>
    </r>
    <r>
      <rPr>
        <sz val="16"/>
        <color theme="0" tint="-0.499984740745262"/>
        <rFont val="阿里巴巴普惠体"/>
        <family val="1"/>
        <charset val="134"/>
        <scheme val="minor"/>
      </rPr>
      <t>（INDIRECT）</t>
    </r>
    <phoneticPr fontId="2" type="noConversion"/>
  </si>
  <si>
    <t>基础用法</t>
    <phoneticPr fontId="2" type="noConversion"/>
  </si>
  <si>
    <t>进阶用法（函数嵌套等）</t>
    <phoneticPr fontId="2" type="noConversion"/>
  </si>
  <si>
    <t>高阶用法（数组等）</t>
    <phoneticPr fontId="2" type="noConversion"/>
  </si>
  <si>
    <t>点赞、收藏、关注</t>
    <phoneticPr fontId="2" type="noConversion"/>
  </si>
  <si>
    <t>课件下载方式：见评论区</t>
    <phoneticPr fontId="2" type="noConversion"/>
  </si>
  <si>
    <r>
      <t>1、精确匹配</t>
    </r>
    <r>
      <rPr>
        <sz val="14"/>
        <color theme="0" tint="-0.499984740745262"/>
        <rFont val="阿里巴巴普惠体"/>
        <family val="1"/>
        <charset val="134"/>
        <scheme val="minor"/>
      </rPr>
      <t>（精确查找）</t>
    </r>
    <phoneticPr fontId="2" type="noConversion"/>
  </si>
  <si>
    <r>
      <t>1、屏蔽错误值</t>
    </r>
    <r>
      <rPr>
        <sz val="14"/>
        <color theme="0" tint="-0.499984740745262"/>
        <rFont val="阿里巴巴普惠体"/>
        <family val="1"/>
        <charset val="134"/>
        <scheme val="minor"/>
      </rPr>
      <t>（IFERROR）</t>
    </r>
    <phoneticPr fontId="2" type="noConversion"/>
  </si>
  <si>
    <r>
      <t>7、多列动态查找</t>
    </r>
    <r>
      <rPr>
        <sz val="14"/>
        <color theme="0" tint="-0.499984740745262"/>
        <rFont val="阿里巴巴普惠体"/>
        <family val="1"/>
        <charset val="134"/>
        <scheme val="minor"/>
      </rPr>
      <t>（MATCH）</t>
    </r>
    <phoneticPr fontId="2" type="noConversion"/>
  </si>
  <si>
    <r>
      <t>2、近似匹配</t>
    </r>
    <r>
      <rPr>
        <sz val="14"/>
        <color theme="0" tint="-0.499984740745262"/>
        <rFont val="阿里巴巴普惠体"/>
        <family val="1"/>
        <charset val="134"/>
        <scheme val="minor"/>
      </rPr>
      <t>（区间查找）</t>
    </r>
    <phoneticPr fontId="2" type="noConversion"/>
  </si>
  <si>
    <r>
      <t>2、关键字词查找</t>
    </r>
    <r>
      <rPr>
        <sz val="14"/>
        <color theme="0" tint="-0.499984740745262"/>
        <rFont val="阿里巴巴普惠体"/>
        <family val="1"/>
        <charset val="134"/>
        <scheme val="minor"/>
      </rPr>
      <t>（通配符  ? *）</t>
    </r>
    <phoneticPr fontId="2" type="noConversion"/>
  </si>
  <si>
    <r>
      <t>8、一对多查找</t>
    </r>
    <r>
      <rPr>
        <sz val="14"/>
        <color theme="0" tint="-0.499984740745262"/>
        <rFont val="阿里巴巴普惠体"/>
        <family val="1"/>
        <charset val="134"/>
        <scheme val="minor"/>
      </rPr>
      <t>（COUNTIF）</t>
    </r>
    <phoneticPr fontId="2" type="noConversion"/>
  </si>
  <si>
    <r>
      <t>3、文本数值混合查找</t>
    </r>
    <r>
      <rPr>
        <sz val="14"/>
        <color theme="0" tint="-0.499984740745262"/>
        <rFont val="阿里巴巴普惠体"/>
        <family val="1"/>
        <charset val="134"/>
        <scheme val="minor"/>
      </rPr>
      <t>（连接符 &amp;）</t>
    </r>
    <phoneticPr fontId="2" type="noConversion"/>
  </si>
  <si>
    <r>
      <t>9、多行合并查找</t>
    </r>
    <r>
      <rPr>
        <sz val="14"/>
        <color theme="0" tint="-0.499984740745262"/>
        <rFont val="阿里巴巴普惠体"/>
        <family val="1"/>
        <charset val="134"/>
        <scheme val="minor"/>
      </rPr>
      <t>（VLOOKUP）</t>
    </r>
    <phoneticPr fontId="2" type="noConversion"/>
  </si>
  <si>
    <r>
      <t>10、多表混合查找</t>
    </r>
    <r>
      <rPr>
        <sz val="14"/>
        <color theme="0" tint="-0.499984740745262"/>
        <rFont val="阿里巴巴普惠体"/>
        <family val="1"/>
        <charset val="134"/>
        <scheme val="minor"/>
      </rPr>
      <t>（IF）</t>
    </r>
    <phoneticPr fontId="2" type="noConversion"/>
  </si>
  <si>
    <r>
      <t>5、去除不可见字符查找</t>
    </r>
    <r>
      <rPr>
        <sz val="14"/>
        <color theme="0" tint="-0.499984740745262"/>
        <rFont val="阿里巴巴普惠体"/>
        <family val="1"/>
        <charset val="134"/>
        <scheme val="minor"/>
      </rPr>
      <t>（CLEAN）</t>
    </r>
    <phoneticPr fontId="2" type="noConversion"/>
  </si>
  <si>
    <r>
      <t>11、跨多表查找</t>
    </r>
    <r>
      <rPr>
        <sz val="14"/>
        <color theme="0" tint="-0.499984740745262"/>
        <rFont val="阿里巴巴普惠体"/>
        <family val="1"/>
        <charset val="134"/>
        <scheme val="minor"/>
      </rPr>
      <t>（INDIRECT）</t>
    </r>
    <phoneticPr fontId="2" type="noConversion"/>
  </si>
  <si>
    <r>
      <t>6、多列批量查找</t>
    </r>
    <r>
      <rPr>
        <sz val="14"/>
        <color theme="0" tint="-0.499984740745262"/>
        <rFont val="阿里巴巴普惠体"/>
        <family val="1"/>
        <charset val="134"/>
        <scheme val="minor"/>
      </rPr>
      <t>（COLUMN）</t>
    </r>
    <phoneticPr fontId="2" type="noConversion"/>
  </si>
  <si>
    <t>VLOOKUP最全18种用法合集</t>
    <phoneticPr fontId="2" type="noConversion"/>
  </si>
  <si>
    <t>辅助列</t>
    <phoneticPr fontId="2" type="noConversion"/>
  </si>
  <si>
    <r>
      <t>VLOOKUP 进阶</t>
    </r>
    <r>
      <rPr>
        <sz val="22"/>
        <color theme="0" tint="-0.34998626667073579"/>
        <rFont val="阿里巴巴普惠体 Medium"/>
        <family val="1"/>
        <charset val="134"/>
        <scheme val="major"/>
      </rPr>
      <t>（公式嵌套）</t>
    </r>
    <phoneticPr fontId="2" type="noConversion"/>
  </si>
  <si>
    <t>丁    阳</t>
    <phoneticPr fontId="2" type="noConversion"/>
  </si>
  <si>
    <t>贺    颖</t>
    <phoneticPr fontId="2" type="noConversion"/>
  </si>
  <si>
    <t>曾    愉</t>
    <phoneticPr fontId="2" type="noConversion"/>
  </si>
  <si>
    <r>
      <t>3</t>
    </r>
    <r>
      <rPr>
        <sz val="16"/>
        <color theme="4"/>
        <rFont val="微软雅黑"/>
        <family val="2"/>
        <charset val="134"/>
      </rPr>
      <t>、文本数值混合查找</t>
    </r>
    <r>
      <rPr>
        <sz val="16"/>
        <color theme="0" tint="-0.34998626667073579"/>
        <rFont val="微软雅黑"/>
        <family val="2"/>
        <charset val="134"/>
      </rPr>
      <t>（连接符</t>
    </r>
    <r>
      <rPr>
        <sz val="16"/>
        <color theme="0" tint="-0.34998626667073579"/>
        <rFont val="Arial"/>
        <family val="2"/>
      </rPr>
      <t xml:space="preserve"> &amp;</t>
    </r>
    <r>
      <rPr>
        <sz val="16"/>
        <color theme="0" tint="-0.34998626667073579"/>
        <rFont val="微软雅黑"/>
        <family val="2"/>
        <charset val="134"/>
      </rPr>
      <t>）</t>
    </r>
    <phoneticPr fontId="2" type="noConversion"/>
  </si>
  <si>
    <r>
      <t>1</t>
    </r>
    <r>
      <rPr>
        <sz val="11"/>
        <color theme="0"/>
        <rFont val="微软雅黑"/>
        <family val="2"/>
        <charset val="134"/>
      </rPr>
      <t>月</t>
    </r>
    <phoneticPr fontId="2" type="noConversion"/>
  </si>
  <si>
    <r>
      <rPr>
        <sz val="12"/>
        <color theme="1" tint="0.34998626667073579"/>
        <rFont val="微软雅黑"/>
        <family val="2"/>
        <charset val="134"/>
      </rPr>
      <t>【查找范围】</t>
    </r>
    <r>
      <rPr>
        <sz val="12"/>
        <color theme="1" tint="0.34998626667073579"/>
        <rFont val="Arial"/>
        <family val="2"/>
      </rPr>
      <t>A-</t>
    </r>
    <r>
      <rPr>
        <b/>
        <sz val="12"/>
        <color rgb="FFFF0000"/>
        <rFont val="微软雅黑"/>
        <family val="2"/>
        <charset val="134"/>
      </rPr>
      <t>查找范围的第一列应为查找值所在列</t>
    </r>
    <r>
      <rPr>
        <sz val="12"/>
        <color theme="1" tint="0.34998626667073579"/>
        <rFont val="微软雅黑"/>
        <family val="2"/>
        <charset val="134"/>
      </rPr>
      <t>；</t>
    </r>
    <r>
      <rPr>
        <sz val="12"/>
        <color rgb="FFFF0000"/>
        <rFont val="Arial"/>
        <family val="2"/>
      </rPr>
      <t>B-</t>
    </r>
    <r>
      <rPr>
        <sz val="12"/>
        <color rgb="FFFF0000"/>
        <rFont val="微软雅黑"/>
        <family val="2"/>
        <charset val="134"/>
      </rPr>
      <t>查找范围通常需要进行绝对引用</t>
    </r>
    <phoneticPr fontId="2" type="noConversion"/>
  </si>
  <si>
    <t>F4绝对引用</t>
    <phoneticPr fontId="2" type="noConversion"/>
  </si>
  <si>
    <t xml:space="preserve"> </t>
    <phoneticPr fontId="2" type="noConversion"/>
  </si>
  <si>
    <t>为了保证查找列在第一列，有时候需要复制粘贴</t>
    <phoneticPr fontId="2" type="noConversion"/>
  </si>
  <si>
    <r>
      <t>4</t>
    </r>
    <r>
      <rPr>
        <sz val="14"/>
        <color theme="4"/>
        <rFont val="微软雅黑"/>
        <family val="2"/>
        <charset val="134"/>
      </rPr>
      <t>、去除空格查找</t>
    </r>
    <r>
      <rPr>
        <sz val="14"/>
        <color theme="0" tint="-0.499984740745262"/>
        <rFont val="微软雅黑"/>
        <family val="2"/>
        <charset val="134"/>
      </rPr>
      <t>（</t>
    </r>
    <r>
      <rPr>
        <sz val="14"/>
        <color theme="0" tint="-0.499984740745262"/>
        <rFont val="阿里巴巴普惠体"/>
        <family val="2"/>
        <scheme val="minor"/>
      </rPr>
      <t>SUBSTITUTE</t>
    </r>
    <r>
      <rPr>
        <sz val="14"/>
        <color theme="0" tint="-0.499984740745262"/>
        <rFont val="微软雅黑"/>
        <family val="2"/>
        <charset val="134"/>
      </rPr>
      <t>）</t>
    </r>
    <phoneticPr fontId="2" type="noConversion"/>
  </si>
  <si>
    <r>
      <t>2</t>
    </r>
    <r>
      <rPr>
        <sz val="16"/>
        <color theme="4"/>
        <rFont val="微软雅黑"/>
        <family val="2"/>
        <charset val="134"/>
      </rPr>
      <t>、关键字词查找</t>
    </r>
    <r>
      <rPr>
        <sz val="16"/>
        <color theme="0" tint="-0.34998626667073579"/>
        <rFont val="微软雅黑"/>
        <family val="2"/>
        <charset val="134"/>
      </rPr>
      <t>（通配符</t>
    </r>
    <r>
      <rPr>
        <sz val="16"/>
        <color theme="0" tint="-0.34998626667073579"/>
        <rFont val="阿里巴巴普惠体"/>
        <family val="2"/>
        <scheme val="minor"/>
      </rPr>
      <t xml:space="preserve">  ? *</t>
    </r>
    <r>
      <rPr>
        <sz val="16"/>
        <color theme="0" tint="-0.34998626667073579"/>
        <rFont val="微软雅黑"/>
        <family val="2"/>
        <charset val="134"/>
      </rPr>
      <t>）</t>
    </r>
    <phoneticPr fontId="2" type="noConversion"/>
  </si>
  <si>
    <t>"*"&amp;</t>
    <phoneticPr fontId="2" type="noConversion"/>
  </si>
  <si>
    <t>?是一个字符，*是任意字符</t>
    <phoneticPr fontId="2" type="noConversion"/>
  </si>
  <si>
    <t>数值型，&amp;""就自动变成文本型， *1自动变成数值型，也可以加两个负号</t>
    <phoneticPr fontId="2" type="noConversion"/>
  </si>
  <si>
    <r>
      <t>SUBSTITUTE(</t>
    </r>
    <r>
      <rPr>
        <sz val="11"/>
        <color theme="1"/>
        <rFont val="Microsoft YaHei UI"/>
        <family val="2"/>
        <charset val="134"/>
      </rPr>
      <t>格子, "格子里面需要替换的文本", "替换后的文本"</t>
    </r>
    <r>
      <rPr>
        <sz val="11"/>
        <color theme="1"/>
        <rFont val="阿里巴巴普惠体"/>
        <family val="2"/>
        <scheme val="minor"/>
      </rPr>
      <t>)</t>
    </r>
    <phoneticPr fontId="2" type="noConversion"/>
  </si>
  <si>
    <t>跨文本激活地址</t>
    <phoneticPr fontId="2" type="noConversion"/>
  </si>
  <si>
    <t>IF({1,0}, , )——又1又0，又真又假，就会输出两个列</t>
    <phoneticPr fontId="2" type="noConversion"/>
  </si>
  <si>
    <r>
      <t>VLOOKUP(lookup_value</t>
    </r>
    <r>
      <rPr>
        <sz val="16"/>
        <color theme="8"/>
        <rFont val="微软雅黑"/>
        <family val="2"/>
        <charset val="134"/>
      </rPr>
      <t>，</t>
    </r>
    <r>
      <rPr>
        <sz val="16"/>
        <color theme="8"/>
        <rFont val="阿里巴巴普惠体"/>
        <family val="2"/>
      </rPr>
      <t>table_array</t>
    </r>
    <r>
      <rPr>
        <sz val="16"/>
        <color theme="8"/>
        <rFont val="微软雅黑"/>
        <family val="2"/>
        <charset val="134"/>
      </rPr>
      <t>，</t>
    </r>
    <r>
      <rPr>
        <sz val="16"/>
        <color theme="8"/>
        <rFont val="阿里巴巴普惠体"/>
        <family val="2"/>
      </rPr>
      <t>col_index_num</t>
    </r>
    <r>
      <rPr>
        <sz val="16"/>
        <color theme="8"/>
        <rFont val="微软雅黑"/>
        <family val="2"/>
        <charset val="134"/>
      </rPr>
      <t>，</t>
    </r>
    <r>
      <rPr>
        <sz val="16"/>
        <color theme="8"/>
        <rFont val="阿里巴巴普惠体"/>
        <family val="2"/>
      </rPr>
      <t>[range_lookup])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</si>
</sst>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>
    <font>
      <sz val="11"/>
      <color theme="1"/>
      <name val="阿里巴巴普惠体"/>
      <family val="2"/>
      <scheme val="minor"/>
    </font>
    <font>
      <sz val="11"/>
      <color theme="1"/>
      <name val="阿里巴巴普惠体"/>
      <family val="2"/>
      <scheme val="minor"/>
    </font>
    <font>
      <sz val="9"/>
      <name val="阿里巴巴普惠体"/>
      <family val="3"/>
      <charset val="134"/>
      <scheme val="minor"/>
    </font>
    <font>
      <sz val="11"/>
      <color theme="0"/>
      <name val="阿里巴巴普惠体"/>
      <family val="2"/>
      <scheme val="minor"/>
    </font>
    <font>
      <sz val="12"/>
      <color theme="1" tint="0.34998626667073579"/>
      <name val="阿里巴巴普惠体"/>
      <family val="1"/>
      <charset val="134"/>
    </font>
    <font>
      <sz val="11"/>
      <color theme="0"/>
      <name val="阿里巴巴普惠体"/>
      <family val="1"/>
      <charset val="134"/>
      <scheme val="minor"/>
    </font>
    <font>
      <sz val="16"/>
      <color theme="4"/>
      <name val="阿里巴巴普惠体"/>
      <family val="2"/>
      <scheme val="minor"/>
    </font>
    <font>
      <sz val="22"/>
      <color theme="4"/>
      <name val="阿里巴巴普惠体 Medium"/>
      <family val="1"/>
      <charset val="134"/>
      <scheme val="major"/>
    </font>
    <font>
      <sz val="22"/>
      <color theme="0" tint="-0.34998626667073579"/>
      <name val="阿里巴巴普惠体 Medium"/>
      <family val="1"/>
      <charset val="134"/>
      <scheme val="major"/>
    </font>
    <font>
      <sz val="14"/>
      <color theme="0" tint="-0.499984740745262"/>
      <name val="阿里巴巴普惠体"/>
      <family val="1"/>
      <charset val="134"/>
      <scheme val="minor"/>
    </font>
    <font>
      <sz val="16"/>
      <color theme="8"/>
      <name val="阿里巴巴普惠体"/>
      <family val="1"/>
      <charset val="134"/>
    </font>
    <font>
      <sz val="16"/>
      <color theme="0" tint="-0.499984740745262"/>
      <name val="阿里巴巴普惠体"/>
      <family val="1"/>
      <charset val="134"/>
      <scheme val="minor"/>
    </font>
    <font>
      <sz val="16"/>
      <color theme="0" tint="-0.34998626667073579"/>
      <name val="阿里巴巴普惠体"/>
      <family val="1"/>
      <charset val="134"/>
      <scheme val="minor"/>
    </font>
    <font>
      <sz val="16"/>
      <color theme="0"/>
      <name val="阿里巴巴普惠体"/>
      <family val="1"/>
      <charset val="134"/>
      <scheme val="minor"/>
    </font>
    <font>
      <sz val="36"/>
      <color theme="1"/>
      <name val="阿里巴巴普惠体"/>
      <family val="2"/>
      <scheme val="minor"/>
    </font>
    <font>
      <sz val="18"/>
      <color rgb="FFFF0000"/>
      <name val="阿里巴巴普惠体"/>
      <family val="2"/>
      <scheme val="minor"/>
    </font>
    <font>
      <sz val="16"/>
      <color rgb="FF0070C0"/>
      <name val="阿里巴巴普惠体"/>
      <family val="2"/>
      <scheme val="minor"/>
    </font>
    <font>
      <sz val="14"/>
      <color theme="4"/>
      <name val="阿里巴巴普惠体"/>
      <family val="1"/>
      <charset val="134"/>
      <scheme val="minor"/>
    </font>
    <font>
      <sz val="14"/>
      <color theme="1"/>
      <name val="阿里巴巴普惠体"/>
      <family val="1"/>
      <charset val="134"/>
      <scheme val="minor"/>
    </font>
    <font>
      <sz val="11"/>
      <name val="阿里巴巴普惠体"/>
      <family val="2"/>
      <scheme val="minor"/>
    </font>
    <font>
      <sz val="16"/>
      <color theme="4"/>
      <name val="微软雅黑"/>
      <family val="2"/>
      <charset val="134"/>
    </font>
    <font>
      <sz val="16"/>
      <color theme="0" tint="-0.34998626667073579"/>
      <name val="微软雅黑"/>
      <family val="2"/>
      <charset val="134"/>
    </font>
    <font>
      <sz val="16"/>
      <color theme="0" tint="-0.34998626667073579"/>
      <name val="Arial"/>
      <family val="2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阿里巴巴普惠体"/>
      <family val="2"/>
      <scheme val="minor"/>
    </font>
    <font>
      <sz val="12"/>
      <color theme="1" tint="0.34998626667073579"/>
      <name val="微软雅黑"/>
      <family val="2"/>
      <charset val="134"/>
    </font>
    <font>
      <sz val="12"/>
      <color theme="1" tint="0.34998626667073579"/>
      <name val="Arial"/>
      <family val="2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Arial"/>
      <family val="2"/>
    </font>
    <font>
      <sz val="12"/>
      <color theme="1" tint="0.34998626667073579"/>
      <name val="阿里巴巴普惠体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Microsoft YaHei UI"/>
      <family val="2"/>
      <charset val="134"/>
    </font>
    <font>
      <sz val="14"/>
      <color theme="4"/>
      <name val="微软雅黑"/>
      <family val="2"/>
      <charset val="134"/>
    </font>
    <font>
      <sz val="14"/>
      <color theme="0" tint="-0.499984740745262"/>
      <name val="微软雅黑"/>
      <family val="2"/>
      <charset val="134"/>
    </font>
    <font>
      <sz val="14"/>
      <color theme="0" tint="-0.499984740745262"/>
      <name val="阿里巴巴普惠体"/>
      <family val="2"/>
      <scheme val="minor"/>
    </font>
    <font>
      <sz val="16"/>
      <color theme="0" tint="-0.34998626667073579"/>
      <name val="阿里巴巴普惠体"/>
      <family val="2"/>
      <scheme val="minor"/>
    </font>
    <font>
      <sz val="16"/>
      <color theme="8"/>
      <name val="微软雅黑"/>
      <family val="2"/>
      <charset val="134"/>
    </font>
    <font>
      <sz val="16"/>
      <color theme="8"/>
      <name val="阿里巴巴普惠体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70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0" xfId="0" applyFont="1" applyAlignment="1">
      <alignment vertical="center"/>
    </xf>
    <xf numFmtId="58" fontId="0" fillId="0" borderId="0" xfId="0" applyNumberFormat="1" applyBorder="1" applyAlignment="1">
      <alignment horizontal="center"/>
    </xf>
    <xf numFmtId="0" fontId="0" fillId="0" borderId="0" xfId="2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0" fillId="0" borderId="0" xfId="0" applyFill="1" applyBorder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4" fontId="0" fillId="0" borderId="0" xfId="0" applyNumberForma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5" fillId="0" borderId="0" xfId="0" applyFont="1"/>
    <xf numFmtId="0" fontId="0" fillId="3" borderId="1" xfId="0" applyFill="1" applyBorder="1" applyAlignment="1">
      <alignment horizontal="center"/>
    </xf>
    <xf numFmtId="0" fontId="24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2" fillId="0" borderId="0" xfId="0" applyFont="1"/>
    <xf numFmtId="9" fontId="0" fillId="3" borderId="7" xfId="2" applyFont="1" applyFill="1" applyBorder="1" applyAlignment="1">
      <alignment horizontal="center"/>
    </xf>
    <xf numFmtId="9" fontId="0" fillId="0" borderId="0" xfId="0" applyNumberFormat="1"/>
    <xf numFmtId="0" fontId="33" fillId="0" borderId="0" xfId="0" applyFont="1"/>
    <xf numFmtId="0" fontId="24" fillId="0" borderId="1" xfId="0" applyFont="1" applyBorder="1" applyAlignment="1">
      <alignment horizontal="center"/>
    </xf>
  </cellXfs>
  <cellStyles count="3">
    <cellStyle name="百分比" xfId="2" builtinId="5"/>
    <cellStyle name="常规" xfId="0" builtinId="0"/>
    <cellStyle name="常规 2" xfId="1" xr:uid="{3ED2A627-CA53-46AC-BE8A-EF0EFB9D3581}"/>
  </cellStyles>
  <dxfs count="39">
    <dxf>
      <font>
        <color auto="1"/>
      </font>
      <fill>
        <patternFill>
          <bgColor theme="7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theme="8" tint="0.79995117038483843"/>
          <bgColor theme="7" tint="0.79998168889431442"/>
        </patternFill>
      </fill>
      <border>
        <bottom style="thin">
          <color theme="8"/>
        </bottom>
      </border>
    </dxf>
    <dxf>
      <border>
        <bottom style="thin">
          <color theme="7" tint="-0.499984740745262"/>
        </bottom>
      </border>
    </dxf>
    <dxf>
      <font>
        <b/>
        <color theme="1"/>
      </font>
      <fill>
        <patternFill patternType="solid">
          <fgColor theme="0" tint="-0.14990691854609822"/>
          <bgColor theme="7" tint="0.59996337778862885"/>
        </patternFill>
      </fill>
    </dxf>
    <dxf>
      <font>
        <b val="0"/>
        <i val="0"/>
        <color auto="1"/>
      </font>
      <fill>
        <patternFill patternType="solid">
          <fgColor theme="8" tint="0.39985351115451523"/>
          <bgColor theme="7" tint="0.79998168889431442"/>
        </patternFill>
      </fill>
    </dxf>
    <dxf>
      <font>
        <color theme="1" tint="4.9989318521683403E-2"/>
      </font>
      <fill>
        <patternFill>
          <bgColor theme="7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/>
        <color theme="1"/>
      </font>
      <border>
        <top style="double">
          <color theme="1"/>
        </top>
      </border>
    </dxf>
    <dxf>
      <font>
        <color auto="1"/>
      </font>
      <fill>
        <patternFill patternType="solid">
          <fgColor theme="8" tint="-0.249977111117893"/>
          <bgColor theme="7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border diagonalUp="1" diagonalDown="1">
        <left style="thin">
          <color theme="1" tint="0.14996795556505021"/>
        </left>
        <right style="thin">
          <color theme="1" tint="0.14996795556505021"/>
        </right>
        <top style="thin">
          <color theme="1" tint="0.14996795556505021"/>
        </top>
        <bottom style="thin">
          <color theme="1" tint="0.14996795556505021"/>
        </bottom>
        <diagonal style="thin">
          <color theme="7" tint="-0.24994659260841701"/>
        </diagonal>
        <vertical style="thin">
          <color theme="1" tint="0.14996795556505021"/>
        </vertical>
        <horizontal style="thin">
          <color theme="1" tint="0.14996795556505021"/>
        </horizontal>
      </border>
    </dxf>
    <dxf>
      <fill>
        <patternFill>
          <bgColor theme="7" tint="0.79998168889431442"/>
        </patternFill>
      </fill>
    </dxf>
    <dxf>
      <font>
        <b/>
        <i val="0"/>
      </font>
    </dxf>
    <dxf>
      <font>
        <color theme="1" tint="0.14996795556505021"/>
      </font>
      <fill>
        <patternFill>
          <bgColor theme="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8" tint="0.79998168889431442"/>
        </patternFill>
      </fill>
    </dxf>
    <dxf>
      <font>
        <b/>
        <i val="0"/>
      </font>
    </dxf>
    <dxf>
      <font>
        <color theme="0"/>
      </font>
      <fill>
        <patternFill>
          <bgColor theme="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5" tint="0.79998168889431442"/>
        </patternFill>
      </fill>
    </dxf>
    <dxf>
      <font>
        <b/>
        <i val="0"/>
      </font>
    </dxf>
    <dxf>
      <font>
        <color theme="0"/>
      </font>
      <fill>
        <patternFill>
          <bgColor theme="4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fill>
        <patternFill patternType="solid">
          <fgColor theme="8" tint="0.79995117038483843"/>
          <bgColor theme="5" tint="0.79998168889431442"/>
        </patternFill>
      </fill>
      <border>
        <bottom style="thin">
          <color auto="1"/>
        </bottom>
      </border>
    </dxf>
    <dxf>
      <border>
        <bottom style="thin">
          <color theme="5" tint="0.79998168889431442"/>
        </bottom>
      </border>
    </dxf>
    <dxf>
      <font>
        <b/>
        <color theme="1"/>
      </font>
      <fill>
        <patternFill patternType="solid">
          <fgColor theme="0" tint="-0.14990691854609822"/>
          <bgColor theme="5" tint="0.59996337778862885"/>
        </patternFill>
      </fill>
    </dxf>
    <dxf>
      <font>
        <b val="0"/>
        <i val="0"/>
        <color auto="1"/>
      </font>
      <fill>
        <patternFill patternType="solid">
          <fgColor theme="8" tint="0.39985351115451523"/>
          <bgColor theme="5" tint="0.79998168889431442"/>
        </patternFill>
      </fill>
    </dxf>
    <dxf>
      <font>
        <b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double">
          <color theme="4"/>
        </top>
      </border>
    </dxf>
    <dxf>
      <font>
        <color theme="0"/>
      </font>
      <fill>
        <patternFill patternType="solid">
          <fgColor theme="8" tint="-0.249977111117893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  <horizontal style="thin">
          <color theme="1" tint="0.24994659260841701"/>
        </horizontal>
      </border>
    </dxf>
    <dxf>
      <border diagonalUp="0" diagonalDown="0">
        <left/>
        <right/>
        <top/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>
        <bottom style="thin">
          <color auto="1"/>
        </bottom>
      </border>
    </dxf>
    <dxf>
      <border>
        <bottom style="thin">
          <color theme="8" tint="0.59996337778862885"/>
        </bottom>
      </border>
    </dxf>
    <dxf>
      <font>
        <b/>
        <color theme="1"/>
      </font>
      <fill>
        <patternFill patternType="solid">
          <fgColor theme="0" tint="-0.14993743705557422"/>
          <bgColor theme="8" tint="0.59996337778862885"/>
        </patternFill>
      </fill>
    </dxf>
    <dxf>
      <font>
        <b val="0"/>
        <i val="0"/>
        <color auto="1"/>
      </font>
      <fill>
        <patternFill patternType="solid">
          <fgColor theme="8" tint="0.39988402966399123"/>
          <bgColor theme="8" tint="0.79998168889431442"/>
        </patternFill>
      </fill>
    </dxf>
    <dxf>
      <font>
        <b/>
        <color theme="0"/>
      </font>
      <fill>
        <patternFill>
          <bgColor theme="8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double">
          <color theme="8" tint="-0.249977111117893"/>
        </top>
      </border>
    </dxf>
    <dxf>
      <font>
        <color theme="0"/>
      </font>
      <fill>
        <patternFill patternType="solid">
          <fgColor theme="8" tint="-0.249977111117893"/>
          <bgColor theme="8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</dxfs>
  <tableStyles count="6" defaultTableStyle="表样式 1" defaultPivotStyle="1">
    <tableStyle name="1" table="0" count="9" xr9:uid="{1A117FB4-2CB1-446C-B95A-DF582D50B2DA}">
      <tableStyleElement type="wholeTable" dxfId="38"/>
      <tableStyleElement type="headerRow" dxfId="37"/>
      <tableStyleElement type="totalRow" dxfId="36"/>
      <tableStyleElement type="firstHeaderCell" dxfId="35"/>
      <tableStyleElement type="firstSubtotalRow" dxfId="34"/>
      <tableStyleElement type="secondSubtotalRow" dxfId="33"/>
      <tableStyleElement type="firstColumnSubheading" dxfId="32"/>
      <tableStyleElement type="secondRowSubheading" dxfId="31"/>
      <tableStyleElement type="pageFieldValues" dxfId="30"/>
    </tableStyle>
    <tableStyle name="1 2" table="0" count="9" xr9:uid="{F565F259-8DEF-48EC-B6E2-41E7FC995A90}">
      <tableStyleElement type="wholeTable" dxfId="29"/>
      <tableStyleElement type="headerRow" dxfId="28"/>
      <tableStyleElement type="totalRow" dxfId="27"/>
      <tableStyleElement type="firstHeaderCell" dxfId="26"/>
      <tableStyleElement type="firstSubtotalRow" dxfId="25"/>
      <tableStyleElement type="secondSubtotalRow" dxfId="24"/>
      <tableStyleElement type="firstColumnSubheading" dxfId="23"/>
      <tableStyleElement type="secondRowSubheading" dxfId="22"/>
      <tableStyleElement type="pageFieldValues" dxfId="21"/>
    </tableStyle>
    <tableStyle name="表样式 1" pivot="0" count="4" xr9:uid="{C00AA37A-CB2F-4880-9F59-3D53305C7F15}">
      <tableStyleElement type="wholeTable" dxfId="20"/>
      <tableStyleElement type="headerRow" dxfId="19"/>
      <tableStyleElement type="totalRow" dxfId="18"/>
      <tableStyleElement type="secondRowStripe" dxfId="17"/>
    </tableStyle>
    <tableStyle name="表样式 1 2" pivot="0" count="4" xr9:uid="{2698F67C-4866-4CC1-9BFC-4FD01111A5BD}">
      <tableStyleElement type="wholeTable" dxfId="16"/>
      <tableStyleElement type="headerRow" dxfId="15"/>
      <tableStyleElement type="totalRow" dxfId="14"/>
      <tableStyleElement type="secondRowStripe" dxfId="13"/>
    </tableStyle>
    <tableStyle name="表样式 1 2 2" pivot="0" count="4" xr9:uid="{7F3396CB-0B22-484F-9F2A-3F4337CBFA08}">
      <tableStyleElement type="wholeTable" dxfId="12"/>
      <tableStyleElement type="headerRow" dxfId="11"/>
      <tableStyleElement type="totalRow" dxfId="10"/>
      <tableStyleElement type="secondRowStripe" dxfId="9"/>
    </tableStyle>
    <tableStyle name="黄色" table="0" count="9" xr9:uid="{1D399FAF-8E5A-4FCF-A946-A80905C93ADA}">
      <tableStyleElement type="wholeTable" dxfId="8"/>
      <tableStyleElement type="headerRow" dxfId="7"/>
      <tableStyleElement type="totalRow" dxfId="6"/>
      <tableStyleElement type="firstHeaderCell" dxfId="5"/>
      <tableStyleElement type="firstSubtotalRow" dxfId="4"/>
      <tableStyleElement type="secondSubtotalRow" dxfId="3"/>
      <tableStyleElement type="firstColumnSubheading" dxfId="2"/>
      <tableStyleElement type="secondRowSubheading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Exce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E42"/>
      </a:accent1>
      <a:accent2>
        <a:srgbClr val="70AD47"/>
      </a:accent2>
      <a:accent3>
        <a:srgbClr val="A5A5A5"/>
      </a:accent3>
      <a:accent4>
        <a:srgbClr val="FFC000"/>
      </a:accent4>
      <a:accent5>
        <a:srgbClr val="4472C4"/>
      </a:accent5>
      <a:accent6>
        <a:srgbClr val="217346"/>
      </a:accent6>
      <a:hlink>
        <a:srgbClr val="0563C1"/>
      </a:hlink>
      <a:folHlink>
        <a:srgbClr val="954F72"/>
      </a:folHlink>
    </a:clrScheme>
    <a:fontScheme name="阿里巴巴普惠体">
      <a:majorFont>
        <a:latin typeface="阿里巴巴普惠体 Medium"/>
        <a:ea typeface="阿里巴巴普惠体 Medium"/>
        <a:cs typeface=""/>
      </a:majorFont>
      <a:minorFont>
        <a:latin typeface="阿里巴巴普惠体"/>
        <a:ea typeface="阿里巴巴普惠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6AA5-B59C-4E1D-AAAC-EE25EA1A38A0}">
  <sheetPr>
    <tabColor theme="8"/>
  </sheetPr>
  <dimension ref="B1:Q20"/>
  <sheetViews>
    <sheetView showGridLines="0" topLeftCell="B1" workbookViewId="0">
      <selection activeCell="H16" sqref="H16"/>
    </sheetView>
  </sheetViews>
  <sheetFormatPr defaultRowHeight="14"/>
  <sheetData>
    <row r="1" spans="2:17" ht="16.25" customHeight="1">
      <c r="B1" s="58" t="s">
        <v>209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2:17" ht="16.25" customHeight="1"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2:17" ht="16.25" customHeight="1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2:17" ht="16.25" customHeight="1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2:17" ht="16.25" customHeight="1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17">
      <c r="B6" s="44" t="s">
        <v>192</v>
      </c>
      <c r="C6" s="44"/>
      <c r="D6" s="44"/>
      <c r="F6" s="44" t="s">
        <v>193</v>
      </c>
      <c r="G6" s="44"/>
      <c r="H6" s="44"/>
      <c r="I6" s="44"/>
      <c r="J6" s="44"/>
      <c r="K6" s="44"/>
      <c r="L6" s="44"/>
      <c r="M6" s="44"/>
      <c r="N6" s="44"/>
      <c r="P6" s="44" t="s">
        <v>194</v>
      </c>
      <c r="Q6" s="44"/>
    </row>
    <row r="8" spans="2:17" s="48" customFormat="1" ht="17.5">
      <c r="B8" s="47" t="s">
        <v>197</v>
      </c>
      <c r="F8" s="47" t="s">
        <v>198</v>
      </c>
      <c r="K8" s="47" t="s">
        <v>199</v>
      </c>
      <c r="P8" s="47" t="s">
        <v>23</v>
      </c>
    </row>
    <row r="9" spans="2:17" s="48" customFormat="1" ht="17.5"/>
    <row r="10" spans="2:17" s="48" customFormat="1" ht="17.5">
      <c r="B10" s="47" t="s">
        <v>200</v>
      </c>
      <c r="F10" s="47" t="s">
        <v>201</v>
      </c>
      <c r="K10" s="47" t="s">
        <v>202</v>
      </c>
      <c r="P10" s="47" t="s">
        <v>21</v>
      </c>
    </row>
    <row r="11" spans="2:17" s="48" customFormat="1" ht="17.5"/>
    <row r="12" spans="2:17" s="48" customFormat="1" ht="17.5">
      <c r="B12" s="47" t="s">
        <v>177</v>
      </c>
      <c r="F12" s="47" t="s">
        <v>203</v>
      </c>
      <c r="K12" s="47" t="s">
        <v>204</v>
      </c>
      <c r="P12" s="47" t="s">
        <v>24</v>
      </c>
    </row>
    <row r="13" spans="2:17" s="48" customFormat="1" ht="17.5"/>
    <row r="14" spans="2:17" s="48" customFormat="1" ht="19">
      <c r="B14" s="47" t="s">
        <v>178</v>
      </c>
      <c r="F14" s="47" t="s">
        <v>221</v>
      </c>
      <c r="K14" s="47" t="s">
        <v>205</v>
      </c>
    </row>
    <row r="15" spans="2:17" s="48" customFormat="1" ht="17.5"/>
    <row r="16" spans="2:17" s="48" customFormat="1" ht="17.5">
      <c r="F16" s="47" t="s">
        <v>206</v>
      </c>
      <c r="K16" s="47" t="s">
        <v>207</v>
      </c>
    </row>
    <row r="17" spans="2:6" s="48" customFormat="1" ht="17.5"/>
    <row r="18" spans="2:6" s="48" customFormat="1" ht="17.5">
      <c r="F18" s="47" t="s">
        <v>208</v>
      </c>
    </row>
    <row r="19" spans="2:6" ht="22.5">
      <c r="B19" s="45" t="s">
        <v>195</v>
      </c>
    </row>
    <row r="20" spans="2:6" ht="20">
      <c r="B20" s="46" t="s">
        <v>196</v>
      </c>
    </row>
  </sheetData>
  <mergeCells count="1">
    <mergeCell ref="B1:M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BE99-3C2A-4E7D-BEDA-11B69E6E6B22}">
  <sheetPr>
    <tabColor theme="8"/>
  </sheetPr>
  <dimension ref="B2:M53"/>
  <sheetViews>
    <sheetView showGridLines="0" topLeftCell="A31" zoomScaleNormal="100" workbookViewId="0">
      <selection activeCell="C4" sqref="C4"/>
    </sheetView>
  </sheetViews>
  <sheetFormatPr defaultRowHeight="14"/>
  <cols>
    <col min="1" max="1" width="3.5" customWidth="1"/>
    <col min="2" max="2" width="12" customWidth="1"/>
    <col min="3" max="4" width="11.1640625" customWidth="1"/>
    <col min="5" max="5" width="12.08203125" customWidth="1"/>
    <col min="6" max="8" width="11.1640625" customWidth="1"/>
    <col min="9" max="9" width="12.08203125" customWidth="1"/>
    <col min="10" max="11" width="11.1640625" customWidth="1"/>
    <col min="12" max="12" width="10.33203125" customWidth="1"/>
    <col min="14" max="14" width="10.33203125" bestFit="1" customWidth="1"/>
    <col min="15" max="17" width="8.33203125" customWidth="1"/>
  </cols>
  <sheetData>
    <row r="2" spans="2:13" ht="31">
      <c r="B2" s="11" t="s">
        <v>22</v>
      </c>
    </row>
    <row r="4" spans="2:13" ht="21.5">
      <c r="B4" s="4" t="s">
        <v>26</v>
      </c>
      <c r="C4" s="14" t="s">
        <v>229</v>
      </c>
    </row>
    <row r="6" spans="2:13" ht="20">
      <c r="B6" s="4" t="s">
        <v>28</v>
      </c>
      <c r="C6" s="14" t="s">
        <v>75</v>
      </c>
    </row>
    <row r="7" spans="2:13" ht="15.5">
      <c r="B7" s="4"/>
    </row>
    <row r="8" spans="2:13" ht="15.5">
      <c r="B8" s="4" t="s">
        <v>27</v>
      </c>
      <c r="C8" s="4" t="s">
        <v>74</v>
      </c>
    </row>
    <row r="9" spans="2:13" ht="16.5">
      <c r="B9" s="4"/>
      <c r="C9" s="64" t="s">
        <v>217</v>
      </c>
    </row>
    <row r="10" spans="2:13" ht="15.5">
      <c r="B10" s="4"/>
      <c r="C10" s="4" t="s">
        <v>41</v>
      </c>
      <c r="I10" s="65" t="s">
        <v>218</v>
      </c>
    </row>
    <row r="11" spans="2:13" ht="15.5">
      <c r="B11" s="4"/>
      <c r="C11" s="4" t="s">
        <v>42</v>
      </c>
    </row>
    <row r="14" spans="2:13" ht="20">
      <c r="B14" s="10" t="s">
        <v>43</v>
      </c>
      <c r="K14" s="15"/>
      <c r="M14" s="22"/>
    </row>
    <row r="15" spans="2:13" ht="15.5">
      <c r="B15" s="4"/>
    </row>
    <row r="16" spans="2:13">
      <c r="B16" s="23" t="s">
        <v>52</v>
      </c>
      <c r="C16" s="1" t="s">
        <v>51</v>
      </c>
      <c r="D16" s="1" t="s">
        <v>54</v>
      </c>
      <c r="E16" s="1" t="s">
        <v>53</v>
      </c>
      <c r="G16" s="1" t="s">
        <v>51</v>
      </c>
      <c r="H16" s="1" t="s">
        <v>53</v>
      </c>
    </row>
    <row r="17" spans="2:10">
      <c r="B17" s="20" t="s">
        <v>55</v>
      </c>
      <c r="C17" s="20" t="s">
        <v>60</v>
      </c>
      <c r="D17" s="26">
        <v>6750</v>
      </c>
      <c r="E17" s="25">
        <v>500</v>
      </c>
      <c r="G17" s="20" t="s">
        <v>64</v>
      </c>
      <c r="H17" s="41">
        <f>VLOOKUP(G17,$C$17:$E$21,3,0)</f>
        <v>1700</v>
      </c>
      <c r="I17">
        <f>VLOOKUP(G17,$C$17:$E$21,3,0)</f>
        <v>1700</v>
      </c>
    </row>
    <row r="18" spans="2:10">
      <c r="B18" s="20" t="s">
        <v>56</v>
      </c>
      <c r="C18" s="20" t="s">
        <v>61</v>
      </c>
      <c r="D18" s="26">
        <v>3500</v>
      </c>
      <c r="E18" s="25">
        <v>1500</v>
      </c>
      <c r="G18" s="20" t="s">
        <v>61</v>
      </c>
      <c r="H18" s="41">
        <f t="shared" ref="H18:H21" si="0">VLOOKUP(G18,$C$17:$E$21,3,0)</f>
        <v>1500</v>
      </c>
      <c r="I18">
        <f t="shared" ref="I18:I21" si="1">VLOOKUP(G18,$C$17:$E$21,3,0)</f>
        <v>1500</v>
      </c>
    </row>
    <row r="19" spans="2:10">
      <c r="B19" s="20" t="s">
        <v>57</v>
      </c>
      <c r="C19" s="20" t="s">
        <v>62</v>
      </c>
      <c r="D19" s="26">
        <v>3150</v>
      </c>
      <c r="E19" s="25">
        <v>300</v>
      </c>
      <c r="G19" s="20" t="s">
        <v>63</v>
      </c>
      <c r="H19" s="41">
        <f t="shared" si="0"/>
        <v>600</v>
      </c>
      <c r="I19">
        <f t="shared" si="1"/>
        <v>600</v>
      </c>
    </row>
    <row r="20" spans="2:10">
      <c r="B20" s="20" t="s">
        <v>58</v>
      </c>
      <c r="C20" s="20" t="s">
        <v>63</v>
      </c>
      <c r="D20" s="26">
        <v>199</v>
      </c>
      <c r="E20" s="25">
        <v>600</v>
      </c>
      <c r="G20" s="20" t="s">
        <v>60</v>
      </c>
      <c r="H20" s="41">
        <f t="shared" si="0"/>
        <v>500</v>
      </c>
      <c r="I20">
        <f t="shared" si="1"/>
        <v>500</v>
      </c>
    </row>
    <row r="21" spans="2:10">
      <c r="B21" s="20" t="s">
        <v>59</v>
      </c>
      <c r="C21" s="20" t="s">
        <v>64</v>
      </c>
      <c r="D21" s="26">
        <v>59</v>
      </c>
      <c r="E21" s="25">
        <v>1700</v>
      </c>
      <c r="G21" s="20" t="s">
        <v>62</v>
      </c>
      <c r="H21" s="41">
        <f t="shared" si="0"/>
        <v>300</v>
      </c>
      <c r="I21">
        <f t="shared" si="1"/>
        <v>300</v>
      </c>
    </row>
    <row r="22" spans="2:10" ht="15.5">
      <c r="B22" s="4"/>
    </row>
    <row r="23" spans="2:10" ht="15.5">
      <c r="B23" s="4"/>
    </row>
    <row r="24" spans="2:10" ht="20">
      <c r="B24" s="10" t="s">
        <v>44</v>
      </c>
      <c r="D24" s="13"/>
      <c r="G24" s="65" t="s">
        <v>219</v>
      </c>
    </row>
    <row r="26" spans="2:10">
      <c r="B26" s="1" t="s">
        <v>186</v>
      </c>
      <c r="C26" s="1" t="s">
        <v>0</v>
      </c>
      <c r="D26" s="1" t="s">
        <v>1</v>
      </c>
      <c r="G26" s="1" t="s">
        <v>2</v>
      </c>
      <c r="H26" s="1" t="s">
        <v>0</v>
      </c>
      <c r="I26" s="1" t="s">
        <v>1</v>
      </c>
    </row>
    <row r="27" spans="2:10">
      <c r="B27" s="2" t="s">
        <v>181</v>
      </c>
      <c r="C27" s="49">
        <v>1000</v>
      </c>
      <c r="D27" s="3">
        <v>0.05</v>
      </c>
      <c r="G27" s="20" t="s">
        <v>40</v>
      </c>
      <c r="H27" s="2">
        <v>1500</v>
      </c>
      <c r="I27" s="35">
        <f>VLOOKUP(H27,$C$27:$D$31,2,1)</f>
        <v>0.05</v>
      </c>
      <c r="J27" s="67">
        <f>VLOOKUP(H27,$C$27:$D$31,2,1)</f>
        <v>0.05</v>
      </c>
    </row>
    <row r="28" spans="2:10">
      <c r="B28" s="2" t="s">
        <v>182</v>
      </c>
      <c r="C28" s="49">
        <v>2000</v>
      </c>
      <c r="D28" s="3">
        <v>0.1</v>
      </c>
      <c r="G28" s="20" t="s">
        <v>65</v>
      </c>
      <c r="H28" s="2">
        <v>2800</v>
      </c>
      <c r="I28" s="35">
        <f t="shared" ref="I28:I34" si="2">VLOOKUP(H28,$C$27:$D$31,2,1)</f>
        <v>0.1</v>
      </c>
      <c r="J28" s="67">
        <f t="shared" ref="J28:J34" si="3">VLOOKUP(H28,$C$27:$D$31,2,1)</f>
        <v>0.1</v>
      </c>
    </row>
    <row r="29" spans="2:10">
      <c r="B29" s="2" t="s">
        <v>183</v>
      </c>
      <c r="C29" s="49">
        <v>3000</v>
      </c>
      <c r="D29" s="3">
        <v>0.2</v>
      </c>
      <c r="G29" s="20" t="s">
        <v>66</v>
      </c>
      <c r="H29" s="2">
        <v>2300</v>
      </c>
      <c r="I29" s="35">
        <f t="shared" si="2"/>
        <v>0.1</v>
      </c>
      <c r="J29" s="67">
        <f t="shared" si="3"/>
        <v>0.1</v>
      </c>
    </row>
    <row r="30" spans="2:10">
      <c r="B30" s="2" t="s">
        <v>184</v>
      </c>
      <c r="C30" s="49">
        <v>5000</v>
      </c>
      <c r="D30" s="3">
        <v>0.3</v>
      </c>
      <c r="G30" s="20" t="s">
        <v>67</v>
      </c>
      <c r="H30" s="2">
        <v>1900</v>
      </c>
      <c r="I30" s="35">
        <f t="shared" si="2"/>
        <v>0.05</v>
      </c>
      <c r="J30" s="67">
        <f t="shared" si="3"/>
        <v>0.05</v>
      </c>
    </row>
    <row r="31" spans="2:10">
      <c r="B31" s="2" t="s">
        <v>185</v>
      </c>
      <c r="C31" s="49">
        <v>10000</v>
      </c>
      <c r="D31" s="3">
        <v>0.35</v>
      </c>
      <c r="G31" s="20" t="s">
        <v>68</v>
      </c>
      <c r="H31" s="2">
        <v>3900</v>
      </c>
      <c r="I31" s="35">
        <f t="shared" si="2"/>
        <v>0.2</v>
      </c>
      <c r="J31" s="67">
        <f t="shared" si="3"/>
        <v>0.2</v>
      </c>
    </row>
    <row r="32" spans="2:10">
      <c r="G32" s="20" t="s">
        <v>69</v>
      </c>
      <c r="H32" s="2">
        <v>5600</v>
      </c>
      <c r="I32" s="35">
        <f t="shared" si="2"/>
        <v>0.3</v>
      </c>
      <c r="J32" s="67">
        <f t="shared" si="3"/>
        <v>0.3</v>
      </c>
    </row>
    <row r="33" spans="2:10">
      <c r="E33" s="5"/>
      <c r="G33" s="20" t="s">
        <v>70</v>
      </c>
      <c r="H33" s="21">
        <v>12500</v>
      </c>
      <c r="I33" s="35">
        <f t="shared" si="2"/>
        <v>0.35</v>
      </c>
      <c r="J33" s="67">
        <f t="shared" si="3"/>
        <v>0.35</v>
      </c>
    </row>
    <row r="34" spans="2:10">
      <c r="E34" s="5"/>
      <c r="F34" s="6"/>
      <c r="H34" s="7">
        <v>125000</v>
      </c>
      <c r="I34" s="66">
        <f>VLOOKUP(H34,$C$27:$D$31,2,1)</f>
        <v>0.35</v>
      </c>
      <c r="J34" s="67">
        <f t="shared" si="3"/>
        <v>0.35</v>
      </c>
    </row>
    <row r="36" spans="2:10" ht="20.5">
      <c r="B36" s="10" t="s">
        <v>177</v>
      </c>
      <c r="D36" s="68" t="s">
        <v>220</v>
      </c>
    </row>
    <row r="38" spans="2:10">
      <c r="B38" s="39" t="s">
        <v>98</v>
      </c>
      <c r="C38" s="23" t="s">
        <v>179</v>
      </c>
      <c r="D38" s="1" t="s">
        <v>98</v>
      </c>
      <c r="E38" s="1" t="s">
        <v>53</v>
      </c>
      <c r="F38" s="1" t="s">
        <v>54</v>
      </c>
      <c r="H38" s="1" t="s">
        <v>98</v>
      </c>
      <c r="I38" s="23" t="s">
        <v>179</v>
      </c>
    </row>
    <row r="39" spans="2:10">
      <c r="B39" s="20" t="s">
        <v>60</v>
      </c>
      <c r="C39" s="20" t="s">
        <v>55</v>
      </c>
      <c r="D39" s="20" t="s">
        <v>60</v>
      </c>
      <c r="E39" s="25">
        <v>500</v>
      </c>
      <c r="F39" s="26">
        <v>6750</v>
      </c>
      <c r="H39" s="20" t="s">
        <v>60</v>
      </c>
      <c r="I39" s="34" t="str">
        <f>VLOOKUP(H39,$B$39:$F$43,2,0)</f>
        <v>1号仓库</v>
      </c>
    </row>
    <row r="40" spans="2:10">
      <c r="B40" s="20" t="s">
        <v>61</v>
      </c>
      <c r="C40" s="20" t="s">
        <v>56</v>
      </c>
      <c r="D40" s="20" t="s">
        <v>61</v>
      </c>
      <c r="E40" s="25">
        <v>1500</v>
      </c>
      <c r="F40" s="26">
        <v>3500</v>
      </c>
      <c r="H40" s="20" t="s">
        <v>61</v>
      </c>
      <c r="I40" s="34" t="str">
        <f t="shared" ref="I40:I43" si="4">VLOOKUP(H40,$B$39:$F$43,2,0)</f>
        <v>2号仓库</v>
      </c>
    </row>
    <row r="41" spans="2:10">
      <c r="B41" s="20" t="s">
        <v>62</v>
      </c>
      <c r="C41" s="20" t="s">
        <v>57</v>
      </c>
      <c r="D41" s="20" t="s">
        <v>62</v>
      </c>
      <c r="E41" s="25">
        <v>300</v>
      </c>
      <c r="F41" s="26">
        <v>3150</v>
      </c>
      <c r="H41" s="20" t="s">
        <v>62</v>
      </c>
      <c r="I41" s="34" t="str">
        <f t="shared" si="4"/>
        <v>3号仓库</v>
      </c>
    </row>
    <row r="42" spans="2:10">
      <c r="B42" s="20" t="s">
        <v>63</v>
      </c>
      <c r="C42" s="20" t="s">
        <v>58</v>
      </c>
      <c r="D42" s="20" t="s">
        <v>63</v>
      </c>
      <c r="E42" s="25">
        <v>600</v>
      </c>
      <c r="F42" s="26">
        <v>199</v>
      </c>
      <c r="H42" s="20" t="s">
        <v>63</v>
      </c>
      <c r="I42" s="34" t="str">
        <f t="shared" si="4"/>
        <v>4号仓库</v>
      </c>
    </row>
    <row r="43" spans="2:10">
      <c r="B43" s="20" t="s">
        <v>64</v>
      </c>
      <c r="C43" s="20" t="s">
        <v>59</v>
      </c>
      <c r="D43" s="20" t="s">
        <v>64</v>
      </c>
      <c r="E43" s="25">
        <v>1700</v>
      </c>
      <c r="F43" s="26">
        <v>59</v>
      </c>
      <c r="H43" s="20" t="s">
        <v>64</v>
      </c>
      <c r="I43" s="34" t="str">
        <f t="shared" si="4"/>
        <v>5号仓库</v>
      </c>
    </row>
    <row r="46" spans="2:10" ht="20">
      <c r="B46" s="10" t="s">
        <v>178</v>
      </c>
      <c r="F46" s="12"/>
    </row>
    <row r="48" spans="2:10" ht="16.5">
      <c r="B48" s="68" t="s">
        <v>210</v>
      </c>
      <c r="C48" s="23" t="s">
        <v>148</v>
      </c>
      <c r="D48" s="1" t="s">
        <v>149</v>
      </c>
      <c r="E48" s="1" t="s">
        <v>53</v>
      </c>
      <c r="F48" s="1" t="s">
        <v>150</v>
      </c>
      <c r="H48" s="23" t="s">
        <v>148</v>
      </c>
      <c r="I48" s="1" t="s">
        <v>149</v>
      </c>
      <c r="J48" s="1" t="s">
        <v>150</v>
      </c>
    </row>
    <row r="49" spans="2:10">
      <c r="B49" t="str">
        <f>C49&amp;D49</f>
        <v>苹果山东</v>
      </c>
      <c r="C49" s="20" t="s">
        <v>151</v>
      </c>
      <c r="D49" s="20" t="s">
        <v>154</v>
      </c>
      <c r="E49" s="25">
        <v>500</v>
      </c>
      <c r="F49" s="26" t="s">
        <v>158</v>
      </c>
      <c r="H49" s="20" t="s">
        <v>152</v>
      </c>
      <c r="I49" s="20" t="s">
        <v>156</v>
      </c>
      <c r="J49" s="41" t="str">
        <f>VLOOKUP(H49&amp;I49,$B$49:$F$53,5,0)</f>
        <v>8.5元/斤</v>
      </c>
    </row>
    <row r="50" spans="2:10">
      <c r="B50" t="str">
        <f t="shared" ref="B50:B53" si="5">C50&amp;D50</f>
        <v>苹果陕西</v>
      </c>
      <c r="C50" s="20" t="s">
        <v>151</v>
      </c>
      <c r="D50" s="20" t="s">
        <v>157</v>
      </c>
      <c r="E50" s="25">
        <v>1500</v>
      </c>
      <c r="F50" s="26" t="s">
        <v>159</v>
      </c>
      <c r="H50" s="20" t="s">
        <v>152</v>
      </c>
      <c r="I50" s="20" t="s">
        <v>155</v>
      </c>
      <c r="J50" s="41" t="str">
        <f t="shared" ref="J50:J53" si="6">VLOOKUP(H50&amp;I50,$B$49:$F$53,5,0)</f>
        <v>9.5元/斤</v>
      </c>
    </row>
    <row r="51" spans="2:10">
      <c r="B51" t="str">
        <f t="shared" si="5"/>
        <v>香蕉浙江</v>
      </c>
      <c r="C51" s="20" t="s">
        <v>152</v>
      </c>
      <c r="D51" s="20" t="s">
        <v>156</v>
      </c>
      <c r="E51" s="25">
        <v>300</v>
      </c>
      <c r="F51" s="26" t="s">
        <v>160</v>
      </c>
      <c r="H51" s="20" t="s">
        <v>151</v>
      </c>
      <c r="I51" s="20" t="s">
        <v>154</v>
      </c>
      <c r="J51" s="41" t="str">
        <f t="shared" si="6"/>
        <v>7.1元/斤</v>
      </c>
    </row>
    <row r="52" spans="2:10">
      <c r="B52" t="str">
        <f t="shared" si="5"/>
        <v>桔子广西</v>
      </c>
      <c r="C52" s="20" t="s">
        <v>153</v>
      </c>
      <c r="D52" s="20" t="s">
        <v>161</v>
      </c>
      <c r="E52" s="25">
        <v>600</v>
      </c>
      <c r="F52" s="26" t="s">
        <v>162</v>
      </c>
      <c r="H52" s="20" t="s">
        <v>151</v>
      </c>
      <c r="I52" s="20" t="s">
        <v>157</v>
      </c>
      <c r="J52" s="41" t="str">
        <f t="shared" si="6"/>
        <v>6.2元/斤</v>
      </c>
    </row>
    <row r="53" spans="2:10">
      <c r="B53" t="str">
        <f t="shared" si="5"/>
        <v>香蕉四川</v>
      </c>
      <c r="C53" s="20" t="s">
        <v>152</v>
      </c>
      <c r="D53" s="20" t="s">
        <v>155</v>
      </c>
      <c r="E53" s="25">
        <v>1700</v>
      </c>
      <c r="F53" s="26" t="s">
        <v>163</v>
      </c>
      <c r="H53" s="20" t="s">
        <v>153</v>
      </c>
      <c r="I53" s="20" t="s">
        <v>161</v>
      </c>
      <c r="J53" s="41" t="str">
        <f t="shared" si="6"/>
        <v>5.3元/斤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CED2-79F3-49E6-8690-811FD6F9C994}">
  <sheetPr>
    <tabColor theme="8"/>
  </sheetPr>
  <dimension ref="B2:J130"/>
  <sheetViews>
    <sheetView showGridLines="0" topLeftCell="A100" workbookViewId="0">
      <selection activeCell="D98" sqref="D98"/>
    </sheetView>
  </sheetViews>
  <sheetFormatPr defaultRowHeight="14"/>
  <cols>
    <col min="1" max="1" width="5.08203125" customWidth="1"/>
    <col min="2" max="4" width="19.6640625" customWidth="1"/>
    <col min="5" max="5" width="15.08203125" customWidth="1"/>
    <col min="6" max="8" width="18.6640625" customWidth="1"/>
    <col min="9" max="9" width="15.83203125" customWidth="1"/>
    <col min="10" max="10" width="16.08203125" customWidth="1"/>
  </cols>
  <sheetData>
    <row r="2" spans="2:9" ht="31">
      <c r="B2" s="11" t="s">
        <v>211</v>
      </c>
    </row>
    <row r="4" spans="2:9" ht="20">
      <c r="B4" s="10" t="s">
        <v>132</v>
      </c>
    </row>
    <row r="6" spans="2:9">
      <c r="B6" s="1" t="s">
        <v>146</v>
      </c>
      <c r="C6" s="1" t="s">
        <v>137</v>
      </c>
      <c r="D6" s="1" t="s">
        <v>138</v>
      </c>
      <c r="F6" s="1" t="s">
        <v>146</v>
      </c>
      <c r="G6" s="1" t="s">
        <v>138</v>
      </c>
      <c r="H6" s="50" t="s">
        <v>146</v>
      </c>
    </row>
    <row r="7" spans="2:9">
      <c r="B7" s="20" t="s">
        <v>139</v>
      </c>
      <c r="C7" s="2">
        <v>95</v>
      </c>
      <c r="D7" s="2" t="s">
        <v>40</v>
      </c>
      <c r="F7" s="20" t="s">
        <v>139</v>
      </c>
      <c r="G7" s="40" t="str">
        <f>IFERROR(VLOOKUP(F7,$B$7:$D$11,3,0),"")</f>
        <v>A</v>
      </c>
      <c r="H7" s="20" t="s">
        <v>139</v>
      </c>
      <c r="I7" t="str">
        <f>IFERROR(VLOOKUP(F7,$B$7:$D$11,3,0)," ")</f>
        <v>A</v>
      </c>
    </row>
    <row r="8" spans="2:9">
      <c r="B8" s="20" t="s">
        <v>142</v>
      </c>
      <c r="C8" s="2">
        <v>76</v>
      </c>
      <c r="D8" s="2" t="s">
        <v>135</v>
      </c>
      <c r="F8" s="20" t="s">
        <v>145</v>
      </c>
      <c r="G8" s="57" t="str">
        <f t="shared" ref="G8:G11" si="0">IFERROR(VLOOKUP(F8,$B$7:$D$11,3,0),"")</f>
        <v/>
      </c>
      <c r="H8" s="20" t="s">
        <v>145</v>
      </c>
      <c r="I8" t="str">
        <f>IFERROR(VLOOKUP(F8,$B$7:$D$11,3,0)," ")</f>
        <v xml:space="preserve"> </v>
      </c>
    </row>
    <row r="9" spans="2:9">
      <c r="B9" s="20" t="s">
        <v>140</v>
      </c>
      <c r="C9" s="2">
        <v>81</v>
      </c>
      <c r="D9" s="2" t="s">
        <v>134</v>
      </c>
      <c r="F9" s="20" t="s">
        <v>140</v>
      </c>
      <c r="G9" s="57" t="str">
        <f t="shared" si="0"/>
        <v>B</v>
      </c>
      <c r="H9" s="20" t="s">
        <v>140</v>
      </c>
      <c r="I9" t="str">
        <f t="shared" ref="I9:I11" si="1">IFERROR(VLOOKUP(F9,$B$7:$D$11,3,0)," ")</f>
        <v>B</v>
      </c>
    </row>
    <row r="10" spans="2:9">
      <c r="B10" s="20" t="s">
        <v>143</v>
      </c>
      <c r="C10" s="2">
        <v>51</v>
      </c>
      <c r="D10" s="2" t="s">
        <v>136</v>
      </c>
      <c r="F10" s="20" t="s">
        <v>144</v>
      </c>
      <c r="G10" s="57" t="str">
        <f t="shared" si="0"/>
        <v>E</v>
      </c>
      <c r="H10" s="20" t="s">
        <v>144</v>
      </c>
      <c r="I10" t="str">
        <f t="shared" si="1"/>
        <v>E</v>
      </c>
    </row>
    <row r="11" spans="2:9">
      <c r="B11" s="20" t="s">
        <v>141</v>
      </c>
      <c r="C11" s="2">
        <v>77</v>
      </c>
      <c r="D11" s="2" t="s">
        <v>135</v>
      </c>
      <c r="F11" s="20" t="s">
        <v>141</v>
      </c>
      <c r="G11" s="57" t="str">
        <f t="shared" si="0"/>
        <v>C</v>
      </c>
      <c r="H11" s="20" t="s">
        <v>141</v>
      </c>
      <c r="I11" t="str">
        <f t="shared" si="1"/>
        <v>C</v>
      </c>
    </row>
    <row r="14" spans="2:9" ht="21.5">
      <c r="B14" s="10" t="s">
        <v>222</v>
      </c>
      <c r="C14" s="65"/>
      <c r="D14" s="65" t="s">
        <v>223</v>
      </c>
      <c r="E14" s="65" t="s">
        <v>224</v>
      </c>
    </row>
    <row r="16" spans="2:9" ht="16.5">
      <c r="B16" s="1" t="s">
        <v>76</v>
      </c>
      <c r="C16" s="1" t="s">
        <v>77</v>
      </c>
      <c r="D16" s="52" t="s">
        <v>89</v>
      </c>
      <c r="F16" s="1" t="s">
        <v>76</v>
      </c>
      <c r="G16" s="1" t="s">
        <v>78</v>
      </c>
    </row>
    <row r="17" spans="2:9">
      <c r="B17" s="2" t="s">
        <v>79</v>
      </c>
      <c r="C17" s="29">
        <v>43902</v>
      </c>
      <c r="D17" s="30">
        <v>50</v>
      </c>
      <c r="F17" s="2" t="s">
        <v>84</v>
      </c>
      <c r="G17" s="33">
        <f>VLOOKUP("*"&amp;F17&amp;"*",$B$17:$D$21,3,0)</f>
        <v>50</v>
      </c>
      <c r="H17">
        <f>VLOOKUP("*"&amp;F17&amp;"*", $B$17:$D$21,3,)</f>
        <v>50</v>
      </c>
    </row>
    <row r="18" spans="2:9">
      <c r="B18" s="2" t="s">
        <v>80</v>
      </c>
      <c r="C18" s="29">
        <v>43833</v>
      </c>
      <c r="D18" s="30">
        <v>35</v>
      </c>
      <c r="F18" s="2" t="s">
        <v>87</v>
      </c>
      <c r="G18" s="33">
        <f t="shared" ref="G18:G20" si="2">VLOOKUP("*"&amp;F18&amp;"*",$B$17:$D$21,3,0)</f>
        <v>150</v>
      </c>
      <c r="H18">
        <f t="shared" ref="H18:H21" si="3">VLOOKUP("*"&amp;F18&amp;"*", $B$17:$D$21,3,)</f>
        <v>150</v>
      </c>
    </row>
    <row r="19" spans="2:9">
      <c r="B19" s="2" t="s">
        <v>81</v>
      </c>
      <c r="C19" s="29">
        <v>43866</v>
      </c>
      <c r="D19" s="30">
        <v>56</v>
      </c>
      <c r="F19" s="2" t="s">
        <v>85</v>
      </c>
      <c r="G19" s="33">
        <f t="shared" si="2"/>
        <v>35</v>
      </c>
      <c r="H19">
        <f t="shared" si="3"/>
        <v>35</v>
      </c>
    </row>
    <row r="20" spans="2:9">
      <c r="B20" s="2" t="s">
        <v>82</v>
      </c>
      <c r="C20" s="29">
        <v>43839</v>
      </c>
      <c r="D20" s="30">
        <v>150</v>
      </c>
      <c r="F20" s="2" t="s">
        <v>88</v>
      </c>
      <c r="G20" s="33">
        <f t="shared" si="2"/>
        <v>15</v>
      </c>
      <c r="H20">
        <f t="shared" si="3"/>
        <v>15</v>
      </c>
    </row>
    <row r="21" spans="2:9">
      <c r="B21" s="2" t="s">
        <v>83</v>
      </c>
      <c r="C21" s="29">
        <v>43882</v>
      </c>
      <c r="D21" s="30">
        <v>15</v>
      </c>
      <c r="F21" s="2" t="s">
        <v>86</v>
      </c>
      <c r="G21" s="33">
        <f>VLOOKUP("*"&amp;F21&amp;"*",$B$17:$D$21,3,0)</f>
        <v>56</v>
      </c>
      <c r="H21">
        <f t="shared" si="3"/>
        <v>56</v>
      </c>
    </row>
    <row r="22" spans="2:9" ht="15.5">
      <c r="D22" s="4"/>
    </row>
    <row r="23" spans="2:9" ht="15.5">
      <c r="D23" s="4"/>
    </row>
    <row r="24" spans="2:9" ht="21.5">
      <c r="B24" s="10" t="s">
        <v>215</v>
      </c>
      <c r="D24" s="68" t="s">
        <v>225</v>
      </c>
    </row>
    <row r="26" spans="2:9">
      <c r="B26" s="23" t="s">
        <v>45</v>
      </c>
      <c r="C26" s="23" t="s">
        <v>2</v>
      </c>
      <c r="D26" s="23" t="s">
        <v>29</v>
      </c>
      <c r="F26" s="23" t="s">
        <v>45</v>
      </c>
      <c r="G26" s="23" t="s">
        <v>29</v>
      </c>
      <c r="H26" s="23" t="s">
        <v>2</v>
      </c>
    </row>
    <row r="27" spans="2:9">
      <c r="B27" s="24" t="s">
        <v>46</v>
      </c>
      <c r="C27" s="20" t="s">
        <v>37</v>
      </c>
      <c r="D27" s="34" t="str">
        <f>VLOOKUP(B27*1,$F$27:$G$31,2,0)</f>
        <v>研发部</v>
      </c>
      <c r="E27" t="str">
        <f>VLOOKUP(B27*1,$F$27:$G$31,2,0)</f>
        <v>研发部</v>
      </c>
      <c r="F27" s="20">
        <v>1001</v>
      </c>
      <c r="G27" s="20" t="s">
        <v>30</v>
      </c>
      <c r="H27" s="40" t="str">
        <f>VLOOKUP(F27&amp;"",$B$27:$D$31,2,0)</f>
        <v>丁阳</v>
      </c>
      <c r="I27" t="str">
        <f>VLOOKUP(F27&amp;"",$B$27:$C$31,2,0)</f>
        <v>丁阳</v>
      </c>
    </row>
    <row r="28" spans="2:9" ht="16.5">
      <c r="B28" s="24" t="s">
        <v>47</v>
      </c>
      <c r="C28" s="53" t="s">
        <v>38</v>
      </c>
      <c r="D28" s="34" t="str">
        <f t="shared" ref="D28:D31" si="4">VLOOKUP(B28*1,$F$27:$G$31,2,0)</f>
        <v>人事部</v>
      </c>
      <c r="E28" t="str">
        <f t="shared" ref="E28:E31" si="5">VLOOKUP(B28*1,$F$27:$G$31,2,0)</f>
        <v>人事部</v>
      </c>
      <c r="F28" s="20">
        <v>1003</v>
      </c>
      <c r="G28" s="20" t="s">
        <v>32</v>
      </c>
      <c r="H28" s="51" t="str">
        <f t="shared" ref="H28:H31" si="6">VLOOKUP(F28&amp;"",$B$27:$D$31,2,0)</f>
        <v>曹以欣</v>
      </c>
      <c r="I28" t="str">
        <f t="shared" ref="I28:I31" si="7">VLOOKUP(F28&amp;"",$B$27:$C$31,2,0)</f>
        <v>曹以欣</v>
      </c>
    </row>
    <row r="29" spans="2:9">
      <c r="B29" s="24" t="s">
        <v>48</v>
      </c>
      <c r="C29" s="20" t="s">
        <v>35</v>
      </c>
      <c r="D29" s="34" t="str">
        <f t="shared" si="4"/>
        <v>销售部</v>
      </c>
      <c r="E29" t="str">
        <f t="shared" si="5"/>
        <v>销售部</v>
      </c>
      <c r="F29" s="20">
        <v>1002</v>
      </c>
      <c r="G29" s="20" t="s">
        <v>31</v>
      </c>
      <c r="H29" s="51" t="str">
        <f t="shared" si="6"/>
        <v>贺颖</v>
      </c>
      <c r="I29" t="str">
        <f t="shared" si="7"/>
        <v>贺颖</v>
      </c>
    </row>
    <row r="30" spans="2:9">
      <c r="B30" s="24" t="s">
        <v>49</v>
      </c>
      <c r="C30" s="20" t="s">
        <v>39</v>
      </c>
      <c r="D30" s="34" t="str">
        <f t="shared" si="4"/>
        <v>后勤部</v>
      </c>
      <c r="E30" t="str">
        <f t="shared" si="5"/>
        <v>后勤部</v>
      </c>
      <c r="F30" s="20">
        <v>1005</v>
      </c>
      <c r="G30" s="20" t="s">
        <v>34</v>
      </c>
      <c r="H30" s="51" t="str">
        <f t="shared" si="6"/>
        <v>段迎天</v>
      </c>
      <c r="I30" t="str">
        <f t="shared" si="7"/>
        <v>段迎天</v>
      </c>
    </row>
    <row r="31" spans="2:9">
      <c r="B31" s="24" t="s">
        <v>50</v>
      </c>
      <c r="C31" s="20" t="s">
        <v>36</v>
      </c>
      <c r="D31" s="34" t="str">
        <f t="shared" si="4"/>
        <v>市场部</v>
      </c>
      <c r="E31" t="str">
        <f t="shared" si="5"/>
        <v>市场部</v>
      </c>
      <c r="F31" s="20">
        <v>1004</v>
      </c>
      <c r="G31" s="20" t="s">
        <v>33</v>
      </c>
      <c r="H31" s="51" t="str">
        <f t="shared" si="6"/>
        <v>曾愉</v>
      </c>
      <c r="I31" t="str">
        <f t="shared" si="7"/>
        <v>曾愉</v>
      </c>
    </row>
    <row r="34" spans="2:8" ht="20.5">
      <c r="B34" s="10" t="s">
        <v>147</v>
      </c>
      <c r="E34" t="s">
        <v>226</v>
      </c>
    </row>
    <row r="36" spans="2:8">
      <c r="B36" s="23" t="s">
        <v>2</v>
      </c>
      <c r="C36" s="23" t="s">
        <v>29</v>
      </c>
      <c r="D36" s="23" t="s">
        <v>90</v>
      </c>
      <c r="F36" s="23" t="s">
        <v>2</v>
      </c>
      <c r="G36" s="23" t="s">
        <v>90</v>
      </c>
    </row>
    <row r="37" spans="2:8">
      <c r="B37" s="20" t="s">
        <v>37</v>
      </c>
      <c r="C37" s="2" t="s">
        <v>91</v>
      </c>
      <c r="D37" s="20">
        <v>5300</v>
      </c>
      <c r="F37" s="20" t="s">
        <v>212</v>
      </c>
      <c r="G37" s="32">
        <f>VLOOKUP(SUBSTITUTE(F37," ",""),$B$37:$D$41,3,0)</f>
        <v>5300</v>
      </c>
      <c r="H37">
        <f>VLOOKUP(SUBSTITUTE(F37," ",""),$B$37:$D$41,3,0)</f>
        <v>5300</v>
      </c>
    </row>
    <row r="38" spans="2:8">
      <c r="B38" s="20" t="s">
        <v>38</v>
      </c>
      <c r="C38" s="2" t="s">
        <v>92</v>
      </c>
      <c r="D38" s="20">
        <v>5500</v>
      </c>
      <c r="F38" s="20" t="s">
        <v>213</v>
      </c>
      <c r="G38" s="51">
        <f t="shared" ref="G38:G41" si="8">VLOOKUP(SUBSTITUTE(F38," ",""),$B$37:$D$41,3,0)</f>
        <v>5500</v>
      </c>
      <c r="H38">
        <f t="shared" ref="H38:H41" si="9">VLOOKUP(SUBSTITUTE(F38," ",""),$B$37:$D$41,3,0)</f>
        <v>5500</v>
      </c>
    </row>
    <row r="39" spans="2:8">
      <c r="B39" s="20" t="s">
        <v>35</v>
      </c>
      <c r="C39" s="2" t="s">
        <v>93</v>
      </c>
      <c r="D39" s="20">
        <v>6200</v>
      </c>
      <c r="F39" s="20" t="s">
        <v>35</v>
      </c>
      <c r="G39" s="51">
        <f t="shared" si="8"/>
        <v>6200</v>
      </c>
      <c r="H39">
        <f t="shared" si="9"/>
        <v>6200</v>
      </c>
    </row>
    <row r="40" spans="2:8">
      <c r="B40" s="20" t="s">
        <v>39</v>
      </c>
      <c r="C40" s="2" t="s">
        <v>94</v>
      </c>
      <c r="D40" s="20">
        <v>6700</v>
      </c>
      <c r="F40" s="20" t="s">
        <v>214</v>
      </c>
      <c r="G40" s="51">
        <f t="shared" si="8"/>
        <v>6700</v>
      </c>
      <c r="H40">
        <f t="shared" si="9"/>
        <v>6700</v>
      </c>
    </row>
    <row r="41" spans="2:8">
      <c r="B41" s="20" t="s">
        <v>36</v>
      </c>
      <c r="C41" s="2" t="s">
        <v>95</v>
      </c>
      <c r="D41" s="20">
        <v>7500</v>
      </c>
      <c r="F41" s="20" t="s">
        <v>36</v>
      </c>
      <c r="G41" s="51">
        <f t="shared" si="8"/>
        <v>7500</v>
      </c>
      <c r="H41">
        <f t="shared" si="9"/>
        <v>7500</v>
      </c>
    </row>
    <row r="44" spans="2:8">
      <c r="B44" s="23" t="s">
        <v>2</v>
      </c>
      <c r="C44" s="23" t="s">
        <v>29</v>
      </c>
      <c r="D44" s="23" t="s">
        <v>90</v>
      </c>
      <c r="F44" s="23" t="s">
        <v>2</v>
      </c>
      <c r="G44" s="23" t="s">
        <v>90</v>
      </c>
    </row>
    <row r="45" spans="2:8">
      <c r="B45" s="20" t="s">
        <v>73</v>
      </c>
      <c r="C45" s="2" t="s">
        <v>91</v>
      </c>
      <c r="D45" s="20">
        <v>5300</v>
      </c>
      <c r="F45" s="20" t="s">
        <v>37</v>
      </c>
      <c r="G45" s="32" t="str">
        <f t="array" ref="G45" xml:space="preserve"> VLOOKUP(F45,SUBSTITUTE($B$45:$D$49," ",""),3,0)</f>
        <v>5300</v>
      </c>
      <c r="H45" t="str" cm="1">
        <f t="array" ref="H45">VLOOKUP(F45,SUBSTITUTE($B$45:$D$49, " ",""),3,0)</f>
        <v>5300</v>
      </c>
    </row>
    <row r="46" spans="2:8">
      <c r="B46" s="20" t="s">
        <v>72</v>
      </c>
      <c r="C46" s="2" t="s">
        <v>92</v>
      </c>
      <c r="D46" s="20">
        <v>5500</v>
      </c>
      <c r="F46" s="20" t="s">
        <v>38</v>
      </c>
      <c r="G46" s="51" t="str">
        <f t="array" ref="G46" xml:space="preserve"> VLOOKUP(F46,SUBSTITUTE($B$45:$D$49," ",""),3,0)</f>
        <v>5500</v>
      </c>
      <c r="H46" t="str" cm="1">
        <f t="array" ref="H46">VLOOKUP(F46,SUBSTITUTE($B$45:$D$49, " ",""),3,0)</f>
        <v>5500</v>
      </c>
    </row>
    <row r="47" spans="2:8">
      <c r="B47" s="20" t="s">
        <v>35</v>
      </c>
      <c r="C47" s="2" t="s">
        <v>93</v>
      </c>
      <c r="D47" s="20">
        <v>6200</v>
      </c>
      <c r="F47" s="20" t="s">
        <v>35</v>
      </c>
      <c r="G47" s="51" t="str">
        <f t="array" ref="G47" xml:space="preserve"> VLOOKUP(F47,SUBSTITUTE($B$45:$D$49," ",""),3,0)</f>
        <v>6200</v>
      </c>
      <c r="H47" t="str" cm="1">
        <f t="array" ref="H47">VLOOKUP(F47,SUBSTITUTE($B$45:$D$49, " ",""),3,0)</f>
        <v>6200</v>
      </c>
    </row>
    <row r="48" spans="2:8">
      <c r="B48" s="20" t="s">
        <v>71</v>
      </c>
      <c r="C48" s="2" t="s">
        <v>94</v>
      </c>
      <c r="D48" s="20">
        <v>6700</v>
      </c>
      <c r="F48" s="20" t="s">
        <v>39</v>
      </c>
      <c r="G48" s="51" t="str">
        <f t="array" ref="G48" xml:space="preserve"> VLOOKUP(F48,SUBSTITUTE($B$45:$D$49," ",""),3,0)</f>
        <v>6700</v>
      </c>
      <c r="H48" t="str" cm="1">
        <f t="array" ref="H48">VLOOKUP(F48,SUBSTITUTE($B$45:$D$49, " ",""),3,0)</f>
        <v>6700</v>
      </c>
    </row>
    <row r="49" spans="2:10">
      <c r="B49" s="20" t="s">
        <v>36</v>
      </c>
      <c r="C49" s="2" t="s">
        <v>95</v>
      </c>
      <c r="D49" s="20">
        <v>7500</v>
      </c>
      <c r="F49" s="20" t="s">
        <v>36</v>
      </c>
      <c r="G49" s="51" t="str">
        <f t="array" ref="G49" xml:space="preserve"> VLOOKUP(F49,SUBSTITUTE($B$45:$D$49," ",""),3,0)</f>
        <v>7500</v>
      </c>
      <c r="H49" t="str" cm="1">
        <f t="array" ref="H49">VLOOKUP(F49,SUBSTITUTE($B$45:$D$49, " ",""),3,0)</f>
        <v>7500</v>
      </c>
    </row>
    <row r="52" spans="2:10" ht="20">
      <c r="B52" s="10" t="s">
        <v>133</v>
      </c>
    </row>
    <row r="54" spans="2:10">
      <c r="B54" s="23" t="s">
        <v>2</v>
      </c>
      <c r="C54" s="23" t="s">
        <v>29</v>
      </c>
      <c r="D54" s="23" t="s">
        <v>90</v>
      </c>
      <c r="F54" s="23" t="s">
        <v>2</v>
      </c>
      <c r="G54" s="23" t="s">
        <v>90</v>
      </c>
    </row>
    <row r="55" spans="2:10">
      <c r="B55" s="31" t="s">
        <v>96</v>
      </c>
      <c r="C55" s="2" t="s">
        <v>91</v>
      </c>
      <c r="D55" s="20">
        <v>5300</v>
      </c>
      <c r="F55" s="20" t="s">
        <v>37</v>
      </c>
      <c r="G55" s="32" t="str">
        <f t="array" ref="G55">VLOOKUP(CLEAN(F55),CLEAN($B$55:$D$59),3,0)</f>
        <v>5300</v>
      </c>
      <c r="H55" t="str" cm="1">
        <f t="array" ref="H55">VLOOKUP(CLEAN(F55),CLEAN($B$55:$D$59),3,0)</f>
        <v>5300</v>
      </c>
    </row>
    <row r="56" spans="2:10">
      <c r="B56" s="20" t="s">
        <v>38</v>
      </c>
      <c r="C56" s="2" t="s">
        <v>92</v>
      </c>
      <c r="D56" s="20">
        <v>5500</v>
      </c>
      <c r="F56" s="20" t="s">
        <v>97</v>
      </c>
      <c r="G56" s="51" t="str">
        <f t="array" ref="G56">VLOOKUP(CLEAN(F56),CLEAN($B$55:$D$59),3,0)</f>
        <v>5500</v>
      </c>
      <c r="H56" t="str" cm="1">
        <f t="array" ref="H56">VLOOKUP(CLEAN(F56),CLEAN($B$55:$D$59),3,0)</f>
        <v>5500</v>
      </c>
    </row>
    <row r="57" spans="2:10">
      <c r="B57" s="20" t="s">
        <v>35</v>
      </c>
      <c r="C57" s="2" t="s">
        <v>93</v>
      </c>
      <c r="D57" s="20">
        <v>6200</v>
      </c>
      <c r="F57" s="20" t="s">
        <v>35</v>
      </c>
      <c r="G57" s="51" t="str">
        <f t="array" ref="G57">VLOOKUP(CLEAN(F57),CLEAN($B$55:$D$59),3,0)</f>
        <v>6200</v>
      </c>
      <c r="H57" t="str" cm="1">
        <f t="array" ref="H57">VLOOKUP(CLEAN(F57),CLEAN($B$55:$D$59),3,0)</f>
        <v>6200</v>
      </c>
    </row>
    <row r="58" spans="2:10">
      <c r="B58" s="20" t="s">
        <v>39</v>
      </c>
      <c r="C58" s="2" t="s">
        <v>94</v>
      </c>
      <c r="D58" s="20">
        <v>6700</v>
      </c>
      <c r="F58" s="20" t="s">
        <v>39</v>
      </c>
      <c r="G58" s="51" t="str">
        <f t="array" ref="G58">VLOOKUP(CLEAN(F58),CLEAN($B$55:$D$59),3,0)</f>
        <v>6700</v>
      </c>
      <c r="H58" t="str" cm="1">
        <f t="array" ref="H58">VLOOKUP(CLEAN(F58),CLEAN($B$55:$D$59),3,0)</f>
        <v>6700</v>
      </c>
    </row>
    <row r="59" spans="2:10">
      <c r="B59" s="20" t="s">
        <v>36</v>
      </c>
      <c r="C59" s="2" t="s">
        <v>95</v>
      </c>
      <c r="D59" s="20">
        <v>7500</v>
      </c>
      <c r="F59" s="20" t="s">
        <v>36</v>
      </c>
      <c r="G59" s="51" t="str">
        <f t="array" ref="G59">VLOOKUP(CLEAN(F59),CLEAN($B$55:$D$59),3,0)</f>
        <v>7500</v>
      </c>
      <c r="H59" t="str" cm="1">
        <f t="array" ref="H59">VLOOKUP(CLEAN(F59),CLEAN($B$55:$D$59),3,0)</f>
        <v>7500</v>
      </c>
    </row>
    <row r="62" spans="2:10" ht="20">
      <c r="B62" s="10" t="s">
        <v>187</v>
      </c>
    </row>
    <row r="64" spans="2:10">
      <c r="B64" s="1" t="s">
        <v>2</v>
      </c>
      <c r="C64" s="1" t="s">
        <v>29</v>
      </c>
      <c r="D64" s="1" t="s">
        <v>45</v>
      </c>
      <c r="E64" s="1" t="s">
        <v>131</v>
      </c>
      <c r="G64" s="1" t="s">
        <v>2</v>
      </c>
      <c r="H64" s="1" t="s">
        <v>29</v>
      </c>
      <c r="I64" s="1" t="s">
        <v>45</v>
      </c>
      <c r="J64" s="1" t="s">
        <v>131</v>
      </c>
    </row>
    <row r="65" spans="2:10">
      <c r="B65" s="31" t="s">
        <v>96</v>
      </c>
      <c r="C65" s="2" t="s">
        <v>91</v>
      </c>
      <c r="D65" s="20">
        <v>1001</v>
      </c>
      <c r="E65" s="2">
        <v>9</v>
      </c>
      <c r="G65" s="20" t="s">
        <v>38</v>
      </c>
      <c r="H65" s="32" t="str">
        <f xml:space="preserve"> VLOOKUP($G65,$B$65:$E$69,MATCH(C$64,$B$64:$E$64),0)</f>
        <v>人事部</v>
      </c>
      <c r="I65" s="51">
        <f t="shared" ref="I65:J65" si="10" xml:space="preserve"> VLOOKUP($G65,$B$65:$E$69,MATCH(D$64,$B$64:$E$64),0)</f>
        <v>1002</v>
      </c>
      <c r="J65" s="51">
        <f t="shared" si="10"/>
        <v>19</v>
      </c>
    </row>
    <row r="66" spans="2:10">
      <c r="B66" s="20" t="s">
        <v>38</v>
      </c>
      <c r="C66" s="2" t="s">
        <v>92</v>
      </c>
      <c r="D66" s="20">
        <v>1002</v>
      </c>
      <c r="E66" s="2">
        <v>19</v>
      </c>
      <c r="G66" s="20" t="s">
        <v>39</v>
      </c>
      <c r="H66" s="51" t="str">
        <f t="shared" ref="H66:H69" si="11" xml:space="preserve"> VLOOKUP($G66,$B$65:$E$69,MATCH(C$64,$B$64:$E$64),0)</f>
        <v>后勤部</v>
      </c>
      <c r="I66" s="51">
        <f t="shared" ref="I66:I69" si="12" xml:space="preserve"> VLOOKUP($G66,$B$65:$E$69,MATCH(D$64,$B$64:$E$64),0)</f>
        <v>1004</v>
      </c>
      <c r="J66" s="51">
        <f t="shared" ref="J66:J69" si="13" xml:space="preserve"> VLOOKUP($G66,$B$65:$E$69,MATCH(E$64,$B$64:$E$64),0)</f>
        <v>22</v>
      </c>
    </row>
    <row r="67" spans="2:10">
      <c r="B67" s="20" t="s">
        <v>35</v>
      </c>
      <c r="C67" s="2" t="s">
        <v>93</v>
      </c>
      <c r="D67" s="20">
        <v>1003</v>
      </c>
      <c r="E67" s="2">
        <v>5</v>
      </c>
      <c r="G67" s="20" t="s">
        <v>36</v>
      </c>
      <c r="H67" s="51" t="str">
        <f t="shared" si="11"/>
        <v>市场部</v>
      </c>
      <c r="I67" s="51">
        <f t="shared" si="12"/>
        <v>1005</v>
      </c>
      <c r="J67" s="51">
        <f t="shared" si="13"/>
        <v>8</v>
      </c>
    </row>
    <row r="68" spans="2:10">
      <c r="B68" s="20" t="s">
        <v>39</v>
      </c>
      <c r="C68" s="2" t="s">
        <v>94</v>
      </c>
      <c r="D68" s="20">
        <v>1004</v>
      </c>
      <c r="E68" s="2">
        <v>22</v>
      </c>
      <c r="G68" s="31" t="s">
        <v>96</v>
      </c>
      <c r="H68" s="51" t="str">
        <f t="shared" si="11"/>
        <v>研发部</v>
      </c>
      <c r="I68" s="51">
        <f t="shared" si="12"/>
        <v>1001</v>
      </c>
      <c r="J68" s="51">
        <f t="shared" si="13"/>
        <v>9</v>
      </c>
    </row>
    <row r="69" spans="2:10">
      <c r="B69" s="20" t="s">
        <v>36</v>
      </c>
      <c r="C69" s="2" t="s">
        <v>95</v>
      </c>
      <c r="D69" s="20">
        <v>1005</v>
      </c>
      <c r="E69" s="2">
        <v>8</v>
      </c>
      <c r="G69" s="20" t="s">
        <v>35</v>
      </c>
      <c r="H69" s="51" t="str">
        <f t="shared" si="11"/>
        <v>销售部</v>
      </c>
      <c r="I69" s="51">
        <f t="shared" si="12"/>
        <v>1003</v>
      </c>
      <c r="J69" s="51">
        <f t="shared" si="13"/>
        <v>5</v>
      </c>
    </row>
    <row r="72" spans="2:10" ht="20">
      <c r="B72" s="10" t="s">
        <v>188</v>
      </c>
    </row>
    <row r="73" spans="2:10" ht="15.5">
      <c r="B73" s="4"/>
      <c r="G73">
        <f>MATCH(G$74,$B$74:$E$74)</f>
        <v>4</v>
      </c>
      <c r="H73">
        <f t="shared" ref="H73:J73" si="14">MATCH(H$74,$B$74:$E$74)</f>
        <v>3</v>
      </c>
      <c r="I73">
        <f t="shared" si="14"/>
        <v>4</v>
      </c>
      <c r="J73">
        <f t="shared" si="14"/>
        <v>2</v>
      </c>
    </row>
    <row r="74" spans="2:10">
      <c r="B74" s="1" t="s">
        <v>2</v>
      </c>
      <c r="C74" s="1" t="s">
        <v>29</v>
      </c>
      <c r="D74" s="1" t="s">
        <v>45</v>
      </c>
      <c r="E74" s="1" t="s">
        <v>131</v>
      </c>
      <c r="G74" s="1" t="s">
        <v>2</v>
      </c>
      <c r="H74" s="1" t="s">
        <v>45</v>
      </c>
      <c r="I74" s="1" t="s">
        <v>131</v>
      </c>
      <c r="J74" s="1" t="s">
        <v>29</v>
      </c>
    </row>
    <row r="75" spans="2:10">
      <c r="B75" s="31" t="s">
        <v>96</v>
      </c>
      <c r="C75" s="2" t="s">
        <v>91</v>
      </c>
      <c r="D75" s="20">
        <v>1001</v>
      </c>
      <c r="E75" s="2">
        <v>9</v>
      </c>
      <c r="G75" s="20" t="s">
        <v>39</v>
      </c>
      <c r="H75" s="40">
        <f>VLOOKUP($G75,$B$75:$E$79,MATCH(H$74,$B$74:$E$74),0)</f>
        <v>1004</v>
      </c>
      <c r="I75" s="57">
        <f t="shared" ref="I75:J79" si="15">VLOOKUP($G75,$B$75:$E$79,MATCH(I$74,$B$74:$E$74),0)</f>
        <v>22</v>
      </c>
      <c r="J75" s="57" t="str">
        <f t="shared" si="15"/>
        <v>后勤部</v>
      </c>
    </row>
    <row r="76" spans="2:10">
      <c r="B76" s="20" t="s">
        <v>38</v>
      </c>
      <c r="C76" s="2" t="s">
        <v>92</v>
      </c>
      <c r="D76" s="20">
        <v>1002</v>
      </c>
      <c r="E76" s="2">
        <v>19</v>
      </c>
      <c r="G76" s="31" t="s">
        <v>96</v>
      </c>
      <c r="H76" s="57">
        <f t="shared" ref="H76:H79" si="16">VLOOKUP($G76,$B$75:$E$79,MATCH(H$74,$B$74:$E$74),0)</f>
        <v>1001</v>
      </c>
      <c r="I76" s="57">
        <f t="shared" si="15"/>
        <v>9</v>
      </c>
      <c r="J76" s="57" t="str">
        <f t="shared" si="15"/>
        <v>研发部</v>
      </c>
    </row>
    <row r="77" spans="2:10">
      <c r="B77" s="20" t="s">
        <v>35</v>
      </c>
      <c r="C77" s="2" t="s">
        <v>93</v>
      </c>
      <c r="D77" s="20">
        <v>1003</v>
      </c>
      <c r="E77" s="2">
        <v>5</v>
      </c>
      <c r="G77" s="20" t="s">
        <v>35</v>
      </c>
      <c r="H77" s="57">
        <f t="shared" si="16"/>
        <v>1003</v>
      </c>
      <c r="I77" s="57">
        <f t="shared" si="15"/>
        <v>5</v>
      </c>
      <c r="J77" s="57" t="str">
        <f t="shared" si="15"/>
        <v>销售部</v>
      </c>
    </row>
    <row r="78" spans="2:10">
      <c r="B78" s="20" t="s">
        <v>39</v>
      </c>
      <c r="C78" s="2" t="s">
        <v>94</v>
      </c>
      <c r="D78" s="20">
        <v>1004</v>
      </c>
      <c r="E78" s="2">
        <v>22</v>
      </c>
      <c r="G78" s="20" t="s">
        <v>36</v>
      </c>
      <c r="H78" s="57">
        <f t="shared" si="16"/>
        <v>1005</v>
      </c>
      <c r="I78" s="57">
        <f t="shared" si="15"/>
        <v>8</v>
      </c>
      <c r="J78" s="57" t="str">
        <f t="shared" si="15"/>
        <v>市场部</v>
      </c>
    </row>
    <row r="79" spans="2:10">
      <c r="B79" s="20" t="s">
        <v>36</v>
      </c>
      <c r="C79" s="2" t="s">
        <v>95</v>
      </c>
      <c r="D79" s="20">
        <v>1005</v>
      </c>
      <c r="E79" s="2">
        <v>8</v>
      </c>
      <c r="G79" s="20" t="s">
        <v>38</v>
      </c>
      <c r="H79" s="57">
        <f t="shared" si="16"/>
        <v>1002</v>
      </c>
      <c r="I79" s="57">
        <f t="shared" si="15"/>
        <v>19</v>
      </c>
      <c r="J79" s="57" t="str">
        <f t="shared" si="15"/>
        <v>人事部</v>
      </c>
    </row>
    <row r="82" spans="2:10" ht="20">
      <c r="B82" s="10" t="s">
        <v>189</v>
      </c>
    </row>
    <row r="84" spans="2:10">
      <c r="C84" s="16" t="s">
        <v>164</v>
      </c>
      <c r="D84" s="16" t="s">
        <v>165</v>
      </c>
      <c r="E84" s="17" t="s">
        <v>172</v>
      </c>
      <c r="G84" s="1" t="s">
        <v>164</v>
      </c>
      <c r="H84" s="1" t="s">
        <v>173</v>
      </c>
      <c r="I84" s="1" t="s">
        <v>174</v>
      </c>
      <c r="J84" s="1" t="s">
        <v>175</v>
      </c>
    </row>
    <row r="85" spans="2:10" ht="16.5">
      <c r="B85" s="43" t="str">
        <f>C85&amp;COUNTIF($C$85:C85,C85)</f>
        <v>市场部1</v>
      </c>
      <c r="C85" s="36" t="s">
        <v>166</v>
      </c>
      <c r="D85" s="56" t="s">
        <v>37</v>
      </c>
      <c r="E85" s="37">
        <v>3</v>
      </c>
      <c r="F85" s="65" t="str">
        <f xml:space="preserve"> C85&amp;COUNTIF($C$85:C85,C85)</f>
        <v>市场部1</v>
      </c>
      <c r="G85" s="69" t="s">
        <v>34</v>
      </c>
      <c r="H85" s="32" t="str">
        <f>IFERROR(VLOOKUP($G85&amp;COLUMN(A1),$B$85:$E$92,3,0),"")</f>
        <v>丁阳</v>
      </c>
      <c r="I85" s="57" t="str">
        <f t="shared" ref="I85:J85" si="17">IFERROR(VLOOKUP($G85&amp;COLUMN(B1),$B$85:$E$92,3,0),"")</f>
        <v>曾愉</v>
      </c>
      <c r="J85" s="57" t="str">
        <f t="shared" si="17"/>
        <v>谢大海</v>
      </c>
    </row>
    <row r="86" spans="2:10" ht="14.5">
      <c r="B86" s="43" t="str">
        <f>C86&amp;COUNTIF($C$85:C86,C86)</f>
        <v>营销部1</v>
      </c>
      <c r="C86" s="36" t="s">
        <v>167</v>
      </c>
      <c r="D86" s="18" t="s">
        <v>38</v>
      </c>
      <c r="E86" s="37">
        <v>5</v>
      </c>
      <c r="F86" s="65" t="str">
        <f xml:space="preserve"> C86&amp;COUNTIF($C$85:C86,C86)</f>
        <v>营销部1</v>
      </c>
      <c r="G86" s="2" t="s">
        <v>167</v>
      </c>
      <c r="H86" s="57" t="str">
        <f t="shared" ref="H86:H87" si="18">IFERROR(VLOOKUP($G86&amp;COLUMN(A2),$B$85:$E$92,3,0),"")</f>
        <v>贺颖</v>
      </c>
      <c r="I86" s="57" t="str">
        <f t="shared" ref="I86:I87" si="19">IFERROR(VLOOKUP($G86&amp;COLUMN(B2),$B$85:$E$92,3,0),"")</f>
        <v>段迎天</v>
      </c>
      <c r="J86" s="57" t="str">
        <f t="shared" ref="J86:J87" si="20">IFERROR(VLOOKUP($G86&amp;COLUMN(C2),$B$85:$E$92,3,0),"")</f>
        <v>马宏宇</v>
      </c>
    </row>
    <row r="87" spans="2:10" ht="14.5">
      <c r="B87" s="43" t="str">
        <f>C87&amp;COUNTIF($C$85:C87,C87)</f>
        <v>运营部1</v>
      </c>
      <c r="C87" s="36" t="s">
        <v>168</v>
      </c>
      <c r="D87" s="18" t="s">
        <v>35</v>
      </c>
      <c r="E87" s="37">
        <v>10</v>
      </c>
      <c r="F87" s="65" t="str">
        <f xml:space="preserve"> C87&amp;COUNTIF($C$85:C87,C87)</f>
        <v>运营部1</v>
      </c>
      <c r="G87" s="2" t="s">
        <v>168</v>
      </c>
      <c r="H87" s="57" t="str">
        <f t="shared" si="18"/>
        <v>曹以欣</v>
      </c>
      <c r="I87" s="57" t="str">
        <f t="shared" si="19"/>
        <v>黄强辉</v>
      </c>
      <c r="J87" s="57" t="str">
        <f t="shared" si="20"/>
        <v/>
      </c>
    </row>
    <row r="88" spans="2:10" ht="14.5">
      <c r="B88" s="43" t="str">
        <f>C88&amp;COUNTIF($C$85:C88,C88)</f>
        <v>市场部2</v>
      </c>
      <c r="C88" s="36" t="s">
        <v>166</v>
      </c>
      <c r="D88" s="18" t="s">
        <v>39</v>
      </c>
      <c r="E88" s="37">
        <v>7</v>
      </c>
      <c r="F88" s="65" t="str">
        <f xml:space="preserve"> C88&amp;COUNTIF($C$85:C88,C88)</f>
        <v>市场部2</v>
      </c>
    </row>
    <row r="89" spans="2:10" ht="14.5">
      <c r="B89" s="43" t="str">
        <f>C89&amp;COUNTIF($C$85:C89,C89)</f>
        <v>营销部2</v>
      </c>
      <c r="C89" s="36" t="s">
        <v>167</v>
      </c>
      <c r="D89" s="18" t="s">
        <v>36</v>
      </c>
      <c r="E89" s="37">
        <v>6</v>
      </c>
      <c r="F89" s="65" t="str">
        <f xml:space="preserve"> C89&amp;COUNTIF($C$85:C89,C89)</f>
        <v>营销部2</v>
      </c>
    </row>
    <row r="90" spans="2:10" ht="14.5">
      <c r="B90" s="43" t="str">
        <f>C90&amp;COUNTIF($C$85:C90,C90)</f>
        <v>市场部3</v>
      </c>
      <c r="C90" s="36" t="s">
        <v>166</v>
      </c>
      <c r="D90" s="36" t="s">
        <v>169</v>
      </c>
      <c r="E90" s="37">
        <v>3</v>
      </c>
      <c r="F90" s="65" t="str">
        <f xml:space="preserve"> C90&amp;COUNTIF($C$85:C90,C90)</f>
        <v>市场部3</v>
      </c>
    </row>
    <row r="91" spans="2:10" ht="14.5">
      <c r="B91" s="43" t="str">
        <f>C91&amp;COUNTIF($C$85:C91,C91)</f>
        <v>营销部3</v>
      </c>
      <c r="C91" s="36" t="s">
        <v>167</v>
      </c>
      <c r="D91" s="18" t="s">
        <v>170</v>
      </c>
      <c r="E91" s="37">
        <v>4</v>
      </c>
      <c r="F91" s="65" t="str">
        <f xml:space="preserve"> C91&amp;COUNTIF($C$85:C91,C91)</f>
        <v>营销部3</v>
      </c>
    </row>
    <row r="92" spans="2:10" ht="14.5">
      <c r="B92" s="43" t="str">
        <f>C92&amp;COUNTIF($C$85:C92,C92)</f>
        <v>运营部2</v>
      </c>
      <c r="C92" s="38" t="s">
        <v>168</v>
      </c>
      <c r="D92" s="19" t="s">
        <v>171</v>
      </c>
      <c r="E92" s="2">
        <v>15</v>
      </c>
      <c r="F92" s="65" t="str">
        <f xml:space="preserve"> C92&amp;COUNTIF($C$85:C92,C92)</f>
        <v>运营部2</v>
      </c>
    </row>
    <row r="95" spans="2:10" ht="20">
      <c r="B95" s="10" t="s">
        <v>190</v>
      </c>
      <c r="D95" s="54"/>
    </row>
    <row r="97" spans="2:10">
      <c r="B97" s="1" t="s">
        <v>164</v>
      </c>
      <c r="C97" s="1" t="s">
        <v>165</v>
      </c>
      <c r="G97" s="1" t="s">
        <v>164</v>
      </c>
      <c r="H97" s="61" t="s">
        <v>176</v>
      </c>
      <c r="I97" s="61"/>
      <c r="J97" s="61"/>
    </row>
    <row r="98" spans="2:10">
      <c r="B98" s="2" t="s">
        <v>166</v>
      </c>
      <c r="C98" s="20" t="s">
        <v>37</v>
      </c>
      <c r="D98" t="str">
        <f>C98&amp;IFERROR("、"&amp;VLOOKUP(B98,B99:D106,3,0),"")</f>
        <v>丁阳、曾愉、谢大海</v>
      </c>
      <c r="G98" s="2" t="s">
        <v>166</v>
      </c>
      <c r="H98" s="62" t="str">
        <f>VLOOKUP(G98,$B$98:$D$105,3,0)</f>
        <v>丁阳、曾愉、谢大海</v>
      </c>
      <c r="I98" s="62"/>
      <c r="J98" s="62"/>
    </row>
    <row r="99" spans="2:10">
      <c r="B99" s="2" t="s">
        <v>167</v>
      </c>
      <c r="C99" s="20" t="s">
        <v>38</v>
      </c>
      <c r="D99" t="str">
        <f t="shared" ref="D99:D106" si="21">C99&amp;IFERROR("、"&amp;VLOOKUP(B99,B100:D107,3,0),"")</f>
        <v>贺颖、段迎天、马宏宇</v>
      </c>
      <c r="G99" s="2" t="s">
        <v>167</v>
      </c>
      <c r="H99" s="62" t="str">
        <f t="shared" ref="H99:H100" si="22">VLOOKUP(G99,$B$98:$D$105,3,0)</f>
        <v>贺颖、段迎天、马宏宇</v>
      </c>
      <c r="I99" s="62"/>
      <c r="J99" s="62"/>
    </row>
    <row r="100" spans="2:10">
      <c r="B100" s="2" t="s">
        <v>168</v>
      </c>
      <c r="C100" s="20" t="s">
        <v>35</v>
      </c>
      <c r="D100" t="str">
        <f t="shared" si="21"/>
        <v>曹以欣、黄强辉</v>
      </c>
      <c r="G100" s="2" t="s">
        <v>168</v>
      </c>
      <c r="H100" s="62" t="str">
        <f t="shared" si="22"/>
        <v>曹以欣、黄强辉</v>
      </c>
      <c r="I100" s="62"/>
      <c r="J100" s="62"/>
    </row>
    <row r="101" spans="2:10">
      <c r="B101" s="2" t="s">
        <v>166</v>
      </c>
      <c r="C101" s="20" t="s">
        <v>39</v>
      </c>
      <c r="D101" t="str">
        <f t="shared" si="21"/>
        <v>曾愉、谢大海</v>
      </c>
    </row>
    <row r="102" spans="2:10">
      <c r="B102" s="2" t="s">
        <v>167</v>
      </c>
      <c r="C102" s="20" t="s">
        <v>36</v>
      </c>
      <c r="D102" t="str">
        <f t="shared" si="21"/>
        <v>段迎天、马宏宇</v>
      </c>
    </row>
    <row r="103" spans="2:10">
      <c r="B103" s="2" t="s">
        <v>166</v>
      </c>
      <c r="C103" s="2" t="s">
        <v>169</v>
      </c>
      <c r="D103" t="str">
        <f t="shared" si="21"/>
        <v>谢大海</v>
      </c>
    </row>
    <row r="104" spans="2:10">
      <c r="B104" s="2" t="s">
        <v>167</v>
      </c>
      <c r="C104" s="20" t="s">
        <v>170</v>
      </c>
      <c r="D104" t="str">
        <f t="shared" si="21"/>
        <v>马宏宇</v>
      </c>
    </row>
    <row r="105" spans="2:10">
      <c r="B105" s="2" t="s">
        <v>168</v>
      </c>
      <c r="C105" s="20" t="s">
        <v>171</v>
      </c>
      <c r="D105" t="str">
        <f t="shared" si="21"/>
        <v>黄强辉</v>
      </c>
    </row>
    <row r="106" spans="2:10">
      <c r="D106" t="str">
        <f t="shared" si="21"/>
        <v/>
      </c>
      <c r="E106" t="str">
        <f>C106&amp;IFERROR("、"&amp;VLOOKUP(B106,B$106:$E107,3,0),"")</f>
        <v/>
      </c>
    </row>
    <row r="108" spans="2:10" ht="20">
      <c r="B108" s="10" t="s">
        <v>180</v>
      </c>
    </row>
    <row r="110" spans="2:10" ht="16.5">
      <c r="B110" s="59" t="s">
        <v>99</v>
      </c>
      <c r="C110" s="60"/>
      <c r="F110" s="23" t="s">
        <v>109</v>
      </c>
      <c r="G110" s="23" t="s">
        <v>110</v>
      </c>
      <c r="H110" s="23" t="s">
        <v>100</v>
      </c>
      <c r="I110" s="23" t="s">
        <v>101</v>
      </c>
      <c r="J110" s="68" t="s">
        <v>101</v>
      </c>
    </row>
    <row r="111" spans="2:10">
      <c r="B111" s="23" t="s">
        <v>100</v>
      </c>
      <c r="C111" s="23" t="s">
        <v>101</v>
      </c>
      <c r="F111" s="2" t="s">
        <v>111</v>
      </c>
      <c r="G111" s="2" t="s">
        <v>121</v>
      </c>
      <c r="H111" s="2">
        <v>3054</v>
      </c>
      <c r="I111" s="32" t="str">
        <f>IFERROR(VLOOKUP(H111,IF(G111="是",$B$112:$C$114,$B$118:$C$120),2,1),"")</f>
        <v>热水壶1个</v>
      </c>
      <c r="J111" t="str">
        <f>IFERROR(VLOOKUP(H111,IF(G111="是", $B$112:$C$114, $B$117:$C$120),2,1), "")</f>
        <v>热水壶1个</v>
      </c>
    </row>
    <row r="112" spans="2:10">
      <c r="B112" s="30">
        <v>2000</v>
      </c>
      <c r="C112" s="30" t="s">
        <v>103</v>
      </c>
      <c r="F112" s="2" t="s">
        <v>112</v>
      </c>
      <c r="G112" s="2" t="s">
        <v>122</v>
      </c>
      <c r="H112" s="2">
        <v>4951</v>
      </c>
      <c r="I112" s="51" t="str">
        <f t="shared" ref="I112:I120" si="23">IFERROR(VLOOKUP(H112,IF(G112="是",$B$112:$C$114,$B$118:$C$120),2,1),"")</f>
        <v>充电宝1个</v>
      </c>
      <c r="J112" t="str">
        <f t="shared" ref="J112:J120" si="24">IFERROR(VLOOKUP(H112,IF(G112="是", $B$112:$C$114, $B$117:$C$120),2,1), "")</f>
        <v>充电宝1个</v>
      </c>
    </row>
    <row r="113" spans="2:10">
      <c r="B113" s="30">
        <v>3500</v>
      </c>
      <c r="C113" s="30" t="s">
        <v>104</v>
      </c>
      <c r="F113" s="2" t="s">
        <v>113</v>
      </c>
      <c r="G113" s="2" t="s">
        <v>122</v>
      </c>
      <c r="H113" s="2">
        <v>2939</v>
      </c>
      <c r="I113" s="51" t="str">
        <f t="shared" si="23"/>
        <v>刮刮卡1张</v>
      </c>
      <c r="J113" t="str">
        <f t="shared" si="24"/>
        <v>刮刮卡1张</v>
      </c>
    </row>
    <row r="114" spans="2:10">
      <c r="B114" s="30">
        <v>5000</v>
      </c>
      <c r="C114" s="30" t="s">
        <v>105</v>
      </c>
      <c r="F114" s="2" t="s">
        <v>114</v>
      </c>
      <c r="G114" s="2" t="s">
        <v>121</v>
      </c>
      <c r="H114" s="2">
        <v>2312</v>
      </c>
      <c r="I114" s="51" t="str">
        <f t="shared" si="23"/>
        <v>热水壶1个</v>
      </c>
      <c r="J114" t="str">
        <f t="shared" si="24"/>
        <v>热水壶1个</v>
      </c>
    </row>
    <row r="115" spans="2:10">
      <c r="F115" s="2" t="s">
        <v>115</v>
      </c>
      <c r="G115" s="2" t="s">
        <v>121</v>
      </c>
      <c r="H115" s="2">
        <v>1619</v>
      </c>
      <c r="I115" s="51" t="str">
        <f t="shared" si="23"/>
        <v/>
      </c>
      <c r="J115" t="str">
        <f t="shared" si="24"/>
        <v/>
      </c>
    </row>
    <row r="116" spans="2:10">
      <c r="B116" s="59" t="s">
        <v>102</v>
      </c>
      <c r="C116" s="60"/>
      <c r="F116" s="2" t="s">
        <v>116</v>
      </c>
      <c r="G116" s="2" t="s">
        <v>121</v>
      </c>
      <c r="H116" s="2">
        <v>3391</v>
      </c>
      <c r="I116" s="51" t="str">
        <f t="shared" si="23"/>
        <v>热水壶1个</v>
      </c>
      <c r="J116" t="str">
        <f t="shared" si="24"/>
        <v>热水壶1个</v>
      </c>
    </row>
    <row r="117" spans="2:10">
      <c r="B117" s="23" t="s">
        <v>100</v>
      </c>
      <c r="C117" s="23" t="s">
        <v>101</v>
      </c>
      <c r="F117" s="2" t="s">
        <v>117</v>
      </c>
      <c r="G117" s="2" t="s">
        <v>122</v>
      </c>
      <c r="H117" s="2">
        <v>5838</v>
      </c>
      <c r="I117" s="51" t="str">
        <f t="shared" si="23"/>
        <v>充电宝1个</v>
      </c>
      <c r="J117" t="str">
        <f t="shared" si="24"/>
        <v>充电宝1个</v>
      </c>
    </row>
    <row r="118" spans="2:10">
      <c r="B118" s="30">
        <v>1750</v>
      </c>
      <c r="C118" s="30" t="s">
        <v>106</v>
      </c>
      <c r="F118" s="2" t="s">
        <v>118</v>
      </c>
      <c r="G118" s="2" t="s">
        <v>121</v>
      </c>
      <c r="H118" s="2">
        <v>5476</v>
      </c>
      <c r="I118" s="51" t="str">
        <f t="shared" si="23"/>
        <v>电饭煲1个</v>
      </c>
      <c r="J118" t="str">
        <f t="shared" si="24"/>
        <v>电饭煲1个</v>
      </c>
    </row>
    <row r="119" spans="2:10">
      <c r="B119" s="30">
        <v>3150</v>
      </c>
      <c r="C119" s="30" t="s">
        <v>108</v>
      </c>
      <c r="F119" s="2" t="s">
        <v>119</v>
      </c>
      <c r="G119" s="2" t="s">
        <v>122</v>
      </c>
      <c r="H119" s="2">
        <v>2185</v>
      </c>
      <c r="I119" s="51" t="str">
        <f t="shared" si="23"/>
        <v>刮刮卡1张</v>
      </c>
      <c r="J119" t="str">
        <f t="shared" si="24"/>
        <v>刮刮卡1张</v>
      </c>
    </row>
    <row r="120" spans="2:10">
      <c r="B120" s="30">
        <v>4500</v>
      </c>
      <c r="C120" s="30" t="s">
        <v>107</v>
      </c>
      <c r="F120" s="2" t="s">
        <v>120</v>
      </c>
      <c r="G120" s="2" t="s">
        <v>122</v>
      </c>
      <c r="H120" s="2">
        <v>2477</v>
      </c>
      <c r="I120" s="51" t="str">
        <f t="shared" si="23"/>
        <v>刮刮卡1张</v>
      </c>
      <c r="J120" t="str">
        <f t="shared" si="24"/>
        <v>刮刮卡1张</v>
      </c>
    </row>
    <row r="123" spans="2:10" ht="20.5">
      <c r="B123" s="10" t="s">
        <v>191</v>
      </c>
      <c r="D123" s="68" t="s">
        <v>227</v>
      </c>
    </row>
    <row r="124" spans="2:10" ht="15.5">
      <c r="B124" s="4"/>
    </row>
    <row r="125" spans="2:10" ht="16.5">
      <c r="B125" s="23" t="s">
        <v>98</v>
      </c>
      <c r="C125" s="23" t="s">
        <v>216</v>
      </c>
      <c r="D125" s="23" t="s">
        <v>124</v>
      </c>
      <c r="E125" s="23" t="s">
        <v>125</v>
      </c>
      <c r="F125" s="68" t="s">
        <v>123</v>
      </c>
      <c r="G125" s="68" t="s">
        <v>124</v>
      </c>
      <c r="H125" s="68" t="s">
        <v>125</v>
      </c>
    </row>
    <row r="126" spans="2:10">
      <c r="B126" s="20" t="s">
        <v>60</v>
      </c>
      <c r="C126" s="32">
        <f ca="1">VLOOKUP($B126,INDIRECT("表"&amp;COLUMN(A1)&amp;"!$A$4:$F$8"),6,0)</f>
        <v>6580</v>
      </c>
      <c r="D126" s="55">
        <f t="shared" ref="D126:E126" ca="1" si="25">VLOOKUP($B126,INDIRECT("表"&amp;COLUMN(B1)&amp;"!$A$4:$F$8"),6,0)</f>
        <v>6967</v>
      </c>
      <c r="E126" s="55">
        <f t="shared" ca="1" si="25"/>
        <v>7321</v>
      </c>
      <c r="F126">
        <f ca="1">VLOOKUP($B126,INDIRECT("表"&amp;COLUMN(A1)&amp;"!$A$4:$F$8"), 6,0)</f>
        <v>6580</v>
      </c>
      <c r="G126">
        <f t="shared" ref="G126:H130" ca="1" si="26">VLOOKUP($B126,INDIRECT("表"&amp;COLUMN(B1)&amp;"!$A$4:$F$8"), 6,0)</f>
        <v>6967</v>
      </c>
      <c r="H126">
        <f t="shared" ca="1" si="26"/>
        <v>7321</v>
      </c>
    </row>
    <row r="127" spans="2:10">
      <c r="B127" s="20" t="s">
        <v>64</v>
      </c>
      <c r="C127" s="55">
        <f t="shared" ref="C127:C130" ca="1" si="27">VLOOKUP($B127,INDIRECT("表"&amp;COLUMN(A2)&amp;"!$A$4:$F$8"),6,0)</f>
        <v>8717</v>
      </c>
      <c r="D127" s="55">
        <f t="shared" ref="D127:D130" ca="1" si="28">VLOOKUP($B127,INDIRECT("表"&amp;COLUMN(B2)&amp;"!$A$4:$F$8"),6,0)</f>
        <v>7281</v>
      </c>
      <c r="E127" s="55">
        <f t="shared" ref="E127:E130" ca="1" si="29">VLOOKUP($B127,INDIRECT("表"&amp;COLUMN(C2)&amp;"!$A$4:$F$8"),6,0)</f>
        <v>9882</v>
      </c>
      <c r="F127">
        <f t="shared" ref="F127:F130" ca="1" si="30">VLOOKUP($B127,INDIRECT("表"&amp;COLUMN(A2)&amp;"!$A$4:$F$8"), 6,0)</f>
        <v>8717</v>
      </c>
      <c r="G127">
        <f t="shared" ca="1" si="26"/>
        <v>7281</v>
      </c>
      <c r="H127">
        <f t="shared" ca="1" si="26"/>
        <v>9882</v>
      </c>
    </row>
    <row r="128" spans="2:10">
      <c r="B128" s="20" t="s">
        <v>61</v>
      </c>
      <c r="C128" s="55">
        <f t="shared" ca="1" si="27"/>
        <v>6321</v>
      </c>
      <c r="D128" s="55">
        <f t="shared" ca="1" si="28"/>
        <v>9013</v>
      </c>
      <c r="E128" s="55">
        <f t="shared" ca="1" si="29"/>
        <v>6552</v>
      </c>
      <c r="F128">
        <f t="shared" ca="1" si="30"/>
        <v>6321</v>
      </c>
      <c r="G128">
        <f t="shared" ca="1" si="26"/>
        <v>9013</v>
      </c>
      <c r="H128">
        <f t="shared" ca="1" si="26"/>
        <v>6552</v>
      </c>
    </row>
    <row r="129" spans="2:8">
      <c r="B129" s="20" t="s">
        <v>63</v>
      </c>
      <c r="C129" s="55">
        <f t="shared" ca="1" si="27"/>
        <v>7275</v>
      </c>
      <c r="D129" s="55">
        <f t="shared" ca="1" si="28"/>
        <v>8361</v>
      </c>
      <c r="E129" s="55">
        <f t="shared" ca="1" si="29"/>
        <v>7009</v>
      </c>
      <c r="F129">
        <f t="shared" ca="1" si="30"/>
        <v>7275</v>
      </c>
      <c r="G129">
        <f t="shared" ca="1" si="26"/>
        <v>8361</v>
      </c>
      <c r="H129">
        <f t="shared" ca="1" si="26"/>
        <v>7009</v>
      </c>
    </row>
    <row r="130" spans="2:8">
      <c r="B130" s="20" t="s">
        <v>62</v>
      </c>
      <c r="C130" s="55">
        <f t="shared" ca="1" si="27"/>
        <v>8522</v>
      </c>
      <c r="D130" s="55">
        <f t="shared" ca="1" si="28"/>
        <v>8674</v>
      </c>
      <c r="E130" s="55">
        <f t="shared" ca="1" si="29"/>
        <v>8501</v>
      </c>
      <c r="F130">
        <f t="shared" ca="1" si="30"/>
        <v>8522</v>
      </c>
      <c r="G130">
        <f t="shared" ca="1" si="26"/>
        <v>8674</v>
      </c>
      <c r="H130">
        <f t="shared" ca="1" si="26"/>
        <v>8501</v>
      </c>
    </row>
  </sheetData>
  <mergeCells count="6">
    <mergeCell ref="B110:C110"/>
    <mergeCell ref="B116:C116"/>
    <mergeCell ref="H97:J97"/>
    <mergeCell ref="H98:J98"/>
    <mergeCell ref="H99:J99"/>
    <mergeCell ref="H100:J10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9CAB-4811-4713-98E1-24C93D8EB7A5}">
  <sheetPr>
    <tabColor theme="7"/>
  </sheetPr>
  <dimension ref="A1:F8"/>
  <sheetViews>
    <sheetView workbookViewId="0">
      <selection activeCell="E10" sqref="E10"/>
    </sheetView>
  </sheetViews>
  <sheetFormatPr defaultRowHeight="14"/>
  <sheetData>
    <row r="1" spans="1:6">
      <c r="A1" s="63" t="s">
        <v>123</v>
      </c>
      <c r="B1" s="63"/>
      <c r="C1" s="63"/>
      <c r="D1" s="63"/>
      <c r="E1" s="63"/>
      <c r="F1" s="63"/>
    </row>
    <row r="2" spans="1:6">
      <c r="A2" s="63"/>
      <c r="B2" s="63"/>
      <c r="C2" s="63"/>
      <c r="D2" s="63"/>
      <c r="E2" s="63"/>
      <c r="F2" s="63"/>
    </row>
    <row r="3" spans="1:6">
      <c r="A3" s="23" t="s">
        <v>98</v>
      </c>
      <c r="B3" s="23" t="s">
        <v>126</v>
      </c>
      <c r="C3" s="23" t="s">
        <v>127</v>
      </c>
      <c r="D3" s="23" t="s">
        <v>128</v>
      </c>
      <c r="E3" s="23" t="s">
        <v>129</v>
      </c>
      <c r="F3" s="23" t="s">
        <v>130</v>
      </c>
    </row>
    <row r="4" spans="1:6">
      <c r="A4" s="20" t="s">
        <v>60</v>
      </c>
      <c r="B4" s="2">
        <v>1316</v>
      </c>
      <c r="C4" s="2">
        <v>2940</v>
      </c>
      <c r="D4" s="2">
        <v>1079</v>
      </c>
      <c r="E4" s="2">
        <v>1245</v>
      </c>
      <c r="F4" s="2">
        <f>SUM(B4:E4)</f>
        <v>6580</v>
      </c>
    </row>
    <row r="5" spans="1:6">
      <c r="A5" s="20" t="s">
        <v>61</v>
      </c>
      <c r="B5" s="2">
        <v>1015</v>
      </c>
      <c r="C5" s="2">
        <v>2295</v>
      </c>
      <c r="D5" s="2">
        <v>1097</v>
      </c>
      <c r="E5" s="2">
        <v>1914</v>
      </c>
      <c r="F5" s="2">
        <f t="shared" ref="F5:F8" si="0">SUM(B5:E5)</f>
        <v>6321</v>
      </c>
    </row>
    <row r="6" spans="1:6">
      <c r="A6" s="20" t="s">
        <v>62</v>
      </c>
      <c r="B6" s="2">
        <v>1164</v>
      </c>
      <c r="C6" s="2">
        <v>2133</v>
      </c>
      <c r="D6" s="2">
        <v>2289</v>
      </c>
      <c r="E6" s="2">
        <v>2936</v>
      </c>
      <c r="F6" s="2">
        <f t="shared" si="0"/>
        <v>8522</v>
      </c>
    </row>
    <row r="7" spans="1:6">
      <c r="A7" s="20" t="s">
        <v>63</v>
      </c>
      <c r="B7" s="2">
        <v>1067</v>
      </c>
      <c r="C7" s="2">
        <v>2849</v>
      </c>
      <c r="D7" s="2">
        <v>2127</v>
      </c>
      <c r="E7" s="2">
        <v>1232</v>
      </c>
      <c r="F7" s="2">
        <f t="shared" si="0"/>
        <v>7275</v>
      </c>
    </row>
    <row r="8" spans="1:6">
      <c r="A8" s="20" t="s">
        <v>64</v>
      </c>
      <c r="B8" s="2">
        <v>2623</v>
      </c>
      <c r="C8" s="2">
        <v>2105</v>
      </c>
      <c r="D8" s="2">
        <v>2202</v>
      </c>
      <c r="E8" s="2">
        <v>1787</v>
      </c>
      <c r="F8" s="2">
        <f t="shared" si="0"/>
        <v>8717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B795-D8A5-485B-95A3-8DAEB8C862BF}">
  <sheetPr>
    <tabColor theme="7"/>
  </sheetPr>
  <dimension ref="A1:F8"/>
  <sheetViews>
    <sheetView workbookViewId="0">
      <selection activeCell="I8" sqref="I8"/>
    </sheetView>
  </sheetViews>
  <sheetFormatPr defaultRowHeight="14"/>
  <sheetData>
    <row r="1" spans="1:6">
      <c r="A1" s="63" t="s">
        <v>124</v>
      </c>
      <c r="B1" s="63"/>
      <c r="C1" s="63"/>
      <c r="D1" s="63"/>
      <c r="E1" s="63"/>
      <c r="F1" s="63"/>
    </row>
    <row r="2" spans="1:6">
      <c r="A2" s="63"/>
      <c r="B2" s="63"/>
      <c r="C2" s="63"/>
      <c r="D2" s="63"/>
      <c r="E2" s="63"/>
      <c r="F2" s="63"/>
    </row>
    <row r="3" spans="1:6">
      <c r="A3" s="23" t="s">
        <v>98</v>
      </c>
      <c r="B3" s="23" t="s">
        <v>126</v>
      </c>
      <c r="C3" s="23" t="s">
        <v>127</v>
      </c>
      <c r="D3" s="23" t="s">
        <v>128</v>
      </c>
      <c r="E3" s="23" t="s">
        <v>129</v>
      </c>
      <c r="F3" s="23" t="s">
        <v>130</v>
      </c>
    </row>
    <row r="4" spans="1:6">
      <c r="A4" s="20" t="s">
        <v>60</v>
      </c>
      <c r="B4" s="2">
        <v>1862</v>
      </c>
      <c r="C4" s="2">
        <v>1144</v>
      </c>
      <c r="D4" s="2">
        <v>2026</v>
      </c>
      <c r="E4" s="2">
        <v>1935</v>
      </c>
      <c r="F4" s="2">
        <f>SUM(B4:E4)</f>
        <v>6967</v>
      </c>
    </row>
    <row r="5" spans="1:6">
      <c r="A5" s="20" t="s">
        <v>61</v>
      </c>
      <c r="B5" s="2">
        <v>1446</v>
      </c>
      <c r="C5" s="2">
        <v>2941</v>
      </c>
      <c r="D5" s="2">
        <v>1946</v>
      </c>
      <c r="E5" s="2">
        <v>2680</v>
      </c>
      <c r="F5" s="2">
        <f t="shared" ref="F5:F8" si="0">SUM(B5:E5)</f>
        <v>9013</v>
      </c>
    </row>
    <row r="6" spans="1:6">
      <c r="A6" s="20" t="s">
        <v>62</v>
      </c>
      <c r="B6" s="2">
        <v>1237</v>
      </c>
      <c r="C6" s="2">
        <v>1842</v>
      </c>
      <c r="D6" s="2">
        <v>2877</v>
      </c>
      <c r="E6" s="2">
        <v>2718</v>
      </c>
      <c r="F6" s="2">
        <f t="shared" si="0"/>
        <v>8674</v>
      </c>
    </row>
    <row r="7" spans="1:6">
      <c r="A7" s="20" t="s">
        <v>63</v>
      </c>
      <c r="B7" s="2">
        <v>2157</v>
      </c>
      <c r="C7" s="2">
        <v>2289</v>
      </c>
      <c r="D7" s="2">
        <v>1345</v>
      </c>
      <c r="E7" s="2">
        <v>2570</v>
      </c>
      <c r="F7" s="2">
        <f t="shared" si="0"/>
        <v>8361</v>
      </c>
    </row>
    <row r="8" spans="1:6">
      <c r="A8" s="20" t="s">
        <v>64</v>
      </c>
      <c r="B8" s="2">
        <v>2102</v>
      </c>
      <c r="C8" s="2">
        <v>1722</v>
      </c>
      <c r="D8" s="2">
        <v>1562</v>
      </c>
      <c r="E8" s="2">
        <v>1895</v>
      </c>
      <c r="F8" s="2">
        <f t="shared" si="0"/>
        <v>7281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D471-5C71-4CA3-8E5B-E848FAAC3AFA}">
  <sheetPr>
    <tabColor theme="7"/>
  </sheetPr>
  <dimension ref="A1:F8"/>
  <sheetViews>
    <sheetView workbookViewId="0">
      <selection activeCell="J20" sqref="J20"/>
    </sheetView>
  </sheetViews>
  <sheetFormatPr defaultRowHeight="14"/>
  <sheetData>
    <row r="1" spans="1:6">
      <c r="A1" s="63" t="s">
        <v>125</v>
      </c>
      <c r="B1" s="63"/>
      <c r="C1" s="63"/>
      <c r="D1" s="63"/>
      <c r="E1" s="63"/>
      <c r="F1" s="63"/>
    </row>
    <row r="2" spans="1:6">
      <c r="A2" s="63"/>
      <c r="B2" s="63"/>
      <c r="C2" s="63"/>
      <c r="D2" s="63"/>
      <c r="E2" s="63"/>
      <c r="F2" s="63"/>
    </row>
    <row r="3" spans="1:6">
      <c r="A3" s="23" t="s">
        <v>98</v>
      </c>
      <c r="B3" s="23" t="s">
        <v>126</v>
      </c>
      <c r="C3" s="23" t="s">
        <v>127</v>
      </c>
      <c r="D3" s="23" t="s">
        <v>128</v>
      </c>
      <c r="E3" s="23" t="s">
        <v>129</v>
      </c>
      <c r="F3" s="23" t="s">
        <v>130</v>
      </c>
    </row>
    <row r="4" spans="1:6">
      <c r="A4" s="20" t="s">
        <v>60</v>
      </c>
      <c r="B4" s="2">
        <v>2279</v>
      </c>
      <c r="C4" s="2">
        <v>1787</v>
      </c>
      <c r="D4" s="2">
        <v>1416</v>
      </c>
      <c r="E4" s="2">
        <v>1839</v>
      </c>
      <c r="F4" s="2">
        <f>SUM(B4:E4)</f>
        <v>7321</v>
      </c>
    </row>
    <row r="5" spans="1:6">
      <c r="A5" s="20" t="s">
        <v>61</v>
      </c>
      <c r="B5" s="2">
        <v>2346</v>
      </c>
      <c r="C5" s="2">
        <v>1371</v>
      </c>
      <c r="D5" s="2">
        <v>1213</v>
      </c>
      <c r="E5" s="2">
        <v>1622</v>
      </c>
      <c r="F5" s="2">
        <f t="shared" ref="F5:F8" si="0">SUM(B5:E5)</f>
        <v>6552</v>
      </c>
    </row>
    <row r="6" spans="1:6">
      <c r="A6" s="20" t="s">
        <v>62</v>
      </c>
      <c r="B6" s="2">
        <v>1634</v>
      </c>
      <c r="C6" s="2">
        <v>2703</v>
      </c>
      <c r="D6" s="2">
        <v>1455</v>
      </c>
      <c r="E6" s="2">
        <v>2709</v>
      </c>
      <c r="F6" s="2">
        <f t="shared" si="0"/>
        <v>8501</v>
      </c>
    </row>
    <row r="7" spans="1:6">
      <c r="A7" s="20" t="s">
        <v>63</v>
      </c>
      <c r="B7" s="2">
        <v>1489</v>
      </c>
      <c r="C7" s="2">
        <v>2179</v>
      </c>
      <c r="D7" s="2">
        <v>2025</v>
      </c>
      <c r="E7" s="2">
        <v>1316</v>
      </c>
      <c r="F7" s="2">
        <f t="shared" si="0"/>
        <v>7009</v>
      </c>
    </row>
    <row r="8" spans="1:6">
      <c r="A8" s="20" t="s">
        <v>64</v>
      </c>
      <c r="B8" s="2">
        <v>2753</v>
      </c>
      <c r="C8" s="2">
        <v>2291</v>
      </c>
      <c r="D8" s="2">
        <v>2172</v>
      </c>
      <c r="E8" s="2">
        <v>2666</v>
      </c>
      <c r="F8" s="2">
        <f t="shared" si="0"/>
        <v>9882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85D2-25A2-4CE8-AA86-5596CC9E46A0}">
  <sheetPr>
    <tabColor theme="8"/>
  </sheetPr>
  <dimension ref="B2:K34"/>
  <sheetViews>
    <sheetView showGridLines="0" tabSelected="1" topLeftCell="A10" workbookViewId="0">
      <selection activeCell="L20" sqref="L20"/>
    </sheetView>
  </sheetViews>
  <sheetFormatPr defaultRowHeight="14"/>
  <cols>
    <col min="1" max="1" width="5.08203125" customWidth="1"/>
    <col min="2" max="4" width="11.6640625" customWidth="1"/>
    <col min="5" max="5" width="11" customWidth="1"/>
    <col min="7" max="9" width="11.6640625" customWidth="1"/>
  </cols>
  <sheetData>
    <row r="2" spans="2:10" ht="31">
      <c r="B2" s="11" t="s">
        <v>25</v>
      </c>
    </row>
    <row r="4" spans="2:10" ht="20.5">
      <c r="B4" s="10" t="s">
        <v>23</v>
      </c>
      <c r="D4" s="68" t="s">
        <v>228</v>
      </c>
    </row>
    <row r="6" spans="2:10">
      <c r="B6" s="23" t="s">
        <v>179</v>
      </c>
      <c r="C6" s="1" t="s">
        <v>98</v>
      </c>
      <c r="D6" s="1" t="s">
        <v>53</v>
      </c>
      <c r="E6" s="1" t="s">
        <v>54</v>
      </c>
      <c r="G6" s="1" t="s">
        <v>98</v>
      </c>
      <c r="H6" s="23" t="s">
        <v>179</v>
      </c>
    </row>
    <row r="7" spans="2:10">
      <c r="B7" s="20" t="s">
        <v>55</v>
      </c>
      <c r="C7" s="20" t="s">
        <v>60</v>
      </c>
      <c r="D7" s="25">
        <v>500</v>
      </c>
      <c r="E7" s="26">
        <v>6750</v>
      </c>
      <c r="G7" s="20" t="s">
        <v>60</v>
      </c>
      <c r="H7" s="34" t="str">
        <f>VLOOKUP(G7,IF({1,0},$C$7:$C$11,$B$7:$B$11),2,0)</f>
        <v>1号仓库</v>
      </c>
      <c r="J7" t="str">
        <f>VLOOKUP(G7,IF({1,0},C7:CN117,B7:B11),2,0)</f>
        <v>1号仓库</v>
      </c>
    </row>
    <row r="8" spans="2:10">
      <c r="B8" s="20" t="s">
        <v>56</v>
      </c>
      <c r="C8" s="20" t="s">
        <v>61</v>
      </c>
      <c r="D8" s="25">
        <v>1500</v>
      </c>
      <c r="E8" s="26">
        <v>3500</v>
      </c>
      <c r="G8" s="20" t="s">
        <v>61</v>
      </c>
      <c r="H8" s="34" t="str">
        <f>VLOOKUP(G8,IF({1,0},$C$7:$C$11,$B$7:$B$11),2,0)</f>
        <v>2号仓库</v>
      </c>
      <c r="J8" t="str">
        <f>VLOOKUP(G8,IF({1,0},C8:CN118,B8:B12),2,0)</f>
        <v>2号仓库</v>
      </c>
    </row>
    <row r="9" spans="2:10">
      <c r="B9" s="20" t="s">
        <v>57</v>
      </c>
      <c r="C9" s="20" t="s">
        <v>62</v>
      </c>
      <c r="D9" s="25">
        <v>300</v>
      </c>
      <c r="E9" s="26">
        <v>3150</v>
      </c>
      <c r="G9" s="20" t="s">
        <v>62</v>
      </c>
      <c r="H9" s="34" t="str">
        <f>VLOOKUP(G9,IF({1,0},$C$7:$C$11,$B$7:$B$11),2,0)</f>
        <v>3号仓库</v>
      </c>
      <c r="J9" t="str">
        <f>VLOOKUP(G9,IF({1,0},C9:CN119,B9:B13),2,0)</f>
        <v>3号仓库</v>
      </c>
    </row>
    <row r="10" spans="2:10">
      <c r="B10" s="20" t="s">
        <v>58</v>
      </c>
      <c r="C10" s="20" t="s">
        <v>63</v>
      </c>
      <c r="D10" s="25">
        <v>600</v>
      </c>
      <c r="E10" s="26">
        <v>199</v>
      </c>
      <c r="G10" s="20" t="s">
        <v>63</v>
      </c>
      <c r="H10" s="34" t="str">
        <f>VLOOKUP(G10,IF({1,0},$C$7:$C$11,$B$7:$B$11),2,0)</f>
        <v>4号仓库</v>
      </c>
      <c r="J10" t="str">
        <f>VLOOKUP(G10,IF({1,0},C10:CN120,B10:B14),2,0)</f>
        <v>4号仓库</v>
      </c>
    </row>
    <row r="11" spans="2:10">
      <c r="B11" s="20" t="s">
        <v>59</v>
      </c>
      <c r="C11" s="20" t="s">
        <v>64</v>
      </c>
      <c r="D11" s="25">
        <v>1700</v>
      </c>
      <c r="E11" s="26">
        <v>59</v>
      </c>
      <c r="G11" s="20" t="s">
        <v>64</v>
      </c>
      <c r="H11" s="34" t="str">
        <f>VLOOKUP(G11,IF({1,0},$C$7:$C$11,$B$7:$B$11),2,0)</f>
        <v>5号仓库</v>
      </c>
      <c r="J11" t="str">
        <f>VLOOKUP(G11,IF({1,0},C11:CN121,B11:B15),2,0)</f>
        <v>5号仓库</v>
      </c>
    </row>
    <row r="14" spans="2:10" ht="20">
      <c r="B14" s="10" t="s">
        <v>21</v>
      </c>
    </row>
    <row r="16" spans="2:10">
      <c r="B16" s="23" t="s">
        <v>148</v>
      </c>
      <c r="C16" s="1" t="s">
        <v>149</v>
      </c>
      <c r="D16" s="1" t="s">
        <v>53</v>
      </c>
      <c r="E16" s="1" t="s">
        <v>150</v>
      </c>
      <c r="G16" s="23" t="s">
        <v>148</v>
      </c>
      <c r="H16" s="1" t="s">
        <v>149</v>
      </c>
      <c r="I16" s="1" t="s">
        <v>150</v>
      </c>
    </row>
    <row r="17" spans="2:11">
      <c r="B17" s="20" t="s">
        <v>151</v>
      </c>
      <c r="C17" s="20" t="s">
        <v>154</v>
      </c>
      <c r="D17" s="25">
        <v>500</v>
      </c>
      <c r="E17" s="26" t="s">
        <v>158</v>
      </c>
      <c r="G17" s="20" t="s">
        <v>152</v>
      </c>
      <c r="H17" s="20" t="s">
        <v>156</v>
      </c>
      <c r="I17" s="41" t="str" cm="1">
        <f t="array" ref="I17">VLOOKUP(G17&amp;H17,IF({1,0},$B$17:$B$21&amp;$C$17:$C$21,$E$17:$E$21),2,0)</f>
        <v>8.5元/斤</v>
      </c>
      <c r="K17" t="str" cm="1">
        <f t="array" ref="K17">VLOOKUP(G17&amp;H17, IF({1,0},$B$17:$B$21&amp;$C$17:$C$21,$E$17:$E$21), 2,0)</f>
        <v>8.5元/斤</v>
      </c>
    </row>
    <row r="18" spans="2:11">
      <c r="B18" s="20" t="s">
        <v>151</v>
      </c>
      <c r="C18" s="20" t="s">
        <v>157</v>
      </c>
      <c r="D18" s="25">
        <v>1500</v>
      </c>
      <c r="E18" s="26" t="s">
        <v>159</v>
      </c>
      <c r="G18" s="20" t="s">
        <v>152</v>
      </c>
      <c r="H18" s="20" t="s">
        <v>155</v>
      </c>
      <c r="I18" s="41" t="str" cm="1">
        <f t="array" ref="I18">VLOOKUP(G18&amp;H18,IF({1,0},$B$17:$B$21&amp;$C$17:$C$21,$E$17:$E$21),2,0)</f>
        <v>9.5元/斤</v>
      </c>
      <c r="K18" t="str" cm="1">
        <f t="array" ref="K18">VLOOKUP(G18&amp;H18, IF({1,0},$B$17:$B$21&amp;$C$17:$C$21,$E$17:$E$21), 2,0)</f>
        <v>9.5元/斤</v>
      </c>
    </row>
    <row r="19" spans="2:11">
      <c r="B19" s="20" t="s">
        <v>152</v>
      </c>
      <c r="C19" s="20" t="s">
        <v>156</v>
      </c>
      <c r="D19" s="25">
        <v>300</v>
      </c>
      <c r="E19" s="26" t="s">
        <v>160</v>
      </c>
      <c r="G19" s="20" t="s">
        <v>151</v>
      </c>
      <c r="H19" s="20" t="s">
        <v>154</v>
      </c>
      <c r="I19" s="41" t="str" cm="1">
        <f t="array" ref="I19">VLOOKUP(G19&amp;H19,IF({1,0},$B$17:$B$21&amp;$C$17:$C$21,$E$17:$E$21),2,0)</f>
        <v>7.1元/斤</v>
      </c>
      <c r="K19" t="str" cm="1">
        <f t="array" ref="K19">VLOOKUP(G19&amp;H19, IF({1,0},$B$17:$B$21&amp;$C$17:$C$21,$E$17:$E$21), 2,0)</f>
        <v>7.1元/斤</v>
      </c>
    </row>
    <row r="20" spans="2:11">
      <c r="B20" s="20" t="s">
        <v>153</v>
      </c>
      <c r="C20" s="20" t="s">
        <v>161</v>
      </c>
      <c r="D20" s="25">
        <v>600</v>
      </c>
      <c r="E20" s="26" t="s">
        <v>162</v>
      </c>
      <c r="G20" s="20" t="s">
        <v>151</v>
      </c>
      <c r="H20" s="20" t="s">
        <v>157</v>
      </c>
      <c r="I20" s="41" t="str" cm="1">
        <f t="array" ref="I20">VLOOKUP(G20&amp;H20,IF({1,0},$B$17:$B$21&amp;$C$17:$C$21,$E$17:$E$21),2,0)</f>
        <v>6.2元/斤</v>
      </c>
      <c r="K20" t="str" cm="1">
        <f t="array" ref="K20">VLOOKUP(G20&amp;H20, IF({1,0},$B$17:$B$21&amp;$C$17:$C$21,$E$17:$E$21), 2,0)</f>
        <v>6.2元/斤</v>
      </c>
    </row>
    <row r="21" spans="2:11">
      <c r="B21" s="20" t="s">
        <v>152</v>
      </c>
      <c r="C21" s="20" t="s">
        <v>155</v>
      </c>
      <c r="D21" s="25">
        <v>1700</v>
      </c>
      <c r="E21" s="26" t="s">
        <v>163</v>
      </c>
      <c r="G21" s="20" t="s">
        <v>153</v>
      </c>
      <c r="H21" s="20" t="s">
        <v>161</v>
      </c>
      <c r="I21" s="41" t="str" cm="1">
        <f t="array" ref="I21">VLOOKUP(G21&amp;H21,IF({1,0},$B$17:$B$21&amp;$C$17:$C$21,$E$17:$E$21),2,0)</f>
        <v>5.3元/斤</v>
      </c>
      <c r="K21" t="str" cm="1">
        <f t="array" ref="K21">VLOOKUP(G21&amp;H21, IF({1,0},$B$17:$B$21&amp;$C$17:$C$21,$E$17:$E$21), 2,0)</f>
        <v>5.3元/斤</v>
      </c>
    </row>
    <row r="22" spans="2:11">
      <c r="B22" s="27"/>
      <c r="C22" s="27"/>
      <c r="D22" s="28"/>
      <c r="E22" s="42"/>
      <c r="G22" s="27"/>
      <c r="H22" s="27"/>
      <c r="I22" s="27"/>
    </row>
    <row r="23" spans="2:11">
      <c r="B23" s="27"/>
      <c r="C23" s="27"/>
      <c r="D23" s="28"/>
      <c r="E23" s="42"/>
      <c r="G23" s="27"/>
      <c r="H23" s="27"/>
      <c r="I23" s="27"/>
    </row>
    <row r="24" spans="2:11" ht="20">
      <c r="B24" s="10" t="s">
        <v>24</v>
      </c>
    </row>
    <row r="26" spans="2:11">
      <c r="B26" s="8" t="s">
        <v>20</v>
      </c>
      <c r="C26" s="8" t="s">
        <v>17</v>
      </c>
      <c r="D26" s="8" t="s">
        <v>13</v>
      </c>
      <c r="G26" s="8" t="s">
        <v>2</v>
      </c>
      <c r="H26" s="8" t="s">
        <v>18</v>
      </c>
      <c r="I26" s="8" t="s">
        <v>19</v>
      </c>
    </row>
    <row r="27" spans="2:11">
      <c r="B27" s="9" t="s">
        <v>8</v>
      </c>
      <c r="C27" s="9" t="s">
        <v>3</v>
      </c>
      <c r="D27" s="9">
        <v>4200</v>
      </c>
      <c r="G27" s="9" t="s">
        <v>8</v>
      </c>
      <c r="H27" s="32" t="str" cm="1">
        <f t="array" aca="1" ref="H27" ca="1">IFERROR(VLOOKUP(COLUMN(A1),IF({1,0},COUNTIF(INDIRECT("b27:b"&amp;ROW($27:$34)),$G27),$C$27:$C$34),2,0),"")</f>
        <v>宋冬</v>
      </c>
      <c r="I27" s="32" t="str" cm="1">
        <f t="array" aca="1" ref="I27" ca="1">IFERROR(VLOOKUP(COLUMN(B1),IF({1,0},COUNTIF(INDIRECT("b27:b"&amp;ROW($27:$34)),$G27),$C$27:$C$34),2,0),"")</f>
        <v>王梅</v>
      </c>
    </row>
    <row r="28" spans="2:11">
      <c r="B28" s="9" t="s">
        <v>9</v>
      </c>
      <c r="C28" s="9" t="s">
        <v>4</v>
      </c>
      <c r="D28" s="9">
        <v>1500</v>
      </c>
      <c r="G28" s="9" t="s">
        <v>9</v>
      </c>
      <c r="H28" s="32" t="str" cm="1">
        <f t="array" aca="1" ref="H28" ca="1">IFERROR(VLOOKUP(COLUMN(A2),IF({1,0},COUNTIF(INDIRECT("b27:b"&amp;ROW($27:$34)),$G28),$C$27:$C$34),2,0),"")</f>
        <v>金璇</v>
      </c>
      <c r="I28" s="32" t="str" cm="1">
        <f t="array" aca="1" ref="I28" ca="1">IFERROR(VLOOKUP(COLUMN(B2),IF({1,0},COUNTIF(INDIRECT("b27:b"&amp;ROW($27:$34)),$G28),$C$27:$C$34),2,0),"")</f>
        <v>张小和</v>
      </c>
    </row>
    <row r="29" spans="2:11">
      <c r="B29" s="9" t="s">
        <v>10</v>
      </c>
      <c r="C29" s="9" t="s">
        <v>5</v>
      </c>
      <c r="D29" s="9">
        <v>4000</v>
      </c>
      <c r="G29" s="9" t="s">
        <v>10</v>
      </c>
      <c r="H29" s="32" t="str" cm="1">
        <f t="array" aca="1" ref="H29" ca="1">IFERROR(VLOOKUP(COLUMN(A3),IF({1,0},COUNTIF(INDIRECT("b27:b"&amp;ROW($27:$34)),$G29),$C$27:$C$34),2,0),"")</f>
        <v>李聪</v>
      </c>
      <c r="I29" s="32" t="str" cm="1">
        <f t="array" aca="1" ref="I29" ca="1">IFERROR(VLOOKUP(COLUMN(B3),IF({1,0},COUNTIF(INDIRECT("b27:b"&amp;ROW($27:$34)),$G29),$C$27:$C$34),2,0),"")</f>
        <v>李小艺</v>
      </c>
    </row>
    <row r="30" spans="2:11">
      <c r="B30" s="9" t="s">
        <v>11</v>
      </c>
      <c r="C30" s="9" t="s">
        <v>6</v>
      </c>
      <c r="D30" s="9">
        <v>4300</v>
      </c>
      <c r="G30" s="9" t="s">
        <v>11</v>
      </c>
      <c r="H30" s="32" t="str" cm="1">
        <f t="array" aca="1" ref="H30" ca="1">IFERROR(VLOOKUP(COLUMN(A4),IF({1,0},COUNTIF(INDIRECT("b27:b"&amp;ROW($27:$34)),$G30),$C$27:$C$34),2,0),"")</f>
        <v>夏依</v>
      </c>
      <c r="I30" s="32" t="str" cm="1">
        <f t="array" aca="1" ref="I30" ca="1">IFERROR(VLOOKUP(COLUMN(B4),IF({1,0},COUNTIF(INDIRECT("b27:b"&amp;ROW($27:$34)),$G30),$C$27:$C$34),2,0),"")</f>
        <v/>
      </c>
    </row>
    <row r="31" spans="2:11">
      <c r="B31" s="9" t="s">
        <v>12</v>
      </c>
      <c r="C31" s="9" t="s">
        <v>7</v>
      </c>
      <c r="D31" s="9">
        <v>2100</v>
      </c>
      <c r="G31" s="9" t="s">
        <v>12</v>
      </c>
      <c r="H31" s="32" t="str" cm="1">
        <f t="array" aca="1" ref="H31" ca="1">IFERROR(VLOOKUP(COLUMN(A5),IF({1,0},COUNTIF(INDIRECT("b27:b"&amp;ROW($27:$34)),$G31),$C$27:$C$34),2,0),"")</f>
        <v>方珊</v>
      </c>
      <c r="I31" s="32" t="str" cm="1">
        <f t="array" aca="1" ref="I31" ca="1">IFERROR(VLOOKUP(COLUMN(B5),IF({1,0},COUNTIF(INDIRECT("b27:b"&amp;ROW($27:$34)),$G31),$C$27:$C$34),2,0),"")</f>
        <v/>
      </c>
    </row>
    <row r="32" spans="2:11">
      <c r="B32" s="9" t="s">
        <v>8</v>
      </c>
      <c r="C32" s="9" t="s">
        <v>14</v>
      </c>
      <c r="D32" s="9">
        <v>3500</v>
      </c>
    </row>
    <row r="33" spans="2:4">
      <c r="B33" s="9" t="s">
        <v>9</v>
      </c>
      <c r="C33" s="9" t="s">
        <v>15</v>
      </c>
      <c r="D33" s="9">
        <v>2100</v>
      </c>
    </row>
    <row r="34" spans="2:4">
      <c r="B34" s="9" t="s">
        <v>10</v>
      </c>
      <c r="C34" s="9" t="s">
        <v>16</v>
      </c>
      <c r="D34" s="9">
        <v>3800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基础</vt:lpstr>
      <vt:lpstr>进阶</vt:lpstr>
      <vt:lpstr>表1</vt:lpstr>
      <vt:lpstr>表2</vt:lpstr>
      <vt:lpstr>表3</vt:lpstr>
      <vt:lpstr>高阶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徐家力</cp:lastModifiedBy>
  <dcterms:created xsi:type="dcterms:W3CDTF">2015-06-05T18:19:34Z</dcterms:created>
  <dcterms:modified xsi:type="dcterms:W3CDTF">2022-11-29T09:42:16Z</dcterms:modified>
</cp:coreProperties>
</file>